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ml.chartshapes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.xml" ContentType="application/vnd.openxmlformats-officedocument.drawing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4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5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6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7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8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1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2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5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2.xml" ContentType="application/vnd.openxmlformats-officedocument.drawingml.chart+xml"/>
  <Override PartName="/xl/drawings/drawing9.xml" ContentType="application/vnd.openxmlformats-officedocument.drawing+xml"/>
  <Override PartName="/xl/charts/chart7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10.xml" ContentType="application/vnd.openxmlformats-officedocument.drawingml.chartshapes+xml"/>
  <Override PartName="/xl/charts/chart8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11.xml" ContentType="application/vnd.openxmlformats-officedocument.drawing+xml"/>
  <Override PartName="/xl/charts/chart8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5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6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7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8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9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0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01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02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03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04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5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6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2.xml" ContentType="application/vnd.openxmlformats-officedocument.drawing+xml"/>
  <Override PartName="/xl/charts/chart107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8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9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10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11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12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13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3.xml" ContentType="application/vnd.openxmlformats-officedocument.drawing+xml"/>
  <Override PartName="/xl/charts/chart114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5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6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4.xml" ContentType="application/vnd.openxmlformats-officedocument.drawing+xml"/>
  <Override PartName="/xl/charts/chart117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xl/tables/table32.xml" ContentType="application/vnd.openxmlformats-officedocument.spreadsheetml.table+xml"/>
  <Override PartName="/xl/queryTables/queryTable31.xml" ContentType="application/vnd.openxmlformats-officedocument.spreadsheetml.queryTable+xml"/>
  <Override PartName="/xl/tables/table33.xml" ContentType="application/vnd.openxmlformats-officedocument.spreadsheetml.table+xml"/>
  <Override PartName="/xl/queryTables/queryTable32.xml" ContentType="application/vnd.openxmlformats-officedocument.spreadsheetml.queryTable+xml"/>
  <Override PartName="/xl/tables/table34.xml" ContentType="application/vnd.openxmlformats-officedocument.spreadsheetml.table+xml"/>
  <Override PartName="/xl/queryTables/queryTable33.xml" ContentType="application/vnd.openxmlformats-officedocument.spreadsheetml.queryTable+xml"/>
  <Override PartName="/xl/tables/table35.xml" ContentType="application/vnd.openxmlformats-officedocument.spreadsheetml.table+xml"/>
  <Override PartName="/xl/queryTables/queryTable34.xml" ContentType="application/vnd.openxmlformats-officedocument.spreadsheetml.queryTable+xml"/>
  <Override PartName="/xl/tables/table36.xml" ContentType="application/vnd.openxmlformats-officedocument.spreadsheetml.table+xml"/>
  <Override PartName="/xl/queryTables/queryTable35.xml" ContentType="application/vnd.openxmlformats-officedocument.spreadsheetml.queryTable+xml"/>
  <Override PartName="/xl/tables/table37.xml" ContentType="application/vnd.openxmlformats-officedocument.spreadsheetml.table+xml"/>
  <Override PartName="/xl/queryTables/queryTable36.xml" ContentType="application/vnd.openxmlformats-officedocument.spreadsheetml.queryTable+xml"/>
  <Override PartName="/xl/tables/table38.xml" ContentType="application/vnd.openxmlformats-officedocument.spreadsheetml.table+xml"/>
  <Override PartName="/xl/queryTables/queryTable37.xml" ContentType="application/vnd.openxmlformats-officedocument.spreadsheetml.queryTable+xml"/>
  <Override PartName="/xl/tables/table39.xml" ContentType="application/vnd.openxmlformats-officedocument.spreadsheetml.table+xml"/>
  <Override PartName="/xl/queryTables/queryTable38.xml" ContentType="application/vnd.openxmlformats-officedocument.spreadsheetml.queryTable+xml"/>
  <Override PartName="/xl/tables/table40.xml" ContentType="application/vnd.openxmlformats-officedocument.spreadsheetml.table+xml"/>
  <Override PartName="/xl/queryTables/queryTable39.xml" ContentType="application/vnd.openxmlformats-officedocument.spreadsheetml.queryTable+xml"/>
  <Override PartName="/xl/tables/table41.xml" ContentType="application/vnd.openxmlformats-officedocument.spreadsheetml.table+xml"/>
  <Override PartName="/xl/queryTables/queryTable40.xml" ContentType="application/vnd.openxmlformats-officedocument.spreadsheetml.queryTable+xml"/>
  <Override PartName="/xl/tables/table42.xml" ContentType="application/vnd.openxmlformats-officedocument.spreadsheetml.table+xml"/>
  <Override PartName="/xl/queryTables/queryTable41.xml" ContentType="application/vnd.openxmlformats-officedocument.spreadsheetml.queryTable+xml"/>
  <Override PartName="/xl/tables/table43.xml" ContentType="application/vnd.openxmlformats-officedocument.spreadsheetml.table+xml"/>
  <Override PartName="/xl/queryTables/queryTable42.xml" ContentType="application/vnd.openxmlformats-officedocument.spreadsheetml.queryTable+xml"/>
  <Override PartName="/xl/tables/table44.xml" ContentType="application/vnd.openxmlformats-officedocument.spreadsheetml.table+xml"/>
  <Override PartName="/xl/queryTables/queryTable43.xml" ContentType="application/vnd.openxmlformats-officedocument.spreadsheetml.queryTable+xml"/>
  <Override PartName="/xl/tables/table45.xml" ContentType="application/vnd.openxmlformats-officedocument.spreadsheetml.table+xml"/>
  <Override PartName="/xl/queryTables/queryTable44.xml" ContentType="application/vnd.openxmlformats-officedocument.spreadsheetml.queryTable+xml"/>
  <Override PartName="/xl/tables/table46.xml" ContentType="application/vnd.openxmlformats-officedocument.spreadsheetml.table+xml"/>
  <Override PartName="/xl/queryTables/queryTable45.xml" ContentType="application/vnd.openxmlformats-officedocument.spreadsheetml.queryTable+xml"/>
  <Override PartName="/xl/tables/table47.xml" ContentType="application/vnd.openxmlformats-officedocument.spreadsheetml.table+xml"/>
  <Override PartName="/xl/queryTables/queryTable46.xml" ContentType="application/vnd.openxmlformats-officedocument.spreadsheetml.queryTable+xml"/>
  <Override PartName="/xl/tables/table48.xml" ContentType="application/vnd.openxmlformats-officedocument.spreadsheetml.table+xml"/>
  <Override PartName="/xl/queryTables/queryTable47.xml" ContentType="application/vnd.openxmlformats-officedocument.spreadsheetml.queryTable+xml"/>
  <Override PartName="/xl/tables/table49.xml" ContentType="application/vnd.openxmlformats-officedocument.spreadsheetml.table+xml"/>
  <Override PartName="/xl/queryTables/queryTable48.xml" ContentType="application/vnd.openxmlformats-officedocument.spreadsheetml.queryTable+xml"/>
  <Override PartName="/xl/tables/table50.xml" ContentType="application/vnd.openxmlformats-officedocument.spreadsheetml.table+xml"/>
  <Override PartName="/xl/queryTables/queryTable49.xml" ContentType="application/vnd.openxmlformats-officedocument.spreadsheetml.queryTable+xml"/>
  <Override PartName="/xl/tables/table51.xml" ContentType="application/vnd.openxmlformats-officedocument.spreadsheetml.table+xml"/>
  <Override PartName="/xl/queryTables/queryTable50.xml" ContentType="application/vnd.openxmlformats-officedocument.spreadsheetml.queryTable+xml"/>
  <Override PartName="/xl/tables/table52.xml" ContentType="application/vnd.openxmlformats-officedocument.spreadsheetml.table+xml"/>
  <Override PartName="/xl/queryTables/queryTable51.xml" ContentType="application/vnd.openxmlformats-officedocument.spreadsheetml.queryTable+xml"/>
  <Override PartName="/xl/tables/table53.xml" ContentType="application/vnd.openxmlformats-officedocument.spreadsheetml.table+xml"/>
  <Override PartName="/xl/queryTables/queryTable52.xml" ContentType="application/vnd.openxmlformats-officedocument.spreadsheetml.queryTable+xml"/>
  <Override PartName="/xl/tables/table54.xml" ContentType="application/vnd.openxmlformats-officedocument.spreadsheetml.table+xml"/>
  <Override PartName="/xl/queryTables/queryTable53.xml" ContentType="application/vnd.openxmlformats-officedocument.spreadsheetml.queryTable+xml"/>
  <Override PartName="/xl/tables/table55.xml" ContentType="application/vnd.openxmlformats-officedocument.spreadsheetml.table+xml"/>
  <Override PartName="/xl/queryTables/queryTable54.xml" ContentType="application/vnd.openxmlformats-officedocument.spreadsheetml.queryTable+xml"/>
  <Override PartName="/xl/tables/table56.xml" ContentType="application/vnd.openxmlformats-officedocument.spreadsheetml.table+xml"/>
  <Override PartName="/xl/queryTables/queryTable55.xml" ContentType="application/vnd.openxmlformats-officedocument.spreadsheetml.queryTable+xml"/>
  <Override PartName="/xl/tables/table57.xml" ContentType="application/vnd.openxmlformats-officedocument.spreadsheetml.table+xml"/>
  <Override PartName="/xl/queryTables/queryTable56.xml" ContentType="application/vnd.openxmlformats-officedocument.spreadsheetml.queryTable+xml"/>
  <Override PartName="/xl/tables/table58.xml" ContentType="application/vnd.openxmlformats-officedocument.spreadsheetml.table+xml"/>
  <Override PartName="/xl/queryTables/queryTable57.xml" ContentType="application/vnd.openxmlformats-officedocument.spreadsheetml.queryTable+xml"/>
  <Override PartName="/xl/tables/table59.xml" ContentType="application/vnd.openxmlformats-officedocument.spreadsheetml.table+xml"/>
  <Override PartName="/xl/queryTables/queryTable58.xml" ContentType="application/vnd.openxmlformats-officedocument.spreadsheetml.queryTable+xml"/>
  <Override PartName="/xl/tables/table60.xml" ContentType="application/vnd.openxmlformats-officedocument.spreadsheetml.table+xml"/>
  <Override PartName="/xl/queryTables/queryTable59.xml" ContentType="application/vnd.openxmlformats-officedocument.spreadsheetml.queryTable+xml"/>
  <Override PartName="/xl/tables/table61.xml" ContentType="application/vnd.openxmlformats-officedocument.spreadsheetml.table+xml"/>
  <Override PartName="/xl/queryTables/queryTable60.xml" ContentType="application/vnd.openxmlformats-officedocument.spreadsheetml.queryTable+xml"/>
  <Override PartName="/xl/tables/table62.xml" ContentType="application/vnd.openxmlformats-officedocument.spreadsheetml.table+xml"/>
  <Override PartName="/xl/queryTables/queryTable61.xml" ContentType="application/vnd.openxmlformats-officedocument.spreadsheetml.queryTable+xml"/>
  <Override PartName="/xl/tables/table63.xml" ContentType="application/vnd.openxmlformats-officedocument.spreadsheetml.table+xml"/>
  <Override PartName="/xl/queryTables/queryTable62.xml" ContentType="application/vnd.openxmlformats-officedocument.spreadsheetml.queryTable+xml"/>
  <Override PartName="/xl/tables/table64.xml" ContentType="application/vnd.openxmlformats-officedocument.spreadsheetml.table+xml"/>
  <Override PartName="/xl/queryTables/queryTable63.xml" ContentType="application/vnd.openxmlformats-officedocument.spreadsheetml.queryTable+xml"/>
  <Override PartName="/xl/tables/table65.xml" ContentType="application/vnd.openxmlformats-officedocument.spreadsheetml.table+xml"/>
  <Override PartName="/xl/queryTables/queryTable64.xml" ContentType="application/vnd.openxmlformats-officedocument.spreadsheetml.queryTable+xml"/>
  <Override PartName="/xl/tables/table66.xml" ContentType="application/vnd.openxmlformats-officedocument.spreadsheetml.table+xml"/>
  <Override PartName="/xl/queryTables/queryTable65.xml" ContentType="application/vnd.openxmlformats-officedocument.spreadsheetml.queryTable+xml"/>
  <Override PartName="/xl/tables/table67.xml" ContentType="application/vnd.openxmlformats-officedocument.spreadsheetml.table+xml"/>
  <Override PartName="/xl/queryTables/queryTable66.xml" ContentType="application/vnd.openxmlformats-officedocument.spreadsheetml.queryTable+xml"/>
  <Override PartName="/xl/tables/table68.xml" ContentType="application/vnd.openxmlformats-officedocument.spreadsheetml.table+xml"/>
  <Override PartName="/xl/queryTables/queryTable67.xml" ContentType="application/vnd.openxmlformats-officedocument.spreadsheetml.queryTable+xml"/>
  <Override PartName="/xl/tables/table69.xml" ContentType="application/vnd.openxmlformats-officedocument.spreadsheetml.table+xml"/>
  <Override PartName="/xl/queryTables/queryTable68.xml" ContentType="application/vnd.openxmlformats-officedocument.spreadsheetml.queryTable+xml"/>
  <Override PartName="/xl/tables/table70.xml" ContentType="application/vnd.openxmlformats-officedocument.spreadsheetml.table+xml"/>
  <Override PartName="/xl/queryTables/queryTable69.xml" ContentType="application/vnd.openxmlformats-officedocument.spreadsheetml.queryTable+xml"/>
  <Override PartName="/xl/tables/table71.xml" ContentType="application/vnd.openxmlformats-officedocument.spreadsheetml.table+xml"/>
  <Override PartName="/xl/queryTables/queryTable70.xml" ContentType="application/vnd.openxmlformats-officedocument.spreadsheetml.queryTable+xml"/>
  <Override PartName="/xl/tables/table72.xml" ContentType="application/vnd.openxmlformats-officedocument.spreadsheetml.table+xml"/>
  <Override PartName="/xl/queryTables/queryTable71.xml" ContentType="application/vnd.openxmlformats-officedocument.spreadsheetml.queryTable+xml"/>
  <Override PartName="/xl/tables/table73.xml" ContentType="application/vnd.openxmlformats-officedocument.spreadsheetml.table+xml"/>
  <Override PartName="/xl/queryTables/queryTable72.xml" ContentType="application/vnd.openxmlformats-officedocument.spreadsheetml.queryTable+xml"/>
  <Override PartName="/xl/tables/table74.xml" ContentType="application/vnd.openxmlformats-officedocument.spreadsheetml.table+xml"/>
  <Override PartName="/xl/queryTables/queryTable73.xml" ContentType="application/vnd.openxmlformats-officedocument.spreadsheetml.queryTable+xml"/>
  <Override PartName="/xl/tables/table75.xml" ContentType="application/vnd.openxmlformats-officedocument.spreadsheetml.table+xml"/>
  <Override PartName="/xl/queryTables/queryTable74.xml" ContentType="application/vnd.openxmlformats-officedocument.spreadsheetml.queryTable+xml"/>
  <Override PartName="/xl/tables/table76.xml" ContentType="application/vnd.openxmlformats-officedocument.spreadsheetml.table+xml"/>
  <Override PartName="/xl/queryTables/queryTable75.xml" ContentType="application/vnd.openxmlformats-officedocument.spreadsheetml.queryTable+xml"/>
  <Override PartName="/xl/tables/table77.xml" ContentType="application/vnd.openxmlformats-officedocument.spreadsheetml.table+xml"/>
  <Override PartName="/xl/queryTables/queryTable76.xml" ContentType="application/vnd.openxmlformats-officedocument.spreadsheetml.queryTable+xml"/>
  <Override PartName="/xl/tables/table78.xml" ContentType="application/vnd.openxmlformats-officedocument.spreadsheetml.table+xml"/>
  <Override PartName="/xl/queryTables/queryTable77.xml" ContentType="application/vnd.openxmlformats-officedocument.spreadsheetml.queryTable+xml"/>
  <Override PartName="/xl/tables/table79.xml" ContentType="application/vnd.openxmlformats-officedocument.spreadsheetml.table+xml"/>
  <Override PartName="/xl/queryTables/queryTable78.xml" ContentType="application/vnd.openxmlformats-officedocument.spreadsheetml.queryTable+xml"/>
  <Override PartName="/xl/tables/table80.xml" ContentType="application/vnd.openxmlformats-officedocument.spreadsheetml.table+xml"/>
  <Override PartName="/xl/queryTables/queryTable79.xml" ContentType="application/vnd.openxmlformats-officedocument.spreadsheetml.queryTable+xml"/>
  <Override PartName="/xl/tables/table81.xml" ContentType="application/vnd.openxmlformats-officedocument.spreadsheetml.table+xml"/>
  <Override PartName="/xl/queryTables/queryTable80.xml" ContentType="application/vnd.openxmlformats-officedocument.spreadsheetml.queryTable+xml"/>
  <Override PartName="/xl/tables/table82.xml" ContentType="application/vnd.openxmlformats-officedocument.spreadsheetml.table+xml"/>
  <Override PartName="/xl/queryTables/queryTable81.xml" ContentType="application/vnd.openxmlformats-officedocument.spreadsheetml.queryTable+xml"/>
  <Override PartName="/xl/tables/table83.xml" ContentType="application/vnd.openxmlformats-officedocument.spreadsheetml.table+xml"/>
  <Override PartName="/xl/queryTables/queryTable82.xml" ContentType="application/vnd.openxmlformats-officedocument.spreadsheetml.queryTable+xml"/>
  <Override PartName="/xl/tables/table84.xml" ContentType="application/vnd.openxmlformats-officedocument.spreadsheetml.table+xml"/>
  <Override PartName="/xl/queryTables/queryTable83.xml" ContentType="application/vnd.openxmlformats-officedocument.spreadsheetml.queryTable+xml"/>
  <Override PartName="/xl/tables/table85.xml" ContentType="application/vnd.openxmlformats-officedocument.spreadsheetml.table+xml"/>
  <Override PartName="/xl/queryTables/queryTable84.xml" ContentType="application/vnd.openxmlformats-officedocument.spreadsheetml.queryTable+xml"/>
  <Override PartName="/xl/tables/table86.xml" ContentType="application/vnd.openxmlformats-officedocument.spreadsheetml.table+xml"/>
  <Override PartName="/xl/queryTables/queryTable85.xml" ContentType="application/vnd.openxmlformats-officedocument.spreadsheetml.queryTable+xml"/>
  <Override PartName="/xl/tables/table87.xml" ContentType="application/vnd.openxmlformats-officedocument.spreadsheetml.table+xml"/>
  <Override PartName="/xl/queryTables/queryTable86.xml" ContentType="application/vnd.openxmlformats-officedocument.spreadsheetml.queryTable+xml"/>
  <Override PartName="/xl/tables/table88.xml" ContentType="application/vnd.openxmlformats-officedocument.spreadsheetml.table+xml"/>
  <Override PartName="/xl/queryTables/queryTable87.xml" ContentType="application/vnd.openxmlformats-officedocument.spreadsheetml.queryTable+xml"/>
  <Override PartName="/xl/tables/table89.xml" ContentType="application/vnd.openxmlformats-officedocument.spreadsheetml.table+xml"/>
  <Override PartName="/xl/queryTables/queryTable88.xml" ContentType="application/vnd.openxmlformats-officedocument.spreadsheetml.queryTable+xml"/>
  <Override PartName="/xl/tables/table90.xml" ContentType="application/vnd.openxmlformats-officedocument.spreadsheetml.table+xml"/>
  <Override PartName="/xl/queryTables/queryTable89.xml" ContentType="application/vnd.openxmlformats-officedocument.spreadsheetml.queryTable+xml"/>
  <Override PartName="/xl/tables/table91.xml" ContentType="application/vnd.openxmlformats-officedocument.spreadsheetml.table+xml"/>
  <Override PartName="/xl/queryTables/queryTable90.xml" ContentType="application/vnd.openxmlformats-officedocument.spreadsheetml.queryTable+xml"/>
  <Override PartName="/xl/tables/table92.xml" ContentType="application/vnd.openxmlformats-officedocument.spreadsheetml.table+xml"/>
  <Override PartName="/xl/queryTables/queryTable91.xml" ContentType="application/vnd.openxmlformats-officedocument.spreadsheetml.queryTable+xml"/>
  <Override PartName="/xl/tables/table93.xml" ContentType="application/vnd.openxmlformats-officedocument.spreadsheetml.table+xml"/>
  <Override PartName="/xl/queryTables/queryTable92.xml" ContentType="application/vnd.openxmlformats-officedocument.spreadsheetml.queryTable+xml"/>
  <Override PartName="/xl/tables/table94.xml" ContentType="application/vnd.openxmlformats-officedocument.spreadsheetml.table+xml"/>
  <Override PartName="/xl/queryTables/queryTable93.xml" ContentType="application/vnd.openxmlformats-officedocument.spreadsheetml.queryTable+xml"/>
  <Override PartName="/xl/tables/table95.xml" ContentType="application/vnd.openxmlformats-officedocument.spreadsheetml.table+xml"/>
  <Override PartName="/xl/queryTables/queryTable94.xml" ContentType="application/vnd.openxmlformats-officedocument.spreadsheetml.queryTable+xml"/>
  <Override PartName="/xl/tables/table96.xml" ContentType="application/vnd.openxmlformats-officedocument.spreadsheetml.table+xml"/>
  <Override PartName="/xl/queryTables/queryTable95.xml" ContentType="application/vnd.openxmlformats-officedocument.spreadsheetml.queryTable+xml"/>
  <Override PartName="/xl/tables/table97.xml" ContentType="application/vnd.openxmlformats-officedocument.spreadsheetml.table+xml"/>
  <Override PartName="/xl/queryTables/queryTable96.xml" ContentType="application/vnd.openxmlformats-officedocument.spreadsheetml.queryTable+xml"/>
  <Override PartName="/xl/tables/table98.xml" ContentType="application/vnd.openxmlformats-officedocument.spreadsheetml.table+xml"/>
  <Override PartName="/xl/queryTables/queryTable97.xml" ContentType="application/vnd.openxmlformats-officedocument.spreadsheetml.queryTable+xml"/>
  <Override PartName="/xl/tables/table99.xml" ContentType="application/vnd.openxmlformats-officedocument.spreadsheetml.table+xml"/>
  <Override PartName="/xl/queryTables/queryTable98.xml" ContentType="application/vnd.openxmlformats-officedocument.spreadsheetml.queryTable+xml"/>
  <Override PartName="/xl/tables/table100.xml" ContentType="application/vnd.openxmlformats-officedocument.spreadsheetml.table+xml"/>
  <Override PartName="/xl/queryTables/queryTable99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8.xml" ContentType="application/vnd.openxmlformats-officedocument.spreadsheetml.queryTable+xml"/>
  <Override PartName="/xl/tables/table110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8.xml" ContentType="application/vnd.openxmlformats-officedocument.spreadsheetml.queryTable+xml"/>
  <Override PartName="/xl/tables/table120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5.xml" ContentType="application/vnd.openxmlformats-officedocument.spreadsheetml.table+xml"/>
  <Override PartName="/xl/queryTables/queryTable124.xml" ContentType="application/vnd.openxmlformats-officedocument.spreadsheetml.queryTable+xml"/>
  <Override PartName="/xl/tables/table126.xml" ContentType="application/vnd.openxmlformats-officedocument.spreadsheetml.table+xml"/>
  <Override PartName="/xl/queryTables/queryTable125.xml" ContentType="application/vnd.openxmlformats-officedocument.spreadsheetml.queryTable+xml"/>
  <Override PartName="/xl/tables/table127.xml" ContentType="application/vnd.openxmlformats-officedocument.spreadsheetml.table+xml"/>
  <Override PartName="/xl/queryTables/queryTable126.xml" ContentType="application/vnd.openxmlformats-officedocument.spreadsheetml.queryTable+xml"/>
  <Override PartName="/xl/tables/table128.xml" ContentType="application/vnd.openxmlformats-officedocument.spreadsheetml.table+xml"/>
  <Override PartName="/xl/queryTables/queryTable127.xml" ContentType="application/vnd.openxmlformats-officedocument.spreadsheetml.queryTable+xml"/>
  <Override PartName="/xl/tables/table129.xml" ContentType="application/vnd.openxmlformats-officedocument.spreadsheetml.table+xml"/>
  <Override PartName="/xl/queryTables/queryTable128.xml" ContentType="application/vnd.openxmlformats-officedocument.spreadsheetml.queryTable+xml"/>
  <Override PartName="/xl/tables/table130.xml" ContentType="application/vnd.openxmlformats-officedocument.spreadsheetml.table+xml"/>
  <Override PartName="/xl/queryTables/queryTable129.xml" ContentType="application/vnd.openxmlformats-officedocument.spreadsheetml.queryTable+xml"/>
  <Override PartName="/xl/tables/table131.xml" ContentType="application/vnd.openxmlformats-officedocument.spreadsheetml.table+xml"/>
  <Override PartName="/xl/queryTables/queryTable130.xml" ContentType="application/vnd.openxmlformats-officedocument.spreadsheetml.queryTable+xml"/>
  <Override PartName="/xl/tables/table132.xml" ContentType="application/vnd.openxmlformats-officedocument.spreadsheetml.table+xml"/>
  <Override PartName="/xl/queryTables/queryTable131.xml" ContentType="application/vnd.openxmlformats-officedocument.spreadsheetml.queryTable+xml"/>
  <Override PartName="/xl/tables/table133.xml" ContentType="application/vnd.openxmlformats-officedocument.spreadsheetml.table+xml"/>
  <Override PartName="/xl/queryTables/queryTable132.xml" ContentType="application/vnd.openxmlformats-officedocument.spreadsheetml.queryTable+xml"/>
  <Override PartName="/xl/tables/table134.xml" ContentType="application/vnd.openxmlformats-officedocument.spreadsheetml.table+xml"/>
  <Override PartName="/xl/queryTables/queryTable133.xml" ContentType="application/vnd.openxmlformats-officedocument.spreadsheetml.queryTable+xml"/>
  <Override PartName="/xl/tables/table135.xml" ContentType="application/vnd.openxmlformats-officedocument.spreadsheetml.table+xml"/>
  <Override PartName="/xl/queryTables/queryTable134.xml" ContentType="application/vnd.openxmlformats-officedocument.spreadsheetml.queryTable+xml"/>
  <Override PartName="/xl/tables/table136.xml" ContentType="application/vnd.openxmlformats-officedocument.spreadsheetml.table+xml"/>
  <Override PartName="/xl/queryTables/queryTable135.xml" ContentType="application/vnd.openxmlformats-officedocument.spreadsheetml.queryTable+xml"/>
  <Override PartName="/xl/tables/table137.xml" ContentType="application/vnd.openxmlformats-officedocument.spreadsheetml.table+xml"/>
  <Override PartName="/xl/queryTables/queryTable136.xml" ContentType="application/vnd.openxmlformats-officedocument.spreadsheetml.queryTable+xml"/>
  <Override PartName="/xl/tables/table138.xml" ContentType="application/vnd.openxmlformats-officedocument.spreadsheetml.table+xml"/>
  <Override PartName="/xl/queryTables/queryTable137.xml" ContentType="application/vnd.openxmlformats-officedocument.spreadsheetml.queryTable+xml"/>
  <Override PartName="/xl/tables/table139.xml" ContentType="application/vnd.openxmlformats-officedocument.spreadsheetml.table+xml"/>
  <Override PartName="/xl/queryTables/queryTable138.xml" ContentType="application/vnd.openxmlformats-officedocument.spreadsheetml.queryTable+xml"/>
  <Override PartName="/xl/tables/table140.xml" ContentType="application/vnd.openxmlformats-officedocument.spreadsheetml.table+xml"/>
  <Override PartName="/xl/queryTables/queryTable139.xml" ContentType="application/vnd.openxmlformats-officedocument.spreadsheetml.queryTable+xml"/>
  <Override PartName="/xl/tables/table141.xml" ContentType="application/vnd.openxmlformats-officedocument.spreadsheetml.table+xml"/>
  <Override PartName="/xl/queryTables/queryTable140.xml" ContentType="application/vnd.openxmlformats-officedocument.spreadsheetml.queryTable+xml"/>
  <Override PartName="/xl/tables/table142.xml" ContentType="application/vnd.openxmlformats-officedocument.spreadsheetml.table+xml"/>
  <Override PartName="/xl/queryTables/queryTable141.xml" ContentType="application/vnd.openxmlformats-officedocument.spreadsheetml.queryTable+xml"/>
  <Override PartName="/xl/tables/table143.xml" ContentType="application/vnd.openxmlformats-officedocument.spreadsheetml.table+xml"/>
  <Override PartName="/xl/queryTables/queryTable142.xml" ContentType="application/vnd.openxmlformats-officedocument.spreadsheetml.queryTable+xml"/>
  <Override PartName="/xl/tables/table144.xml" ContentType="application/vnd.openxmlformats-officedocument.spreadsheetml.table+xml"/>
  <Override PartName="/xl/queryTables/queryTable143.xml" ContentType="application/vnd.openxmlformats-officedocument.spreadsheetml.queryTable+xml"/>
  <Override PartName="/xl/tables/table145.xml" ContentType="application/vnd.openxmlformats-officedocument.spreadsheetml.table+xml"/>
  <Override PartName="/xl/queryTables/queryTable144.xml" ContentType="application/vnd.openxmlformats-officedocument.spreadsheetml.queryTable+xml"/>
  <Override PartName="/xl/tables/table146.xml" ContentType="application/vnd.openxmlformats-officedocument.spreadsheetml.table+xml"/>
  <Override PartName="/xl/queryTables/queryTable145.xml" ContentType="application/vnd.openxmlformats-officedocument.spreadsheetml.queryTable+xml"/>
  <Override PartName="/xl/tables/table147.xml" ContentType="application/vnd.openxmlformats-officedocument.spreadsheetml.table+xml"/>
  <Override PartName="/xl/queryTables/queryTable146.xml" ContentType="application/vnd.openxmlformats-officedocument.spreadsheetml.queryTable+xml"/>
  <Override PartName="/xl/tables/table148.xml" ContentType="application/vnd.openxmlformats-officedocument.spreadsheetml.table+xml"/>
  <Override PartName="/xl/queryTables/queryTable147.xml" ContentType="application/vnd.openxmlformats-officedocument.spreadsheetml.queryTable+xml"/>
  <Override PartName="/xl/tables/table149.xml" ContentType="application/vnd.openxmlformats-officedocument.spreadsheetml.table+xml"/>
  <Override PartName="/xl/queryTables/queryTable148.xml" ContentType="application/vnd.openxmlformats-officedocument.spreadsheetml.queryTable+xml"/>
  <Override PartName="/xl/tables/table150.xml" ContentType="application/vnd.openxmlformats-officedocument.spreadsheetml.table+xml"/>
  <Override PartName="/xl/queryTables/queryTable149.xml" ContentType="application/vnd.openxmlformats-officedocument.spreadsheetml.queryTable+xml"/>
  <Override PartName="/xl/tables/table151.xml" ContentType="application/vnd.openxmlformats-officedocument.spreadsheetml.table+xml"/>
  <Override PartName="/xl/queryTables/queryTable150.xml" ContentType="application/vnd.openxmlformats-officedocument.spreadsheetml.queryTable+xml"/>
  <Override PartName="/xl/tables/table152.xml" ContentType="application/vnd.openxmlformats-officedocument.spreadsheetml.table+xml"/>
  <Override PartName="/xl/queryTables/queryTable151.xml" ContentType="application/vnd.openxmlformats-officedocument.spreadsheetml.queryTable+xml"/>
  <Override PartName="/xl/tables/table153.xml" ContentType="application/vnd.openxmlformats-officedocument.spreadsheetml.table+xml"/>
  <Override PartName="/xl/queryTables/queryTable152.xml" ContentType="application/vnd.openxmlformats-officedocument.spreadsheetml.queryTable+xml"/>
  <Override PartName="/xl/tables/table154.xml" ContentType="application/vnd.openxmlformats-officedocument.spreadsheetml.table+xml"/>
  <Override PartName="/xl/queryTables/queryTable153.xml" ContentType="application/vnd.openxmlformats-officedocument.spreadsheetml.queryTable+xml"/>
  <Override PartName="/xl/tables/table155.xml" ContentType="application/vnd.openxmlformats-officedocument.spreadsheetml.table+xml"/>
  <Override PartName="/xl/queryTables/queryTable154.xml" ContentType="application/vnd.openxmlformats-officedocument.spreadsheetml.queryTable+xml"/>
  <Override PartName="/xl/tables/table156.xml" ContentType="application/vnd.openxmlformats-officedocument.spreadsheetml.table+xml"/>
  <Override PartName="/xl/queryTables/queryTable155.xml" ContentType="application/vnd.openxmlformats-officedocument.spreadsheetml.queryTable+xml"/>
  <Override PartName="/xl/tables/table157.xml" ContentType="application/vnd.openxmlformats-officedocument.spreadsheetml.table+xml"/>
  <Override PartName="/xl/queryTables/queryTable156.xml" ContentType="application/vnd.openxmlformats-officedocument.spreadsheetml.queryTable+xml"/>
  <Override PartName="/xl/tables/table158.xml" ContentType="application/vnd.openxmlformats-officedocument.spreadsheetml.table+xml"/>
  <Override PartName="/xl/queryTables/queryTable157.xml" ContentType="application/vnd.openxmlformats-officedocument.spreadsheetml.queryTable+xml"/>
  <Override PartName="/xl/tables/table159.xml" ContentType="application/vnd.openxmlformats-officedocument.spreadsheetml.table+xml"/>
  <Override PartName="/xl/queryTables/queryTable158.xml" ContentType="application/vnd.openxmlformats-officedocument.spreadsheetml.queryTable+xml"/>
  <Override PartName="/xl/tables/table160.xml" ContentType="application/vnd.openxmlformats-officedocument.spreadsheetml.table+xml"/>
  <Override PartName="/xl/queryTables/queryTable159.xml" ContentType="application/vnd.openxmlformats-officedocument.spreadsheetml.queryTable+xml"/>
  <Override PartName="/xl/tables/table161.xml" ContentType="application/vnd.openxmlformats-officedocument.spreadsheetml.table+xml"/>
  <Override PartName="/xl/queryTables/queryTable160.xml" ContentType="application/vnd.openxmlformats-officedocument.spreadsheetml.queryTable+xml"/>
  <Override PartName="/xl/tables/table162.xml" ContentType="application/vnd.openxmlformats-officedocument.spreadsheetml.table+xml"/>
  <Override PartName="/xl/queryTables/queryTable16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jalil.khelladi\Documents\carto elec\MAJ TDB\"/>
    </mc:Choice>
  </mc:AlternateContent>
  <xr:revisionPtr revIDLastSave="0" documentId="13_ncr:1_{F5097693-9940-4EAF-92E1-9FF37D9DA7AA}" xr6:coauthVersionLast="47" xr6:coauthVersionMax="47" xr10:uidLastSave="{00000000-0000-0000-0000-000000000000}"/>
  <bookViews>
    <workbookView xWindow="-120" yWindow="-120" windowWidth="29040" windowHeight="15840" tabRatio="903" activeTab="2" xr2:uid="{6A997FA1-2F42-4A85-B030-889AB027CC3C}"/>
  </bookViews>
  <sheets>
    <sheet name="in" sheetId="2" r:id="rId1"/>
    <sheet name="Synth" sheetId="26" r:id="rId2"/>
    <sheet name="Pat_Tech" sheetId="12" r:id="rId3"/>
    <sheet name="Continuité" sheetId="1" r:id="rId4"/>
    <sheet name="Tension" sheetId="3" r:id="rId5"/>
    <sheet name="Invest" sheetId="25" r:id="rId6"/>
    <sheet name="Pat_fin" sheetId="11" r:id="rId7"/>
    <sheet name="CEX" sheetId="22" r:id="rId8"/>
    <sheet name="Clientèle" sheetId="19" r:id="rId9"/>
    <sheet name="Evolution" sheetId="14" r:id="rId10"/>
    <sheet name="Enfouissement" sheetId="16" r:id="rId11"/>
    <sheet name="Cohérence_inv" sheetId="21" r:id="rId12"/>
    <sheet name="Fin de contrat" sheetId="29" r:id="rId13"/>
    <sheet name="Maille benchmark" sheetId="28" r:id="rId14"/>
    <sheet name="D_Pat_Tech" sheetId="10" r:id="rId15"/>
    <sheet name="D_Inc" sheetId="7" r:id="rId16"/>
    <sheet name="D_Tens" sheetId="8" r:id="rId17"/>
    <sheet name="D_Pat_Fin" sheetId="9" r:id="rId18"/>
    <sheet name="D_evol" sheetId="13" r:id="rId19"/>
    <sheet name="D_enf" sheetId="15" r:id="rId20"/>
    <sheet name="D_client" sheetId="17" r:id="rId21"/>
    <sheet name="D_cohé" sheetId="20" r:id="rId22"/>
    <sheet name="D_CRAC" sheetId="23" r:id="rId23"/>
    <sheet name="D_cex" sheetId="24" r:id="rId24"/>
    <sheet name="D_synth" sheetId="27" r:id="rId25"/>
  </sheets>
  <definedNames>
    <definedName name="_xlnm._FilterDatabase" localSheetId="6" hidden="1">Pat_fin!$B$88:$H$99</definedName>
    <definedName name="annee_CRAC">in!$B$5</definedName>
    <definedName name="DonnéesExternes_1" localSheetId="23" hidden="1">D_cex!$B$4:$E$109</definedName>
    <definedName name="DonnéesExternes_1" localSheetId="20" hidden="1">D_client!$C$4:$H$9</definedName>
    <definedName name="DonnéesExternes_1" localSheetId="21" hidden="1">D_cohé!$C$4:$AH$5</definedName>
    <definedName name="DonnéesExternes_1" localSheetId="22" hidden="1">D_CRAC!$B$4:$H$2956</definedName>
    <definedName name="DonnéesExternes_1" localSheetId="18" hidden="1">D_evol!$B$4:$I$70</definedName>
    <definedName name="DonnéesExternes_1" localSheetId="17" hidden="1">D_Pat_Fin!$A$4:$M$11</definedName>
    <definedName name="DonnéesExternes_1" localSheetId="14" hidden="1">D_Pat_Tech!$A$4:$AB$5</definedName>
    <definedName name="DonnéesExternes_1" localSheetId="24" hidden="1">D_synth!$B$3:$AB$8</definedName>
    <definedName name="DonnéesExternes_1" localSheetId="16" hidden="1">D_Tens!$A$4:$G$9</definedName>
    <definedName name="DonnéesExternes_10" localSheetId="23" hidden="1">D_cex!$BR$4:$BU$39</definedName>
    <definedName name="DonnéesExternes_10" localSheetId="20" hidden="1">D_client!$CD$4:$CH$8</definedName>
    <definedName name="DonnéesExternes_10" localSheetId="15" hidden="1">D_Inc!$FS$4:$FX$9</definedName>
    <definedName name="DonnéesExternes_10" localSheetId="17" hidden="1">D_Pat_Fin!$DL$4:$EG$5</definedName>
    <definedName name="DonnéesExternes_10" localSheetId="14" hidden="1">D_Pat_Tech!$EM$4:$FD$9</definedName>
    <definedName name="DonnéesExternes_11" localSheetId="23" hidden="1">D_cex!$BY$4:$CA$9</definedName>
    <definedName name="DonnéesExternes_11" localSheetId="20" hidden="1">D_client!$CL$4:$CP$8</definedName>
    <definedName name="DonnéesExternes_11" localSheetId="15" hidden="1">D_Inc!$GD$4:$GG$9</definedName>
    <definedName name="DonnéesExternes_11" localSheetId="17" hidden="1">D_Pat_Fin!$EJ$4:$EN$9</definedName>
    <definedName name="DonnéesExternes_11" localSheetId="14" hidden="1">D_Pat_Tech!$FX$4:$GC$9</definedName>
    <definedName name="DonnéesExternes_12" localSheetId="23" hidden="1">D_cex!$CE$4:$CH$14</definedName>
    <definedName name="DonnéesExternes_12" localSheetId="20" hidden="1">D_client!$CT$4:$CW$31</definedName>
    <definedName name="DonnéesExternes_12" localSheetId="15" hidden="1">D_Inc!$GJ$4:$GO$9</definedName>
    <definedName name="DonnéesExternes_12" localSheetId="14" hidden="1">D_Pat_Tech!$GR$4:$GS$7</definedName>
    <definedName name="DonnéesExternes_13" localSheetId="20" hidden="1">D_client!$DA$4:$DD$46</definedName>
    <definedName name="DonnéesExternes_13" localSheetId="15" hidden="1">D_Inc!$GS$4:$HD$10</definedName>
    <definedName name="DonnéesExternes_13" localSheetId="17" hidden="1">D_Pat_Fin!$ER$4:$EW$54</definedName>
    <definedName name="DonnéesExternes_14" localSheetId="20" hidden="1">D_client!$DG$4:$DJ$8</definedName>
    <definedName name="DonnéesExternes_14" localSheetId="15" hidden="1">D_Inc!$HH$4:$HS$8</definedName>
    <definedName name="DonnéesExternes_14" localSheetId="17" hidden="1">D_Pat_Fin!$EZ$4:$FU$5</definedName>
    <definedName name="DonnéesExternes_14" localSheetId="14" hidden="1">D_Pat_Tech!$HE$4:$HP$9</definedName>
    <definedName name="DonnéesExternes_15" localSheetId="20" hidden="1">D_client!$DN$4:$DQ$9</definedName>
    <definedName name="DonnéesExternes_15" localSheetId="15" hidden="1">D_Inc!$A$4:$H$9</definedName>
    <definedName name="DonnéesExternes_15" localSheetId="17" hidden="1">D_Pat_Fin!$FX$4:$GC$9</definedName>
    <definedName name="DonnéesExternes_15" localSheetId="14" hidden="1">D_Pat_Tech!#REF!</definedName>
    <definedName name="DonnéesExternes_16" localSheetId="20" hidden="1">D_client!$DU$4:$EA$8</definedName>
    <definedName name="DonnéesExternes_16" localSheetId="15" hidden="1">D_Inc!$BN$4:$CM$5</definedName>
    <definedName name="DonnéesExternes_16" localSheetId="17" hidden="1">D_Pat_Fin!$GG$4:$GS$9</definedName>
    <definedName name="DonnéesExternes_17" localSheetId="20" hidden="1">D_client!$EE$4:$EI$7</definedName>
    <definedName name="DonnéesExternes_17" localSheetId="15" hidden="1">D_Inc!$HU$4:$HZ$9</definedName>
    <definedName name="DonnéesExternes_17" localSheetId="14" hidden="1">D_Pat_Tech!$IW$4:$JN$9</definedName>
    <definedName name="DonnéesExternes_18" localSheetId="20" hidden="1">D_client!$EM$4:$EP$9</definedName>
    <definedName name="DonnéesExternes_18" localSheetId="15" hidden="1">D_Inc!$IC$4:$IH$18</definedName>
    <definedName name="DonnéesExternes_18" localSheetId="14" hidden="1">D_Pat_Tech!$JS$4:$KJ$9</definedName>
    <definedName name="DonnéesExternes_19" localSheetId="20" hidden="1">D_client!$ET$4:$EW$6</definedName>
    <definedName name="DonnéesExternes_19" localSheetId="15" hidden="1">D_Inc!$IK$4:$IO$14</definedName>
    <definedName name="DonnéesExternes_2" localSheetId="23" hidden="1">D_cex!$I$4:$L$129</definedName>
    <definedName name="DonnéesExternes_2" localSheetId="20" hidden="1">D_client!$L$4:$Q$9</definedName>
    <definedName name="DonnéesExternes_2" localSheetId="21" hidden="1">D_cohé!$AL$4:$BK$5</definedName>
    <definedName name="DonnéesExternes_2" localSheetId="17" hidden="1">D_Pat_Fin!#REF!</definedName>
    <definedName name="DonnéesExternes_2" localSheetId="14" hidden="1">D_Pat_Tech!$AF$4:$AL$9</definedName>
    <definedName name="DonnéesExternes_2" localSheetId="16" hidden="1">D_Tens!$J$4:$N$9</definedName>
    <definedName name="DonnéesExternes_20" localSheetId="20" hidden="1">D_client!$FA$4:$FF$9</definedName>
    <definedName name="DonnéesExternes_20" localSheetId="15" hidden="1">D_Inc!$IQ$4:$IY$9</definedName>
    <definedName name="DonnéesExternes_20" localSheetId="14" hidden="1">D_Pat_Tech!$LR$4:$LU$9</definedName>
    <definedName name="DonnéesExternes_21" localSheetId="20" hidden="1">D_client!$FJ$4:$FO$9</definedName>
    <definedName name="DonnéesExternes_21" localSheetId="15" hidden="1">D_Inc!$JB$4:$JM$8</definedName>
    <definedName name="DonnéesExternes_21" localSheetId="14" hidden="1">D_Pat_Tech!$LX$4:$MH$9</definedName>
    <definedName name="DonnéesExternes_22" localSheetId="20" hidden="1">D_client!$FS$4:$FV$9</definedName>
    <definedName name="DonnéesExternes_22" localSheetId="15" hidden="1">D_Inc!$CO$4:$CZ$5</definedName>
    <definedName name="DonnéesExternes_22" localSheetId="14" hidden="1">D_Pat_Tech!$MM$4:$MS$19</definedName>
    <definedName name="DonnéesExternes_23" localSheetId="20" hidden="1">D_client!$FZ$4:$GC$19</definedName>
    <definedName name="DonnéesExternes_23" localSheetId="14" hidden="1">D_Pat_Tech!$MX$4:$NE$9</definedName>
    <definedName name="DonnéesExternes_24" localSheetId="15" hidden="1">D_Inc!$JQ$4:$JU$9</definedName>
    <definedName name="DonnéesExternes_24" localSheetId="14" hidden="1">D_Pat_Tech!$NJ$4:$OA$9</definedName>
    <definedName name="DonnéesExternes_25" localSheetId="20" hidden="1">D_client!$GN$4:$GQ$7</definedName>
    <definedName name="DonnéesExternes_25" localSheetId="15" hidden="1">D_Inc!$KE$4:$KH$5</definedName>
    <definedName name="DonnéesExternes_25" localSheetId="14" hidden="1">D_Pat_Tech!$PA$4:$PD$50</definedName>
    <definedName name="DonnéesExternes_26" localSheetId="20" hidden="1">D_client!$GU$4:$GZ$7</definedName>
    <definedName name="DonnéesExternes_26" localSheetId="15" hidden="1">D_Inc!$X$4:$AN$9</definedName>
    <definedName name="DonnéesExternes_26" localSheetId="14" hidden="1">D_Pat_Tech!$PI$4:$PO$9</definedName>
    <definedName name="DonnéesExternes_27" localSheetId="20" hidden="1">D_client!$HD$4:$HH$9</definedName>
    <definedName name="DonnéesExternes_27" localSheetId="14" hidden="1">D_Pat_Tech!$DQ$4:$EH$9</definedName>
    <definedName name="DonnéesExternes_28" localSheetId="20" hidden="1">D_client!$HL$4:$HO$19</definedName>
    <definedName name="DonnéesExternes_28" localSheetId="14" hidden="1">D_Pat_Tech!$FG$4:$FO$9</definedName>
    <definedName name="DonnéesExternes_29" localSheetId="20" hidden="1">D_client!$GG$4:$GJ$40</definedName>
    <definedName name="DonnéesExternes_29" localSheetId="14" hidden="1">D_Pat_Tech!$KM$4:$KT$9</definedName>
    <definedName name="DonnéesExternes_3" localSheetId="23" hidden="1">D_cex!$P$4:$W$9</definedName>
    <definedName name="DonnéesExternes_3" localSheetId="20" hidden="1">D_client!$U$4:$Z$9</definedName>
    <definedName name="DonnéesExternes_3" localSheetId="21" hidden="1">D_cohé!$BO$4:$CN$5</definedName>
    <definedName name="DonnéesExternes_3" localSheetId="19" hidden="1">D_enf!$C$4:$L$484</definedName>
    <definedName name="DonnéesExternes_3" localSheetId="18" hidden="1">D_evol!$Z$4:$AG$82</definedName>
    <definedName name="DonnéesExternes_3" localSheetId="15" hidden="1">D_Inc!$AQ$4:$BA$9</definedName>
    <definedName name="DonnéesExternes_3" localSheetId="17" hidden="1">D_Pat_Fin!$Q$4:$AC$9</definedName>
    <definedName name="DonnéesExternes_3" localSheetId="16" hidden="1">D_Tens!$Q$4:$Y$9</definedName>
    <definedName name="DonnéesExternes_30" localSheetId="20" hidden="1">D_client!$HQ$4:$HT$9</definedName>
    <definedName name="DonnéesExternes_30" localSheetId="14" hidden="1">D_Pat_Tech!$KV$4:$KZ$25</definedName>
    <definedName name="DonnéesExternes_31" localSheetId="14" hidden="1">D_Pat_Tech!$PY$4:$PY$7</definedName>
    <definedName name="DonnéesExternes_32" localSheetId="14" hidden="1">D_Pat_Tech!$BV$4:$BZ$9</definedName>
    <definedName name="DonnéesExternes_33" localSheetId="14" hidden="1">D_Pat_Tech!$HU$4:$IC$9</definedName>
    <definedName name="DonnéesExternes_34" localSheetId="14" hidden="1">D_Pat_Tech!$AV$4:$BG$9</definedName>
    <definedName name="DonnéesExternes_35" localSheetId="14" hidden="1">D_Pat_Tech!$IH$4:$IS$9</definedName>
    <definedName name="DonnéesExternes_36" localSheetId="14" hidden="1">D_Pat_Tech!$LE$4:$LK$9</definedName>
    <definedName name="DonnéesExternes_37" localSheetId="14" hidden="1">D_Pat_Tech!$QA$4:$QH$14</definedName>
    <definedName name="DonnéesExternes_38" localSheetId="14" hidden="1">D_Pat_Tech!$QK$4:$QW$14</definedName>
    <definedName name="DonnéesExternes_39" localSheetId="14" hidden="1">D_Pat_Tech!$RA$4:$RG$14</definedName>
    <definedName name="DonnéesExternes_4" localSheetId="23" hidden="1">D_cex!$AA$4:$AD$14</definedName>
    <definedName name="DonnéesExternes_4" localSheetId="20" hidden="1">D_client!$AD$4:$AI$9</definedName>
    <definedName name="DonnéesExternes_4" localSheetId="21" hidden="1">D_cohé!$CR$4:$CY$5</definedName>
    <definedName name="DonnéesExternes_4" localSheetId="19" hidden="1">D_enf!$N$4:$S$35</definedName>
    <definedName name="DonnéesExternes_4" localSheetId="15" hidden="1">D_Inc!$BC$4:$BL$9</definedName>
    <definedName name="DonnéesExternes_4" localSheetId="17" hidden="1">D_Pat_Fin!$AH$4:$AV$9</definedName>
    <definedName name="DonnéesExternes_4" localSheetId="14" hidden="1">D_Pat_Tech!$BL$4:$BQ$9</definedName>
    <definedName name="DonnéesExternes_4" localSheetId="16" hidden="1">D_Tens!$AB$4:$AH$9</definedName>
    <definedName name="DonnéesExternes_40" localSheetId="14" hidden="1">D_Pat_Tech!$RK$4:$RP$14</definedName>
    <definedName name="DonnéesExternes_41" localSheetId="14" hidden="1">D_Pat_Tech!$RT$4:$RX$14</definedName>
    <definedName name="DonnéesExternes_42" localSheetId="14" hidden="1">D_Pat_Tech!$SB$4:$SN$14</definedName>
    <definedName name="DonnéesExternes_43" localSheetId="14" hidden="1">D_Pat_Tech!$SR$4:$TA$14</definedName>
    <definedName name="DonnéesExternes_44" localSheetId="14" hidden="1">D_Pat_Tech!$TE$4:$TW$14</definedName>
    <definedName name="DonnéesExternes_45" localSheetId="14" hidden="1">D_Pat_Tech!$UA$4:$US$14</definedName>
    <definedName name="DonnéesExternes_46" localSheetId="14" hidden="1">D_Pat_Tech!$UW$4:$VC$14</definedName>
    <definedName name="DonnéesExternes_47" localSheetId="14" hidden="1">D_Pat_Tech!$VG$4:$VN$9</definedName>
    <definedName name="DonnéesExternes_48" localSheetId="14" hidden="1">D_Pat_Tech!$VR$4:$VZ$14</definedName>
    <definedName name="DonnéesExternes_49" localSheetId="14" hidden="1">D_Pat_Tech!$WD$4:$WJ$19</definedName>
    <definedName name="DonnéesExternes_5" localSheetId="23" hidden="1">D_cex!$AH$4:$AK$124</definedName>
    <definedName name="DonnéesExternes_5" localSheetId="20" hidden="1">D_client!$AM$4:$AR$9</definedName>
    <definedName name="DonnéesExternes_5" localSheetId="21" hidden="1">D_cohé!$DC$4:$DJ$5</definedName>
    <definedName name="DonnéesExternes_5" localSheetId="18" hidden="1">D_evol!$AV$4:$BB$81</definedName>
    <definedName name="DonnéesExternes_5" localSheetId="17" hidden="1">D_Pat_Fin!$BA$4:$BM$9</definedName>
    <definedName name="DonnéesExternes_5" localSheetId="16" hidden="1">D_Tens!$AK$4:$AR$9</definedName>
    <definedName name="DonnéesExternes_50" localSheetId="14" hidden="1">D_Pat_Tech!$WM$4:$WZ$9</definedName>
    <definedName name="DonnéesExternes_51" localSheetId="14" hidden="1">D_Pat_Tech!$XD$4:$XJ$82</definedName>
    <definedName name="DonnéesExternes_52" localSheetId="14" hidden="1">D_Pat_Tech!$YF$4:$YJ$58</definedName>
    <definedName name="DonnéesExternes_53" localSheetId="14" hidden="1">D_Pat_Tech!#REF!</definedName>
    <definedName name="DonnéesExternes_54" localSheetId="14" hidden="1">D_Pat_Tech!$ZI$4:$AAN$9</definedName>
    <definedName name="DonnéesExternes_55" localSheetId="14" hidden="1">D_Pat_Tech!$GK$4:$GQ$9</definedName>
    <definedName name="DonnéesExternes_56" localSheetId="14" hidden="1">D_Pat_Tech!$LC$4:$LN$9</definedName>
    <definedName name="DonnéesExternes_58" localSheetId="14" hidden="1">D_Pat_Tech!$OD$4:$OO$9</definedName>
    <definedName name="DonnéesExternes_59" localSheetId="14" hidden="1">D_Pat_Tech!$PR$4:$PX$9</definedName>
    <definedName name="DonnéesExternes_6" localSheetId="23" hidden="1">D_cex!$AO$4:$AR$124</definedName>
    <definedName name="DonnéesExternes_6" localSheetId="20" hidden="1">D_client!$AV$4:$BB$8</definedName>
    <definedName name="DonnéesExternes_6" localSheetId="21" hidden="1">D_cohé!$DN$4:$GQ$5</definedName>
    <definedName name="DonnéesExternes_6" localSheetId="18" hidden="1">D_evol!$BF$4:$BI$58</definedName>
    <definedName name="DonnéesExternes_6" localSheetId="17" hidden="1">D_Pat_Fin!$BQ$4:$CC$9</definedName>
    <definedName name="DonnéesExternes_6" localSheetId="14" hidden="1">D_Pat_Tech!$CH$4:$CK$9</definedName>
    <definedName name="DonnéesExternes_61" localSheetId="14" hidden="1">D_Pat_Tech!$YM$4:$YV$10</definedName>
    <definedName name="DonnéesExternes_62" localSheetId="14" hidden="1">D_Pat_Tech!$BL$4:$BR$9</definedName>
    <definedName name="DonnéesExternes_63" localSheetId="14" hidden="1">D_Pat_Tech!#REF!</definedName>
    <definedName name="DonnéesExternes_64" localSheetId="14" hidden="1">D_Pat_Tech!$DQ$4:$EI$9</definedName>
    <definedName name="DonnéesExternes_65" localSheetId="14" hidden="1">D_Pat_Tech!$FR$5:$FU$10</definedName>
    <definedName name="DonnéesExternes_66" localSheetId="14" hidden="1">D_Pat_Tech!$GV$4:$HA$9</definedName>
    <definedName name="DonnéesExternes_67" localSheetId="14" hidden="1">D_Pat_Tech!$CC$4:$CE$9</definedName>
    <definedName name="DonnéesExternes_68" localSheetId="14" hidden="1">D_Pat_Tech!$TE$4:$TX$14</definedName>
    <definedName name="DonnéesExternes_69" localSheetId="14" hidden="1">D_Pat_Tech!$AAQ$4:$AAX$6</definedName>
    <definedName name="DonnéesExternes_7" localSheetId="23" hidden="1">D_cex!$AV$4:$AY$9</definedName>
    <definedName name="DonnéesExternes_7" localSheetId="20" hidden="1">D_client!$BF$4:$BJ$8</definedName>
    <definedName name="DonnéesExternes_7" localSheetId="18" hidden="1">D_evol!$BM$4:$BQ$93</definedName>
    <definedName name="DonnéesExternes_7" localSheetId="15" hidden="1">D_Inc!$DC$4:$DP$9</definedName>
    <definedName name="DonnéesExternes_7" localSheetId="17" hidden="1">D_Pat_Fin!$CH$4:$CO$9</definedName>
    <definedName name="DonnéesExternes_7" localSheetId="14" hidden="1">D_Pat_Tech!$CP$4:$DA$9</definedName>
    <definedName name="DonnéesExternes_70" localSheetId="14" hidden="1">D_Pat_Tech!#REF!</definedName>
    <definedName name="DonnéesExternes_71" localSheetId="14" hidden="1">D_Pat_Tech!$OR$4:$OX$9</definedName>
    <definedName name="DonnéesExternes_72" localSheetId="14" hidden="1">D_Pat_Tech!$XS$4:$XW$14</definedName>
    <definedName name="DonnéesExternes_8" localSheetId="23" hidden="1">D_cex!$BC$4:$BG$154</definedName>
    <definedName name="DonnéesExternes_8" localSheetId="20" hidden="1">D_client!$BN$4:$BR$8</definedName>
    <definedName name="DonnéesExternes_8" localSheetId="18" hidden="1">D_evol!$AK$4:$AR$82</definedName>
    <definedName name="DonnéesExternes_8" localSheetId="15" hidden="1">D_Inc!$DT$4:$EG$9</definedName>
    <definedName name="DonnéesExternes_8" localSheetId="17" hidden="1">D_Pat_Fin!$CT$4:$CW$9</definedName>
    <definedName name="DonnéesExternes_8" localSheetId="14" hidden="1">D_Pat_Tech!$DF$4:$DN$9</definedName>
    <definedName name="DonnéesExternes_9" localSheetId="23" hidden="1">D_cex!$BK$4:$BN$39</definedName>
    <definedName name="DonnéesExternes_9" localSheetId="20" hidden="1">D_client!$BV$4:$BZ$8</definedName>
    <definedName name="DonnéesExternes_9" localSheetId="18" hidden="1">D_evol!$M$4:$T$70</definedName>
    <definedName name="DonnéesExternes_9" localSheetId="15" hidden="1">D_Inc!$EK$4:$EX$9</definedName>
    <definedName name="DonnéesExternes_9" localSheetId="17" hidden="1">D_Pat_Fin!$DB$4:$DG$8</definedName>
    <definedName name="ExternalData_1" localSheetId="15" hidden="1">D_Inc!$J$4:$U$8</definedName>
    <definedName name="ExternalData_1" localSheetId="14" hidden="1">D_Pat_Tech!$AAZ$4:$ABL$5</definedName>
    <definedName name="ExternalData_2" localSheetId="15" hidden="1">D_Inc!$EZ$4:$FJ$8</definedName>
    <definedName name="ExternalData_2" localSheetId="14" hidden="1">D_Pat_Tech!$GE$4:$GG$9</definedName>
    <definedName name="ExternalData_3" localSheetId="15" hidden="1">D_Inc!$FL$4:$FQ$8</definedName>
    <definedName name="ExternalData_3" localSheetId="14" hidden="1">D_Pat_Tech!$XL$4:$XQ$9</definedName>
    <definedName name="ExternalData_4" localSheetId="14" hidden="1">D_Pat_Tech!$XY$4:$YD$9</definedName>
    <definedName name="ExternalData_5" localSheetId="14" hidden="1">D_Pat_Tech!$AO$4:$AS$9</definedName>
    <definedName name="ExternalData_6" localSheetId="14" hidden="1">D_Pat_Tech!$YY$4:$ZG$70</definedName>
    <definedName name="syndicat_etude">in!$B$4</definedName>
  </definedNames>
  <calcPr calcId="191028" calcOnSave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c_02_nationale_22cee850-2fb7-455b-a712-8106b3a3d020" name="inc_02_nationale" connection="Requête - inc_02_nationale"/>
          <x15:modelTable id="inc_02_hix_f3b46153-cf03-4d45-910a-90beec66a897" name="inc_02_hix" connection="Requête - inc_02_hix"/>
          <x15:modelTable id="pat_tech_poste_07_8a55b875-8b76-483d-ae47-33db5e548db8" name="pat_tech_poste_07" connection="Requête - pat_tech_poste_07"/>
          <x15:modelTable id="pat_tech_transfo_07_1aaa06f9-c3a7-47d0-99f0-025a73e4de57" name="pat_tech_transfo_07" connection="Requête - pat_tech_transfo_07"/>
          <x15:modelTable id="pat_tech_hta_03_b6aad024-e370-4f56-8d22-af559b28af8e" name="pat_tech_hta_03" connection="Requête - pat_tech_hta_0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" i="15" l="1" a="1"/>
  <c r="Y5" i="15" s="1"/>
  <c r="U5" i="15" a="1"/>
  <c r="U5" i="15" s="1"/>
  <c r="L38" i="21" a="1"/>
  <c r="L38" i="21" s="1"/>
  <c r="K38" i="21" a="1"/>
  <c r="K38" i="21" s="1"/>
  <c r="J38" i="21" a="1"/>
  <c r="J38" i="21" s="1"/>
  <c r="I38" i="21" a="1"/>
  <c r="I38" i="21" s="1"/>
  <c r="H38" i="21" a="1"/>
  <c r="H38" i="21" s="1"/>
  <c r="G38" i="21" a="1"/>
  <c r="G38" i="21" s="1"/>
  <c r="F38" i="21" a="1"/>
  <c r="F38" i="21" s="1"/>
  <c r="E38" i="21" a="1"/>
  <c r="E38" i="21" s="1"/>
  <c r="D38" i="21" a="1"/>
  <c r="D38" i="21" s="1"/>
  <c r="C38" i="21" a="1"/>
  <c r="C38" i="21" s="1"/>
  <c r="L37" i="21" a="1"/>
  <c r="L37" i="21" s="1"/>
  <c r="K37" i="21" a="1"/>
  <c r="K37" i="21" s="1"/>
  <c r="J37" i="21" a="1"/>
  <c r="J37" i="21" s="1"/>
  <c r="I37" i="21" a="1"/>
  <c r="I37" i="21" s="1"/>
  <c r="H37" i="21" a="1"/>
  <c r="H37" i="21" s="1"/>
  <c r="G37" i="21" a="1"/>
  <c r="G37" i="21" s="1"/>
  <c r="F37" i="21" a="1"/>
  <c r="F37" i="21" s="1"/>
  <c r="E37" i="21" a="1"/>
  <c r="E37" i="21" s="1"/>
  <c r="D37" i="21" a="1"/>
  <c r="D37" i="21" s="1"/>
  <c r="C37" i="21" a="1"/>
  <c r="C37" i="21" s="1"/>
  <c r="L36" i="21" a="1"/>
  <c r="L36" i="21" s="1"/>
  <c r="K36" i="21" a="1"/>
  <c r="K36" i="21" s="1"/>
  <c r="J36" i="21" a="1"/>
  <c r="J36" i="21" s="1"/>
  <c r="I36" i="21" a="1"/>
  <c r="I36" i="21" s="1"/>
  <c r="H36" i="21" a="1"/>
  <c r="H36" i="21" s="1"/>
  <c r="G36" i="21" a="1"/>
  <c r="G36" i="21" s="1"/>
  <c r="F36" i="21" a="1"/>
  <c r="F36" i="21" s="1"/>
  <c r="E36" i="21" a="1"/>
  <c r="E36" i="21" s="1"/>
  <c r="D36" i="21" a="1"/>
  <c r="D36" i="21" s="1"/>
  <c r="C36" i="21" a="1"/>
  <c r="C36" i="21" s="1"/>
  <c r="L35" i="21" a="1"/>
  <c r="L35" i="21" s="1"/>
  <c r="K35" i="21" a="1"/>
  <c r="K35" i="21" s="1"/>
  <c r="J35" i="21" a="1"/>
  <c r="J35" i="21" s="1"/>
  <c r="I35" i="21" a="1"/>
  <c r="I35" i="21" s="1"/>
  <c r="H35" i="21" a="1"/>
  <c r="H35" i="21" s="1"/>
  <c r="G35" i="21" a="1"/>
  <c r="G35" i="21" s="1"/>
  <c r="F35" i="21" a="1"/>
  <c r="F35" i="21" s="1"/>
  <c r="E35" i="21" a="1"/>
  <c r="E35" i="21" s="1"/>
  <c r="D35" i="21" a="1"/>
  <c r="D35" i="21" s="1"/>
  <c r="C35" i="21" a="1"/>
  <c r="C35" i="21" s="1"/>
  <c r="L34" i="21" a="1"/>
  <c r="L34" i="21" s="1"/>
  <c r="K34" i="21" a="1"/>
  <c r="K34" i="21" s="1"/>
  <c r="J34" i="21" a="1"/>
  <c r="J34" i="21" s="1"/>
  <c r="I34" i="21" a="1"/>
  <c r="I34" i="21" s="1"/>
  <c r="H34" i="21" a="1"/>
  <c r="H34" i="21" s="1"/>
  <c r="G34" i="21" a="1"/>
  <c r="G34" i="21" s="1"/>
  <c r="F34" i="21" a="1"/>
  <c r="F34" i="21" s="1"/>
  <c r="E34" i="21" a="1"/>
  <c r="E34" i="21" s="1"/>
  <c r="D34" i="21" a="1"/>
  <c r="D34" i="21" s="1"/>
  <c r="C34" i="21" a="1"/>
  <c r="C34" i="21" s="1"/>
  <c r="L33" i="21" a="1"/>
  <c r="L33" i="21" s="1"/>
  <c r="K33" i="21" a="1"/>
  <c r="K33" i="21" s="1"/>
  <c r="J33" i="21" a="1"/>
  <c r="J33" i="21" s="1"/>
  <c r="I33" i="21" a="1"/>
  <c r="I33" i="21" s="1"/>
  <c r="H33" i="21" a="1"/>
  <c r="H33" i="21" s="1"/>
  <c r="G33" i="21" a="1"/>
  <c r="G33" i="21" s="1"/>
  <c r="F33" i="21" a="1"/>
  <c r="F33" i="21" s="1"/>
  <c r="E33" i="21" a="1"/>
  <c r="E33" i="21" s="1"/>
  <c r="D33" i="21" a="1"/>
  <c r="D33" i="21" s="1"/>
  <c r="C33" i="21" a="1"/>
  <c r="C33" i="21" s="1"/>
  <c r="L32" i="21" a="1"/>
  <c r="L32" i="21" s="1"/>
  <c r="K32" i="21" a="1"/>
  <c r="K32" i="21" s="1"/>
  <c r="J32" i="21" a="1"/>
  <c r="J32" i="21" s="1"/>
  <c r="I32" i="21" a="1"/>
  <c r="I32" i="21" s="1"/>
  <c r="H32" i="21" a="1"/>
  <c r="H32" i="21" s="1"/>
  <c r="G32" i="21" a="1"/>
  <c r="G32" i="21" s="1"/>
  <c r="F32" i="21" a="1"/>
  <c r="F32" i="21" s="1"/>
  <c r="E32" i="21" a="1"/>
  <c r="E32" i="21" s="1"/>
  <c r="D32" i="21" a="1"/>
  <c r="D32" i="21" s="1"/>
  <c r="C32" i="21" a="1"/>
  <c r="C32" i="21" s="1"/>
  <c r="L31" i="21" a="1"/>
  <c r="L31" i="21" s="1"/>
  <c r="K31" i="21" a="1"/>
  <c r="K31" i="21" s="1"/>
  <c r="J31" i="21" a="1"/>
  <c r="J31" i="21" s="1"/>
  <c r="I31" i="21" a="1"/>
  <c r="I31" i="21" s="1"/>
  <c r="H31" i="21" a="1"/>
  <c r="H31" i="21" s="1"/>
  <c r="G31" i="21" a="1"/>
  <c r="G31" i="21" s="1"/>
  <c r="F31" i="21" a="1"/>
  <c r="F31" i="21" s="1"/>
  <c r="E31" i="21" a="1"/>
  <c r="E31" i="21" s="1"/>
  <c r="D31" i="21" a="1"/>
  <c r="D31" i="21" s="1"/>
  <c r="C31" i="21" a="1"/>
  <c r="C31" i="21" s="1"/>
  <c r="H26" i="21" a="1"/>
  <c r="H26" i="21" s="1"/>
  <c r="H788" i="12" s="1"/>
  <c r="G26" i="21" a="1"/>
  <c r="G26" i="21" s="1"/>
  <c r="G788" i="12" s="1"/>
  <c r="F26" i="21" a="1"/>
  <c r="F26" i="21" s="1"/>
  <c r="F788" i="12" s="1"/>
  <c r="E26" i="21" a="1"/>
  <c r="E26" i="21" s="1"/>
  <c r="E788" i="12" s="1"/>
  <c r="D26" i="21" a="1"/>
  <c r="D26" i="21" s="1"/>
  <c r="D788" i="12" s="1"/>
  <c r="C26" i="21" a="1"/>
  <c r="C26" i="21" s="1"/>
  <c r="C788" i="12" s="1"/>
  <c r="H22" i="21" a="1"/>
  <c r="H22" i="21" s="1"/>
  <c r="H784" i="12" s="1"/>
  <c r="G22" i="21" a="1"/>
  <c r="G22" i="21" s="1"/>
  <c r="G784" i="12" s="1"/>
  <c r="F22" i="21" a="1"/>
  <c r="F22" i="21" s="1"/>
  <c r="F784" i="12" s="1"/>
  <c r="E22" i="21" a="1"/>
  <c r="E22" i="21" s="1"/>
  <c r="E784" i="12" s="1"/>
  <c r="D22" i="21" a="1"/>
  <c r="D22" i="21" s="1"/>
  <c r="D784" i="12" s="1"/>
  <c r="C22" i="21" a="1"/>
  <c r="C22" i="21" s="1"/>
  <c r="C784" i="12" s="1"/>
  <c r="H21" i="21" a="1"/>
  <c r="H21" i="21" s="1"/>
  <c r="H783" i="12" s="1"/>
  <c r="G21" i="21" a="1"/>
  <c r="G21" i="21" s="1"/>
  <c r="G783" i="12" s="1"/>
  <c r="F21" i="21" a="1"/>
  <c r="F21" i="21" s="1"/>
  <c r="F783" i="12" s="1"/>
  <c r="E21" i="21" a="1"/>
  <c r="E21" i="21" s="1"/>
  <c r="E783" i="12" s="1"/>
  <c r="D21" i="21" a="1"/>
  <c r="D21" i="21" s="1"/>
  <c r="D783" i="12" s="1"/>
  <c r="C21" i="21" a="1"/>
  <c r="C21" i="21" s="1"/>
  <c r="C783" i="12" s="1"/>
  <c r="H20" i="21" a="1"/>
  <c r="H20" i="21" s="1"/>
  <c r="H782" i="12" s="1"/>
  <c r="G20" i="21" a="1"/>
  <c r="G20" i="21" s="1"/>
  <c r="G782" i="12" s="1"/>
  <c r="F20" i="21" a="1"/>
  <c r="F20" i="21" s="1"/>
  <c r="F782" i="12" s="1"/>
  <c r="E20" i="21" a="1"/>
  <c r="E20" i="21" s="1"/>
  <c r="E782" i="12" s="1"/>
  <c r="D20" i="21" a="1"/>
  <c r="D20" i="21" s="1"/>
  <c r="D782" i="12" s="1"/>
  <c r="C20" i="21" a="1"/>
  <c r="C20" i="21" s="1"/>
  <c r="C782" i="12" s="1"/>
  <c r="H19" i="21" a="1"/>
  <c r="H19" i="21" s="1"/>
  <c r="H781" i="12" s="1"/>
  <c r="G19" i="21" a="1"/>
  <c r="G19" i="21" s="1"/>
  <c r="G781" i="12" s="1"/>
  <c r="F19" i="21" a="1"/>
  <c r="F19" i="21" s="1"/>
  <c r="F781" i="12" s="1"/>
  <c r="E19" i="21" a="1"/>
  <c r="E19" i="21" s="1"/>
  <c r="E781" i="12" s="1"/>
  <c r="D19" i="21" a="1"/>
  <c r="D19" i="21" s="1"/>
  <c r="D781" i="12" s="1"/>
  <c r="C19" i="21" a="1"/>
  <c r="C19" i="21" s="1"/>
  <c r="C781" i="12" s="1"/>
  <c r="H15" i="21" a="1"/>
  <c r="H15" i="21" s="1"/>
  <c r="H777" i="12" s="1"/>
  <c r="G15" i="21" a="1"/>
  <c r="G15" i="21" s="1"/>
  <c r="G777" i="12" s="1"/>
  <c r="F15" i="21" a="1"/>
  <c r="F15" i="21" s="1"/>
  <c r="F777" i="12" s="1"/>
  <c r="E15" i="21" a="1"/>
  <c r="E15" i="21" s="1"/>
  <c r="E777" i="12" s="1"/>
  <c r="D15" i="21" a="1"/>
  <c r="D15" i="21" s="1"/>
  <c r="D777" i="12" s="1"/>
  <c r="C15" i="21" a="1"/>
  <c r="C15" i="21" s="1"/>
  <c r="C777" i="12" s="1"/>
  <c r="H14" i="21" a="1"/>
  <c r="H14" i="21" s="1"/>
  <c r="H776" i="12" s="1"/>
  <c r="G14" i="21" a="1"/>
  <c r="G14" i="21" s="1"/>
  <c r="G776" i="12" s="1"/>
  <c r="F14" i="21" a="1"/>
  <c r="F14" i="21" s="1"/>
  <c r="F776" i="12" s="1"/>
  <c r="E14" i="21" a="1"/>
  <c r="E14" i="21" s="1"/>
  <c r="E776" i="12" s="1"/>
  <c r="D14" i="21" a="1"/>
  <c r="D14" i="21" s="1"/>
  <c r="D776" i="12" s="1"/>
  <c r="C14" i="21" a="1"/>
  <c r="C14" i="21" s="1"/>
  <c r="C776" i="12" s="1"/>
  <c r="H13" i="21" a="1"/>
  <c r="H13" i="21" s="1"/>
  <c r="H775" i="12" s="1"/>
  <c r="G13" i="21" a="1"/>
  <c r="G13" i="21" s="1"/>
  <c r="G775" i="12" s="1"/>
  <c r="F13" i="21" a="1"/>
  <c r="F13" i="21" s="1"/>
  <c r="F775" i="12" s="1"/>
  <c r="E13" i="21" a="1"/>
  <c r="E13" i="21" s="1"/>
  <c r="E775" i="12" s="1"/>
  <c r="D13" i="21" a="1"/>
  <c r="D13" i="21" s="1"/>
  <c r="D775" i="12" s="1"/>
  <c r="C13" i="21" a="1"/>
  <c r="C13" i="21" s="1"/>
  <c r="C775" i="12" s="1"/>
  <c r="H12" i="21" a="1"/>
  <c r="H12" i="21" s="1"/>
  <c r="H774" i="12" s="1"/>
  <c r="G12" i="21" a="1"/>
  <c r="G12" i="21" s="1"/>
  <c r="G774" i="12" s="1"/>
  <c r="F12" i="21" a="1"/>
  <c r="F12" i="21" s="1"/>
  <c r="F774" i="12" s="1"/>
  <c r="E12" i="21" a="1"/>
  <c r="E12" i="21" s="1"/>
  <c r="E774" i="12" s="1"/>
  <c r="D12" i="21" a="1"/>
  <c r="D12" i="21" s="1"/>
  <c r="D774" i="12" s="1"/>
  <c r="C12" i="21" a="1"/>
  <c r="C12" i="21" s="1"/>
  <c r="C774" i="12" s="1"/>
  <c r="H8" i="21" a="1"/>
  <c r="H8" i="21" s="1"/>
  <c r="G8" i="21" a="1"/>
  <c r="G8" i="21" s="1"/>
  <c r="F8" i="21" a="1"/>
  <c r="F8" i="21" s="1"/>
  <c r="E8" i="21" a="1"/>
  <c r="E8" i="21" s="1"/>
  <c r="D8" i="21" a="1"/>
  <c r="D8" i="21" s="1"/>
  <c r="C8" i="21" a="1"/>
  <c r="C8" i="21" s="1"/>
  <c r="H7" i="21" a="1"/>
  <c r="H7" i="21" s="1"/>
  <c r="G7" i="21" a="1"/>
  <c r="G7" i="21" s="1"/>
  <c r="F7" i="21" a="1"/>
  <c r="F7" i="21" s="1"/>
  <c r="E7" i="21" a="1"/>
  <c r="E7" i="21" s="1"/>
  <c r="D7" i="21" a="1"/>
  <c r="D7" i="21" s="1"/>
  <c r="C7" i="21" a="1"/>
  <c r="C7" i="21" s="1"/>
  <c r="H6" i="21" a="1"/>
  <c r="H6" i="21" s="1"/>
  <c r="G6" i="21" a="1"/>
  <c r="G6" i="21" s="1"/>
  <c r="F6" i="21" a="1"/>
  <c r="F6" i="21" s="1"/>
  <c r="E6" i="21" a="1"/>
  <c r="E6" i="21" s="1"/>
  <c r="D6" i="21" a="1"/>
  <c r="D6" i="21" s="1"/>
  <c r="C6" i="21" a="1"/>
  <c r="C6" i="21" s="1"/>
  <c r="D43" i="16" a="1"/>
  <c r="D43" i="16" s="1"/>
  <c r="C43" i="16" a="1"/>
  <c r="C43" i="16" s="1"/>
  <c r="D42" i="16" a="1"/>
  <c r="D42" i="16" s="1"/>
  <c r="C42" i="16" a="1"/>
  <c r="C42" i="16" s="1"/>
  <c r="D41" i="16" a="1"/>
  <c r="D41" i="16" s="1"/>
  <c r="C41" i="16" a="1"/>
  <c r="C41" i="16" s="1"/>
  <c r="D40" i="16" a="1"/>
  <c r="D40" i="16" s="1"/>
  <c r="C40" i="16" a="1"/>
  <c r="C40" i="16" s="1"/>
  <c r="D39" i="16" a="1"/>
  <c r="D39" i="16" s="1"/>
  <c r="C39" i="16" a="1"/>
  <c r="C39" i="16" s="1"/>
  <c r="D38" i="16" a="1"/>
  <c r="D38" i="16" s="1"/>
  <c r="C38" i="16" a="1"/>
  <c r="C38" i="16" s="1"/>
  <c r="O15" i="16" a="1"/>
  <c r="O15" i="16" s="1"/>
  <c r="N15" i="16" a="1"/>
  <c r="N15" i="16" s="1"/>
  <c r="M15" i="16" a="1"/>
  <c r="M15" i="16" s="1"/>
  <c r="L15" i="16" a="1"/>
  <c r="L15" i="16" s="1"/>
  <c r="K15" i="16" a="1"/>
  <c r="K15" i="16" s="1"/>
  <c r="J15" i="16" a="1"/>
  <c r="J15" i="16" s="1"/>
  <c r="I15" i="16" a="1"/>
  <c r="I15" i="16" s="1"/>
  <c r="H15" i="16" a="1"/>
  <c r="H15" i="16" s="1"/>
  <c r="G15" i="16" a="1"/>
  <c r="G15" i="16" s="1"/>
  <c r="F15" i="16" a="1"/>
  <c r="F15" i="16" s="1"/>
  <c r="E15" i="16" a="1"/>
  <c r="E15" i="16" s="1"/>
  <c r="D15" i="16" a="1"/>
  <c r="D15" i="16" s="1"/>
  <c r="C15" i="16" a="1"/>
  <c r="C15" i="16" s="1"/>
  <c r="O14" i="16" a="1"/>
  <c r="O14" i="16" s="1"/>
  <c r="N14" i="16" a="1"/>
  <c r="N14" i="16" s="1"/>
  <c r="M14" i="16" a="1"/>
  <c r="M14" i="16" s="1"/>
  <c r="L14" i="16" a="1"/>
  <c r="L14" i="16" s="1"/>
  <c r="K14" i="16" a="1"/>
  <c r="K14" i="16" s="1"/>
  <c r="J14" i="16" a="1"/>
  <c r="J14" i="16" s="1"/>
  <c r="I14" i="16" a="1"/>
  <c r="I14" i="16" s="1"/>
  <c r="H14" i="16" a="1"/>
  <c r="H14" i="16" s="1"/>
  <c r="G14" i="16" a="1"/>
  <c r="G14" i="16" s="1"/>
  <c r="F14" i="16" a="1"/>
  <c r="F14" i="16" s="1"/>
  <c r="E14" i="16" a="1"/>
  <c r="E14" i="16" s="1"/>
  <c r="D14" i="16" a="1"/>
  <c r="D14" i="16" s="1"/>
  <c r="C14" i="16" a="1"/>
  <c r="C14" i="16" s="1"/>
  <c r="O13" i="16" a="1"/>
  <c r="O13" i="16" s="1"/>
  <c r="N13" i="16" a="1"/>
  <c r="N13" i="16" s="1"/>
  <c r="M13" i="16" a="1"/>
  <c r="M13" i="16" s="1"/>
  <c r="L13" i="16" a="1"/>
  <c r="L13" i="16" s="1"/>
  <c r="K13" i="16" a="1"/>
  <c r="K13" i="16" s="1"/>
  <c r="J13" i="16" a="1"/>
  <c r="J13" i="16" s="1"/>
  <c r="I13" i="16" a="1"/>
  <c r="I13" i="16" s="1"/>
  <c r="H13" i="16" a="1"/>
  <c r="H13" i="16" s="1"/>
  <c r="G13" i="16" a="1"/>
  <c r="G13" i="16" s="1"/>
  <c r="F13" i="16" a="1"/>
  <c r="F13" i="16" s="1"/>
  <c r="E13" i="16" a="1"/>
  <c r="E13" i="16" s="1"/>
  <c r="D13" i="16" a="1"/>
  <c r="D13" i="16" s="1"/>
  <c r="C13" i="16" a="1"/>
  <c r="C13" i="16" s="1"/>
  <c r="O9" i="16" a="1"/>
  <c r="O9" i="16" s="1"/>
  <c r="N9" i="16" a="1"/>
  <c r="N9" i="16" s="1"/>
  <c r="M9" i="16" a="1"/>
  <c r="M9" i="16" s="1"/>
  <c r="L9" i="16" a="1"/>
  <c r="L9" i="16" s="1"/>
  <c r="K9" i="16" a="1"/>
  <c r="K9" i="16" s="1"/>
  <c r="J9" i="16" a="1"/>
  <c r="J9" i="16" s="1"/>
  <c r="I9" i="16" a="1"/>
  <c r="I9" i="16" s="1"/>
  <c r="H9" i="16" a="1"/>
  <c r="H9" i="16" s="1"/>
  <c r="G9" i="16" a="1"/>
  <c r="G9" i="16" s="1"/>
  <c r="F9" i="16" a="1"/>
  <c r="F9" i="16" s="1"/>
  <c r="E9" i="16" a="1"/>
  <c r="E9" i="16" s="1"/>
  <c r="D9" i="16" a="1"/>
  <c r="D9" i="16" s="1"/>
  <c r="C9" i="16" a="1"/>
  <c r="C9" i="16" s="1"/>
  <c r="O8" i="16" a="1"/>
  <c r="O8" i="16" s="1"/>
  <c r="N8" i="16" a="1"/>
  <c r="N8" i="16" s="1"/>
  <c r="M8" i="16" a="1"/>
  <c r="M8" i="16" s="1"/>
  <c r="L8" i="16" a="1"/>
  <c r="L8" i="16" s="1"/>
  <c r="K8" i="16" a="1"/>
  <c r="K8" i="16" s="1"/>
  <c r="J8" i="16" a="1"/>
  <c r="J8" i="16" s="1"/>
  <c r="I8" i="16" a="1"/>
  <c r="I8" i="16" s="1"/>
  <c r="H8" i="16" a="1"/>
  <c r="H8" i="16" s="1"/>
  <c r="G8" i="16" a="1"/>
  <c r="G8" i="16" s="1"/>
  <c r="F8" i="16" a="1"/>
  <c r="F8" i="16" s="1"/>
  <c r="E8" i="16" a="1"/>
  <c r="E8" i="16" s="1"/>
  <c r="D8" i="16" a="1"/>
  <c r="D8" i="16" s="1"/>
  <c r="C8" i="16" a="1"/>
  <c r="C8" i="16" s="1"/>
  <c r="O7" i="16" a="1"/>
  <c r="O7" i="16" s="1"/>
  <c r="N7" i="16" a="1"/>
  <c r="N7" i="16" s="1"/>
  <c r="M7" i="16" a="1"/>
  <c r="M7" i="16" s="1"/>
  <c r="L7" i="16" a="1"/>
  <c r="L7" i="16" s="1"/>
  <c r="K7" i="16" a="1"/>
  <c r="K7" i="16" s="1"/>
  <c r="J7" i="16" a="1"/>
  <c r="J7" i="16" s="1"/>
  <c r="I7" i="16" a="1"/>
  <c r="I7" i="16" s="1"/>
  <c r="H7" i="16" a="1"/>
  <c r="H7" i="16" s="1"/>
  <c r="G7" i="16" a="1"/>
  <c r="G7" i="16" s="1"/>
  <c r="F7" i="16" a="1"/>
  <c r="F7" i="16" s="1"/>
  <c r="E7" i="16" a="1"/>
  <c r="E7" i="16" s="1"/>
  <c r="D7" i="16" a="1"/>
  <c r="D7" i="16" s="1"/>
  <c r="C7" i="16" a="1"/>
  <c r="C7" i="16" s="1"/>
  <c r="C4" i="16"/>
  <c r="L12" i="16" s="1" a="1"/>
  <c r="L12" i="16" s="1"/>
  <c r="CC146" i="14" a="1"/>
  <c r="CC146" i="14" s="1"/>
  <c r="CB146" i="14" a="1"/>
  <c r="CB146" i="14" s="1"/>
  <c r="CA146" i="14" a="1"/>
  <c r="CA146" i="14" s="1"/>
  <c r="BZ146" i="14" a="1"/>
  <c r="BZ146" i="14" s="1"/>
  <c r="BY146" i="14" a="1"/>
  <c r="BY146" i="14" s="1"/>
  <c r="BX146" i="14" a="1"/>
  <c r="BX146" i="14" s="1"/>
  <c r="BW146" i="14" a="1"/>
  <c r="BW146" i="14" s="1"/>
  <c r="BV146" i="14" a="1"/>
  <c r="BV146" i="14" s="1"/>
  <c r="BU146" i="14" a="1"/>
  <c r="BU146" i="14" s="1"/>
  <c r="BT146" i="14" a="1"/>
  <c r="BT146" i="14" s="1"/>
  <c r="BS146" i="14" a="1"/>
  <c r="BS146" i="14" s="1"/>
  <c r="BR146" i="14" a="1"/>
  <c r="BR146" i="14" s="1"/>
  <c r="BQ146" i="14" a="1"/>
  <c r="BQ146" i="14" s="1"/>
  <c r="BP146" i="14" a="1"/>
  <c r="BP146" i="14" s="1"/>
  <c r="BO146" i="14" a="1"/>
  <c r="BO146" i="14" s="1"/>
  <c r="BN146" i="14" a="1"/>
  <c r="BN146" i="14" s="1"/>
  <c r="BM146" i="14" a="1"/>
  <c r="BM146" i="14" s="1"/>
  <c r="BL146" i="14" a="1"/>
  <c r="BL146" i="14" s="1"/>
  <c r="BK146" i="14" a="1"/>
  <c r="BK146" i="14" s="1"/>
  <c r="BJ146" i="14" a="1"/>
  <c r="BJ146" i="14" s="1"/>
  <c r="BI146" i="14" a="1"/>
  <c r="BI146" i="14" s="1"/>
  <c r="BH146" i="14" a="1"/>
  <c r="BH146" i="14" s="1"/>
  <c r="BG146" i="14" a="1"/>
  <c r="BG146" i="14" s="1"/>
  <c r="BF146" i="14" a="1"/>
  <c r="BF146" i="14" s="1"/>
  <c r="BE146" i="14" a="1"/>
  <c r="BE146" i="14" s="1"/>
  <c r="BD146" i="14" a="1"/>
  <c r="BD146" i="14" s="1"/>
  <c r="BC146" i="14" a="1"/>
  <c r="BC146" i="14" s="1"/>
  <c r="BB146" i="14" a="1"/>
  <c r="BB146" i="14" s="1"/>
  <c r="BA146" i="14" a="1"/>
  <c r="BA146" i="14" s="1"/>
  <c r="AZ146" i="14" a="1"/>
  <c r="AZ146" i="14" s="1"/>
  <c r="AY146" i="14" a="1"/>
  <c r="AY146" i="14" s="1"/>
  <c r="AX146" i="14" a="1"/>
  <c r="AX146" i="14" s="1"/>
  <c r="AW146" i="14" a="1"/>
  <c r="AW146" i="14" s="1"/>
  <c r="AV146" i="14" a="1"/>
  <c r="AV146" i="14" s="1"/>
  <c r="AU146" i="14" a="1"/>
  <c r="AU146" i="14" s="1"/>
  <c r="AT146" i="14" a="1"/>
  <c r="AT146" i="14" s="1"/>
  <c r="AS146" i="14" a="1"/>
  <c r="AS146" i="14" s="1"/>
  <c r="AR146" i="14" a="1"/>
  <c r="AR146" i="14" s="1"/>
  <c r="AQ146" i="14" a="1"/>
  <c r="AQ146" i="14" s="1"/>
  <c r="AP146" i="14" a="1"/>
  <c r="AP146" i="14" s="1"/>
  <c r="AO146" i="14" a="1"/>
  <c r="AO146" i="14" s="1"/>
  <c r="AN146" i="14" a="1"/>
  <c r="AN146" i="14" s="1"/>
  <c r="AM146" i="14" a="1"/>
  <c r="AM146" i="14" s="1"/>
  <c r="AL146" i="14" a="1"/>
  <c r="AL146" i="14" s="1"/>
  <c r="AK146" i="14" a="1"/>
  <c r="AK146" i="14" s="1"/>
  <c r="AJ146" i="14" a="1"/>
  <c r="AJ146" i="14" s="1"/>
  <c r="AI146" i="14" a="1"/>
  <c r="AI146" i="14" s="1"/>
  <c r="AH146" i="14" a="1"/>
  <c r="AH146" i="14" s="1"/>
  <c r="AG146" i="14" a="1"/>
  <c r="AG146" i="14" s="1"/>
  <c r="AF146" i="14" a="1"/>
  <c r="AF146" i="14" s="1"/>
  <c r="AE146" i="14" a="1"/>
  <c r="AE146" i="14" s="1"/>
  <c r="AD146" i="14" a="1"/>
  <c r="AD146" i="14" s="1"/>
  <c r="AC146" i="14" a="1"/>
  <c r="AC146" i="14" s="1"/>
  <c r="AB146" i="14" a="1"/>
  <c r="AB146" i="14" s="1"/>
  <c r="AA146" i="14" a="1"/>
  <c r="AA146" i="14" s="1"/>
  <c r="Z146" i="14" a="1"/>
  <c r="Z146" i="14" s="1"/>
  <c r="Y146" i="14" a="1"/>
  <c r="Y146" i="14" s="1"/>
  <c r="X146" i="14" a="1"/>
  <c r="X146" i="14" s="1"/>
  <c r="W146" i="14" a="1"/>
  <c r="W146" i="14" s="1"/>
  <c r="V146" i="14" a="1"/>
  <c r="V146" i="14" s="1"/>
  <c r="U146" i="14" a="1"/>
  <c r="U146" i="14" s="1"/>
  <c r="T146" i="14" a="1"/>
  <c r="T146" i="14" s="1"/>
  <c r="S146" i="14" a="1"/>
  <c r="S146" i="14" s="1"/>
  <c r="R146" i="14" a="1"/>
  <c r="R146" i="14" s="1"/>
  <c r="Q146" i="14" a="1"/>
  <c r="Q146" i="14" s="1"/>
  <c r="P146" i="14" a="1"/>
  <c r="P146" i="14" s="1"/>
  <c r="O146" i="14" a="1"/>
  <c r="O146" i="14" s="1"/>
  <c r="N146" i="14" a="1"/>
  <c r="N146" i="14" s="1"/>
  <c r="M146" i="14" a="1"/>
  <c r="M146" i="14" s="1"/>
  <c r="L146" i="14" a="1"/>
  <c r="L146" i="14" s="1"/>
  <c r="K146" i="14" a="1"/>
  <c r="K146" i="14" s="1"/>
  <c r="J146" i="14" a="1"/>
  <c r="J146" i="14" s="1"/>
  <c r="I146" i="14" a="1"/>
  <c r="I146" i="14" s="1"/>
  <c r="H146" i="14" a="1"/>
  <c r="H146" i="14" s="1"/>
  <c r="G146" i="14" a="1"/>
  <c r="G146" i="14" s="1"/>
  <c r="F146" i="14" a="1"/>
  <c r="F146" i="14" s="1"/>
  <c r="E146" i="14" a="1"/>
  <c r="E146" i="14" s="1"/>
  <c r="D146" i="14" a="1"/>
  <c r="D146" i="14" s="1"/>
  <c r="C146" i="14" a="1"/>
  <c r="C146" i="14" s="1"/>
  <c r="CC145" i="14" a="1"/>
  <c r="CC145" i="14" s="1"/>
  <c r="CB145" i="14" a="1"/>
  <c r="CB145" i="14" s="1"/>
  <c r="CA145" i="14" a="1"/>
  <c r="CA145" i="14" s="1"/>
  <c r="BZ145" i="14" a="1"/>
  <c r="BZ145" i="14" s="1"/>
  <c r="BY145" i="14" a="1"/>
  <c r="BY145" i="14" s="1"/>
  <c r="BX145" i="14" a="1"/>
  <c r="BX145" i="14" s="1"/>
  <c r="BW145" i="14" a="1"/>
  <c r="BW145" i="14" s="1"/>
  <c r="BV145" i="14" a="1"/>
  <c r="BV145" i="14" s="1"/>
  <c r="BU145" i="14" a="1"/>
  <c r="BU145" i="14" s="1"/>
  <c r="BT145" i="14" a="1"/>
  <c r="BT145" i="14" s="1"/>
  <c r="BS145" i="14" a="1"/>
  <c r="BS145" i="14" s="1"/>
  <c r="BR145" i="14" a="1"/>
  <c r="BR145" i="14" s="1"/>
  <c r="BQ145" i="14" a="1"/>
  <c r="BQ145" i="14" s="1"/>
  <c r="BP145" i="14" a="1"/>
  <c r="BP145" i="14" s="1"/>
  <c r="BO145" i="14" a="1"/>
  <c r="BO145" i="14" s="1"/>
  <c r="BN145" i="14" a="1"/>
  <c r="BN145" i="14" s="1"/>
  <c r="BM145" i="14" a="1"/>
  <c r="BM145" i="14" s="1"/>
  <c r="BL145" i="14" a="1"/>
  <c r="BL145" i="14" s="1"/>
  <c r="BK145" i="14" a="1"/>
  <c r="BK145" i="14" s="1"/>
  <c r="BJ145" i="14" a="1"/>
  <c r="BJ145" i="14" s="1"/>
  <c r="BI145" i="14" a="1"/>
  <c r="BI145" i="14" s="1"/>
  <c r="BH145" i="14" a="1"/>
  <c r="BH145" i="14" s="1"/>
  <c r="BG145" i="14" a="1"/>
  <c r="BG145" i="14" s="1"/>
  <c r="BF145" i="14" a="1"/>
  <c r="BF145" i="14" s="1"/>
  <c r="BE145" i="14" a="1"/>
  <c r="BE145" i="14" s="1"/>
  <c r="BD145" i="14" a="1"/>
  <c r="BD145" i="14" s="1"/>
  <c r="BC145" i="14" a="1"/>
  <c r="BC145" i="14" s="1"/>
  <c r="BB145" i="14" a="1"/>
  <c r="BB145" i="14" s="1"/>
  <c r="BA145" i="14" a="1"/>
  <c r="BA145" i="14" s="1"/>
  <c r="AZ145" i="14" a="1"/>
  <c r="AZ145" i="14" s="1"/>
  <c r="AY145" i="14" a="1"/>
  <c r="AY145" i="14" s="1"/>
  <c r="AX145" i="14" a="1"/>
  <c r="AX145" i="14" s="1"/>
  <c r="AW145" i="14" a="1"/>
  <c r="AW145" i="14" s="1"/>
  <c r="AV145" i="14" a="1"/>
  <c r="AV145" i="14" s="1"/>
  <c r="AU145" i="14" a="1"/>
  <c r="AU145" i="14" s="1"/>
  <c r="AT145" i="14" a="1"/>
  <c r="AT145" i="14" s="1"/>
  <c r="AS145" i="14" a="1"/>
  <c r="AS145" i="14" s="1"/>
  <c r="AR145" i="14" a="1"/>
  <c r="AR145" i="14" s="1"/>
  <c r="AQ145" i="14" a="1"/>
  <c r="AQ145" i="14" s="1"/>
  <c r="AP145" i="14" a="1"/>
  <c r="AP145" i="14" s="1"/>
  <c r="AO145" i="14" a="1"/>
  <c r="AO145" i="14" s="1"/>
  <c r="AN145" i="14" a="1"/>
  <c r="AN145" i="14" s="1"/>
  <c r="AM145" i="14" a="1"/>
  <c r="AM145" i="14" s="1"/>
  <c r="AL145" i="14" a="1"/>
  <c r="AL145" i="14" s="1"/>
  <c r="AK145" i="14" a="1"/>
  <c r="AK145" i="14" s="1"/>
  <c r="AJ145" i="14" a="1"/>
  <c r="AJ145" i="14" s="1"/>
  <c r="AI145" i="14" a="1"/>
  <c r="AI145" i="14" s="1"/>
  <c r="AH145" i="14" a="1"/>
  <c r="AH145" i="14" s="1"/>
  <c r="AG145" i="14" a="1"/>
  <c r="AG145" i="14" s="1"/>
  <c r="AF145" i="14" a="1"/>
  <c r="AF145" i="14" s="1"/>
  <c r="AE145" i="14" a="1"/>
  <c r="AE145" i="14" s="1"/>
  <c r="AD145" i="14" a="1"/>
  <c r="AD145" i="14" s="1"/>
  <c r="AC145" i="14" a="1"/>
  <c r="AC145" i="14" s="1"/>
  <c r="AB145" i="14" a="1"/>
  <c r="AB145" i="14" s="1"/>
  <c r="AA145" i="14" a="1"/>
  <c r="AA145" i="14" s="1"/>
  <c r="Z145" i="14" a="1"/>
  <c r="Z145" i="14" s="1"/>
  <c r="Y145" i="14" a="1"/>
  <c r="Y145" i="14" s="1"/>
  <c r="X145" i="14" a="1"/>
  <c r="X145" i="14" s="1"/>
  <c r="W145" i="14" a="1"/>
  <c r="W145" i="14" s="1"/>
  <c r="V145" i="14" a="1"/>
  <c r="V145" i="14" s="1"/>
  <c r="U145" i="14" a="1"/>
  <c r="U145" i="14" s="1"/>
  <c r="T145" i="14" a="1"/>
  <c r="T145" i="14" s="1"/>
  <c r="S145" i="14" a="1"/>
  <c r="S145" i="14" s="1"/>
  <c r="R145" i="14" a="1"/>
  <c r="R145" i="14" s="1"/>
  <c r="Q145" i="14" a="1"/>
  <c r="Q145" i="14" s="1"/>
  <c r="P145" i="14" a="1"/>
  <c r="P145" i="14" s="1"/>
  <c r="O145" i="14" a="1"/>
  <c r="O145" i="14" s="1"/>
  <c r="N145" i="14" a="1"/>
  <c r="N145" i="14" s="1"/>
  <c r="M145" i="14" a="1"/>
  <c r="M145" i="14" s="1"/>
  <c r="L145" i="14" a="1"/>
  <c r="L145" i="14" s="1"/>
  <c r="K145" i="14" a="1"/>
  <c r="K145" i="14" s="1"/>
  <c r="J145" i="14" a="1"/>
  <c r="J145" i="14" s="1"/>
  <c r="I145" i="14" a="1"/>
  <c r="I145" i="14" s="1"/>
  <c r="H145" i="14" a="1"/>
  <c r="H145" i="14" s="1"/>
  <c r="G145" i="14" a="1"/>
  <c r="G145" i="14" s="1"/>
  <c r="F145" i="14" a="1"/>
  <c r="F145" i="14" s="1"/>
  <c r="E145" i="14" a="1"/>
  <c r="E145" i="14" s="1"/>
  <c r="D145" i="14" a="1"/>
  <c r="D145" i="14" s="1"/>
  <c r="C145" i="14" a="1"/>
  <c r="C145" i="14" s="1"/>
  <c r="CC125" i="14" a="1"/>
  <c r="CC125" i="14" s="1"/>
  <c r="CB125" i="14" a="1"/>
  <c r="CB125" i="14" s="1"/>
  <c r="CA125" i="14" a="1"/>
  <c r="CA125" i="14" s="1"/>
  <c r="BZ125" i="14" a="1"/>
  <c r="BZ125" i="14" s="1"/>
  <c r="BY125" i="14" a="1"/>
  <c r="BY125" i="14" s="1"/>
  <c r="BX125" i="14" a="1"/>
  <c r="BX125" i="14" s="1"/>
  <c r="BW125" i="14" a="1"/>
  <c r="BW125" i="14" s="1"/>
  <c r="BV125" i="14" a="1"/>
  <c r="BV125" i="14" s="1"/>
  <c r="BU125" i="14" a="1"/>
  <c r="BU125" i="14" s="1"/>
  <c r="BT125" i="14" a="1"/>
  <c r="BT125" i="14" s="1"/>
  <c r="BS125" i="14" a="1"/>
  <c r="BS125" i="14" s="1"/>
  <c r="BR125" i="14" a="1"/>
  <c r="BR125" i="14" s="1"/>
  <c r="BQ125" i="14" a="1"/>
  <c r="BQ125" i="14" s="1"/>
  <c r="BP125" i="14" a="1"/>
  <c r="BP125" i="14" s="1"/>
  <c r="BO125" i="14" a="1"/>
  <c r="BO125" i="14" s="1"/>
  <c r="BN125" i="14" a="1"/>
  <c r="BN125" i="14" s="1"/>
  <c r="BM125" i="14" a="1"/>
  <c r="BM125" i="14" s="1"/>
  <c r="BL125" i="14" a="1"/>
  <c r="BL125" i="14" s="1"/>
  <c r="BK125" i="14" a="1"/>
  <c r="BK125" i="14" s="1"/>
  <c r="BJ125" i="14" a="1"/>
  <c r="BJ125" i="14" s="1"/>
  <c r="BI125" i="14" a="1"/>
  <c r="BI125" i="14" s="1"/>
  <c r="BH125" i="14" a="1"/>
  <c r="BH125" i="14" s="1"/>
  <c r="BG125" i="14" a="1"/>
  <c r="BG125" i="14" s="1"/>
  <c r="BF125" i="14" a="1"/>
  <c r="BF125" i="14" s="1"/>
  <c r="BE125" i="14" a="1"/>
  <c r="BE125" i="14" s="1"/>
  <c r="BD125" i="14" a="1"/>
  <c r="BD125" i="14" s="1"/>
  <c r="BC125" i="14" a="1"/>
  <c r="BC125" i="14" s="1"/>
  <c r="BB125" i="14" a="1"/>
  <c r="BB125" i="14" s="1"/>
  <c r="BA125" i="14" a="1"/>
  <c r="BA125" i="14" s="1"/>
  <c r="AZ125" i="14" a="1"/>
  <c r="AZ125" i="14" s="1"/>
  <c r="AY125" i="14" a="1"/>
  <c r="AY125" i="14" s="1"/>
  <c r="AX125" i="14" a="1"/>
  <c r="AX125" i="14" s="1"/>
  <c r="AW125" i="14" a="1"/>
  <c r="AW125" i="14" s="1"/>
  <c r="AV125" i="14" a="1"/>
  <c r="AV125" i="14" s="1"/>
  <c r="AU125" i="14" a="1"/>
  <c r="AU125" i="14" s="1"/>
  <c r="AT125" i="14" a="1"/>
  <c r="AT125" i="14" s="1"/>
  <c r="AS125" i="14" a="1"/>
  <c r="AS125" i="14" s="1"/>
  <c r="AR125" i="14" a="1"/>
  <c r="AR125" i="14" s="1"/>
  <c r="AQ125" i="14" a="1"/>
  <c r="AQ125" i="14" s="1"/>
  <c r="AP125" i="14" a="1"/>
  <c r="AP125" i="14" s="1"/>
  <c r="AO125" i="14" a="1"/>
  <c r="AO125" i="14" s="1"/>
  <c r="AN125" i="14" a="1"/>
  <c r="AN125" i="14" s="1"/>
  <c r="AM125" i="14" a="1"/>
  <c r="AM125" i="14" s="1"/>
  <c r="AL125" i="14" a="1"/>
  <c r="AL125" i="14" s="1"/>
  <c r="AK125" i="14" a="1"/>
  <c r="AK125" i="14" s="1"/>
  <c r="AJ125" i="14" a="1"/>
  <c r="AJ125" i="14" s="1"/>
  <c r="AI125" i="14" a="1"/>
  <c r="AI125" i="14" s="1"/>
  <c r="AH125" i="14" a="1"/>
  <c r="AH125" i="14" s="1"/>
  <c r="AG125" i="14" a="1"/>
  <c r="AG125" i="14" s="1"/>
  <c r="AF125" i="14" a="1"/>
  <c r="AF125" i="14" s="1"/>
  <c r="AE125" i="14" a="1"/>
  <c r="AE125" i="14" s="1"/>
  <c r="AD125" i="14" a="1"/>
  <c r="AD125" i="14" s="1"/>
  <c r="AC125" i="14" a="1"/>
  <c r="AC125" i="14" s="1"/>
  <c r="AB125" i="14" a="1"/>
  <c r="AB125" i="14" s="1"/>
  <c r="AA125" i="14" a="1"/>
  <c r="AA125" i="14" s="1"/>
  <c r="Z125" i="14" a="1"/>
  <c r="Z125" i="14" s="1"/>
  <c r="Y125" i="14" a="1"/>
  <c r="Y125" i="14" s="1"/>
  <c r="X125" i="14" a="1"/>
  <c r="X125" i="14" s="1"/>
  <c r="W125" i="14" a="1"/>
  <c r="W125" i="14" s="1"/>
  <c r="V125" i="14" a="1"/>
  <c r="V125" i="14" s="1"/>
  <c r="U125" i="14" a="1"/>
  <c r="U125" i="14" s="1"/>
  <c r="T125" i="14" a="1"/>
  <c r="T125" i="14" s="1"/>
  <c r="S125" i="14" a="1"/>
  <c r="S125" i="14" s="1"/>
  <c r="R125" i="14" a="1"/>
  <c r="R125" i="14" s="1"/>
  <c r="Q125" i="14" a="1"/>
  <c r="Q125" i="14" s="1"/>
  <c r="P125" i="14" a="1"/>
  <c r="P125" i="14" s="1"/>
  <c r="O125" i="14" a="1"/>
  <c r="O125" i="14" s="1"/>
  <c r="N125" i="14" a="1"/>
  <c r="N125" i="14" s="1"/>
  <c r="M125" i="14" a="1"/>
  <c r="M125" i="14" s="1"/>
  <c r="L125" i="14" a="1"/>
  <c r="L125" i="14" s="1"/>
  <c r="K125" i="14" a="1"/>
  <c r="K125" i="14" s="1"/>
  <c r="J125" i="14" a="1"/>
  <c r="J125" i="14" s="1"/>
  <c r="I125" i="14" a="1"/>
  <c r="I125" i="14" s="1"/>
  <c r="H125" i="14" a="1"/>
  <c r="H125" i="14" s="1"/>
  <c r="G125" i="14" a="1"/>
  <c r="G125" i="14" s="1"/>
  <c r="F125" i="14" a="1"/>
  <c r="F125" i="14" s="1"/>
  <c r="E125" i="14" a="1"/>
  <c r="E125" i="14" s="1"/>
  <c r="D125" i="14" a="1"/>
  <c r="D125" i="14" s="1"/>
  <c r="C125" i="14" a="1"/>
  <c r="C125" i="14" s="1"/>
  <c r="CC105" i="14" a="1"/>
  <c r="CC105" i="14" s="1"/>
  <c r="CB105" i="14" a="1"/>
  <c r="CB105" i="14" s="1"/>
  <c r="CA105" i="14" a="1"/>
  <c r="CA105" i="14" s="1"/>
  <c r="BZ105" i="14" a="1"/>
  <c r="BZ105" i="14" s="1"/>
  <c r="BY105" i="14" a="1"/>
  <c r="BY105" i="14" s="1"/>
  <c r="BX105" i="14" a="1"/>
  <c r="BX105" i="14" s="1"/>
  <c r="BW105" i="14" a="1"/>
  <c r="BW105" i="14" s="1"/>
  <c r="BV105" i="14" a="1"/>
  <c r="BV105" i="14" s="1"/>
  <c r="BU105" i="14" a="1"/>
  <c r="BU105" i="14" s="1"/>
  <c r="BT105" i="14" a="1"/>
  <c r="BT105" i="14" s="1"/>
  <c r="BS105" i="14" a="1"/>
  <c r="BS105" i="14" s="1"/>
  <c r="BR105" i="14" a="1"/>
  <c r="BR105" i="14" s="1"/>
  <c r="BQ105" i="14" a="1"/>
  <c r="BQ105" i="14" s="1"/>
  <c r="BP105" i="14" a="1"/>
  <c r="BP105" i="14" s="1"/>
  <c r="BO105" i="14" a="1"/>
  <c r="BO105" i="14" s="1"/>
  <c r="BN105" i="14" a="1"/>
  <c r="BN105" i="14" s="1"/>
  <c r="BM105" i="14" a="1"/>
  <c r="BM105" i="14" s="1"/>
  <c r="BL105" i="14" a="1"/>
  <c r="BL105" i="14" s="1"/>
  <c r="BK105" i="14" a="1"/>
  <c r="BK105" i="14" s="1"/>
  <c r="BJ105" i="14" a="1"/>
  <c r="BJ105" i="14" s="1"/>
  <c r="BI105" i="14" a="1"/>
  <c r="BI105" i="14" s="1"/>
  <c r="BH105" i="14" a="1"/>
  <c r="BH105" i="14" s="1"/>
  <c r="BG105" i="14" a="1"/>
  <c r="BG105" i="14" s="1"/>
  <c r="BF105" i="14" a="1"/>
  <c r="BF105" i="14" s="1"/>
  <c r="BE105" i="14" a="1"/>
  <c r="BE105" i="14" s="1"/>
  <c r="BD105" i="14" a="1"/>
  <c r="BD105" i="14" s="1"/>
  <c r="BC105" i="14" a="1"/>
  <c r="BC105" i="14" s="1"/>
  <c r="BB105" i="14" a="1"/>
  <c r="BB105" i="14" s="1"/>
  <c r="BA105" i="14" a="1"/>
  <c r="BA105" i="14" s="1"/>
  <c r="AZ105" i="14" a="1"/>
  <c r="AZ105" i="14" s="1"/>
  <c r="AY105" i="14" a="1"/>
  <c r="AY105" i="14" s="1"/>
  <c r="AX105" i="14" a="1"/>
  <c r="AX105" i="14" s="1"/>
  <c r="AW105" i="14" a="1"/>
  <c r="AW105" i="14" s="1"/>
  <c r="AV105" i="14" a="1"/>
  <c r="AV105" i="14" s="1"/>
  <c r="AU105" i="14" a="1"/>
  <c r="AU105" i="14" s="1"/>
  <c r="AT105" i="14" a="1"/>
  <c r="AT105" i="14" s="1"/>
  <c r="AS105" i="14" a="1"/>
  <c r="AS105" i="14" s="1"/>
  <c r="AR105" i="14" a="1"/>
  <c r="AR105" i="14" s="1"/>
  <c r="AQ105" i="14" a="1"/>
  <c r="AQ105" i="14" s="1"/>
  <c r="AP105" i="14" a="1"/>
  <c r="AP105" i="14" s="1"/>
  <c r="AO105" i="14" a="1"/>
  <c r="AO105" i="14" s="1"/>
  <c r="AN105" i="14" a="1"/>
  <c r="AN105" i="14" s="1"/>
  <c r="AM105" i="14" a="1"/>
  <c r="AM105" i="14" s="1"/>
  <c r="AL105" i="14" a="1"/>
  <c r="AL105" i="14" s="1"/>
  <c r="AK105" i="14" a="1"/>
  <c r="AK105" i="14" s="1"/>
  <c r="AJ105" i="14" a="1"/>
  <c r="AJ105" i="14" s="1"/>
  <c r="AI105" i="14" a="1"/>
  <c r="AI105" i="14" s="1"/>
  <c r="AH105" i="14" a="1"/>
  <c r="AH105" i="14" s="1"/>
  <c r="AG105" i="14" a="1"/>
  <c r="AG105" i="14" s="1"/>
  <c r="AF105" i="14" a="1"/>
  <c r="AF105" i="14" s="1"/>
  <c r="AE105" i="14" a="1"/>
  <c r="AE105" i="14" s="1"/>
  <c r="AD105" i="14" a="1"/>
  <c r="AD105" i="14" s="1"/>
  <c r="AC105" i="14" a="1"/>
  <c r="AC105" i="14" s="1"/>
  <c r="AB105" i="14" a="1"/>
  <c r="AB105" i="14" s="1"/>
  <c r="AA105" i="14" a="1"/>
  <c r="AA105" i="14" s="1"/>
  <c r="Z105" i="14" a="1"/>
  <c r="Z105" i="14" s="1"/>
  <c r="Y105" i="14" a="1"/>
  <c r="Y105" i="14" s="1"/>
  <c r="X105" i="14" a="1"/>
  <c r="X105" i="14" s="1"/>
  <c r="W105" i="14" a="1"/>
  <c r="W105" i="14" s="1"/>
  <c r="V105" i="14" a="1"/>
  <c r="V105" i="14" s="1"/>
  <c r="U105" i="14" a="1"/>
  <c r="U105" i="14" s="1"/>
  <c r="T105" i="14" a="1"/>
  <c r="T105" i="14" s="1"/>
  <c r="S105" i="14" a="1"/>
  <c r="S105" i="14" s="1"/>
  <c r="R105" i="14" a="1"/>
  <c r="R105" i="14" s="1"/>
  <c r="Q105" i="14" a="1"/>
  <c r="Q105" i="14" s="1"/>
  <c r="P105" i="14" a="1"/>
  <c r="P105" i="14" s="1"/>
  <c r="O105" i="14" a="1"/>
  <c r="O105" i="14" s="1"/>
  <c r="N105" i="14" a="1"/>
  <c r="N105" i="14" s="1"/>
  <c r="M105" i="14" a="1"/>
  <c r="M105" i="14" s="1"/>
  <c r="L105" i="14" a="1"/>
  <c r="L105" i="14" s="1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F105" i="14" a="1"/>
  <c r="F105" i="14" s="1"/>
  <c r="E105" i="14" a="1"/>
  <c r="E105" i="14" s="1"/>
  <c r="D105" i="14" a="1"/>
  <c r="D105" i="14" s="1"/>
  <c r="C105" i="14" a="1"/>
  <c r="C105" i="14" s="1"/>
  <c r="CC104" i="14" a="1"/>
  <c r="CC104" i="14" s="1"/>
  <c r="CB104" i="14" a="1"/>
  <c r="CB104" i="14" s="1"/>
  <c r="CA104" i="14" a="1"/>
  <c r="CA104" i="14" s="1"/>
  <c r="BZ104" i="14" a="1"/>
  <c r="BZ104" i="14" s="1"/>
  <c r="BY104" i="14" a="1"/>
  <c r="BY104" i="14" s="1"/>
  <c r="BX104" i="14" a="1"/>
  <c r="BX104" i="14" s="1"/>
  <c r="BW104" i="14" a="1"/>
  <c r="BW104" i="14" s="1"/>
  <c r="BV104" i="14" a="1"/>
  <c r="BV104" i="14" s="1"/>
  <c r="BU104" i="14" a="1"/>
  <c r="BU104" i="14" s="1"/>
  <c r="BT104" i="14" a="1"/>
  <c r="BT104" i="14" s="1"/>
  <c r="BS104" i="14" a="1"/>
  <c r="BS104" i="14" s="1"/>
  <c r="BR104" i="14" a="1"/>
  <c r="BR104" i="14" s="1"/>
  <c r="BQ104" i="14" a="1"/>
  <c r="BQ104" i="14" s="1"/>
  <c r="BP104" i="14" a="1"/>
  <c r="BP104" i="14" s="1"/>
  <c r="BO104" i="14" a="1"/>
  <c r="BO104" i="14" s="1"/>
  <c r="BN104" i="14" a="1"/>
  <c r="BN104" i="14" s="1"/>
  <c r="BM104" i="14" a="1"/>
  <c r="BM104" i="14" s="1"/>
  <c r="BL104" i="14" a="1"/>
  <c r="BL104" i="14" s="1"/>
  <c r="BK104" i="14" a="1"/>
  <c r="BK104" i="14" s="1"/>
  <c r="BJ104" i="14" a="1"/>
  <c r="BJ104" i="14" s="1"/>
  <c r="BI104" i="14" a="1"/>
  <c r="BI104" i="14" s="1"/>
  <c r="BH104" i="14" a="1"/>
  <c r="BH104" i="14" s="1"/>
  <c r="BG104" i="14" a="1"/>
  <c r="BG104" i="14" s="1"/>
  <c r="BF104" i="14" a="1"/>
  <c r="BF104" i="14" s="1"/>
  <c r="BE104" i="14" a="1"/>
  <c r="BE104" i="14" s="1"/>
  <c r="BD104" i="14" a="1"/>
  <c r="BD104" i="14" s="1"/>
  <c r="BC104" i="14" a="1"/>
  <c r="BC104" i="14" s="1"/>
  <c r="BB104" i="14" a="1"/>
  <c r="BB104" i="14" s="1"/>
  <c r="BA104" i="14" a="1"/>
  <c r="BA104" i="14" s="1"/>
  <c r="AZ104" i="14" a="1"/>
  <c r="AZ104" i="14" s="1"/>
  <c r="AY104" i="14" a="1"/>
  <c r="AY104" i="14" s="1"/>
  <c r="AX104" i="14" a="1"/>
  <c r="AX104" i="14" s="1"/>
  <c r="AW104" i="14" a="1"/>
  <c r="AW104" i="14" s="1"/>
  <c r="AV104" i="14" a="1"/>
  <c r="AV104" i="14" s="1"/>
  <c r="AU104" i="14" a="1"/>
  <c r="AU104" i="14" s="1"/>
  <c r="AT104" i="14" a="1"/>
  <c r="AT104" i="14" s="1"/>
  <c r="AS104" i="14" a="1"/>
  <c r="AS104" i="14" s="1"/>
  <c r="AR104" i="14" a="1"/>
  <c r="AR104" i="14" s="1"/>
  <c r="AQ104" i="14" a="1"/>
  <c r="AQ104" i="14" s="1"/>
  <c r="AP104" i="14" a="1"/>
  <c r="AP104" i="14" s="1"/>
  <c r="AO104" i="14" a="1"/>
  <c r="AO104" i="14" s="1"/>
  <c r="AN104" i="14" a="1"/>
  <c r="AN104" i="14" s="1"/>
  <c r="AM104" i="14" a="1"/>
  <c r="AM104" i="14" s="1"/>
  <c r="AL104" i="14" a="1"/>
  <c r="AL104" i="14" s="1"/>
  <c r="AK104" i="14" a="1"/>
  <c r="AK104" i="14" s="1"/>
  <c r="AJ104" i="14" a="1"/>
  <c r="AJ104" i="14" s="1"/>
  <c r="AI104" i="14" a="1"/>
  <c r="AI104" i="14" s="1"/>
  <c r="AH104" i="14" a="1"/>
  <c r="AH104" i="14" s="1"/>
  <c r="AG104" i="14" a="1"/>
  <c r="AG104" i="14" s="1"/>
  <c r="AF104" i="14" a="1"/>
  <c r="AF104" i="14" s="1"/>
  <c r="AE104" i="14" a="1"/>
  <c r="AE104" i="14" s="1"/>
  <c r="AD104" i="14" a="1"/>
  <c r="AD104" i="14" s="1"/>
  <c r="AC104" i="14" a="1"/>
  <c r="AC104" i="14" s="1"/>
  <c r="AB104" i="14" a="1"/>
  <c r="AB104" i="14" s="1"/>
  <c r="AA104" i="14" a="1"/>
  <c r="AA104" i="14" s="1"/>
  <c r="Z104" i="14" a="1"/>
  <c r="Z104" i="14" s="1"/>
  <c r="Y104" i="14" a="1"/>
  <c r="Y104" i="14" s="1"/>
  <c r="X104" i="14" a="1"/>
  <c r="X104" i="14" s="1"/>
  <c r="W104" i="14" a="1"/>
  <c r="W104" i="14" s="1"/>
  <c r="V104" i="14" a="1"/>
  <c r="V104" i="14" s="1"/>
  <c r="U104" i="14" a="1"/>
  <c r="U104" i="14" s="1"/>
  <c r="T104" i="14" a="1"/>
  <c r="T104" i="14" s="1"/>
  <c r="S104" i="14" a="1"/>
  <c r="S104" i="14" s="1"/>
  <c r="R104" i="14" a="1"/>
  <c r="R104" i="14" s="1"/>
  <c r="Q104" i="14" a="1"/>
  <c r="Q104" i="14" s="1"/>
  <c r="P104" i="14" a="1"/>
  <c r="P104" i="14" s="1"/>
  <c r="O104" i="14" a="1"/>
  <c r="O104" i="14" s="1"/>
  <c r="N104" i="14" a="1"/>
  <c r="N104" i="14" s="1"/>
  <c r="M104" i="14" a="1"/>
  <c r="M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F104" i="14" a="1"/>
  <c r="F104" i="14" s="1"/>
  <c r="E104" i="14" a="1"/>
  <c r="E104" i="14" s="1"/>
  <c r="D104" i="14" a="1"/>
  <c r="D104" i="14" s="1"/>
  <c r="C104" i="14" a="1"/>
  <c r="C104" i="14" s="1"/>
  <c r="CC103" i="14" a="1"/>
  <c r="CC103" i="14" s="1"/>
  <c r="CB103" i="14" a="1"/>
  <c r="CB103" i="14" s="1"/>
  <c r="CA103" i="14" a="1"/>
  <c r="CA103" i="14" s="1"/>
  <c r="BZ103" i="14" a="1"/>
  <c r="BZ103" i="14" s="1"/>
  <c r="BY103" i="14" a="1"/>
  <c r="BY103" i="14" s="1"/>
  <c r="BX103" i="14" a="1"/>
  <c r="BX103" i="14" s="1"/>
  <c r="BW103" i="14" a="1"/>
  <c r="BW103" i="14" s="1"/>
  <c r="BV103" i="14" a="1"/>
  <c r="BV103" i="14" s="1"/>
  <c r="BU103" i="14" a="1"/>
  <c r="BU103" i="14" s="1"/>
  <c r="BT103" i="14" a="1"/>
  <c r="BT103" i="14" s="1"/>
  <c r="BS103" i="14" a="1"/>
  <c r="BS103" i="14" s="1"/>
  <c r="BR103" i="14" a="1"/>
  <c r="BR103" i="14" s="1"/>
  <c r="BQ103" i="14" a="1"/>
  <c r="BQ103" i="14" s="1"/>
  <c r="BP103" i="14" a="1"/>
  <c r="BP103" i="14" s="1"/>
  <c r="BO103" i="14" a="1"/>
  <c r="BO103" i="14" s="1"/>
  <c r="BN103" i="14" a="1"/>
  <c r="BN103" i="14" s="1"/>
  <c r="BM103" i="14" a="1"/>
  <c r="BM103" i="14" s="1"/>
  <c r="BL103" i="14" a="1"/>
  <c r="BL103" i="14" s="1"/>
  <c r="BK103" i="14" a="1"/>
  <c r="BK103" i="14" s="1"/>
  <c r="BJ103" i="14" a="1"/>
  <c r="BJ103" i="14" s="1"/>
  <c r="BI103" i="14" a="1"/>
  <c r="BI103" i="14" s="1"/>
  <c r="BH103" i="14" a="1"/>
  <c r="BH103" i="14" s="1"/>
  <c r="BG103" i="14" a="1"/>
  <c r="BG103" i="14" s="1"/>
  <c r="BF103" i="14" a="1"/>
  <c r="BF103" i="14" s="1"/>
  <c r="BE103" i="14" a="1"/>
  <c r="BE103" i="14" s="1"/>
  <c r="BD103" i="14" a="1"/>
  <c r="BD103" i="14" s="1"/>
  <c r="BC103" i="14" a="1"/>
  <c r="BC103" i="14" s="1"/>
  <c r="BB103" i="14" a="1"/>
  <c r="BB103" i="14" s="1"/>
  <c r="BA103" i="14" a="1"/>
  <c r="BA103" i="14" s="1"/>
  <c r="AZ103" i="14" a="1"/>
  <c r="AZ103" i="14" s="1"/>
  <c r="AY103" i="14" a="1"/>
  <c r="AY103" i="14" s="1"/>
  <c r="AX103" i="14" a="1"/>
  <c r="AX103" i="14" s="1"/>
  <c r="AW103" i="14" a="1"/>
  <c r="AW103" i="14" s="1"/>
  <c r="AV103" i="14" a="1"/>
  <c r="AV103" i="14" s="1"/>
  <c r="AU103" i="14" a="1"/>
  <c r="AU103" i="14" s="1"/>
  <c r="AT103" i="14" a="1"/>
  <c r="AT103" i="14" s="1"/>
  <c r="AS103" i="14" a="1"/>
  <c r="AS103" i="14" s="1"/>
  <c r="AR103" i="14" a="1"/>
  <c r="AR103" i="14" s="1"/>
  <c r="AQ103" i="14" a="1"/>
  <c r="AQ103" i="14" s="1"/>
  <c r="AP103" i="14" a="1"/>
  <c r="AP103" i="14" s="1"/>
  <c r="AO103" i="14" a="1"/>
  <c r="AO103" i="14" s="1"/>
  <c r="AN103" i="14" a="1"/>
  <c r="AN103" i="14" s="1"/>
  <c r="AM103" i="14" a="1"/>
  <c r="AM103" i="14" s="1"/>
  <c r="AL103" i="14" a="1"/>
  <c r="AL103" i="14" s="1"/>
  <c r="AK103" i="14" a="1"/>
  <c r="AK103" i="14" s="1"/>
  <c r="AJ103" i="14" a="1"/>
  <c r="AJ103" i="14" s="1"/>
  <c r="AI103" i="14" a="1"/>
  <c r="AI103" i="14" s="1"/>
  <c r="AH103" i="14" a="1"/>
  <c r="AH103" i="14" s="1"/>
  <c r="AG103" i="14" a="1"/>
  <c r="AG103" i="14" s="1"/>
  <c r="AF103" i="14" a="1"/>
  <c r="AF103" i="14" s="1"/>
  <c r="AE103" i="14" a="1"/>
  <c r="AE103" i="14" s="1"/>
  <c r="AD103" i="14" a="1"/>
  <c r="AD103" i="14" s="1"/>
  <c r="AC103" i="14" a="1"/>
  <c r="AC103" i="14" s="1"/>
  <c r="AB103" i="14" a="1"/>
  <c r="AB103" i="14" s="1"/>
  <c r="AA103" i="14" a="1"/>
  <c r="AA103" i="14" s="1"/>
  <c r="Z103" i="14" a="1"/>
  <c r="Z103" i="14" s="1"/>
  <c r="Y103" i="14" a="1"/>
  <c r="Y103" i="14" s="1"/>
  <c r="X103" i="14" a="1"/>
  <c r="X103" i="14" s="1"/>
  <c r="W103" i="14" a="1"/>
  <c r="W103" i="14" s="1"/>
  <c r="V103" i="14" a="1"/>
  <c r="V103" i="14" s="1"/>
  <c r="U103" i="14" a="1"/>
  <c r="U103" i="14" s="1"/>
  <c r="T103" i="14" a="1"/>
  <c r="T103" i="14" s="1"/>
  <c r="S103" i="14" a="1"/>
  <c r="S103" i="14" s="1"/>
  <c r="R103" i="14" a="1"/>
  <c r="R103" i="14" s="1"/>
  <c r="Q103" i="14" a="1"/>
  <c r="Q103" i="14" s="1"/>
  <c r="P103" i="14" a="1"/>
  <c r="P103" i="14" s="1"/>
  <c r="O103" i="14" a="1"/>
  <c r="O103" i="14" s="1"/>
  <c r="N103" i="14" a="1"/>
  <c r="N103" i="14" s="1"/>
  <c r="M103" i="14" a="1"/>
  <c r="M103" i="14" s="1"/>
  <c r="L103" i="14" a="1"/>
  <c r="L103" i="14" s="1"/>
  <c r="K103" i="14" a="1"/>
  <c r="K103" i="14" s="1"/>
  <c r="J103" i="14" a="1"/>
  <c r="J103" i="14" s="1"/>
  <c r="I103" i="14" a="1"/>
  <c r="I103" i="14" s="1"/>
  <c r="H103" i="14" a="1"/>
  <c r="H103" i="14" s="1"/>
  <c r="G103" i="14" a="1"/>
  <c r="G103" i="14" s="1"/>
  <c r="F103" i="14" a="1"/>
  <c r="F103" i="14" s="1"/>
  <c r="E103" i="14" a="1"/>
  <c r="E103" i="14" s="1"/>
  <c r="D103" i="14" a="1"/>
  <c r="D103" i="14" s="1"/>
  <c r="C103" i="14" a="1"/>
  <c r="C103" i="14" s="1"/>
  <c r="CC102" i="14" a="1"/>
  <c r="CC102" i="14" s="1"/>
  <c r="CB102" i="14" a="1"/>
  <c r="CB102" i="14" s="1"/>
  <c r="CA102" i="14" a="1"/>
  <c r="CA102" i="14" s="1"/>
  <c r="BZ102" i="14" a="1"/>
  <c r="BZ102" i="14" s="1"/>
  <c r="BY102" i="14" a="1"/>
  <c r="BY102" i="14" s="1"/>
  <c r="BX102" i="14" a="1"/>
  <c r="BX102" i="14" s="1"/>
  <c r="BW102" i="14" a="1"/>
  <c r="BW102" i="14" s="1"/>
  <c r="BV102" i="14" a="1"/>
  <c r="BV102" i="14" s="1"/>
  <c r="BU102" i="14" a="1"/>
  <c r="BU102" i="14" s="1"/>
  <c r="BT102" i="14" a="1"/>
  <c r="BT102" i="14" s="1"/>
  <c r="BS102" i="14" a="1"/>
  <c r="BS102" i="14" s="1"/>
  <c r="BR102" i="14" a="1"/>
  <c r="BR102" i="14" s="1"/>
  <c r="BQ102" i="14" a="1"/>
  <c r="BQ102" i="14" s="1"/>
  <c r="BP102" i="14" a="1"/>
  <c r="BP102" i="14" s="1"/>
  <c r="BO102" i="14" a="1"/>
  <c r="BO102" i="14" s="1"/>
  <c r="BN102" i="14" a="1"/>
  <c r="BN102" i="14" s="1"/>
  <c r="BM102" i="14" a="1"/>
  <c r="BM102" i="14" s="1"/>
  <c r="BL102" i="14" a="1"/>
  <c r="BL102" i="14" s="1"/>
  <c r="BK102" i="14" a="1"/>
  <c r="BK102" i="14" s="1"/>
  <c r="BJ102" i="14" a="1"/>
  <c r="BJ102" i="14" s="1"/>
  <c r="BI102" i="14" a="1"/>
  <c r="BI102" i="14" s="1"/>
  <c r="BH102" i="14" a="1"/>
  <c r="BH102" i="14" s="1"/>
  <c r="BG102" i="14" a="1"/>
  <c r="BG102" i="14" s="1"/>
  <c r="BF102" i="14" a="1"/>
  <c r="BF102" i="14" s="1"/>
  <c r="BE102" i="14" a="1"/>
  <c r="BE102" i="14" s="1"/>
  <c r="BD102" i="14" a="1"/>
  <c r="BD102" i="14" s="1"/>
  <c r="BC102" i="14" a="1"/>
  <c r="BC102" i="14" s="1"/>
  <c r="BB102" i="14" a="1"/>
  <c r="BB102" i="14" s="1"/>
  <c r="BA102" i="14" a="1"/>
  <c r="BA102" i="14" s="1"/>
  <c r="AZ102" i="14" a="1"/>
  <c r="AZ102" i="14" s="1"/>
  <c r="AY102" i="14" a="1"/>
  <c r="AY102" i="14" s="1"/>
  <c r="AX102" i="14" a="1"/>
  <c r="AX102" i="14" s="1"/>
  <c r="AW102" i="14" a="1"/>
  <c r="AW102" i="14" s="1"/>
  <c r="AV102" i="14" a="1"/>
  <c r="AV102" i="14" s="1"/>
  <c r="AU102" i="14" a="1"/>
  <c r="AU102" i="14" s="1"/>
  <c r="AT102" i="14" a="1"/>
  <c r="AT102" i="14" s="1"/>
  <c r="AS102" i="14" a="1"/>
  <c r="AS102" i="14" s="1"/>
  <c r="AR102" i="14" a="1"/>
  <c r="AR102" i="14" s="1"/>
  <c r="AQ102" i="14" a="1"/>
  <c r="AQ102" i="14" s="1"/>
  <c r="AP102" i="14" a="1"/>
  <c r="AP102" i="14" s="1"/>
  <c r="AO102" i="14" a="1"/>
  <c r="AO102" i="14" s="1"/>
  <c r="AN102" i="14" a="1"/>
  <c r="AN102" i="14" s="1"/>
  <c r="AM102" i="14" a="1"/>
  <c r="AM102" i="14" s="1"/>
  <c r="AL102" i="14" a="1"/>
  <c r="AL102" i="14" s="1"/>
  <c r="AK102" i="14" a="1"/>
  <c r="AK102" i="14" s="1"/>
  <c r="AJ102" i="14" a="1"/>
  <c r="AJ102" i="14" s="1"/>
  <c r="AI102" i="14" a="1"/>
  <c r="AI102" i="14" s="1"/>
  <c r="AH102" i="14" a="1"/>
  <c r="AH102" i="14" s="1"/>
  <c r="AG102" i="14" a="1"/>
  <c r="AG102" i="14" s="1"/>
  <c r="AF102" i="14" a="1"/>
  <c r="AF102" i="14" s="1"/>
  <c r="AE102" i="14" a="1"/>
  <c r="AE102" i="14" s="1"/>
  <c r="AD102" i="14" a="1"/>
  <c r="AD102" i="14" s="1"/>
  <c r="AC102" i="14" a="1"/>
  <c r="AC102" i="14" s="1"/>
  <c r="AB102" i="14" a="1"/>
  <c r="AB102" i="14" s="1"/>
  <c r="AA102" i="14" a="1"/>
  <c r="AA102" i="14" s="1"/>
  <c r="Z102" i="14" a="1"/>
  <c r="Z102" i="14" s="1"/>
  <c r="Y102" i="14" a="1"/>
  <c r="Y102" i="14" s="1"/>
  <c r="X102" i="14" a="1"/>
  <c r="X102" i="14" s="1"/>
  <c r="W102" i="14" a="1"/>
  <c r="W102" i="14" s="1"/>
  <c r="V102" i="14" a="1"/>
  <c r="V102" i="14" s="1"/>
  <c r="U102" i="14" a="1"/>
  <c r="U102" i="14" s="1"/>
  <c r="T102" i="14" a="1"/>
  <c r="T102" i="14" s="1"/>
  <c r="S102" i="14" a="1"/>
  <c r="S102" i="14" s="1"/>
  <c r="R102" i="14" a="1"/>
  <c r="R102" i="14" s="1"/>
  <c r="Q102" i="14" a="1"/>
  <c r="Q102" i="14" s="1"/>
  <c r="P102" i="14" a="1"/>
  <c r="P102" i="14" s="1"/>
  <c r="O102" i="14" a="1"/>
  <c r="O102" i="14" s="1"/>
  <c r="N102" i="14" a="1"/>
  <c r="N102" i="14" s="1"/>
  <c r="M102" i="14" a="1"/>
  <c r="M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F102" i="14" a="1"/>
  <c r="F102" i="14" s="1"/>
  <c r="E102" i="14" a="1"/>
  <c r="E102" i="14" s="1"/>
  <c r="D102" i="14" a="1"/>
  <c r="D102" i="14" s="1"/>
  <c r="C102" i="14" a="1"/>
  <c r="C102" i="14" s="1"/>
  <c r="CC82" i="14" a="1"/>
  <c r="CC82" i="14" s="1"/>
  <c r="CB82" i="14" a="1"/>
  <c r="CB82" i="14" s="1"/>
  <c r="CA82" i="14" a="1"/>
  <c r="CA82" i="14" s="1"/>
  <c r="BZ82" i="14" a="1"/>
  <c r="BZ82" i="14" s="1"/>
  <c r="BY82" i="14" a="1"/>
  <c r="BY82" i="14" s="1"/>
  <c r="BX82" i="14" a="1"/>
  <c r="BX82" i="14" s="1"/>
  <c r="BW82" i="14" a="1"/>
  <c r="BW82" i="14" s="1"/>
  <c r="BV82" i="14" a="1"/>
  <c r="BV82" i="14" s="1"/>
  <c r="BU82" i="14" a="1"/>
  <c r="BU82" i="14" s="1"/>
  <c r="BT82" i="14" a="1"/>
  <c r="BT82" i="14" s="1"/>
  <c r="BS82" i="14" a="1"/>
  <c r="BS82" i="14" s="1"/>
  <c r="BR82" i="14" a="1"/>
  <c r="BR82" i="14" s="1"/>
  <c r="BQ82" i="14" a="1"/>
  <c r="BQ82" i="14" s="1"/>
  <c r="BP82" i="14" a="1"/>
  <c r="BP82" i="14" s="1"/>
  <c r="BO82" i="14" a="1"/>
  <c r="BO82" i="14" s="1"/>
  <c r="BN82" i="14" a="1"/>
  <c r="BN82" i="14" s="1"/>
  <c r="BM82" i="14" a="1"/>
  <c r="BM82" i="14" s="1"/>
  <c r="BL82" i="14" a="1"/>
  <c r="BL82" i="14" s="1"/>
  <c r="BK82" i="14" a="1"/>
  <c r="BK82" i="14" s="1"/>
  <c r="BJ82" i="14" a="1"/>
  <c r="BJ82" i="14" s="1"/>
  <c r="BI82" i="14" a="1"/>
  <c r="BI82" i="14" s="1"/>
  <c r="BH82" i="14" a="1"/>
  <c r="BH82" i="14" s="1"/>
  <c r="BG82" i="14" a="1"/>
  <c r="BG82" i="14" s="1"/>
  <c r="BF82" i="14" a="1"/>
  <c r="BF82" i="14" s="1"/>
  <c r="BE82" i="14" a="1"/>
  <c r="BE82" i="14" s="1"/>
  <c r="BD82" i="14" a="1"/>
  <c r="BD82" i="14" s="1"/>
  <c r="BC82" i="14" a="1"/>
  <c r="BC82" i="14" s="1"/>
  <c r="BB82" i="14" a="1"/>
  <c r="BB82" i="14" s="1"/>
  <c r="BA82" i="14" a="1"/>
  <c r="BA82" i="14" s="1"/>
  <c r="AZ82" i="14" a="1"/>
  <c r="AZ82" i="14" s="1"/>
  <c r="AY82" i="14" a="1"/>
  <c r="AY82" i="14" s="1"/>
  <c r="AX82" i="14" a="1"/>
  <c r="AX82" i="14" s="1"/>
  <c r="AW82" i="14" a="1"/>
  <c r="AW82" i="14" s="1"/>
  <c r="AV82" i="14" a="1"/>
  <c r="AV82" i="14" s="1"/>
  <c r="AU82" i="14" a="1"/>
  <c r="AU82" i="14" s="1"/>
  <c r="AT82" i="14" a="1"/>
  <c r="AT82" i="14" s="1"/>
  <c r="AS82" i="14" a="1"/>
  <c r="AS82" i="14" s="1"/>
  <c r="AR82" i="14" a="1"/>
  <c r="AR82" i="14" s="1"/>
  <c r="AQ82" i="14" a="1"/>
  <c r="AQ82" i="14" s="1"/>
  <c r="AP82" i="14" a="1"/>
  <c r="AP82" i="14" s="1"/>
  <c r="AO82" i="14" a="1"/>
  <c r="AO82" i="14" s="1"/>
  <c r="AN82" i="14" a="1"/>
  <c r="AN82" i="14" s="1"/>
  <c r="AM82" i="14" a="1"/>
  <c r="AM82" i="14" s="1"/>
  <c r="AL82" i="14" a="1"/>
  <c r="AL82" i="14" s="1"/>
  <c r="AK82" i="14" a="1"/>
  <c r="AK82" i="14" s="1"/>
  <c r="AJ82" i="14" a="1"/>
  <c r="AJ82" i="14" s="1"/>
  <c r="AI82" i="14" a="1"/>
  <c r="AI82" i="14" s="1"/>
  <c r="AH82" i="14" a="1"/>
  <c r="AH82" i="14" s="1"/>
  <c r="AG82" i="14" a="1"/>
  <c r="AG82" i="14" s="1"/>
  <c r="AF82" i="14" a="1"/>
  <c r="AF82" i="14" s="1"/>
  <c r="AE82" i="14" a="1"/>
  <c r="AE82" i="14" s="1"/>
  <c r="AD82" i="14" a="1"/>
  <c r="AD82" i="14" s="1"/>
  <c r="AC82" i="14" a="1"/>
  <c r="AC82" i="14" s="1"/>
  <c r="AB82" i="14" a="1"/>
  <c r="AB82" i="14" s="1"/>
  <c r="AA82" i="14" a="1"/>
  <c r="AA82" i="14" s="1"/>
  <c r="Z82" i="14" a="1"/>
  <c r="Z82" i="14" s="1"/>
  <c r="Y82" i="14" a="1"/>
  <c r="Y82" i="14" s="1"/>
  <c r="X82" i="14" a="1"/>
  <c r="X82" i="14" s="1"/>
  <c r="W82" i="14" a="1"/>
  <c r="W82" i="14" s="1"/>
  <c r="V82" i="14" a="1"/>
  <c r="V82" i="14" s="1"/>
  <c r="U82" i="14" a="1"/>
  <c r="U82" i="14" s="1"/>
  <c r="T82" i="14" a="1"/>
  <c r="T82" i="14" s="1"/>
  <c r="S82" i="14" a="1"/>
  <c r="S82" i="14" s="1"/>
  <c r="R82" i="14" a="1"/>
  <c r="R82" i="14" s="1"/>
  <c r="Q82" i="14" a="1"/>
  <c r="Q82" i="14" s="1"/>
  <c r="P82" i="14" a="1"/>
  <c r="P82" i="14" s="1"/>
  <c r="O82" i="14" a="1"/>
  <c r="O82" i="14" s="1"/>
  <c r="N82" i="14" a="1"/>
  <c r="N82" i="14" s="1"/>
  <c r="M82" i="14" a="1"/>
  <c r="M82" i="14" s="1"/>
  <c r="L82" i="14" a="1"/>
  <c r="L82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F82" i="14" a="1"/>
  <c r="F82" i="14" s="1"/>
  <c r="E82" i="14" a="1"/>
  <c r="E82" i="14" s="1"/>
  <c r="D82" i="14" a="1"/>
  <c r="D82" i="14" s="1"/>
  <c r="C82" i="14" a="1"/>
  <c r="C82" i="14" s="1"/>
  <c r="CC81" i="14" a="1"/>
  <c r="CC81" i="14" s="1"/>
  <c r="CB81" i="14" a="1"/>
  <c r="CB81" i="14" s="1"/>
  <c r="CA81" i="14" a="1"/>
  <c r="CA81" i="14" s="1"/>
  <c r="BZ81" i="14" a="1"/>
  <c r="BZ81" i="14" s="1"/>
  <c r="BY81" i="14" a="1"/>
  <c r="BY81" i="14" s="1"/>
  <c r="BX81" i="14" a="1"/>
  <c r="BX81" i="14" s="1"/>
  <c r="BW81" i="14" a="1"/>
  <c r="BW81" i="14" s="1"/>
  <c r="BV81" i="14" a="1"/>
  <c r="BV81" i="14" s="1"/>
  <c r="BU81" i="14" a="1"/>
  <c r="BU81" i="14" s="1"/>
  <c r="BT81" i="14" a="1"/>
  <c r="BT81" i="14" s="1"/>
  <c r="BS81" i="14" a="1"/>
  <c r="BS81" i="14" s="1"/>
  <c r="BR81" i="14" a="1"/>
  <c r="BR81" i="14" s="1"/>
  <c r="BQ81" i="14" a="1"/>
  <c r="BQ81" i="14" s="1"/>
  <c r="BP81" i="14" a="1"/>
  <c r="BP81" i="14" s="1"/>
  <c r="BO81" i="14" a="1"/>
  <c r="BO81" i="14" s="1"/>
  <c r="BN81" i="14" a="1"/>
  <c r="BN81" i="14" s="1"/>
  <c r="BM81" i="14" a="1"/>
  <c r="BM81" i="14" s="1"/>
  <c r="BL81" i="14" a="1"/>
  <c r="BL81" i="14" s="1"/>
  <c r="BK81" i="14" a="1"/>
  <c r="BK81" i="14" s="1"/>
  <c r="BJ81" i="14" a="1"/>
  <c r="BJ81" i="14" s="1"/>
  <c r="BI81" i="14" a="1"/>
  <c r="BI81" i="14" s="1"/>
  <c r="BH81" i="14" a="1"/>
  <c r="BH81" i="14" s="1"/>
  <c r="BG81" i="14" a="1"/>
  <c r="BG81" i="14" s="1"/>
  <c r="BF81" i="14" a="1"/>
  <c r="BF81" i="14" s="1"/>
  <c r="BE81" i="14" a="1"/>
  <c r="BE81" i="14" s="1"/>
  <c r="BD81" i="14" a="1"/>
  <c r="BD81" i="14" s="1"/>
  <c r="BC81" i="14" a="1"/>
  <c r="BC81" i="14" s="1"/>
  <c r="BB81" i="14" a="1"/>
  <c r="BB81" i="14" s="1"/>
  <c r="BA81" i="14" a="1"/>
  <c r="BA81" i="14" s="1"/>
  <c r="AZ81" i="14" a="1"/>
  <c r="AZ81" i="14" s="1"/>
  <c r="AY81" i="14" a="1"/>
  <c r="AY81" i="14" s="1"/>
  <c r="AX81" i="14" a="1"/>
  <c r="AX81" i="14" s="1"/>
  <c r="AW81" i="14" a="1"/>
  <c r="AW81" i="14" s="1"/>
  <c r="AV81" i="14" a="1"/>
  <c r="AV81" i="14" s="1"/>
  <c r="AU81" i="14" a="1"/>
  <c r="AU81" i="14" s="1"/>
  <c r="AT81" i="14" a="1"/>
  <c r="AT81" i="14" s="1"/>
  <c r="AS81" i="14" a="1"/>
  <c r="AS81" i="14" s="1"/>
  <c r="AR81" i="14" a="1"/>
  <c r="AR81" i="14" s="1"/>
  <c r="AQ81" i="14" a="1"/>
  <c r="AQ81" i="14" s="1"/>
  <c r="AP81" i="14" a="1"/>
  <c r="AP81" i="14" s="1"/>
  <c r="AO81" i="14" a="1"/>
  <c r="AO81" i="14" s="1"/>
  <c r="AN81" i="14" a="1"/>
  <c r="AN81" i="14" s="1"/>
  <c r="AM81" i="14" a="1"/>
  <c r="AM81" i="14" s="1"/>
  <c r="AL81" i="14" a="1"/>
  <c r="AL81" i="14" s="1"/>
  <c r="AK81" i="14" a="1"/>
  <c r="AK81" i="14" s="1"/>
  <c r="AJ81" i="14" a="1"/>
  <c r="AJ81" i="14" s="1"/>
  <c r="AI81" i="14" a="1"/>
  <c r="AI81" i="14" s="1"/>
  <c r="AH81" i="14" a="1"/>
  <c r="AH81" i="14" s="1"/>
  <c r="AG81" i="14" a="1"/>
  <c r="AG81" i="14" s="1"/>
  <c r="AF81" i="14" a="1"/>
  <c r="AF81" i="14" s="1"/>
  <c r="AE81" i="14" a="1"/>
  <c r="AE81" i="14" s="1"/>
  <c r="AD81" i="14" a="1"/>
  <c r="AD81" i="14" s="1"/>
  <c r="AC81" i="14" a="1"/>
  <c r="AC81" i="14" s="1"/>
  <c r="AB81" i="14" a="1"/>
  <c r="AB81" i="14" s="1"/>
  <c r="AA81" i="14" a="1"/>
  <c r="AA81" i="14" s="1"/>
  <c r="Z81" i="14" a="1"/>
  <c r="Z81" i="14" s="1"/>
  <c r="Y81" i="14" a="1"/>
  <c r="Y81" i="14" s="1"/>
  <c r="X81" i="14" a="1"/>
  <c r="X81" i="14" s="1"/>
  <c r="W81" i="14" a="1"/>
  <c r="W81" i="14" s="1"/>
  <c r="V81" i="14" a="1"/>
  <c r="V81" i="14" s="1"/>
  <c r="U81" i="14" a="1"/>
  <c r="U81" i="14" s="1"/>
  <c r="T81" i="14" a="1"/>
  <c r="T81" i="14" s="1"/>
  <c r="S81" i="14" a="1"/>
  <c r="S81" i="14" s="1"/>
  <c r="R81" i="14" a="1"/>
  <c r="R81" i="14" s="1"/>
  <c r="Q81" i="14" a="1"/>
  <c r="Q81" i="14" s="1"/>
  <c r="P81" i="14" a="1"/>
  <c r="P81" i="14" s="1"/>
  <c r="O81" i="14" a="1"/>
  <c r="O81" i="14" s="1"/>
  <c r="N81" i="14" a="1"/>
  <c r="N81" i="14" s="1"/>
  <c r="M81" i="14" a="1"/>
  <c r="M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G81" i="14" a="1"/>
  <c r="G81" i="14" s="1"/>
  <c r="F81" i="14" a="1"/>
  <c r="F81" i="14" s="1"/>
  <c r="E81" i="14" a="1"/>
  <c r="E81" i="14" s="1"/>
  <c r="D81" i="14" a="1"/>
  <c r="D81" i="14" s="1"/>
  <c r="C81" i="14" a="1"/>
  <c r="C81" i="14" s="1"/>
  <c r="CC80" i="14" a="1"/>
  <c r="CC80" i="14" s="1"/>
  <c r="CB80" i="14" a="1"/>
  <c r="CB80" i="14" s="1"/>
  <c r="CA80" i="14" a="1"/>
  <c r="CA80" i="14" s="1"/>
  <c r="BZ80" i="14" a="1"/>
  <c r="BZ80" i="14" s="1"/>
  <c r="BY80" i="14" a="1"/>
  <c r="BY80" i="14" s="1"/>
  <c r="BX80" i="14" a="1"/>
  <c r="BX80" i="14" s="1"/>
  <c r="BW80" i="14" a="1"/>
  <c r="BW80" i="14" s="1"/>
  <c r="BV80" i="14" a="1"/>
  <c r="BV80" i="14" s="1"/>
  <c r="BU80" i="14" a="1"/>
  <c r="BU80" i="14" s="1"/>
  <c r="BT80" i="14" a="1"/>
  <c r="BT80" i="14" s="1"/>
  <c r="BS80" i="14" a="1"/>
  <c r="BS80" i="14" s="1"/>
  <c r="BR80" i="14" a="1"/>
  <c r="BR80" i="14" s="1"/>
  <c r="BQ80" i="14" a="1"/>
  <c r="BQ80" i="14" s="1"/>
  <c r="BP80" i="14" a="1"/>
  <c r="BP80" i="14" s="1"/>
  <c r="BO80" i="14" a="1"/>
  <c r="BO80" i="14" s="1"/>
  <c r="BN80" i="14" a="1"/>
  <c r="BN80" i="14" s="1"/>
  <c r="BM80" i="14" a="1"/>
  <c r="BM80" i="14" s="1"/>
  <c r="BL80" i="14" a="1"/>
  <c r="BL80" i="14" s="1"/>
  <c r="BK80" i="14" a="1"/>
  <c r="BK80" i="14" s="1"/>
  <c r="BJ80" i="14" a="1"/>
  <c r="BJ80" i="14" s="1"/>
  <c r="BI80" i="14" a="1"/>
  <c r="BI80" i="14" s="1"/>
  <c r="BH80" i="14" a="1"/>
  <c r="BH80" i="14" s="1"/>
  <c r="BG80" i="14" a="1"/>
  <c r="BG80" i="14" s="1"/>
  <c r="BF80" i="14" a="1"/>
  <c r="BF80" i="14" s="1"/>
  <c r="BE80" i="14" a="1"/>
  <c r="BE80" i="14" s="1"/>
  <c r="BD80" i="14" a="1"/>
  <c r="BD80" i="14" s="1"/>
  <c r="BC80" i="14" a="1"/>
  <c r="BC80" i="14" s="1"/>
  <c r="BB80" i="14" a="1"/>
  <c r="BB80" i="14" s="1"/>
  <c r="BA80" i="14" a="1"/>
  <c r="BA80" i="14" s="1"/>
  <c r="AZ80" i="14" a="1"/>
  <c r="AZ80" i="14" s="1"/>
  <c r="AY80" i="14" a="1"/>
  <c r="AY80" i="14" s="1"/>
  <c r="AX80" i="14" a="1"/>
  <c r="AX80" i="14" s="1"/>
  <c r="AW80" i="14" a="1"/>
  <c r="AW80" i="14" s="1"/>
  <c r="AV80" i="14" a="1"/>
  <c r="AV80" i="14" s="1"/>
  <c r="AU80" i="14" a="1"/>
  <c r="AU80" i="14" s="1"/>
  <c r="AT80" i="14" a="1"/>
  <c r="AT80" i="14" s="1"/>
  <c r="AS80" i="14" a="1"/>
  <c r="AS80" i="14" s="1"/>
  <c r="AR80" i="14" a="1"/>
  <c r="AR80" i="14" s="1"/>
  <c r="AQ80" i="14" a="1"/>
  <c r="AQ80" i="14" s="1"/>
  <c r="AP80" i="14" a="1"/>
  <c r="AP80" i="14" s="1"/>
  <c r="AO80" i="14" a="1"/>
  <c r="AO80" i="14" s="1"/>
  <c r="AN80" i="14" a="1"/>
  <c r="AN80" i="14" s="1"/>
  <c r="AM80" i="14" a="1"/>
  <c r="AM80" i="14" s="1"/>
  <c r="AL80" i="14" a="1"/>
  <c r="AL80" i="14" s="1"/>
  <c r="AK80" i="14" a="1"/>
  <c r="AK80" i="14" s="1"/>
  <c r="AJ80" i="14" a="1"/>
  <c r="AJ80" i="14" s="1"/>
  <c r="AI80" i="14" a="1"/>
  <c r="AI80" i="14" s="1"/>
  <c r="AH80" i="14" a="1"/>
  <c r="AH80" i="14" s="1"/>
  <c r="AG80" i="14" a="1"/>
  <c r="AG80" i="14" s="1"/>
  <c r="AF80" i="14" a="1"/>
  <c r="AF80" i="14" s="1"/>
  <c r="AE80" i="14" a="1"/>
  <c r="AE80" i="14" s="1"/>
  <c r="AD80" i="14" a="1"/>
  <c r="AD80" i="14" s="1"/>
  <c r="AC80" i="14" a="1"/>
  <c r="AC80" i="14" s="1"/>
  <c r="AB80" i="14" a="1"/>
  <c r="AB80" i="14" s="1"/>
  <c r="AA80" i="14" a="1"/>
  <c r="AA80" i="14" s="1"/>
  <c r="Z80" i="14" a="1"/>
  <c r="Z80" i="14" s="1"/>
  <c r="Y80" i="14" a="1"/>
  <c r="Y80" i="14" s="1"/>
  <c r="X80" i="14" a="1"/>
  <c r="X80" i="14" s="1"/>
  <c r="W80" i="14" a="1"/>
  <c r="W80" i="14" s="1"/>
  <c r="V80" i="14" a="1"/>
  <c r="V80" i="14" s="1"/>
  <c r="U80" i="14" a="1"/>
  <c r="U80" i="14" s="1"/>
  <c r="T80" i="14" a="1"/>
  <c r="T80" i="14" s="1"/>
  <c r="S80" i="14" a="1"/>
  <c r="S80" i="14" s="1"/>
  <c r="R80" i="14" a="1"/>
  <c r="R80" i="14" s="1"/>
  <c r="Q80" i="14" a="1"/>
  <c r="Q80" i="14" s="1"/>
  <c r="P80" i="14" a="1"/>
  <c r="P80" i="14" s="1"/>
  <c r="O80" i="14" a="1"/>
  <c r="O80" i="14" s="1"/>
  <c r="N80" i="14" a="1"/>
  <c r="N80" i="14" s="1"/>
  <c r="M80" i="14" a="1"/>
  <c r="M80" i="14" s="1"/>
  <c r="L80" i="14" a="1"/>
  <c r="L80" i="14" s="1"/>
  <c r="K80" i="14" a="1"/>
  <c r="K80" i="14" s="1"/>
  <c r="J80" i="14" a="1"/>
  <c r="J80" i="14" s="1"/>
  <c r="I80" i="14" a="1"/>
  <c r="I80" i="14" s="1"/>
  <c r="H80" i="14" a="1"/>
  <c r="H80" i="14" s="1"/>
  <c r="G80" i="14" a="1"/>
  <c r="G80" i="14" s="1"/>
  <c r="F80" i="14" a="1"/>
  <c r="F80" i="14" s="1"/>
  <c r="E80" i="14" a="1"/>
  <c r="E80" i="14" s="1"/>
  <c r="D80" i="14" a="1"/>
  <c r="D80" i="14" s="1"/>
  <c r="C80" i="14" a="1"/>
  <c r="C80" i="14" s="1"/>
  <c r="CC79" i="14" a="1"/>
  <c r="CC79" i="14" s="1"/>
  <c r="CB79" i="14" a="1"/>
  <c r="CB79" i="14" s="1"/>
  <c r="CA79" i="14" a="1"/>
  <c r="CA79" i="14" s="1"/>
  <c r="BZ79" i="14" a="1"/>
  <c r="BZ79" i="14" s="1"/>
  <c r="BY79" i="14" a="1"/>
  <c r="BY79" i="14" s="1"/>
  <c r="BX79" i="14" a="1"/>
  <c r="BX79" i="14" s="1"/>
  <c r="BW79" i="14" a="1"/>
  <c r="BW79" i="14" s="1"/>
  <c r="BV79" i="14" a="1"/>
  <c r="BV79" i="14" s="1"/>
  <c r="BU79" i="14" a="1"/>
  <c r="BU79" i="14" s="1"/>
  <c r="BT79" i="14" a="1"/>
  <c r="BT79" i="14" s="1"/>
  <c r="BS79" i="14" a="1"/>
  <c r="BS79" i="14" s="1"/>
  <c r="BR79" i="14" a="1"/>
  <c r="BR79" i="14" s="1"/>
  <c r="BQ79" i="14" a="1"/>
  <c r="BQ79" i="14" s="1"/>
  <c r="BP79" i="14" a="1"/>
  <c r="BP79" i="14" s="1"/>
  <c r="BO79" i="14" a="1"/>
  <c r="BO79" i="14" s="1"/>
  <c r="BN79" i="14" a="1"/>
  <c r="BN79" i="14" s="1"/>
  <c r="BM79" i="14" a="1"/>
  <c r="BM79" i="14" s="1"/>
  <c r="BL79" i="14" a="1"/>
  <c r="BL79" i="14" s="1"/>
  <c r="BK79" i="14" a="1"/>
  <c r="BK79" i="14" s="1"/>
  <c r="BJ79" i="14" a="1"/>
  <c r="BJ79" i="14" s="1"/>
  <c r="BI79" i="14" a="1"/>
  <c r="BI79" i="14" s="1"/>
  <c r="BH79" i="14" a="1"/>
  <c r="BH79" i="14" s="1"/>
  <c r="BG79" i="14" a="1"/>
  <c r="BG79" i="14" s="1"/>
  <c r="BF79" i="14" a="1"/>
  <c r="BF79" i="14" s="1"/>
  <c r="BE79" i="14" a="1"/>
  <c r="BE79" i="14" s="1"/>
  <c r="BD79" i="14" a="1"/>
  <c r="BD79" i="14" s="1"/>
  <c r="BC79" i="14" a="1"/>
  <c r="BC79" i="14" s="1"/>
  <c r="BB79" i="14" a="1"/>
  <c r="BB79" i="14" s="1"/>
  <c r="BA79" i="14" a="1"/>
  <c r="BA79" i="14" s="1"/>
  <c r="AZ79" i="14" a="1"/>
  <c r="AZ79" i="14" s="1"/>
  <c r="AY79" i="14" a="1"/>
  <c r="AY79" i="14" s="1"/>
  <c r="AX79" i="14" a="1"/>
  <c r="AX79" i="14" s="1"/>
  <c r="AW79" i="14" a="1"/>
  <c r="AW79" i="14" s="1"/>
  <c r="AV79" i="14" a="1"/>
  <c r="AV79" i="14" s="1"/>
  <c r="AU79" i="14" a="1"/>
  <c r="AU79" i="14" s="1"/>
  <c r="AT79" i="14" a="1"/>
  <c r="AT79" i="14" s="1"/>
  <c r="AS79" i="14" a="1"/>
  <c r="AS79" i="14" s="1"/>
  <c r="AR79" i="14" a="1"/>
  <c r="AR79" i="14" s="1"/>
  <c r="AQ79" i="14" a="1"/>
  <c r="AQ79" i="14" s="1"/>
  <c r="AP79" i="14" a="1"/>
  <c r="AP79" i="14" s="1"/>
  <c r="AO79" i="14" a="1"/>
  <c r="AO79" i="14" s="1"/>
  <c r="AN79" i="14" a="1"/>
  <c r="AN79" i="14" s="1"/>
  <c r="AM79" i="14" a="1"/>
  <c r="AM79" i="14" s="1"/>
  <c r="AL79" i="14" a="1"/>
  <c r="AL79" i="14" s="1"/>
  <c r="AK79" i="14" a="1"/>
  <c r="AK79" i="14" s="1"/>
  <c r="AJ79" i="14" a="1"/>
  <c r="AJ79" i="14" s="1"/>
  <c r="AI79" i="14" a="1"/>
  <c r="AI79" i="14" s="1"/>
  <c r="AH79" i="14" a="1"/>
  <c r="AH79" i="14" s="1"/>
  <c r="AG79" i="14" a="1"/>
  <c r="AG79" i="14" s="1"/>
  <c r="AF79" i="14" a="1"/>
  <c r="AF79" i="14" s="1"/>
  <c r="AE79" i="14" a="1"/>
  <c r="AE79" i="14" s="1"/>
  <c r="AD79" i="14" a="1"/>
  <c r="AD79" i="14" s="1"/>
  <c r="AC79" i="14" a="1"/>
  <c r="AC79" i="14" s="1"/>
  <c r="AB79" i="14" a="1"/>
  <c r="AB79" i="14" s="1"/>
  <c r="AA79" i="14" a="1"/>
  <c r="AA79" i="14" s="1"/>
  <c r="Z79" i="14" a="1"/>
  <c r="Z79" i="14" s="1"/>
  <c r="Y79" i="14" a="1"/>
  <c r="Y79" i="14" s="1"/>
  <c r="X79" i="14" a="1"/>
  <c r="X79" i="14" s="1"/>
  <c r="W79" i="14" a="1"/>
  <c r="W79" i="14" s="1"/>
  <c r="V79" i="14" a="1"/>
  <c r="V79" i="14" s="1"/>
  <c r="U79" i="14" a="1"/>
  <c r="U79" i="14" s="1"/>
  <c r="T79" i="14" a="1"/>
  <c r="T79" i="14" s="1"/>
  <c r="S79" i="14" a="1"/>
  <c r="S79" i="14" s="1"/>
  <c r="R79" i="14" a="1"/>
  <c r="R79" i="14" s="1"/>
  <c r="Q79" i="14" a="1"/>
  <c r="Q79" i="14" s="1"/>
  <c r="P79" i="14" a="1"/>
  <c r="P79" i="14" s="1"/>
  <c r="O79" i="14" a="1"/>
  <c r="O79" i="14" s="1"/>
  <c r="N79" i="14" a="1"/>
  <c r="N79" i="14" s="1"/>
  <c r="M79" i="14" a="1"/>
  <c r="M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F79" i="14" a="1"/>
  <c r="F79" i="14" s="1"/>
  <c r="E79" i="14" a="1"/>
  <c r="E79" i="14" s="1"/>
  <c r="D79" i="14" a="1"/>
  <c r="D79" i="14" s="1"/>
  <c r="C79" i="14" a="1"/>
  <c r="C79" i="14" s="1"/>
  <c r="CC78" i="14" a="1"/>
  <c r="CC78" i="14" s="1"/>
  <c r="CB78" i="14" a="1"/>
  <c r="CB78" i="14" s="1"/>
  <c r="CA78" i="14" a="1"/>
  <c r="CA78" i="14" s="1"/>
  <c r="BZ78" i="14" a="1"/>
  <c r="BZ78" i="14" s="1"/>
  <c r="BY78" i="14" a="1"/>
  <c r="BY78" i="14" s="1"/>
  <c r="BX78" i="14" a="1"/>
  <c r="BX78" i="14" s="1"/>
  <c r="BW78" i="14" a="1"/>
  <c r="BW78" i="14" s="1"/>
  <c r="BV78" i="14" a="1"/>
  <c r="BV78" i="14" s="1"/>
  <c r="BU78" i="14" a="1"/>
  <c r="BU78" i="14" s="1"/>
  <c r="BT78" i="14" a="1"/>
  <c r="BT78" i="14" s="1"/>
  <c r="BS78" i="14" a="1"/>
  <c r="BS78" i="14" s="1"/>
  <c r="BR78" i="14" a="1"/>
  <c r="BR78" i="14" s="1"/>
  <c r="BQ78" i="14" a="1"/>
  <c r="BQ78" i="14" s="1"/>
  <c r="BP78" i="14" a="1"/>
  <c r="BP78" i="14" s="1"/>
  <c r="BO78" i="14" a="1"/>
  <c r="BO78" i="14" s="1"/>
  <c r="BN78" i="14" a="1"/>
  <c r="BN78" i="14" s="1"/>
  <c r="BM78" i="14" a="1"/>
  <c r="BM78" i="14" s="1"/>
  <c r="BL78" i="14" a="1"/>
  <c r="BL78" i="14" s="1"/>
  <c r="BK78" i="14" a="1"/>
  <c r="BK78" i="14" s="1"/>
  <c r="BJ78" i="14" a="1"/>
  <c r="BJ78" i="14" s="1"/>
  <c r="BI78" i="14" a="1"/>
  <c r="BI78" i="14" s="1"/>
  <c r="BH78" i="14" a="1"/>
  <c r="BH78" i="14" s="1"/>
  <c r="BG78" i="14" a="1"/>
  <c r="BG78" i="14" s="1"/>
  <c r="BF78" i="14" a="1"/>
  <c r="BF78" i="14" s="1"/>
  <c r="BE78" i="14" a="1"/>
  <c r="BE78" i="14" s="1"/>
  <c r="BD78" i="14" a="1"/>
  <c r="BD78" i="14" s="1"/>
  <c r="BC78" i="14" a="1"/>
  <c r="BC78" i="14" s="1"/>
  <c r="BB78" i="14" a="1"/>
  <c r="BB78" i="14" s="1"/>
  <c r="BA78" i="14" a="1"/>
  <c r="BA78" i="14" s="1"/>
  <c r="AZ78" i="14" a="1"/>
  <c r="AZ78" i="14" s="1"/>
  <c r="AY78" i="14" a="1"/>
  <c r="AY78" i="14" s="1"/>
  <c r="AX78" i="14" a="1"/>
  <c r="AX78" i="14" s="1"/>
  <c r="AW78" i="14" a="1"/>
  <c r="AW78" i="14" s="1"/>
  <c r="AV78" i="14" a="1"/>
  <c r="AV78" i="14" s="1"/>
  <c r="AU78" i="14" a="1"/>
  <c r="AU78" i="14" s="1"/>
  <c r="AT78" i="14" a="1"/>
  <c r="AT78" i="14" s="1"/>
  <c r="AS78" i="14" a="1"/>
  <c r="AS78" i="14" s="1"/>
  <c r="AR78" i="14" a="1"/>
  <c r="AR78" i="14" s="1"/>
  <c r="AQ78" i="14" a="1"/>
  <c r="AQ78" i="14" s="1"/>
  <c r="AP78" i="14" a="1"/>
  <c r="AP78" i="14" s="1"/>
  <c r="AO78" i="14" a="1"/>
  <c r="AO78" i="14" s="1"/>
  <c r="AN78" i="14" a="1"/>
  <c r="AN78" i="14" s="1"/>
  <c r="AM78" i="14" a="1"/>
  <c r="AM78" i="14" s="1"/>
  <c r="AL78" i="14" a="1"/>
  <c r="AL78" i="14" s="1"/>
  <c r="AK78" i="14" a="1"/>
  <c r="AK78" i="14" s="1"/>
  <c r="AJ78" i="14" a="1"/>
  <c r="AJ78" i="14" s="1"/>
  <c r="AI78" i="14" a="1"/>
  <c r="AI78" i="14" s="1"/>
  <c r="AH78" i="14" a="1"/>
  <c r="AH78" i="14" s="1"/>
  <c r="AG78" i="14" a="1"/>
  <c r="AG78" i="14" s="1"/>
  <c r="AF78" i="14" a="1"/>
  <c r="AF78" i="14" s="1"/>
  <c r="AE78" i="14" a="1"/>
  <c r="AE78" i="14" s="1"/>
  <c r="AD78" i="14" a="1"/>
  <c r="AD78" i="14" s="1"/>
  <c r="AC78" i="14" a="1"/>
  <c r="AC78" i="14" s="1"/>
  <c r="AB78" i="14" a="1"/>
  <c r="AB78" i="14" s="1"/>
  <c r="AA78" i="14" a="1"/>
  <c r="AA78" i="14" s="1"/>
  <c r="Z78" i="14" a="1"/>
  <c r="Z78" i="14" s="1"/>
  <c r="Y78" i="14" a="1"/>
  <c r="Y78" i="14" s="1"/>
  <c r="X78" i="14" a="1"/>
  <c r="X78" i="14" s="1"/>
  <c r="W78" i="14" a="1"/>
  <c r="W78" i="14" s="1"/>
  <c r="V78" i="14" a="1"/>
  <c r="V78" i="14" s="1"/>
  <c r="U78" i="14" a="1"/>
  <c r="U78" i="14" s="1"/>
  <c r="T78" i="14" a="1"/>
  <c r="T78" i="14" s="1"/>
  <c r="S78" i="14" a="1"/>
  <c r="S78" i="14" s="1"/>
  <c r="R78" i="14" a="1"/>
  <c r="R78" i="14" s="1"/>
  <c r="Q78" i="14" a="1"/>
  <c r="Q78" i="14" s="1"/>
  <c r="P78" i="14" a="1"/>
  <c r="P78" i="14" s="1"/>
  <c r="O78" i="14" a="1"/>
  <c r="O78" i="14" s="1"/>
  <c r="N78" i="14" a="1"/>
  <c r="N78" i="14" s="1"/>
  <c r="M78" i="14" a="1"/>
  <c r="M78" i="14" s="1"/>
  <c r="L78" i="14" a="1"/>
  <c r="L78" i="14" s="1"/>
  <c r="K78" i="14" a="1"/>
  <c r="K78" i="14" s="1"/>
  <c r="J78" i="14" a="1"/>
  <c r="J78" i="14" s="1"/>
  <c r="I78" i="14" a="1"/>
  <c r="I78" i="14" s="1"/>
  <c r="H78" i="14" a="1"/>
  <c r="H78" i="14" s="1"/>
  <c r="G78" i="14" a="1"/>
  <c r="G78" i="14" s="1"/>
  <c r="F78" i="14" a="1"/>
  <c r="F78" i="14" s="1"/>
  <c r="E78" i="14" a="1"/>
  <c r="E78" i="14" s="1"/>
  <c r="D78" i="14" a="1"/>
  <c r="D78" i="14" s="1"/>
  <c r="C78" i="14" a="1"/>
  <c r="C78" i="14" s="1"/>
  <c r="CC57" i="14" a="1"/>
  <c r="CC57" i="14" s="1"/>
  <c r="CB57" i="14" a="1"/>
  <c r="CB57" i="14" s="1"/>
  <c r="CA57" i="14" a="1"/>
  <c r="CA57" i="14" s="1"/>
  <c r="BZ57" i="14" a="1"/>
  <c r="BZ57" i="14" s="1"/>
  <c r="BY57" i="14" a="1"/>
  <c r="BY57" i="14" s="1"/>
  <c r="BX57" i="14" a="1"/>
  <c r="BX57" i="14" s="1"/>
  <c r="BW57" i="14" a="1"/>
  <c r="BW57" i="14" s="1"/>
  <c r="BV57" i="14" a="1"/>
  <c r="BV57" i="14" s="1"/>
  <c r="BU57" i="14" a="1"/>
  <c r="BU57" i="14" s="1"/>
  <c r="BT57" i="14" a="1"/>
  <c r="BT57" i="14" s="1"/>
  <c r="BS57" i="14" a="1"/>
  <c r="BS57" i="14" s="1"/>
  <c r="BR57" i="14" a="1"/>
  <c r="BR57" i="14" s="1"/>
  <c r="BQ57" i="14" a="1"/>
  <c r="BQ57" i="14" s="1"/>
  <c r="BP57" i="14" a="1"/>
  <c r="BP57" i="14" s="1"/>
  <c r="BO57" i="14" a="1"/>
  <c r="BO57" i="14" s="1"/>
  <c r="BN57" i="14" a="1"/>
  <c r="BN57" i="14" s="1"/>
  <c r="BM57" i="14" a="1"/>
  <c r="BM57" i="14" s="1"/>
  <c r="BL57" i="14" a="1"/>
  <c r="BL57" i="14" s="1"/>
  <c r="BK57" i="14" a="1"/>
  <c r="BK57" i="14" s="1"/>
  <c r="BJ57" i="14" a="1"/>
  <c r="BJ57" i="14" s="1"/>
  <c r="BI57" i="14" a="1"/>
  <c r="BI57" i="14" s="1"/>
  <c r="BH57" i="14" a="1"/>
  <c r="BH57" i="14" s="1"/>
  <c r="BG57" i="14" a="1"/>
  <c r="BG57" i="14" s="1"/>
  <c r="BF57" i="14" a="1"/>
  <c r="BF57" i="14" s="1"/>
  <c r="BE57" i="14" a="1"/>
  <c r="BE57" i="14" s="1"/>
  <c r="BD57" i="14" a="1"/>
  <c r="BD57" i="14" s="1"/>
  <c r="BC57" i="14" a="1"/>
  <c r="BC57" i="14" s="1"/>
  <c r="BB57" i="14" a="1"/>
  <c r="BB57" i="14" s="1"/>
  <c r="BA57" i="14" a="1"/>
  <c r="BA57" i="14" s="1"/>
  <c r="AZ57" i="14" a="1"/>
  <c r="AZ57" i="14" s="1"/>
  <c r="AY57" i="14" a="1"/>
  <c r="AY57" i="14" s="1"/>
  <c r="AX57" i="14" a="1"/>
  <c r="AX57" i="14" s="1"/>
  <c r="AW57" i="14" a="1"/>
  <c r="AW57" i="14" s="1"/>
  <c r="AV57" i="14" a="1"/>
  <c r="AV57" i="14" s="1"/>
  <c r="AU57" i="14" a="1"/>
  <c r="AU57" i="14" s="1"/>
  <c r="AT57" i="14" a="1"/>
  <c r="AT57" i="14" s="1"/>
  <c r="AS57" i="14" a="1"/>
  <c r="AS57" i="14" s="1"/>
  <c r="AR57" i="14" a="1"/>
  <c r="AR57" i="14" s="1"/>
  <c r="AQ57" i="14" a="1"/>
  <c r="AQ57" i="14" s="1"/>
  <c r="AP57" i="14" a="1"/>
  <c r="AP57" i="14" s="1"/>
  <c r="AO57" i="14" a="1"/>
  <c r="AO57" i="14" s="1"/>
  <c r="AN57" i="14" a="1"/>
  <c r="AN57" i="14" s="1"/>
  <c r="AM57" i="14" a="1"/>
  <c r="AM57" i="14" s="1"/>
  <c r="AL57" i="14" a="1"/>
  <c r="AL57" i="14" s="1"/>
  <c r="AK57" i="14" a="1"/>
  <c r="AK57" i="14" s="1"/>
  <c r="AJ57" i="14" a="1"/>
  <c r="AJ57" i="14" s="1"/>
  <c r="AI57" i="14" a="1"/>
  <c r="AI57" i="14" s="1"/>
  <c r="AH57" i="14" a="1"/>
  <c r="AH57" i="14" s="1"/>
  <c r="AG57" i="14" a="1"/>
  <c r="AG57" i="14" s="1"/>
  <c r="AF57" i="14" a="1"/>
  <c r="AF57" i="14" s="1"/>
  <c r="AE57" i="14" a="1"/>
  <c r="AE57" i="14" s="1"/>
  <c r="AD57" i="14" a="1"/>
  <c r="AD57" i="14" s="1"/>
  <c r="AC57" i="14" a="1"/>
  <c r="AC57" i="14" s="1"/>
  <c r="AB57" i="14" a="1"/>
  <c r="AB57" i="14" s="1"/>
  <c r="AA57" i="14" a="1"/>
  <c r="AA57" i="14" s="1"/>
  <c r="Z57" i="14" a="1"/>
  <c r="Z57" i="14" s="1"/>
  <c r="Y57" i="14" a="1"/>
  <c r="Y57" i="14" s="1"/>
  <c r="X57" i="14" a="1"/>
  <c r="X57" i="14" s="1"/>
  <c r="W57" i="14" a="1"/>
  <c r="W57" i="14" s="1"/>
  <c r="V57" i="14" a="1"/>
  <c r="V57" i="14" s="1"/>
  <c r="U57" i="14" a="1"/>
  <c r="U57" i="14" s="1"/>
  <c r="T57" i="14" a="1"/>
  <c r="T57" i="14" s="1"/>
  <c r="S57" i="14" a="1"/>
  <c r="S57" i="14" s="1"/>
  <c r="R57" i="14" a="1"/>
  <c r="R57" i="14" s="1"/>
  <c r="Q57" i="14" a="1"/>
  <c r="Q57" i="14" s="1"/>
  <c r="P57" i="14" a="1"/>
  <c r="P57" i="14" s="1"/>
  <c r="O57" i="14" a="1"/>
  <c r="O57" i="14" s="1"/>
  <c r="N57" i="14" a="1"/>
  <c r="N57" i="14" s="1"/>
  <c r="M57" i="14" a="1"/>
  <c r="M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F57" i="14" a="1"/>
  <c r="F57" i="14" s="1"/>
  <c r="E57" i="14" a="1"/>
  <c r="E57" i="14" s="1"/>
  <c r="D57" i="14" a="1"/>
  <c r="D57" i="14" s="1"/>
  <c r="C57" i="14" a="1"/>
  <c r="C57" i="14" s="1"/>
  <c r="CC56" i="14" a="1"/>
  <c r="CC56" i="14" s="1"/>
  <c r="CB56" i="14" a="1"/>
  <c r="CB56" i="14" s="1"/>
  <c r="CA56" i="14" a="1"/>
  <c r="CA56" i="14" s="1"/>
  <c r="BZ56" i="14" a="1"/>
  <c r="BZ56" i="14" s="1"/>
  <c r="BY56" i="14" a="1"/>
  <c r="BY56" i="14" s="1"/>
  <c r="BX56" i="14" a="1"/>
  <c r="BX56" i="14" s="1"/>
  <c r="BW56" i="14" a="1"/>
  <c r="BW56" i="14" s="1"/>
  <c r="BV56" i="14" a="1"/>
  <c r="BV56" i="14" s="1"/>
  <c r="BU56" i="14" a="1"/>
  <c r="BU56" i="14" s="1"/>
  <c r="BT56" i="14" a="1"/>
  <c r="BT56" i="14" s="1"/>
  <c r="BS56" i="14" a="1"/>
  <c r="BS56" i="14" s="1"/>
  <c r="BR56" i="14" a="1"/>
  <c r="BR56" i="14" s="1"/>
  <c r="BQ56" i="14" a="1"/>
  <c r="BQ56" i="14" s="1"/>
  <c r="BP56" i="14" a="1"/>
  <c r="BP56" i="14" s="1"/>
  <c r="BO56" i="14" a="1"/>
  <c r="BO56" i="14" s="1"/>
  <c r="BN56" i="14" a="1"/>
  <c r="BN56" i="14" s="1"/>
  <c r="BM56" i="14" a="1"/>
  <c r="BM56" i="14" s="1"/>
  <c r="BL56" i="14" a="1"/>
  <c r="BL56" i="14" s="1"/>
  <c r="BK56" i="14" a="1"/>
  <c r="BK56" i="14" s="1"/>
  <c r="BJ56" i="14" a="1"/>
  <c r="BJ56" i="14" s="1"/>
  <c r="BI56" i="14" a="1"/>
  <c r="BI56" i="14" s="1"/>
  <c r="BH56" i="14" a="1"/>
  <c r="BH56" i="14" s="1"/>
  <c r="BG56" i="14" a="1"/>
  <c r="BG56" i="14" s="1"/>
  <c r="BF56" i="14" a="1"/>
  <c r="BF56" i="14" s="1"/>
  <c r="BE56" i="14" a="1"/>
  <c r="BE56" i="14" s="1"/>
  <c r="BD56" i="14" a="1"/>
  <c r="BD56" i="14" s="1"/>
  <c r="BC56" i="14" a="1"/>
  <c r="BC56" i="14" s="1"/>
  <c r="BB56" i="14" a="1"/>
  <c r="BB56" i="14" s="1"/>
  <c r="BA56" i="14" a="1"/>
  <c r="BA56" i="14" s="1"/>
  <c r="AZ56" i="14" a="1"/>
  <c r="AZ56" i="14" s="1"/>
  <c r="AY56" i="14" a="1"/>
  <c r="AY56" i="14" s="1"/>
  <c r="AX56" i="14" a="1"/>
  <c r="AX56" i="14" s="1"/>
  <c r="AW56" i="14" a="1"/>
  <c r="AW56" i="14" s="1"/>
  <c r="AV56" i="14" a="1"/>
  <c r="AV56" i="14" s="1"/>
  <c r="AU56" i="14" a="1"/>
  <c r="AU56" i="14" s="1"/>
  <c r="AT56" i="14" a="1"/>
  <c r="AT56" i="14" s="1"/>
  <c r="AS56" i="14" a="1"/>
  <c r="AS56" i="14" s="1"/>
  <c r="AR56" i="14" a="1"/>
  <c r="AR56" i="14" s="1"/>
  <c r="AQ56" i="14" a="1"/>
  <c r="AQ56" i="14" s="1"/>
  <c r="AP56" i="14" a="1"/>
  <c r="AP56" i="14" s="1"/>
  <c r="AO56" i="14" a="1"/>
  <c r="AO56" i="14" s="1"/>
  <c r="AN56" i="14" a="1"/>
  <c r="AN56" i="14" s="1"/>
  <c r="AM56" i="14" a="1"/>
  <c r="AM56" i="14" s="1"/>
  <c r="AL56" i="14" a="1"/>
  <c r="AL56" i="14" s="1"/>
  <c r="AK56" i="14" a="1"/>
  <c r="AK56" i="14" s="1"/>
  <c r="AJ56" i="14" a="1"/>
  <c r="AJ56" i="14" s="1"/>
  <c r="AI56" i="14" a="1"/>
  <c r="AI56" i="14" s="1"/>
  <c r="AH56" i="14" a="1"/>
  <c r="AH56" i="14" s="1"/>
  <c r="AG56" i="14" a="1"/>
  <c r="AG56" i="14" s="1"/>
  <c r="AF56" i="14" a="1"/>
  <c r="AF56" i="14" s="1"/>
  <c r="AE56" i="14" a="1"/>
  <c r="AE56" i="14" s="1"/>
  <c r="AD56" i="14" a="1"/>
  <c r="AD56" i="14" s="1"/>
  <c r="AC56" i="14" a="1"/>
  <c r="AC56" i="14" s="1"/>
  <c r="AB56" i="14" a="1"/>
  <c r="AB56" i="14" s="1"/>
  <c r="AA56" i="14" a="1"/>
  <c r="AA56" i="14" s="1"/>
  <c r="Z56" i="14" a="1"/>
  <c r="Z56" i="14" s="1"/>
  <c r="Y56" i="14" a="1"/>
  <c r="Y56" i="14" s="1"/>
  <c r="X56" i="14" a="1"/>
  <c r="X56" i="14" s="1"/>
  <c r="W56" i="14" a="1"/>
  <c r="W56" i="14" s="1"/>
  <c r="V56" i="14" a="1"/>
  <c r="V56" i="14" s="1"/>
  <c r="U56" i="14" a="1"/>
  <c r="U56" i="14" s="1"/>
  <c r="T56" i="14" a="1"/>
  <c r="T56" i="14" s="1"/>
  <c r="S56" i="14" a="1"/>
  <c r="S56" i="14" s="1"/>
  <c r="R56" i="14" a="1"/>
  <c r="R56" i="14" s="1"/>
  <c r="Q56" i="14" a="1"/>
  <c r="Q56" i="14" s="1"/>
  <c r="P56" i="14" a="1"/>
  <c r="P56" i="14" s="1"/>
  <c r="O56" i="14" a="1"/>
  <c r="O56" i="14" s="1"/>
  <c r="N56" i="14" a="1"/>
  <c r="N56" i="14" s="1"/>
  <c r="M56" i="14" a="1"/>
  <c r="M56" i="14" s="1"/>
  <c r="L56" i="14" a="1"/>
  <c r="L56" i="14" s="1"/>
  <c r="K56" i="14" a="1"/>
  <c r="K56" i="14" s="1"/>
  <c r="J56" i="14" a="1"/>
  <c r="J56" i="14" s="1"/>
  <c r="I56" i="14" a="1"/>
  <c r="I56" i="14" s="1"/>
  <c r="H56" i="14" a="1"/>
  <c r="H56" i="14" s="1"/>
  <c r="G56" i="14" a="1"/>
  <c r="G56" i="14" s="1"/>
  <c r="F56" i="14" a="1"/>
  <c r="F56" i="14" s="1"/>
  <c r="E56" i="14" a="1"/>
  <c r="E56" i="14" s="1"/>
  <c r="D56" i="14" a="1"/>
  <c r="D56" i="14" s="1"/>
  <c r="C56" i="14" a="1"/>
  <c r="C56" i="14" s="1"/>
  <c r="CC55" i="14" a="1"/>
  <c r="CC55" i="14" s="1"/>
  <c r="CB55" i="14" a="1"/>
  <c r="CB55" i="14" s="1"/>
  <c r="CA55" i="14" a="1"/>
  <c r="CA55" i="14" s="1"/>
  <c r="BZ55" i="14" a="1"/>
  <c r="BZ55" i="14" s="1"/>
  <c r="BY55" i="14" a="1"/>
  <c r="BY55" i="14" s="1"/>
  <c r="BX55" i="14" a="1"/>
  <c r="BX55" i="14" s="1"/>
  <c r="BW55" i="14" a="1"/>
  <c r="BW55" i="14" s="1"/>
  <c r="BV55" i="14" a="1"/>
  <c r="BV55" i="14" s="1"/>
  <c r="BU55" i="14" a="1"/>
  <c r="BU55" i="14" s="1"/>
  <c r="BT55" i="14" a="1"/>
  <c r="BT55" i="14" s="1"/>
  <c r="BS55" i="14" a="1"/>
  <c r="BS55" i="14" s="1"/>
  <c r="BR55" i="14" a="1"/>
  <c r="BR55" i="14" s="1"/>
  <c r="BQ55" i="14" a="1"/>
  <c r="BQ55" i="14" s="1"/>
  <c r="BP55" i="14" a="1"/>
  <c r="BP55" i="14" s="1"/>
  <c r="BO55" i="14" a="1"/>
  <c r="BO55" i="14" s="1"/>
  <c r="BN55" i="14" a="1"/>
  <c r="BN55" i="14" s="1"/>
  <c r="BM55" i="14" a="1"/>
  <c r="BM55" i="14" s="1"/>
  <c r="BL55" i="14" a="1"/>
  <c r="BL55" i="14" s="1"/>
  <c r="BK55" i="14" a="1"/>
  <c r="BK55" i="14" s="1"/>
  <c r="BJ55" i="14" a="1"/>
  <c r="BJ55" i="14" s="1"/>
  <c r="BI55" i="14" a="1"/>
  <c r="BI55" i="14" s="1"/>
  <c r="BH55" i="14" a="1"/>
  <c r="BH55" i="14" s="1"/>
  <c r="BG55" i="14" a="1"/>
  <c r="BG55" i="14" s="1"/>
  <c r="BF55" i="14" a="1"/>
  <c r="BF55" i="14" s="1"/>
  <c r="BE55" i="14" a="1"/>
  <c r="BE55" i="14" s="1"/>
  <c r="BD55" i="14" a="1"/>
  <c r="BD55" i="14" s="1"/>
  <c r="BC55" i="14" a="1"/>
  <c r="BC55" i="14" s="1"/>
  <c r="BB55" i="14" a="1"/>
  <c r="BB55" i="14" s="1"/>
  <c r="BA55" i="14" a="1"/>
  <c r="BA55" i="14" s="1"/>
  <c r="AZ55" i="14" a="1"/>
  <c r="AZ55" i="14" s="1"/>
  <c r="AY55" i="14" a="1"/>
  <c r="AY55" i="14" s="1"/>
  <c r="AX55" i="14" a="1"/>
  <c r="AX55" i="14" s="1"/>
  <c r="AW55" i="14" a="1"/>
  <c r="AW55" i="14" s="1"/>
  <c r="AV55" i="14" a="1"/>
  <c r="AV55" i="14" s="1"/>
  <c r="AU55" i="14" a="1"/>
  <c r="AU55" i="14" s="1"/>
  <c r="AT55" i="14" a="1"/>
  <c r="AT55" i="14" s="1"/>
  <c r="AS55" i="14" a="1"/>
  <c r="AS55" i="14" s="1"/>
  <c r="AR55" i="14" a="1"/>
  <c r="AR55" i="14" s="1"/>
  <c r="AQ55" i="14" a="1"/>
  <c r="AQ55" i="14" s="1"/>
  <c r="AP55" i="14" a="1"/>
  <c r="AP55" i="14" s="1"/>
  <c r="AO55" i="14" a="1"/>
  <c r="AO55" i="14" s="1"/>
  <c r="AN55" i="14" a="1"/>
  <c r="AN55" i="14" s="1"/>
  <c r="AM55" i="14" a="1"/>
  <c r="AM55" i="14" s="1"/>
  <c r="AL55" i="14" a="1"/>
  <c r="AL55" i="14" s="1"/>
  <c r="AK55" i="14" a="1"/>
  <c r="AK55" i="14" s="1"/>
  <c r="AJ55" i="14" a="1"/>
  <c r="AJ55" i="14" s="1"/>
  <c r="AI55" i="14" a="1"/>
  <c r="AI55" i="14" s="1"/>
  <c r="AH55" i="14" a="1"/>
  <c r="AH55" i="14" s="1"/>
  <c r="AG55" i="14" a="1"/>
  <c r="AG55" i="14" s="1"/>
  <c r="AF55" i="14" a="1"/>
  <c r="AF55" i="14" s="1"/>
  <c r="AE55" i="14" a="1"/>
  <c r="AE55" i="14" s="1"/>
  <c r="AD55" i="14" a="1"/>
  <c r="AD55" i="14" s="1"/>
  <c r="AC55" i="14" a="1"/>
  <c r="AC55" i="14" s="1"/>
  <c r="AB55" i="14" a="1"/>
  <c r="AB55" i="14" s="1"/>
  <c r="AA55" i="14" a="1"/>
  <c r="AA55" i="14" s="1"/>
  <c r="Z55" i="14" a="1"/>
  <c r="Z55" i="14" s="1"/>
  <c r="Y55" i="14" a="1"/>
  <c r="Y55" i="14" s="1"/>
  <c r="X55" i="14" a="1"/>
  <c r="X55" i="14" s="1"/>
  <c r="W55" i="14" a="1"/>
  <c r="W55" i="14" s="1"/>
  <c r="V55" i="14" a="1"/>
  <c r="V55" i="14" s="1"/>
  <c r="U55" i="14" a="1"/>
  <c r="U55" i="14" s="1"/>
  <c r="T55" i="14" a="1"/>
  <c r="T55" i="14" s="1"/>
  <c r="S55" i="14" a="1"/>
  <c r="S55" i="14" s="1"/>
  <c r="R55" i="14" a="1"/>
  <c r="R55" i="14" s="1"/>
  <c r="Q55" i="14" a="1"/>
  <c r="Q55" i="14" s="1"/>
  <c r="P55" i="14" a="1"/>
  <c r="P55" i="14" s="1"/>
  <c r="O55" i="14" a="1"/>
  <c r="O55" i="14" s="1"/>
  <c r="N55" i="14" a="1"/>
  <c r="N55" i="14" s="1"/>
  <c r="M55" i="14" a="1"/>
  <c r="M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F55" i="14" a="1"/>
  <c r="F55" i="14" s="1"/>
  <c r="E55" i="14" a="1"/>
  <c r="E55" i="14" s="1"/>
  <c r="D55" i="14" a="1"/>
  <c r="D55" i="14" s="1"/>
  <c r="C55" i="14" a="1"/>
  <c r="C55" i="14" s="1"/>
  <c r="CC54" i="14" a="1"/>
  <c r="CC54" i="14" s="1"/>
  <c r="CB54" i="14" a="1"/>
  <c r="CB54" i="14" s="1"/>
  <c r="CA54" i="14" a="1"/>
  <c r="CA54" i="14" s="1"/>
  <c r="BZ54" i="14" a="1"/>
  <c r="BZ54" i="14" s="1"/>
  <c r="BY54" i="14" a="1"/>
  <c r="BY54" i="14" s="1"/>
  <c r="BX54" i="14" a="1"/>
  <c r="BX54" i="14" s="1"/>
  <c r="BW54" i="14" a="1"/>
  <c r="BW54" i="14" s="1"/>
  <c r="BV54" i="14" a="1"/>
  <c r="BV54" i="14" s="1"/>
  <c r="BU54" i="14" a="1"/>
  <c r="BU54" i="14" s="1"/>
  <c r="BT54" i="14" a="1"/>
  <c r="BT54" i="14" s="1"/>
  <c r="BS54" i="14" a="1"/>
  <c r="BS54" i="14" s="1"/>
  <c r="BR54" i="14" a="1"/>
  <c r="BR54" i="14" s="1"/>
  <c r="BQ54" i="14" a="1"/>
  <c r="BQ54" i="14" s="1"/>
  <c r="BP54" i="14" a="1"/>
  <c r="BP54" i="14" s="1"/>
  <c r="BO54" i="14" a="1"/>
  <c r="BO54" i="14" s="1"/>
  <c r="BN54" i="14" a="1"/>
  <c r="BN54" i="14" s="1"/>
  <c r="BM54" i="14" a="1"/>
  <c r="BM54" i="14" s="1"/>
  <c r="BL54" i="14" a="1"/>
  <c r="BL54" i="14" s="1"/>
  <c r="BK54" i="14" a="1"/>
  <c r="BK54" i="14" s="1"/>
  <c r="BJ54" i="14" a="1"/>
  <c r="BJ54" i="14" s="1"/>
  <c r="BI54" i="14" a="1"/>
  <c r="BI54" i="14" s="1"/>
  <c r="BH54" i="14" a="1"/>
  <c r="BH54" i="14" s="1"/>
  <c r="BG54" i="14" a="1"/>
  <c r="BG54" i="14" s="1"/>
  <c r="BF54" i="14" a="1"/>
  <c r="BF54" i="14" s="1"/>
  <c r="BE54" i="14" a="1"/>
  <c r="BE54" i="14" s="1"/>
  <c r="BD54" i="14" a="1"/>
  <c r="BD54" i="14" s="1"/>
  <c r="BC54" i="14" a="1"/>
  <c r="BC54" i="14" s="1"/>
  <c r="BB54" i="14" a="1"/>
  <c r="BB54" i="14" s="1"/>
  <c r="BA54" i="14" a="1"/>
  <c r="BA54" i="14" s="1"/>
  <c r="AZ54" i="14" a="1"/>
  <c r="AZ54" i="14" s="1"/>
  <c r="AY54" i="14" a="1"/>
  <c r="AY54" i="14" s="1"/>
  <c r="AX54" i="14" a="1"/>
  <c r="AX54" i="14" s="1"/>
  <c r="AW54" i="14" a="1"/>
  <c r="AW54" i="14" s="1"/>
  <c r="AV54" i="14" a="1"/>
  <c r="AV54" i="14" s="1"/>
  <c r="AU54" i="14" a="1"/>
  <c r="AU54" i="14" s="1"/>
  <c r="AT54" i="14" a="1"/>
  <c r="AT54" i="14" s="1"/>
  <c r="AS54" i="14" a="1"/>
  <c r="AS54" i="14" s="1"/>
  <c r="AR54" i="14" a="1"/>
  <c r="AR54" i="14" s="1"/>
  <c r="AQ54" i="14" a="1"/>
  <c r="AQ54" i="14" s="1"/>
  <c r="AP54" i="14" a="1"/>
  <c r="AP54" i="14" s="1"/>
  <c r="AO54" i="14" a="1"/>
  <c r="AO54" i="14" s="1"/>
  <c r="AN54" i="14" a="1"/>
  <c r="AN54" i="14" s="1"/>
  <c r="AM54" i="14" a="1"/>
  <c r="AM54" i="14" s="1"/>
  <c r="AL54" i="14" a="1"/>
  <c r="AL54" i="14" s="1"/>
  <c r="AK54" i="14" a="1"/>
  <c r="AK54" i="14" s="1"/>
  <c r="AJ54" i="14" a="1"/>
  <c r="AJ54" i="14" s="1"/>
  <c r="AI54" i="14" a="1"/>
  <c r="AI54" i="14" s="1"/>
  <c r="AH54" i="14" a="1"/>
  <c r="AH54" i="14" s="1"/>
  <c r="AG54" i="14" a="1"/>
  <c r="AG54" i="14" s="1"/>
  <c r="AF54" i="14" a="1"/>
  <c r="AF54" i="14" s="1"/>
  <c r="AE54" i="14" a="1"/>
  <c r="AE54" i="14" s="1"/>
  <c r="AD54" i="14" a="1"/>
  <c r="AD54" i="14" s="1"/>
  <c r="AC54" i="14" a="1"/>
  <c r="AC54" i="14" s="1"/>
  <c r="AB54" i="14" a="1"/>
  <c r="AB54" i="14" s="1"/>
  <c r="AA54" i="14" a="1"/>
  <c r="AA54" i="14" s="1"/>
  <c r="Z54" i="14" a="1"/>
  <c r="Z54" i="14" s="1"/>
  <c r="Y54" i="14" a="1"/>
  <c r="Y54" i="14" s="1"/>
  <c r="X54" i="14" a="1"/>
  <c r="X54" i="14" s="1"/>
  <c r="W54" i="14" a="1"/>
  <c r="W54" i="14" s="1"/>
  <c r="V54" i="14" a="1"/>
  <c r="V54" i="14" s="1"/>
  <c r="U54" i="14" a="1"/>
  <c r="U54" i="14" s="1"/>
  <c r="T54" i="14" a="1"/>
  <c r="T54" i="14" s="1"/>
  <c r="S54" i="14" a="1"/>
  <c r="S54" i="14" s="1"/>
  <c r="R54" i="14" a="1"/>
  <c r="R54" i="14" s="1"/>
  <c r="Q54" i="14" a="1"/>
  <c r="Q54" i="14" s="1"/>
  <c r="P54" i="14" a="1"/>
  <c r="P54" i="14" s="1"/>
  <c r="O54" i="14" a="1"/>
  <c r="O54" i="14" s="1"/>
  <c r="N54" i="14" a="1"/>
  <c r="N54" i="14" s="1"/>
  <c r="M54" i="14" a="1"/>
  <c r="M54" i="14" s="1"/>
  <c r="L54" i="14" a="1"/>
  <c r="L54" i="14" s="1"/>
  <c r="K54" i="14" a="1"/>
  <c r="K54" i="14" s="1"/>
  <c r="J54" i="14" a="1"/>
  <c r="J54" i="14" s="1"/>
  <c r="I54" i="14" a="1"/>
  <c r="I54" i="14" s="1"/>
  <c r="H54" i="14" a="1"/>
  <c r="H54" i="14" s="1"/>
  <c r="G54" i="14" a="1"/>
  <c r="G54" i="14" s="1"/>
  <c r="F54" i="14" a="1"/>
  <c r="F54" i="14" s="1"/>
  <c r="E54" i="14" a="1"/>
  <c r="E54" i="14" s="1"/>
  <c r="D54" i="14" a="1"/>
  <c r="D54" i="14" s="1"/>
  <c r="C54" i="14" a="1"/>
  <c r="C54" i="14" s="1"/>
  <c r="CC34" i="14" a="1"/>
  <c r="CC34" i="14" s="1"/>
  <c r="CB34" i="14" a="1"/>
  <c r="CB34" i="14" s="1"/>
  <c r="CA34" i="14" a="1"/>
  <c r="CA34" i="14" s="1"/>
  <c r="BZ34" i="14" a="1"/>
  <c r="BZ34" i="14" s="1"/>
  <c r="BY34" i="14" a="1"/>
  <c r="BY34" i="14" s="1"/>
  <c r="BX34" i="14" a="1"/>
  <c r="BX34" i="14" s="1"/>
  <c r="BW34" i="14" a="1"/>
  <c r="BW34" i="14" s="1"/>
  <c r="BV34" i="14" a="1"/>
  <c r="BV34" i="14" s="1"/>
  <c r="BU34" i="14" a="1"/>
  <c r="BU34" i="14" s="1"/>
  <c r="BT34" i="14" a="1"/>
  <c r="BT34" i="14" s="1"/>
  <c r="BS34" i="14" a="1"/>
  <c r="BS34" i="14" s="1"/>
  <c r="BR34" i="14" a="1"/>
  <c r="BR34" i="14" s="1"/>
  <c r="BQ34" i="14" a="1"/>
  <c r="BQ34" i="14" s="1"/>
  <c r="BP34" i="14" a="1"/>
  <c r="BP34" i="14" s="1"/>
  <c r="BO34" i="14" a="1"/>
  <c r="BO34" i="14" s="1"/>
  <c r="BN34" i="14" a="1"/>
  <c r="BN34" i="14" s="1"/>
  <c r="BM34" i="14" a="1"/>
  <c r="BM34" i="14" s="1"/>
  <c r="BL34" i="14" a="1"/>
  <c r="BL34" i="14" s="1"/>
  <c r="BK34" i="14" a="1"/>
  <c r="BK34" i="14" s="1"/>
  <c r="BJ34" i="14" a="1"/>
  <c r="BJ34" i="14" s="1"/>
  <c r="BI34" i="14" a="1"/>
  <c r="BI34" i="14" s="1"/>
  <c r="BH34" i="14" a="1"/>
  <c r="BH34" i="14" s="1"/>
  <c r="BG34" i="14" a="1"/>
  <c r="BG34" i="14" s="1"/>
  <c r="BF34" i="14" a="1"/>
  <c r="BF34" i="14" s="1"/>
  <c r="BE34" i="14" a="1"/>
  <c r="BE34" i="14" s="1"/>
  <c r="BD34" i="14" a="1"/>
  <c r="BD34" i="14" s="1"/>
  <c r="BC34" i="14" a="1"/>
  <c r="BC34" i="14" s="1"/>
  <c r="BB34" i="14" a="1"/>
  <c r="BB34" i="14" s="1"/>
  <c r="BA34" i="14" a="1"/>
  <c r="BA34" i="14" s="1"/>
  <c r="AZ34" i="14" a="1"/>
  <c r="AZ34" i="14" s="1"/>
  <c r="AY34" i="14" a="1"/>
  <c r="AY34" i="14" s="1"/>
  <c r="AX34" i="14" a="1"/>
  <c r="AX34" i="14" s="1"/>
  <c r="AW34" i="14" a="1"/>
  <c r="AW34" i="14" s="1"/>
  <c r="AV34" i="14" a="1"/>
  <c r="AV34" i="14" s="1"/>
  <c r="AU34" i="14" a="1"/>
  <c r="AU34" i="14" s="1"/>
  <c r="AT34" i="14" a="1"/>
  <c r="AT34" i="14" s="1"/>
  <c r="AS34" i="14" a="1"/>
  <c r="AS34" i="14" s="1"/>
  <c r="AR34" i="14" a="1"/>
  <c r="AR34" i="14" s="1"/>
  <c r="AQ34" i="14" a="1"/>
  <c r="AQ34" i="14" s="1"/>
  <c r="AP34" i="14" a="1"/>
  <c r="AP34" i="14" s="1"/>
  <c r="AO34" i="14" a="1"/>
  <c r="AO34" i="14" s="1"/>
  <c r="AN34" i="14" a="1"/>
  <c r="AN34" i="14" s="1"/>
  <c r="AM34" i="14" a="1"/>
  <c r="AM34" i="14" s="1"/>
  <c r="AL34" i="14" a="1"/>
  <c r="AL34" i="14" s="1"/>
  <c r="AK34" i="14" a="1"/>
  <c r="AK34" i="14" s="1"/>
  <c r="AJ34" i="14" a="1"/>
  <c r="AJ34" i="14" s="1"/>
  <c r="AI34" i="14" a="1"/>
  <c r="AI34" i="14" s="1"/>
  <c r="AH34" i="14" a="1"/>
  <c r="AH34" i="14" s="1"/>
  <c r="AG34" i="14" a="1"/>
  <c r="AG34" i="14" s="1"/>
  <c r="AF34" i="14" a="1"/>
  <c r="AF34" i="14" s="1"/>
  <c r="AE34" i="14" a="1"/>
  <c r="AE34" i="14" s="1"/>
  <c r="AD34" i="14" a="1"/>
  <c r="AD34" i="14" s="1"/>
  <c r="AC34" i="14" a="1"/>
  <c r="AC34" i="14" s="1"/>
  <c r="AB34" i="14" a="1"/>
  <c r="AB34" i="14" s="1"/>
  <c r="AA34" i="14" a="1"/>
  <c r="AA34" i="14" s="1"/>
  <c r="Z34" i="14" a="1"/>
  <c r="Z34" i="14" s="1"/>
  <c r="Y34" i="14" a="1"/>
  <c r="Y34" i="14" s="1"/>
  <c r="X34" i="14" a="1"/>
  <c r="X34" i="14" s="1"/>
  <c r="W34" i="14" a="1"/>
  <c r="W34" i="14" s="1"/>
  <c r="V34" i="14" a="1"/>
  <c r="V34" i="14" s="1"/>
  <c r="U34" i="14" a="1"/>
  <c r="U34" i="14" s="1"/>
  <c r="T34" i="14" a="1"/>
  <c r="T34" i="14" s="1"/>
  <c r="S34" i="14" a="1"/>
  <c r="S34" i="14" s="1"/>
  <c r="R34" i="14" a="1"/>
  <c r="R34" i="14" s="1"/>
  <c r="Q34" i="14" a="1"/>
  <c r="Q34" i="14" s="1"/>
  <c r="P34" i="14" a="1"/>
  <c r="P34" i="14" s="1"/>
  <c r="O34" i="14" a="1"/>
  <c r="O34" i="14" s="1"/>
  <c r="N34" i="14" a="1"/>
  <c r="N34" i="14" s="1"/>
  <c r="M34" i="14" a="1"/>
  <c r="M34" i="14" s="1"/>
  <c r="L34" i="14" a="1"/>
  <c r="L34" i="14" s="1"/>
  <c r="K34" i="14" a="1"/>
  <c r="K34" i="14" s="1"/>
  <c r="J34" i="14" a="1"/>
  <c r="J34" i="14" s="1"/>
  <c r="I34" i="14" a="1"/>
  <c r="I34" i="14" s="1"/>
  <c r="H34" i="14" a="1"/>
  <c r="H34" i="14" s="1"/>
  <c r="G34" i="14" a="1"/>
  <c r="G34" i="14" s="1"/>
  <c r="F34" i="14" a="1"/>
  <c r="F34" i="14" s="1"/>
  <c r="E34" i="14" a="1"/>
  <c r="E34" i="14" s="1"/>
  <c r="D34" i="14" a="1"/>
  <c r="D34" i="14" s="1"/>
  <c r="C34" i="14" a="1"/>
  <c r="C34" i="14" s="1"/>
  <c r="CC33" i="14" a="1"/>
  <c r="CC33" i="14" s="1"/>
  <c r="CB33" i="14" a="1"/>
  <c r="CB33" i="14" s="1"/>
  <c r="CA33" i="14" a="1"/>
  <c r="CA33" i="14" s="1"/>
  <c r="BZ33" i="14" a="1"/>
  <c r="BZ33" i="14" s="1"/>
  <c r="BY33" i="14" a="1"/>
  <c r="BY33" i="14" s="1"/>
  <c r="BX33" i="14" a="1"/>
  <c r="BX33" i="14" s="1"/>
  <c r="BW33" i="14" a="1"/>
  <c r="BW33" i="14" s="1"/>
  <c r="BV33" i="14" a="1"/>
  <c r="BV33" i="14" s="1"/>
  <c r="BU33" i="14" a="1"/>
  <c r="BU33" i="14" s="1"/>
  <c r="BT33" i="14" a="1"/>
  <c r="BT33" i="14" s="1"/>
  <c r="BS33" i="14" a="1"/>
  <c r="BS33" i="14" s="1"/>
  <c r="BR33" i="14" a="1"/>
  <c r="BR33" i="14" s="1"/>
  <c r="BQ33" i="14" a="1"/>
  <c r="BQ33" i="14" s="1"/>
  <c r="BP33" i="14" a="1"/>
  <c r="BP33" i="14" s="1"/>
  <c r="BO33" i="14" a="1"/>
  <c r="BO33" i="14" s="1"/>
  <c r="BN33" i="14" a="1"/>
  <c r="BN33" i="14" s="1"/>
  <c r="BM33" i="14" a="1"/>
  <c r="BM33" i="14" s="1"/>
  <c r="BL33" i="14" a="1"/>
  <c r="BL33" i="14" s="1"/>
  <c r="BK33" i="14" a="1"/>
  <c r="BK33" i="14" s="1"/>
  <c r="BJ33" i="14" a="1"/>
  <c r="BJ33" i="14" s="1"/>
  <c r="BI33" i="14" a="1"/>
  <c r="BI33" i="14" s="1"/>
  <c r="BH33" i="14" a="1"/>
  <c r="BH33" i="14" s="1"/>
  <c r="BG33" i="14" a="1"/>
  <c r="BG33" i="14" s="1"/>
  <c r="BF33" i="14" a="1"/>
  <c r="BF33" i="14" s="1"/>
  <c r="BE33" i="14" a="1"/>
  <c r="BE33" i="14" s="1"/>
  <c r="BD33" i="14" a="1"/>
  <c r="BD33" i="14" s="1"/>
  <c r="BC33" i="14" a="1"/>
  <c r="BC33" i="14" s="1"/>
  <c r="BB33" i="14" a="1"/>
  <c r="BB33" i="14" s="1"/>
  <c r="BA33" i="14" a="1"/>
  <c r="BA33" i="14" s="1"/>
  <c r="AZ33" i="14" a="1"/>
  <c r="AZ33" i="14" s="1"/>
  <c r="AY33" i="14" a="1"/>
  <c r="AY33" i="14" s="1"/>
  <c r="AX33" i="14" a="1"/>
  <c r="AX33" i="14" s="1"/>
  <c r="AW33" i="14" a="1"/>
  <c r="AW33" i="14" s="1"/>
  <c r="AV33" i="14" a="1"/>
  <c r="AV33" i="14" s="1"/>
  <c r="AU33" i="14" a="1"/>
  <c r="AU33" i="14" s="1"/>
  <c r="AT33" i="14" a="1"/>
  <c r="AT33" i="14" s="1"/>
  <c r="AS33" i="14" a="1"/>
  <c r="AS33" i="14" s="1"/>
  <c r="AR33" i="14" a="1"/>
  <c r="AR33" i="14" s="1"/>
  <c r="AQ33" i="14" a="1"/>
  <c r="AQ33" i="14" s="1"/>
  <c r="AP33" i="14" a="1"/>
  <c r="AP33" i="14" s="1"/>
  <c r="AO33" i="14" a="1"/>
  <c r="AO33" i="14" s="1"/>
  <c r="AN33" i="14" a="1"/>
  <c r="AN33" i="14" s="1"/>
  <c r="AM33" i="14" a="1"/>
  <c r="AM33" i="14" s="1"/>
  <c r="AL33" i="14" a="1"/>
  <c r="AL33" i="14" s="1"/>
  <c r="AK33" i="14" a="1"/>
  <c r="AK33" i="14" s="1"/>
  <c r="AJ33" i="14" a="1"/>
  <c r="AJ33" i="14" s="1"/>
  <c r="AI33" i="14" a="1"/>
  <c r="AI33" i="14" s="1"/>
  <c r="AH33" i="14" a="1"/>
  <c r="AH33" i="14" s="1"/>
  <c r="AG33" i="14" a="1"/>
  <c r="AG33" i="14" s="1"/>
  <c r="AF33" i="14" a="1"/>
  <c r="AF33" i="14" s="1"/>
  <c r="AE33" i="14" a="1"/>
  <c r="AE33" i="14" s="1"/>
  <c r="AD33" i="14" a="1"/>
  <c r="AD33" i="14" s="1"/>
  <c r="AC33" i="14" a="1"/>
  <c r="AC33" i="14" s="1"/>
  <c r="AB33" i="14" a="1"/>
  <c r="AB33" i="14" s="1"/>
  <c r="AA33" i="14" a="1"/>
  <c r="AA33" i="14" s="1"/>
  <c r="Z33" i="14" a="1"/>
  <c r="Z33" i="14" s="1"/>
  <c r="Y33" i="14" a="1"/>
  <c r="Y33" i="14" s="1"/>
  <c r="X33" i="14" a="1"/>
  <c r="X33" i="14" s="1"/>
  <c r="W33" i="14" a="1"/>
  <c r="W33" i="14" s="1"/>
  <c r="V33" i="14" a="1"/>
  <c r="V33" i="14" s="1"/>
  <c r="U33" i="14" a="1"/>
  <c r="U33" i="14" s="1"/>
  <c r="T33" i="14" a="1"/>
  <c r="T33" i="14" s="1"/>
  <c r="S33" i="14" a="1"/>
  <c r="S33" i="14" s="1"/>
  <c r="R33" i="14" a="1"/>
  <c r="R33" i="14" s="1"/>
  <c r="Q33" i="14" a="1"/>
  <c r="Q33" i="14" s="1"/>
  <c r="P33" i="14" a="1"/>
  <c r="P33" i="14" s="1"/>
  <c r="O33" i="14" a="1"/>
  <c r="O33" i="14" s="1"/>
  <c r="N33" i="14" a="1"/>
  <c r="N33" i="14" s="1"/>
  <c r="M33" i="14" a="1"/>
  <c r="M33" i="14" s="1"/>
  <c r="L33" i="14" a="1"/>
  <c r="L33" i="14" s="1"/>
  <c r="K33" i="14" a="1"/>
  <c r="K33" i="14" s="1"/>
  <c r="J33" i="14" a="1"/>
  <c r="J33" i="14" s="1"/>
  <c r="I33" i="14" a="1"/>
  <c r="I33" i="14" s="1"/>
  <c r="H33" i="14" a="1"/>
  <c r="H33" i="14" s="1"/>
  <c r="G33" i="14" a="1"/>
  <c r="G33" i="14" s="1"/>
  <c r="F33" i="14" a="1"/>
  <c r="F33" i="14" s="1"/>
  <c r="E33" i="14" a="1"/>
  <c r="E33" i="14" s="1"/>
  <c r="D33" i="14" a="1"/>
  <c r="D33" i="14" s="1"/>
  <c r="C33" i="14" a="1"/>
  <c r="C33" i="14" s="1"/>
  <c r="CC32" i="14" a="1"/>
  <c r="CC32" i="14" s="1"/>
  <c r="CB32" i="14" a="1"/>
  <c r="CB32" i="14" s="1"/>
  <c r="CA32" i="14" a="1"/>
  <c r="CA32" i="14" s="1"/>
  <c r="BZ32" i="14" a="1"/>
  <c r="BZ32" i="14" s="1"/>
  <c r="BY32" i="14" a="1"/>
  <c r="BY32" i="14" s="1"/>
  <c r="BX32" i="14" a="1"/>
  <c r="BX32" i="14" s="1"/>
  <c r="BW32" i="14" a="1"/>
  <c r="BW32" i="14" s="1"/>
  <c r="BV32" i="14" a="1"/>
  <c r="BV32" i="14" s="1"/>
  <c r="BU32" i="14" a="1"/>
  <c r="BU32" i="14" s="1"/>
  <c r="BT32" i="14" a="1"/>
  <c r="BT32" i="14" s="1"/>
  <c r="BS32" i="14" a="1"/>
  <c r="BS32" i="14" s="1"/>
  <c r="BR32" i="14" a="1"/>
  <c r="BR32" i="14" s="1"/>
  <c r="BQ32" i="14" a="1"/>
  <c r="BQ32" i="14" s="1"/>
  <c r="BP32" i="14" a="1"/>
  <c r="BP32" i="14" s="1"/>
  <c r="BO32" i="14" a="1"/>
  <c r="BO32" i="14" s="1"/>
  <c r="BN32" i="14" a="1"/>
  <c r="BN32" i="14" s="1"/>
  <c r="BM32" i="14" a="1"/>
  <c r="BM32" i="14" s="1"/>
  <c r="BL32" i="14" a="1"/>
  <c r="BL32" i="14" s="1"/>
  <c r="BK32" i="14" a="1"/>
  <c r="BK32" i="14" s="1"/>
  <c r="BJ32" i="14" a="1"/>
  <c r="BJ32" i="14" s="1"/>
  <c r="BI32" i="14" a="1"/>
  <c r="BI32" i="14" s="1"/>
  <c r="BH32" i="14" a="1"/>
  <c r="BH32" i="14" s="1"/>
  <c r="BG32" i="14" a="1"/>
  <c r="BG32" i="14" s="1"/>
  <c r="BF32" i="14" a="1"/>
  <c r="BF32" i="14" s="1"/>
  <c r="BE32" i="14" a="1"/>
  <c r="BE32" i="14" s="1"/>
  <c r="BD32" i="14" a="1"/>
  <c r="BD32" i="14" s="1"/>
  <c r="BC32" i="14" a="1"/>
  <c r="BC32" i="14" s="1"/>
  <c r="BB32" i="14" a="1"/>
  <c r="BB32" i="14" s="1"/>
  <c r="BA32" i="14" a="1"/>
  <c r="BA32" i="14" s="1"/>
  <c r="AZ32" i="14" a="1"/>
  <c r="AZ32" i="14" s="1"/>
  <c r="AY32" i="14" a="1"/>
  <c r="AY32" i="14" s="1"/>
  <c r="AX32" i="14" a="1"/>
  <c r="AX32" i="14" s="1"/>
  <c r="AW32" i="14" a="1"/>
  <c r="AW32" i="14" s="1"/>
  <c r="AV32" i="14" a="1"/>
  <c r="AV32" i="14" s="1"/>
  <c r="AU32" i="14" a="1"/>
  <c r="AU32" i="14" s="1"/>
  <c r="AT32" i="14" a="1"/>
  <c r="AT32" i="14" s="1"/>
  <c r="AS32" i="14" a="1"/>
  <c r="AS32" i="14" s="1"/>
  <c r="AR32" i="14" a="1"/>
  <c r="AR32" i="14" s="1"/>
  <c r="AQ32" i="14" a="1"/>
  <c r="AQ32" i="14" s="1"/>
  <c r="AP32" i="14" a="1"/>
  <c r="AP32" i="14" s="1"/>
  <c r="AO32" i="14" a="1"/>
  <c r="AO32" i="14" s="1"/>
  <c r="AN32" i="14" a="1"/>
  <c r="AN32" i="14" s="1"/>
  <c r="AM32" i="14" a="1"/>
  <c r="AM32" i="14" s="1"/>
  <c r="AL32" i="14" a="1"/>
  <c r="AL32" i="14" s="1"/>
  <c r="AK32" i="14" a="1"/>
  <c r="AK32" i="14" s="1"/>
  <c r="AJ32" i="14" a="1"/>
  <c r="AJ32" i="14" s="1"/>
  <c r="AI32" i="14" a="1"/>
  <c r="AI32" i="14" s="1"/>
  <c r="AH32" i="14" a="1"/>
  <c r="AH32" i="14" s="1"/>
  <c r="AG32" i="14" a="1"/>
  <c r="AG32" i="14" s="1"/>
  <c r="AF32" i="14" a="1"/>
  <c r="AF32" i="14" s="1"/>
  <c r="AE32" i="14" a="1"/>
  <c r="AE32" i="14" s="1"/>
  <c r="AD32" i="14" a="1"/>
  <c r="AD32" i="14" s="1"/>
  <c r="AC32" i="14" a="1"/>
  <c r="AC32" i="14" s="1"/>
  <c r="AB32" i="14" a="1"/>
  <c r="AB32" i="14" s="1"/>
  <c r="AA32" i="14" a="1"/>
  <c r="AA32" i="14" s="1"/>
  <c r="Z32" i="14" a="1"/>
  <c r="Z32" i="14" s="1"/>
  <c r="Y32" i="14" a="1"/>
  <c r="Y32" i="14" s="1"/>
  <c r="X32" i="14" a="1"/>
  <c r="X32" i="14" s="1"/>
  <c r="W32" i="14" a="1"/>
  <c r="W32" i="14" s="1"/>
  <c r="V32" i="14" a="1"/>
  <c r="V32" i="14" s="1"/>
  <c r="U32" i="14" a="1"/>
  <c r="U32" i="14" s="1"/>
  <c r="T32" i="14" a="1"/>
  <c r="T32" i="14" s="1"/>
  <c r="S32" i="14" a="1"/>
  <c r="S32" i="14" s="1"/>
  <c r="R32" i="14" a="1"/>
  <c r="R32" i="14" s="1"/>
  <c r="Q32" i="14" a="1"/>
  <c r="Q32" i="14" s="1"/>
  <c r="P32" i="14" a="1"/>
  <c r="P32" i="14" s="1"/>
  <c r="O32" i="14" a="1"/>
  <c r="O32" i="14" s="1"/>
  <c r="N32" i="14" a="1"/>
  <c r="N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G32" i="14" a="1"/>
  <c r="G32" i="14" s="1"/>
  <c r="F32" i="14" a="1"/>
  <c r="F32" i="14" s="1"/>
  <c r="E32" i="14" a="1"/>
  <c r="E32" i="14" s="1"/>
  <c r="D32" i="14" a="1"/>
  <c r="D32" i="14" s="1"/>
  <c r="C32" i="14" a="1"/>
  <c r="C32" i="14" s="1"/>
  <c r="CC31" i="14" a="1"/>
  <c r="CC31" i="14" s="1"/>
  <c r="CB31" i="14" a="1"/>
  <c r="CB31" i="14" s="1"/>
  <c r="CA31" i="14" a="1"/>
  <c r="CA31" i="14" s="1"/>
  <c r="BZ31" i="14" a="1"/>
  <c r="BZ31" i="14" s="1"/>
  <c r="BY31" i="14" a="1"/>
  <c r="BY31" i="14" s="1"/>
  <c r="BX31" i="14" a="1"/>
  <c r="BX31" i="14" s="1"/>
  <c r="BW31" i="14" a="1"/>
  <c r="BW31" i="14" s="1"/>
  <c r="BV31" i="14" a="1"/>
  <c r="BV31" i="14" s="1"/>
  <c r="BU31" i="14" a="1"/>
  <c r="BU31" i="14" s="1"/>
  <c r="BT31" i="14" a="1"/>
  <c r="BT31" i="14" s="1"/>
  <c r="BS31" i="14" a="1"/>
  <c r="BS31" i="14" s="1"/>
  <c r="BR31" i="14" a="1"/>
  <c r="BR31" i="14" s="1"/>
  <c r="BQ31" i="14" a="1"/>
  <c r="BQ31" i="14" s="1"/>
  <c r="BP31" i="14" a="1"/>
  <c r="BP31" i="14" s="1"/>
  <c r="BO31" i="14" a="1"/>
  <c r="BO31" i="14" s="1"/>
  <c r="BN31" i="14" a="1"/>
  <c r="BN31" i="14" s="1"/>
  <c r="BM31" i="14" a="1"/>
  <c r="BM31" i="14" s="1"/>
  <c r="BL31" i="14" a="1"/>
  <c r="BL31" i="14" s="1"/>
  <c r="BK31" i="14" a="1"/>
  <c r="BK31" i="14" s="1"/>
  <c r="BJ31" i="14" a="1"/>
  <c r="BJ31" i="14" s="1"/>
  <c r="BI31" i="14" a="1"/>
  <c r="BI31" i="14" s="1"/>
  <c r="BH31" i="14" a="1"/>
  <c r="BH31" i="14" s="1"/>
  <c r="BG31" i="14" a="1"/>
  <c r="BG31" i="14" s="1"/>
  <c r="BF31" i="14" a="1"/>
  <c r="BF31" i="14" s="1"/>
  <c r="BE31" i="14" a="1"/>
  <c r="BE31" i="14" s="1"/>
  <c r="BD31" i="14" a="1"/>
  <c r="BD31" i="14" s="1"/>
  <c r="BC31" i="14" a="1"/>
  <c r="BC31" i="14" s="1"/>
  <c r="BB31" i="14" a="1"/>
  <c r="BB31" i="14" s="1"/>
  <c r="BA31" i="14" a="1"/>
  <c r="BA31" i="14" s="1"/>
  <c r="AZ31" i="14" a="1"/>
  <c r="AZ31" i="14" s="1"/>
  <c r="AY31" i="14" a="1"/>
  <c r="AY31" i="14" s="1"/>
  <c r="AX31" i="14" a="1"/>
  <c r="AX31" i="14" s="1"/>
  <c r="AW31" i="14" a="1"/>
  <c r="AW31" i="14" s="1"/>
  <c r="AV31" i="14" a="1"/>
  <c r="AV31" i="14" s="1"/>
  <c r="AU31" i="14" a="1"/>
  <c r="AU31" i="14" s="1"/>
  <c r="AT31" i="14" a="1"/>
  <c r="AT31" i="14" s="1"/>
  <c r="AS31" i="14" a="1"/>
  <c r="AS31" i="14" s="1"/>
  <c r="AR31" i="14" a="1"/>
  <c r="AR31" i="14" s="1"/>
  <c r="AQ31" i="14" a="1"/>
  <c r="AQ31" i="14" s="1"/>
  <c r="AP31" i="14" a="1"/>
  <c r="AP31" i="14" s="1"/>
  <c r="AO31" i="14" a="1"/>
  <c r="AO31" i="14" s="1"/>
  <c r="AN31" i="14" a="1"/>
  <c r="AN31" i="14" s="1"/>
  <c r="AM31" i="14" a="1"/>
  <c r="AM31" i="14" s="1"/>
  <c r="AL31" i="14" a="1"/>
  <c r="AL31" i="14" s="1"/>
  <c r="AK31" i="14" a="1"/>
  <c r="AK31" i="14" s="1"/>
  <c r="AJ31" i="14" a="1"/>
  <c r="AJ31" i="14" s="1"/>
  <c r="AI31" i="14" a="1"/>
  <c r="AI31" i="14" s="1"/>
  <c r="AH31" i="14" a="1"/>
  <c r="AH31" i="14" s="1"/>
  <c r="AG31" i="14" a="1"/>
  <c r="AG31" i="14" s="1"/>
  <c r="AF31" i="14" a="1"/>
  <c r="AF31" i="14" s="1"/>
  <c r="AE31" i="14" a="1"/>
  <c r="AE31" i="14" s="1"/>
  <c r="AD31" i="14" a="1"/>
  <c r="AD31" i="14" s="1"/>
  <c r="AC31" i="14" a="1"/>
  <c r="AC31" i="14" s="1"/>
  <c r="AB31" i="14" a="1"/>
  <c r="AB31" i="14" s="1"/>
  <c r="AA31" i="14" a="1"/>
  <c r="AA31" i="14" s="1"/>
  <c r="Z31" i="14" a="1"/>
  <c r="Z31" i="14" s="1"/>
  <c r="Y31" i="14" a="1"/>
  <c r="Y31" i="14" s="1"/>
  <c r="X31" i="14" a="1"/>
  <c r="X31" i="14" s="1"/>
  <c r="W31" i="14" a="1"/>
  <c r="W31" i="14" s="1"/>
  <c r="V31" i="14" a="1"/>
  <c r="V31" i="14" s="1"/>
  <c r="U31" i="14" a="1"/>
  <c r="U31" i="14" s="1"/>
  <c r="T31" i="14" a="1"/>
  <c r="T31" i="14" s="1"/>
  <c r="S31" i="14" a="1"/>
  <c r="S31" i="14" s="1"/>
  <c r="R31" i="14" a="1"/>
  <c r="R31" i="14" s="1"/>
  <c r="Q31" i="14" a="1"/>
  <c r="Q31" i="14" s="1"/>
  <c r="P31" i="14" a="1"/>
  <c r="P31" i="14" s="1"/>
  <c r="O31" i="14" a="1"/>
  <c r="O31" i="14" s="1"/>
  <c r="N31" i="14" a="1"/>
  <c r="N31" i="14" s="1"/>
  <c r="M31" i="14" a="1"/>
  <c r="M31" i="14" s="1"/>
  <c r="L31" i="14" a="1"/>
  <c r="L31" i="14" s="1"/>
  <c r="K31" i="14" a="1"/>
  <c r="K31" i="14" s="1"/>
  <c r="J31" i="14" a="1"/>
  <c r="J31" i="14" s="1"/>
  <c r="I31" i="14" a="1"/>
  <c r="I31" i="14" s="1"/>
  <c r="H31" i="14" a="1"/>
  <c r="H31" i="14" s="1"/>
  <c r="G31" i="14" a="1"/>
  <c r="G31" i="14" s="1"/>
  <c r="F31" i="14" a="1"/>
  <c r="F31" i="14" s="1"/>
  <c r="E31" i="14" a="1"/>
  <c r="E31" i="14" s="1"/>
  <c r="D31" i="14" a="1"/>
  <c r="D31" i="14" s="1"/>
  <c r="C31" i="14" a="1"/>
  <c r="C31" i="14" s="1"/>
  <c r="CC30" i="14" a="1"/>
  <c r="CC30" i="14" s="1"/>
  <c r="CB30" i="14" a="1"/>
  <c r="CB30" i="14" s="1"/>
  <c r="CA30" i="14" a="1"/>
  <c r="CA30" i="14" s="1"/>
  <c r="BZ30" i="14" a="1"/>
  <c r="BZ30" i="14" s="1"/>
  <c r="BY30" i="14" a="1"/>
  <c r="BY30" i="14" s="1"/>
  <c r="BX30" i="14" a="1"/>
  <c r="BX30" i="14" s="1"/>
  <c r="BW30" i="14" a="1"/>
  <c r="BW30" i="14" s="1"/>
  <c r="BV30" i="14" a="1"/>
  <c r="BV30" i="14" s="1"/>
  <c r="BU30" i="14" a="1"/>
  <c r="BU30" i="14" s="1"/>
  <c r="BT30" i="14" a="1"/>
  <c r="BT30" i="14" s="1"/>
  <c r="BS30" i="14" a="1"/>
  <c r="BS30" i="14" s="1"/>
  <c r="BR30" i="14" a="1"/>
  <c r="BR30" i="14" s="1"/>
  <c r="BQ30" i="14" a="1"/>
  <c r="BQ30" i="14" s="1"/>
  <c r="BP30" i="14" a="1"/>
  <c r="BP30" i="14" s="1"/>
  <c r="BO30" i="14" a="1"/>
  <c r="BO30" i="14" s="1"/>
  <c r="BN30" i="14" a="1"/>
  <c r="BN30" i="14" s="1"/>
  <c r="BM30" i="14" a="1"/>
  <c r="BM30" i="14" s="1"/>
  <c r="BL30" i="14" a="1"/>
  <c r="BL30" i="14" s="1"/>
  <c r="BK30" i="14" a="1"/>
  <c r="BK30" i="14" s="1"/>
  <c r="BJ30" i="14" a="1"/>
  <c r="BJ30" i="14" s="1"/>
  <c r="BI30" i="14" a="1"/>
  <c r="BI30" i="14" s="1"/>
  <c r="BH30" i="14" a="1"/>
  <c r="BH30" i="14" s="1"/>
  <c r="BG30" i="14" a="1"/>
  <c r="BG30" i="14" s="1"/>
  <c r="BF30" i="14" a="1"/>
  <c r="BF30" i="14" s="1"/>
  <c r="BE30" i="14" a="1"/>
  <c r="BE30" i="14" s="1"/>
  <c r="BD30" i="14" a="1"/>
  <c r="BD30" i="14" s="1"/>
  <c r="BC30" i="14" a="1"/>
  <c r="BC30" i="14" s="1"/>
  <c r="BB30" i="14" a="1"/>
  <c r="BB30" i="14" s="1"/>
  <c r="BA30" i="14" a="1"/>
  <c r="BA30" i="14" s="1"/>
  <c r="AZ30" i="14" a="1"/>
  <c r="AZ30" i="14" s="1"/>
  <c r="AY30" i="14" a="1"/>
  <c r="AY30" i="14" s="1"/>
  <c r="AX30" i="14" a="1"/>
  <c r="AX30" i="14" s="1"/>
  <c r="AW30" i="14" a="1"/>
  <c r="AW30" i="14" s="1"/>
  <c r="AV30" i="14" a="1"/>
  <c r="AV30" i="14" s="1"/>
  <c r="AU30" i="14" a="1"/>
  <c r="AU30" i="14" s="1"/>
  <c r="AT30" i="14" a="1"/>
  <c r="AT30" i="14" s="1"/>
  <c r="AS30" i="14" a="1"/>
  <c r="AS30" i="14" s="1"/>
  <c r="AR30" i="14" a="1"/>
  <c r="AR30" i="14" s="1"/>
  <c r="AQ30" i="14" a="1"/>
  <c r="AQ30" i="14" s="1"/>
  <c r="AP30" i="14" a="1"/>
  <c r="AP30" i="14" s="1"/>
  <c r="AO30" i="14" a="1"/>
  <c r="AO30" i="14" s="1"/>
  <c r="AN30" i="14" a="1"/>
  <c r="AN30" i="14" s="1"/>
  <c r="AM30" i="14" a="1"/>
  <c r="AM30" i="14" s="1"/>
  <c r="AL30" i="14" a="1"/>
  <c r="AL30" i="14" s="1"/>
  <c r="AK30" i="14" a="1"/>
  <c r="AK30" i="14" s="1"/>
  <c r="AJ30" i="14" a="1"/>
  <c r="AJ30" i="14" s="1"/>
  <c r="AI30" i="14" a="1"/>
  <c r="AI30" i="14" s="1"/>
  <c r="AH30" i="14" a="1"/>
  <c r="AH30" i="14" s="1"/>
  <c r="AG30" i="14" a="1"/>
  <c r="AG30" i="14" s="1"/>
  <c r="AF30" i="14" a="1"/>
  <c r="AF30" i="14" s="1"/>
  <c r="AE30" i="14" a="1"/>
  <c r="AE30" i="14" s="1"/>
  <c r="AD30" i="14" a="1"/>
  <c r="AD30" i="14" s="1"/>
  <c r="AC30" i="14" a="1"/>
  <c r="AC30" i="14" s="1"/>
  <c r="AB30" i="14" a="1"/>
  <c r="AB30" i="14" s="1"/>
  <c r="AA30" i="14" a="1"/>
  <c r="AA30" i="14" s="1"/>
  <c r="Z30" i="14" a="1"/>
  <c r="Z30" i="14" s="1"/>
  <c r="Y30" i="14" a="1"/>
  <c r="Y30" i="14" s="1"/>
  <c r="X30" i="14" a="1"/>
  <c r="X30" i="14" s="1"/>
  <c r="W30" i="14" a="1"/>
  <c r="W30" i="14" s="1"/>
  <c r="V30" i="14" a="1"/>
  <c r="V30" i="14" s="1"/>
  <c r="U30" i="14" a="1"/>
  <c r="U30" i="14" s="1"/>
  <c r="T30" i="14" a="1"/>
  <c r="T30" i="14" s="1"/>
  <c r="S30" i="14" a="1"/>
  <c r="S30" i="14" s="1"/>
  <c r="R30" i="14" a="1"/>
  <c r="R30" i="14" s="1"/>
  <c r="Q30" i="14" a="1"/>
  <c r="Q30" i="14" s="1"/>
  <c r="P30" i="14" a="1"/>
  <c r="P30" i="14" s="1"/>
  <c r="O30" i="14" a="1"/>
  <c r="O30" i="14" s="1"/>
  <c r="N30" i="14" a="1"/>
  <c r="N30" i="14" s="1"/>
  <c r="M30" i="14" a="1"/>
  <c r="M30" i="14" s="1"/>
  <c r="L30" i="14" a="1"/>
  <c r="L30" i="14" s="1"/>
  <c r="K30" i="14" a="1"/>
  <c r="K30" i="14" s="1"/>
  <c r="J30" i="14" a="1"/>
  <c r="J30" i="14" s="1"/>
  <c r="I30" i="14" a="1"/>
  <c r="I30" i="14" s="1"/>
  <c r="H30" i="14" a="1"/>
  <c r="H30" i="14" s="1"/>
  <c r="G30" i="14" a="1"/>
  <c r="G30" i="14" s="1"/>
  <c r="F30" i="14" a="1"/>
  <c r="F30" i="14" s="1"/>
  <c r="E30" i="14" a="1"/>
  <c r="E30" i="14" s="1"/>
  <c r="D30" i="14" a="1"/>
  <c r="D30" i="14" s="1"/>
  <c r="C30" i="14" a="1"/>
  <c r="C30" i="14" s="1"/>
  <c r="CC7" i="14" a="1"/>
  <c r="CC7" i="14" s="1"/>
  <c r="CB7" i="14" a="1"/>
  <c r="CB7" i="14" s="1"/>
  <c r="CA7" i="14" a="1"/>
  <c r="CA7" i="14" s="1"/>
  <c r="BZ7" i="14" a="1"/>
  <c r="BZ7" i="14" s="1"/>
  <c r="BY7" i="14" a="1"/>
  <c r="BY7" i="14" s="1"/>
  <c r="BX7" i="14" a="1"/>
  <c r="BX7" i="14" s="1"/>
  <c r="BW7" i="14" a="1"/>
  <c r="BW7" i="14" s="1"/>
  <c r="BV7" i="14" a="1"/>
  <c r="BV7" i="14" s="1"/>
  <c r="BU7" i="14" a="1"/>
  <c r="BU7" i="14" s="1"/>
  <c r="BT7" i="14" a="1"/>
  <c r="BT7" i="14" s="1"/>
  <c r="BS7" i="14" a="1"/>
  <c r="BS7" i="14" s="1"/>
  <c r="BR7" i="14" a="1"/>
  <c r="BR7" i="14" s="1"/>
  <c r="BQ7" i="14" a="1"/>
  <c r="BQ7" i="14" s="1"/>
  <c r="BP7" i="14" a="1"/>
  <c r="BP7" i="14" s="1"/>
  <c r="BO7" i="14" a="1"/>
  <c r="BO7" i="14" s="1"/>
  <c r="BN7" i="14" a="1"/>
  <c r="BN7" i="14" s="1"/>
  <c r="BM7" i="14" a="1"/>
  <c r="BM7" i="14" s="1"/>
  <c r="BL7" i="14" a="1"/>
  <c r="BL7" i="14" s="1"/>
  <c r="BK7" i="14" a="1"/>
  <c r="BK7" i="14" s="1"/>
  <c r="BJ7" i="14" a="1"/>
  <c r="BJ7" i="14" s="1"/>
  <c r="BI7" i="14" a="1"/>
  <c r="BI7" i="14" s="1"/>
  <c r="BH7" i="14" a="1"/>
  <c r="BH7" i="14" s="1"/>
  <c r="BG7" i="14" a="1"/>
  <c r="BG7" i="14" s="1"/>
  <c r="BF7" i="14" a="1"/>
  <c r="BF7" i="14" s="1"/>
  <c r="BE7" i="14" a="1"/>
  <c r="BE7" i="14" s="1"/>
  <c r="BD7" i="14" a="1"/>
  <c r="BD7" i="14" s="1"/>
  <c r="BC7" i="14" a="1"/>
  <c r="BC7" i="14" s="1"/>
  <c r="BB7" i="14" a="1"/>
  <c r="BB7" i="14" s="1"/>
  <c r="BA7" i="14" a="1"/>
  <c r="BA7" i="14" s="1"/>
  <c r="AZ7" i="14" a="1"/>
  <c r="AZ7" i="14" s="1"/>
  <c r="AY7" i="14" a="1"/>
  <c r="AY7" i="14" s="1"/>
  <c r="AX7" i="14" a="1"/>
  <c r="AX7" i="14" s="1"/>
  <c r="AW7" i="14" a="1"/>
  <c r="AW7" i="14" s="1"/>
  <c r="AV7" i="14" a="1"/>
  <c r="AV7" i="14" s="1"/>
  <c r="AU7" i="14" a="1"/>
  <c r="AU7" i="14" s="1"/>
  <c r="AT7" i="14" a="1"/>
  <c r="AT7" i="14" s="1"/>
  <c r="AS7" i="14" a="1"/>
  <c r="AS7" i="14" s="1"/>
  <c r="AR7" i="14" a="1"/>
  <c r="AR7" i="14" s="1"/>
  <c r="AQ7" i="14" a="1"/>
  <c r="AQ7" i="14" s="1"/>
  <c r="AP7" i="14" a="1"/>
  <c r="AP7" i="14" s="1"/>
  <c r="AO7" i="14" a="1"/>
  <c r="AO7" i="14" s="1"/>
  <c r="AN7" i="14" a="1"/>
  <c r="AN7" i="14" s="1"/>
  <c r="AM7" i="14" a="1"/>
  <c r="AM7" i="14" s="1"/>
  <c r="AL7" i="14" a="1"/>
  <c r="AL7" i="14" s="1"/>
  <c r="AK7" i="14" a="1"/>
  <c r="AK7" i="14" s="1"/>
  <c r="AJ7" i="14" a="1"/>
  <c r="AJ7" i="14" s="1"/>
  <c r="AI7" i="14" a="1"/>
  <c r="AI7" i="14" s="1"/>
  <c r="AH7" i="14" a="1"/>
  <c r="AH7" i="14" s="1"/>
  <c r="AG7" i="14" a="1"/>
  <c r="AG7" i="14" s="1"/>
  <c r="AF7" i="14" a="1"/>
  <c r="AF7" i="14" s="1"/>
  <c r="AE7" i="14" a="1"/>
  <c r="AE7" i="14" s="1"/>
  <c r="AD7" i="14" a="1"/>
  <c r="AD7" i="14" s="1"/>
  <c r="AC7" i="14" a="1"/>
  <c r="AC7" i="14" s="1"/>
  <c r="AB7" i="14" a="1"/>
  <c r="AB7" i="14" s="1"/>
  <c r="AA7" i="14" a="1"/>
  <c r="AA7" i="14" s="1"/>
  <c r="Z7" i="14" a="1"/>
  <c r="Z7" i="14" s="1"/>
  <c r="Y7" i="14" a="1"/>
  <c r="Y7" i="14" s="1"/>
  <c r="X7" i="14" a="1"/>
  <c r="X7" i="14" s="1"/>
  <c r="W7" i="14" a="1"/>
  <c r="W7" i="14" s="1"/>
  <c r="V7" i="14" a="1"/>
  <c r="V7" i="14" s="1"/>
  <c r="U7" i="14" a="1"/>
  <c r="U7" i="14" s="1"/>
  <c r="T7" i="14" a="1"/>
  <c r="T7" i="14" s="1"/>
  <c r="S7" i="14" a="1"/>
  <c r="S7" i="14" s="1"/>
  <c r="R7" i="14" a="1"/>
  <c r="R7" i="14" s="1"/>
  <c r="Q7" i="14" a="1"/>
  <c r="Q7" i="14" s="1"/>
  <c r="P7" i="14" a="1"/>
  <c r="P7" i="14" s="1"/>
  <c r="O7" i="14" a="1"/>
  <c r="O7" i="14" s="1"/>
  <c r="N7" i="14" a="1"/>
  <c r="N7" i="14" s="1"/>
  <c r="M7" i="14" a="1"/>
  <c r="M7" i="14" s="1"/>
  <c r="L7" i="14" a="1"/>
  <c r="L7" i="14" s="1"/>
  <c r="K7" i="14" a="1"/>
  <c r="K7" i="14" s="1"/>
  <c r="J7" i="14" a="1"/>
  <c r="J7" i="14" s="1"/>
  <c r="I7" i="14" a="1"/>
  <c r="I7" i="14" s="1"/>
  <c r="H7" i="14" a="1"/>
  <c r="H7" i="14" s="1"/>
  <c r="G7" i="14" a="1"/>
  <c r="G7" i="14" s="1"/>
  <c r="F7" i="14" a="1"/>
  <c r="F7" i="14" s="1"/>
  <c r="E7" i="14" a="1"/>
  <c r="E7" i="14" s="1"/>
  <c r="D7" i="14" a="1"/>
  <c r="D7" i="14" s="1"/>
  <c r="C7" i="14" a="1"/>
  <c r="C7" i="14" s="1"/>
  <c r="CC6" i="14" a="1"/>
  <c r="CC6" i="14" s="1"/>
  <c r="CB6" i="14" a="1"/>
  <c r="CB6" i="14" s="1"/>
  <c r="CA6" i="14" a="1"/>
  <c r="CA6" i="14" s="1"/>
  <c r="BZ6" i="14" a="1"/>
  <c r="BZ6" i="14" s="1"/>
  <c r="BY6" i="14" a="1"/>
  <c r="BY6" i="14" s="1"/>
  <c r="BX6" i="14" a="1"/>
  <c r="BX6" i="14" s="1"/>
  <c r="BW6" i="14" a="1"/>
  <c r="BW6" i="14" s="1"/>
  <c r="BV6" i="14" a="1"/>
  <c r="BV6" i="14" s="1"/>
  <c r="BU6" i="14" a="1"/>
  <c r="BU6" i="14" s="1"/>
  <c r="BT6" i="14" a="1"/>
  <c r="BT6" i="14" s="1"/>
  <c r="BS6" i="14" a="1"/>
  <c r="BS6" i="14" s="1"/>
  <c r="BR6" i="14" a="1"/>
  <c r="BR6" i="14" s="1"/>
  <c r="BQ6" i="14" a="1"/>
  <c r="BQ6" i="14" s="1"/>
  <c r="BP6" i="14" a="1"/>
  <c r="BP6" i="14" s="1"/>
  <c r="BO6" i="14" a="1"/>
  <c r="BO6" i="14" s="1"/>
  <c r="BN6" i="14" a="1"/>
  <c r="BN6" i="14" s="1"/>
  <c r="BM6" i="14" a="1"/>
  <c r="BM6" i="14" s="1"/>
  <c r="BL6" i="14" a="1"/>
  <c r="BL6" i="14" s="1"/>
  <c r="BK6" i="14" a="1"/>
  <c r="BK6" i="14" s="1"/>
  <c r="BJ6" i="14" a="1"/>
  <c r="BJ6" i="14" s="1"/>
  <c r="BI6" i="14" a="1"/>
  <c r="BI6" i="14" s="1"/>
  <c r="BH6" i="14" a="1"/>
  <c r="BH6" i="14" s="1"/>
  <c r="BG6" i="14" a="1"/>
  <c r="BG6" i="14" s="1"/>
  <c r="BF6" i="14" a="1"/>
  <c r="BF6" i="14" s="1"/>
  <c r="BE6" i="14" a="1"/>
  <c r="BE6" i="14" s="1"/>
  <c r="BD6" i="14" a="1"/>
  <c r="BD6" i="14" s="1"/>
  <c r="BC6" i="14" a="1"/>
  <c r="BC6" i="14" s="1"/>
  <c r="BB6" i="14" a="1"/>
  <c r="BB6" i="14" s="1"/>
  <c r="BA6" i="14" a="1"/>
  <c r="BA6" i="14" s="1"/>
  <c r="AZ6" i="14" a="1"/>
  <c r="AZ6" i="14" s="1"/>
  <c r="AY6" i="14" a="1"/>
  <c r="AY6" i="14" s="1"/>
  <c r="AX6" i="14" a="1"/>
  <c r="AX6" i="14" s="1"/>
  <c r="AW6" i="14" a="1"/>
  <c r="AW6" i="14" s="1"/>
  <c r="AV6" i="14" a="1"/>
  <c r="AV6" i="14" s="1"/>
  <c r="AU6" i="14" a="1"/>
  <c r="AU6" i="14" s="1"/>
  <c r="AT6" i="14" a="1"/>
  <c r="AT6" i="14" s="1"/>
  <c r="AS6" i="14" a="1"/>
  <c r="AS6" i="14" s="1"/>
  <c r="AR6" i="14" a="1"/>
  <c r="AR6" i="14" s="1"/>
  <c r="AQ6" i="14" a="1"/>
  <c r="AQ6" i="14" s="1"/>
  <c r="AP6" i="14" a="1"/>
  <c r="AP6" i="14" s="1"/>
  <c r="AO6" i="14" a="1"/>
  <c r="AO6" i="14" s="1"/>
  <c r="AN6" i="14" a="1"/>
  <c r="AN6" i="14" s="1"/>
  <c r="AM6" i="14" a="1"/>
  <c r="AM6" i="14" s="1"/>
  <c r="AL6" i="14" a="1"/>
  <c r="AL6" i="14" s="1"/>
  <c r="AK6" i="14" a="1"/>
  <c r="AK6" i="14" s="1"/>
  <c r="AJ6" i="14" a="1"/>
  <c r="AJ6" i="14" s="1"/>
  <c r="AI6" i="14" a="1"/>
  <c r="AI6" i="14" s="1"/>
  <c r="AH6" i="14" a="1"/>
  <c r="AH6" i="14" s="1"/>
  <c r="AG6" i="14" a="1"/>
  <c r="AG6" i="14" s="1"/>
  <c r="AF6" i="14" a="1"/>
  <c r="AF6" i="14" s="1"/>
  <c r="AE6" i="14" a="1"/>
  <c r="AE6" i="14" s="1"/>
  <c r="AD6" i="14" a="1"/>
  <c r="AD6" i="14" s="1"/>
  <c r="AC6" i="14" a="1"/>
  <c r="AC6" i="14" s="1"/>
  <c r="AB6" i="14" a="1"/>
  <c r="AB6" i="14" s="1"/>
  <c r="AA6" i="14" a="1"/>
  <c r="AA6" i="14" s="1"/>
  <c r="Z6" i="14" a="1"/>
  <c r="Z6" i="14" s="1"/>
  <c r="Y6" i="14" a="1"/>
  <c r="Y6" i="14" s="1"/>
  <c r="X6" i="14" a="1"/>
  <c r="X6" i="14" s="1"/>
  <c r="W6" i="14" a="1"/>
  <c r="W6" i="14" s="1"/>
  <c r="V6" i="14" a="1"/>
  <c r="V6" i="14" s="1"/>
  <c r="U6" i="14" a="1"/>
  <c r="U6" i="14" s="1"/>
  <c r="T6" i="14" a="1"/>
  <c r="T6" i="14" s="1"/>
  <c r="S6" i="14" a="1"/>
  <c r="S6" i="14" s="1"/>
  <c r="R6" i="14" a="1"/>
  <c r="R6" i="14" s="1"/>
  <c r="Q6" i="14" a="1"/>
  <c r="Q6" i="14" s="1"/>
  <c r="P6" i="14" a="1"/>
  <c r="P6" i="14" s="1"/>
  <c r="O6" i="14" a="1"/>
  <c r="O6" i="14" s="1"/>
  <c r="N6" i="14" a="1"/>
  <c r="N6" i="14" s="1"/>
  <c r="M6" i="14" a="1"/>
  <c r="M6" i="14" s="1"/>
  <c r="L6" i="14" a="1"/>
  <c r="L6" i="14" s="1"/>
  <c r="K6" i="14" a="1"/>
  <c r="K6" i="14" s="1"/>
  <c r="J6" i="14" a="1"/>
  <c r="J6" i="14" s="1"/>
  <c r="I6" i="14" a="1"/>
  <c r="I6" i="14" s="1"/>
  <c r="H6" i="14" a="1"/>
  <c r="H6" i="14" s="1"/>
  <c r="G6" i="14" a="1"/>
  <c r="G6" i="14" s="1"/>
  <c r="F6" i="14" a="1"/>
  <c r="F6" i="14" s="1"/>
  <c r="E6" i="14" a="1"/>
  <c r="E6" i="14" s="1"/>
  <c r="D6" i="14" a="1"/>
  <c r="D6" i="14" s="1"/>
  <c r="C6" i="14" a="1"/>
  <c r="C6" i="14" s="1"/>
  <c r="CC5" i="14" a="1"/>
  <c r="CC5" i="14" s="1"/>
  <c r="CB5" i="14" a="1"/>
  <c r="CB5" i="14" s="1"/>
  <c r="CA5" i="14" a="1"/>
  <c r="CA5" i="14" s="1"/>
  <c r="BZ5" i="14" a="1"/>
  <c r="BZ5" i="14" s="1"/>
  <c r="BY5" i="14" a="1"/>
  <c r="BY5" i="14" s="1"/>
  <c r="BX5" i="14" a="1"/>
  <c r="BX5" i="14" s="1"/>
  <c r="BW5" i="14" a="1"/>
  <c r="BW5" i="14" s="1"/>
  <c r="BV5" i="14" a="1"/>
  <c r="BV5" i="14" s="1"/>
  <c r="BU5" i="14" a="1"/>
  <c r="BU5" i="14" s="1"/>
  <c r="BT5" i="14" a="1"/>
  <c r="BT5" i="14" s="1"/>
  <c r="BS5" i="14" a="1"/>
  <c r="BS5" i="14" s="1"/>
  <c r="BR5" i="14" a="1"/>
  <c r="BR5" i="14" s="1"/>
  <c r="BQ5" i="14" a="1"/>
  <c r="BQ5" i="14" s="1"/>
  <c r="BP5" i="14" a="1"/>
  <c r="BP5" i="14" s="1"/>
  <c r="BO5" i="14" a="1"/>
  <c r="BO5" i="14" s="1"/>
  <c r="BN5" i="14" a="1"/>
  <c r="BN5" i="14" s="1"/>
  <c r="BM5" i="14" a="1"/>
  <c r="BM5" i="14" s="1"/>
  <c r="BL5" i="14" a="1"/>
  <c r="BL5" i="14" s="1"/>
  <c r="BK5" i="14" a="1"/>
  <c r="BK5" i="14" s="1"/>
  <c r="BJ5" i="14" a="1"/>
  <c r="BJ5" i="14" s="1"/>
  <c r="BI5" i="14" a="1"/>
  <c r="BI5" i="14" s="1"/>
  <c r="BH5" i="14" a="1"/>
  <c r="BH5" i="14" s="1"/>
  <c r="BG5" i="14" a="1"/>
  <c r="BG5" i="14" s="1"/>
  <c r="BF5" i="14" a="1"/>
  <c r="BF5" i="14" s="1"/>
  <c r="BE5" i="14" a="1"/>
  <c r="BE5" i="14" s="1"/>
  <c r="BD5" i="14" a="1"/>
  <c r="BD5" i="14" s="1"/>
  <c r="BC5" i="14" a="1"/>
  <c r="BC5" i="14" s="1"/>
  <c r="BB5" i="14" a="1"/>
  <c r="BB5" i="14" s="1"/>
  <c r="BA5" i="14" a="1"/>
  <c r="BA5" i="14" s="1"/>
  <c r="AZ5" i="14" a="1"/>
  <c r="AZ5" i="14" s="1"/>
  <c r="AY5" i="14" a="1"/>
  <c r="AY5" i="14" s="1"/>
  <c r="AX5" i="14" a="1"/>
  <c r="AX5" i="14" s="1"/>
  <c r="AW5" i="14" a="1"/>
  <c r="AW5" i="14" s="1"/>
  <c r="AV5" i="14" a="1"/>
  <c r="AV5" i="14" s="1"/>
  <c r="AU5" i="14" a="1"/>
  <c r="AU5" i="14" s="1"/>
  <c r="AT5" i="14" a="1"/>
  <c r="AT5" i="14" s="1"/>
  <c r="AS5" i="14" a="1"/>
  <c r="AS5" i="14" s="1"/>
  <c r="AR5" i="14" a="1"/>
  <c r="AR5" i="14" s="1"/>
  <c r="AQ5" i="14" a="1"/>
  <c r="AQ5" i="14" s="1"/>
  <c r="AP5" i="14" a="1"/>
  <c r="AP5" i="14" s="1"/>
  <c r="AO5" i="14" a="1"/>
  <c r="AO5" i="14" s="1"/>
  <c r="AN5" i="14" a="1"/>
  <c r="AN5" i="14" s="1"/>
  <c r="AM5" i="14" a="1"/>
  <c r="AM5" i="14" s="1"/>
  <c r="AL5" i="14" a="1"/>
  <c r="AL5" i="14" s="1"/>
  <c r="AK5" i="14" a="1"/>
  <c r="AK5" i="14" s="1"/>
  <c r="AJ5" i="14" a="1"/>
  <c r="AJ5" i="14" s="1"/>
  <c r="AI5" i="14" a="1"/>
  <c r="AI5" i="14" s="1"/>
  <c r="AH5" i="14" a="1"/>
  <c r="AH5" i="14" s="1"/>
  <c r="AG5" i="14" a="1"/>
  <c r="AG5" i="14" s="1"/>
  <c r="AF5" i="14" a="1"/>
  <c r="AF5" i="14" s="1"/>
  <c r="AE5" i="14" a="1"/>
  <c r="AE5" i="14" s="1"/>
  <c r="AD5" i="14" a="1"/>
  <c r="AD5" i="14" s="1"/>
  <c r="AC5" i="14" a="1"/>
  <c r="AC5" i="14" s="1"/>
  <c r="AB5" i="14" a="1"/>
  <c r="AB5" i="14" s="1"/>
  <c r="AA5" i="14" a="1"/>
  <c r="AA5" i="14" s="1"/>
  <c r="Z5" i="14" a="1"/>
  <c r="Z5" i="14" s="1"/>
  <c r="Y5" i="14" a="1"/>
  <c r="Y5" i="14" s="1"/>
  <c r="X5" i="14" a="1"/>
  <c r="X5" i="14" s="1"/>
  <c r="W5" i="14" a="1"/>
  <c r="W5" i="14" s="1"/>
  <c r="V5" i="14" a="1"/>
  <c r="V5" i="14" s="1"/>
  <c r="U5" i="14" a="1"/>
  <c r="U5" i="14" s="1"/>
  <c r="T5" i="14" a="1"/>
  <c r="T5" i="14" s="1"/>
  <c r="S5" i="14" a="1"/>
  <c r="S5" i="14" s="1"/>
  <c r="R5" i="14" a="1"/>
  <c r="R5" i="14" s="1"/>
  <c r="Q5" i="14" a="1"/>
  <c r="Q5" i="14" s="1"/>
  <c r="P5" i="14" a="1"/>
  <c r="P5" i="14" s="1"/>
  <c r="O5" i="14" a="1"/>
  <c r="O5" i="14" s="1"/>
  <c r="N5" i="14" a="1"/>
  <c r="N5" i="14" s="1"/>
  <c r="M5" i="14" a="1"/>
  <c r="M5" i="14" s="1"/>
  <c r="L5" i="14" a="1"/>
  <c r="L5" i="14" s="1"/>
  <c r="K5" i="14" a="1"/>
  <c r="K5" i="14" s="1"/>
  <c r="J5" i="14" a="1"/>
  <c r="J5" i="14" s="1"/>
  <c r="I5" i="14" a="1"/>
  <c r="I5" i="14" s="1"/>
  <c r="H5" i="14" a="1"/>
  <c r="H5" i="14" s="1"/>
  <c r="G5" i="14" a="1"/>
  <c r="G5" i="14" s="1"/>
  <c r="F5" i="14" a="1"/>
  <c r="F5" i="14" s="1"/>
  <c r="E5" i="14" a="1"/>
  <c r="E5" i="14" s="1"/>
  <c r="D5" i="14" a="1"/>
  <c r="D5" i="14" s="1"/>
  <c r="C5" i="14" a="1"/>
  <c r="C5" i="14" s="1"/>
  <c r="CC4" i="14" a="1"/>
  <c r="CC4" i="14" s="1"/>
  <c r="CB4" i="14" a="1"/>
  <c r="CB4" i="14" s="1"/>
  <c r="CA4" i="14" a="1"/>
  <c r="CA4" i="14" s="1"/>
  <c r="BZ4" i="14" a="1"/>
  <c r="BZ4" i="14" s="1"/>
  <c r="BY4" i="14" a="1"/>
  <c r="BY4" i="14" s="1"/>
  <c r="BX4" i="14" a="1"/>
  <c r="BX4" i="14" s="1"/>
  <c r="BW4" i="14" a="1"/>
  <c r="BW4" i="14" s="1"/>
  <c r="BV4" i="14" a="1"/>
  <c r="BV4" i="14" s="1"/>
  <c r="BU4" i="14" a="1"/>
  <c r="BU4" i="14" s="1"/>
  <c r="BT4" i="14" a="1"/>
  <c r="BT4" i="14" s="1"/>
  <c r="BS4" i="14" a="1"/>
  <c r="BS4" i="14" s="1"/>
  <c r="BR4" i="14" a="1"/>
  <c r="BR4" i="14" s="1"/>
  <c r="BQ4" i="14" a="1"/>
  <c r="BQ4" i="14" s="1"/>
  <c r="BP4" i="14" a="1"/>
  <c r="BP4" i="14" s="1"/>
  <c r="BO4" i="14" a="1"/>
  <c r="BO4" i="14" s="1"/>
  <c r="BN4" i="14" a="1"/>
  <c r="BN4" i="14" s="1"/>
  <c r="BM4" i="14" a="1"/>
  <c r="BM4" i="14" s="1"/>
  <c r="BL4" i="14" a="1"/>
  <c r="BL4" i="14" s="1"/>
  <c r="BK4" i="14" a="1"/>
  <c r="BK4" i="14" s="1"/>
  <c r="BJ4" i="14" a="1"/>
  <c r="BJ4" i="14" s="1"/>
  <c r="BI4" i="14" a="1"/>
  <c r="BI4" i="14" s="1"/>
  <c r="BH4" i="14" a="1"/>
  <c r="BH4" i="14" s="1"/>
  <c r="BG4" i="14" a="1"/>
  <c r="BG4" i="14" s="1"/>
  <c r="BF4" i="14" a="1"/>
  <c r="BF4" i="14" s="1"/>
  <c r="BE4" i="14" a="1"/>
  <c r="BE4" i="14" s="1"/>
  <c r="BD4" i="14" a="1"/>
  <c r="BD4" i="14" s="1"/>
  <c r="BC4" i="14" a="1"/>
  <c r="BC4" i="14" s="1"/>
  <c r="BB4" i="14" a="1"/>
  <c r="BB4" i="14" s="1"/>
  <c r="BA4" i="14" a="1"/>
  <c r="BA4" i="14" s="1"/>
  <c r="AZ4" i="14" a="1"/>
  <c r="AZ4" i="14" s="1"/>
  <c r="AY4" i="14" a="1"/>
  <c r="AY4" i="14" s="1"/>
  <c r="AX4" i="14" a="1"/>
  <c r="AX4" i="14" s="1"/>
  <c r="AW4" i="14" a="1"/>
  <c r="AW4" i="14" s="1"/>
  <c r="AV4" i="14" a="1"/>
  <c r="AV4" i="14" s="1"/>
  <c r="AU4" i="14" a="1"/>
  <c r="AU4" i="14" s="1"/>
  <c r="AT4" i="14" a="1"/>
  <c r="AT4" i="14" s="1"/>
  <c r="AS4" i="14" a="1"/>
  <c r="AS4" i="14" s="1"/>
  <c r="AR4" i="14" a="1"/>
  <c r="AR4" i="14" s="1"/>
  <c r="AQ4" i="14" a="1"/>
  <c r="AQ4" i="14" s="1"/>
  <c r="AP4" i="14" a="1"/>
  <c r="AP4" i="14" s="1"/>
  <c r="AO4" i="14" a="1"/>
  <c r="AO4" i="14" s="1"/>
  <c r="AN4" i="14" a="1"/>
  <c r="AN4" i="14" s="1"/>
  <c r="AM4" i="14" a="1"/>
  <c r="AM4" i="14" s="1"/>
  <c r="AL4" i="14" a="1"/>
  <c r="AL4" i="14" s="1"/>
  <c r="AK4" i="14" a="1"/>
  <c r="AK4" i="14" s="1"/>
  <c r="AJ4" i="14" a="1"/>
  <c r="AJ4" i="14" s="1"/>
  <c r="AI4" i="14" a="1"/>
  <c r="AI4" i="14" s="1"/>
  <c r="AH4" i="14" a="1"/>
  <c r="AH4" i="14" s="1"/>
  <c r="AG4" i="14" a="1"/>
  <c r="AG4" i="14" s="1"/>
  <c r="AF4" i="14" a="1"/>
  <c r="AF4" i="14" s="1"/>
  <c r="AE4" i="14" a="1"/>
  <c r="AE4" i="14" s="1"/>
  <c r="AD4" i="14" a="1"/>
  <c r="AD4" i="14" s="1"/>
  <c r="AC4" i="14" a="1"/>
  <c r="AC4" i="14" s="1"/>
  <c r="AB4" i="14" a="1"/>
  <c r="AB4" i="14" s="1"/>
  <c r="AA4" i="14" a="1"/>
  <c r="AA4" i="14" s="1"/>
  <c r="Z4" i="14" a="1"/>
  <c r="Z4" i="14" s="1"/>
  <c r="Y4" i="14" a="1"/>
  <c r="Y4" i="14" s="1"/>
  <c r="X4" i="14" a="1"/>
  <c r="X4" i="14" s="1"/>
  <c r="W4" i="14" a="1"/>
  <c r="W4" i="14" s="1"/>
  <c r="V4" i="14" a="1"/>
  <c r="V4" i="14" s="1"/>
  <c r="U4" i="14" a="1"/>
  <c r="U4" i="14" s="1"/>
  <c r="T4" i="14" a="1"/>
  <c r="T4" i="14" s="1"/>
  <c r="S4" i="14" a="1"/>
  <c r="S4" i="14" s="1"/>
  <c r="R4" i="14" a="1"/>
  <c r="R4" i="14" s="1"/>
  <c r="Q4" i="14" a="1"/>
  <c r="Q4" i="14" s="1"/>
  <c r="P4" i="14" a="1"/>
  <c r="P4" i="14" s="1"/>
  <c r="O4" i="14" a="1"/>
  <c r="O4" i="14" s="1"/>
  <c r="N4" i="14" a="1"/>
  <c r="N4" i="14" s="1"/>
  <c r="M4" i="14" a="1"/>
  <c r="M4" i="14" s="1"/>
  <c r="L4" i="14" a="1"/>
  <c r="L4" i="14" s="1"/>
  <c r="K4" i="14" a="1"/>
  <c r="K4" i="14" s="1"/>
  <c r="J4" i="14" a="1"/>
  <c r="J4" i="14" s="1"/>
  <c r="I4" i="14" a="1"/>
  <c r="I4" i="14" s="1"/>
  <c r="H4" i="14" a="1"/>
  <c r="H4" i="14" s="1"/>
  <c r="G4" i="14" a="1"/>
  <c r="G4" i="14" s="1"/>
  <c r="F4" i="14" a="1"/>
  <c r="F4" i="14" s="1"/>
  <c r="E4" i="14" a="1"/>
  <c r="E4" i="14" s="1"/>
  <c r="D4" i="14" a="1"/>
  <c r="D4" i="14" s="1"/>
  <c r="C4" i="14" a="1"/>
  <c r="C4" i="14" s="1"/>
  <c r="G218" i="19" a="1"/>
  <c r="G218" i="19" s="1"/>
  <c r="F218" i="19" a="1"/>
  <c r="F218" i="19" s="1"/>
  <c r="E218" i="19" a="1"/>
  <c r="E218" i="19" s="1"/>
  <c r="D218" i="19" a="1"/>
  <c r="D218" i="19" s="1"/>
  <c r="C218" i="19" a="1"/>
  <c r="C218" i="19" s="1"/>
  <c r="G217" i="19"/>
  <c r="G217" i="19" a="1"/>
  <c r="F217" i="19"/>
  <c r="F217" i="19" a="1"/>
  <c r="E217" i="19"/>
  <c r="E217" i="19" a="1"/>
  <c r="D217" i="19"/>
  <c r="D217" i="19" a="1"/>
  <c r="C217" i="19"/>
  <c r="C217" i="19" a="1"/>
  <c r="G214" i="19" a="1"/>
  <c r="G214" i="19" s="1"/>
  <c r="F214" i="19" a="1"/>
  <c r="F214" i="19" s="1"/>
  <c r="E214" i="19" a="1"/>
  <c r="E214" i="19" s="1"/>
  <c r="D214" i="19" a="1"/>
  <c r="D214" i="19" s="1"/>
  <c r="C214" i="19" a="1"/>
  <c r="C214" i="19" s="1"/>
  <c r="G213" i="19" a="1"/>
  <c r="G213" i="19" s="1"/>
  <c r="F213" i="19" a="1"/>
  <c r="F213" i="19" s="1"/>
  <c r="E213" i="19" a="1"/>
  <c r="E213" i="19" s="1"/>
  <c r="D213" i="19" a="1"/>
  <c r="D213" i="19" s="1"/>
  <c r="C213" i="19" a="1"/>
  <c r="C213" i="19" s="1"/>
  <c r="G212" i="19" a="1"/>
  <c r="G212" i="19" s="1"/>
  <c r="F212" i="19" a="1"/>
  <c r="F212" i="19" s="1"/>
  <c r="E212" i="19" a="1"/>
  <c r="E212" i="19" s="1"/>
  <c r="D212" i="19" a="1"/>
  <c r="D212" i="19" s="1"/>
  <c r="C212" i="19" a="1"/>
  <c r="C212" i="19" s="1"/>
  <c r="G211" i="19"/>
  <c r="G211" i="19" a="1"/>
  <c r="F211" i="19"/>
  <c r="F211" i="19" a="1"/>
  <c r="E211" i="19"/>
  <c r="E211" i="19" a="1"/>
  <c r="D211" i="19"/>
  <c r="D211" i="19" a="1"/>
  <c r="C211" i="19"/>
  <c r="C211" i="19" a="1"/>
  <c r="G207" i="19" a="1"/>
  <c r="G207" i="19" s="1"/>
  <c r="F207" i="19" a="1"/>
  <c r="F207" i="19" s="1"/>
  <c r="E207" i="19" a="1"/>
  <c r="E207" i="19" s="1"/>
  <c r="D207" i="19" a="1"/>
  <c r="D207" i="19" s="1"/>
  <c r="C207" i="19" a="1"/>
  <c r="C207" i="19" s="1"/>
  <c r="G206" i="19" a="1"/>
  <c r="G206" i="19" s="1"/>
  <c r="F206" i="19" a="1"/>
  <c r="F206" i="19" s="1"/>
  <c r="E206" i="19" a="1"/>
  <c r="E206" i="19" s="1"/>
  <c r="D206" i="19" a="1"/>
  <c r="D206" i="19" s="1"/>
  <c r="C206" i="19" a="1"/>
  <c r="C206" i="19" s="1"/>
  <c r="G205" i="19" a="1"/>
  <c r="G205" i="19" s="1"/>
  <c r="F205" i="19" a="1"/>
  <c r="F205" i="19" s="1"/>
  <c r="E205" i="19" a="1"/>
  <c r="E205" i="19" s="1"/>
  <c r="D205" i="19" a="1"/>
  <c r="D205" i="19" s="1"/>
  <c r="C205" i="19" a="1"/>
  <c r="C205" i="19" s="1"/>
  <c r="G204" i="19"/>
  <c r="G204" i="19" a="1"/>
  <c r="F204" i="19"/>
  <c r="F204" i="19" a="1"/>
  <c r="E204" i="19"/>
  <c r="E204" i="19" a="1"/>
  <c r="D204" i="19"/>
  <c r="D204" i="19" a="1"/>
  <c r="C204" i="19"/>
  <c r="C204" i="19" a="1"/>
  <c r="G200" i="19" a="1"/>
  <c r="G200" i="19" s="1"/>
  <c r="F200" i="19" a="1"/>
  <c r="F200" i="19" s="1"/>
  <c r="E200" i="19" a="1"/>
  <c r="E200" i="19" s="1"/>
  <c r="D200" i="19" a="1"/>
  <c r="D200" i="19" s="1"/>
  <c r="C200" i="19" a="1"/>
  <c r="C200" i="19" s="1"/>
  <c r="G199" i="19" a="1"/>
  <c r="G199" i="19" s="1"/>
  <c r="F199" i="19" a="1"/>
  <c r="F199" i="19" s="1"/>
  <c r="E199" i="19" a="1"/>
  <c r="E199" i="19" s="1"/>
  <c r="D199" i="19" a="1"/>
  <c r="D199" i="19" s="1"/>
  <c r="C199" i="19" a="1"/>
  <c r="C199" i="19" s="1"/>
  <c r="G198" i="19" a="1"/>
  <c r="G198" i="19" s="1"/>
  <c r="F198" i="19" a="1"/>
  <c r="F198" i="19" s="1"/>
  <c r="E198" i="19" a="1"/>
  <c r="E198" i="19" s="1"/>
  <c r="D198" i="19" a="1"/>
  <c r="D198" i="19" s="1"/>
  <c r="C198" i="19" a="1"/>
  <c r="C198" i="19" s="1"/>
  <c r="G197" i="19" a="1"/>
  <c r="G197" i="19" s="1"/>
  <c r="F197" i="19" a="1"/>
  <c r="F197" i="19" s="1"/>
  <c r="E197" i="19" a="1"/>
  <c r="E197" i="19" s="1"/>
  <c r="D197" i="19" a="1"/>
  <c r="D197" i="19" s="1"/>
  <c r="C197" i="19" a="1"/>
  <c r="C197" i="19" s="1"/>
  <c r="G196" i="19"/>
  <c r="G196" i="19" a="1"/>
  <c r="F196" i="19"/>
  <c r="F196" i="19" a="1"/>
  <c r="E196" i="19"/>
  <c r="E196" i="19" a="1"/>
  <c r="D196" i="19"/>
  <c r="D196" i="19" a="1"/>
  <c r="C196" i="19"/>
  <c r="C196" i="19" a="1"/>
  <c r="G191" i="19" a="1"/>
  <c r="G191" i="19" s="1"/>
  <c r="F191" i="19" a="1"/>
  <c r="F191" i="19" s="1"/>
  <c r="E191" i="19" a="1"/>
  <c r="E191" i="19" s="1"/>
  <c r="D191" i="19" a="1"/>
  <c r="D191" i="19" s="1"/>
  <c r="C191" i="19" a="1"/>
  <c r="C191" i="19" s="1"/>
  <c r="G190" i="19" a="1"/>
  <c r="G190" i="19" s="1"/>
  <c r="F190" i="19" a="1"/>
  <c r="F190" i="19" s="1"/>
  <c r="E190" i="19" a="1"/>
  <c r="E190" i="19" s="1"/>
  <c r="D190" i="19" a="1"/>
  <c r="D190" i="19" s="1"/>
  <c r="C190" i="19" a="1"/>
  <c r="C190" i="19" s="1"/>
  <c r="G189" i="19" a="1"/>
  <c r="G189" i="19" s="1"/>
  <c r="F189" i="19" a="1"/>
  <c r="F189" i="19" s="1"/>
  <c r="E189" i="19" a="1"/>
  <c r="E189" i="19" s="1"/>
  <c r="D189" i="19" a="1"/>
  <c r="D189" i="19" s="1"/>
  <c r="C189" i="19" a="1"/>
  <c r="C189" i="19" s="1"/>
  <c r="G188" i="19" a="1"/>
  <c r="G188" i="19" s="1"/>
  <c r="F188" i="19" a="1"/>
  <c r="F188" i="19" s="1"/>
  <c r="E188" i="19" a="1"/>
  <c r="E188" i="19" s="1"/>
  <c r="D188" i="19" a="1"/>
  <c r="D188" i="19" s="1"/>
  <c r="C188" i="19" a="1"/>
  <c r="C188" i="19" s="1"/>
  <c r="G187" i="19" a="1"/>
  <c r="G187" i="19" s="1"/>
  <c r="F187" i="19" a="1"/>
  <c r="F187" i="19" s="1"/>
  <c r="E187" i="19" a="1"/>
  <c r="E187" i="19" s="1"/>
  <c r="D187" i="19" a="1"/>
  <c r="D187" i="19" s="1"/>
  <c r="C187" i="19" a="1"/>
  <c r="C187" i="19" s="1"/>
  <c r="G186" i="19" a="1"/>
  <c r="G186" i="19" s="1"/>
  <c r="F186" i="19" a="1"/>
  <c r="F186" i="19" s="1"/>
  <c r="E186" i="19" a="1"/>
  <c r="E186" i="19" s="1"/>
  <c r="D186" i="19" a="1"/>
  <c r="D186" i="19" s="1"/>
  <c r="C186" i="19" a="1"/>
  <c r="C186" i="19" s="1"/>
  <c r="G185" i="19"/>
  <c r="G185" i="19" a="1"/>
  <c r="F185" i="19"/>
  <c r="F185" i="19" a="1"/>
  <c r="E185" i="19"/>
  <c r="E185" i="19" a="1"/>
  <c r="D185" i="19"/>
  <c r="D185" i="19" a="1"/>
  <c r="C185" i="19"/>
  <c r="C185" i="19" a="1"/>
  <c r="G182" i="19" a="1"/>
  <c r="G182" i="19" s="1"/>
  <c r="F182" i="19" a="1"/>
  <c r="F182" i="19" s="1"/>
  <c r="E182" i="19" a="1"/>
  <c r="E182" i="19" s="1"/>
  <c r="D182" i="19" a="1"/>
  <c r="D182" i="19" s="1"/>
  <c r="C182" i="19" a="1"/>
  <c r="C182" i="19" s="1"/>
  <c r="G181" i="19" a="1"/>
  <c r="G181" i="19" s="1"/>
  <c r="F181" i="19" a="1"/>
  <c r="F181" i="19" s="1"/>
  <c r="E181" i="19" a="1"/>
  <c r="E181" i="19" s="1"/>
  <c r="D181" i="19" a="1"/>
  <c r="D181" i="19" s="1"/>
  <c r="C181" i="19" a="1"/>
  <c r="C181" i="19" s="1"/>
  <c r="G180" i="19" a="1"/>
  <c r="G180" i="19" s="1"/>
  <c r="F180" i="19" a="1"/>
  <c r="F180" i="19" s="1"/>
  <c r="E180" i="19" a="1"/>
  <c r="E180" i="19" s="1"/>
  <c r="D180" i="19" a="1"/>
  <c r="D180" i="19" s="1"/>
  <c r="C180" i="19" a="1"/>
  <c r="C180" i="19" s="1"/>
  <c r="G179" i="19"/>
  <c r="G179" i="19" a="1"/>
  <c r="F179" i="19"/>
  <c r="F179" i="19" a="1"/>
  <c r="E179" i="19"/>
  <c r="E179" i="19" a="1"/>
  <c r="D179" i="19"/>
  <c r="D179" i="19" a="1"/>
  <c r="C179" i="19"/>
  <c r="C179" i="19" a="1"/>
  <c r="G175" i="19" a="1"/>
  <c r="G175" i="19" s="1"/>
  <c r="F175" i="19" a="1"/>
  <c r="F175" i="19" s="1"/>
  <c r="E175" i="19" a="1"/>
  <c r="E175" i="19" s="1"/>
  <c r="D175" i="19" a="1"/>
  <c r="D175" i="19" s="1"/>
  <c r="C175" i="19" a="1"/>
  <c r="C175" i="19" s="1"/>
  <c r="G174" i="19" a="1"/>
  <c r="G174" i="19" s="1"/>
  <c r="F174" i="19" a="1"/>
  <c r="F174" i="19" s="1"/>
  <c r="E174" i="19" a="1"/>
  <c r="E174" i="19" s="1"/>
  <c r="D174" i="19" a="1"/>
  <c r="D174" i="19" s="1"/>
  <c r="C174" i="19" a="1"/>
  <c r="C174" i="19" s="1"/>
  <c r="G173" i="19"/>
  <c r="G173" i="19" a="1"/>
  <c r="F173" i="19"/>
  <c r="F173" i="19" a="1"/>
  <c r="E173" i="19"/>
  <c r="E173" i="19" a="1"/>
  <c r="D173" i="19"/>
  <c r="D173" i="19" a="1"/>
  <c r="C173" i="19"/>
  <c r="C173" i="19" a="1"/>
  <c r="G169" i="19" a="1"/>
  <c r="G169" i="19" s="1"/>
  <c r="F169" i="19" a="1"/>
  <c r="F169" i="19" s="1"/>
  <c r="E169" i="19" a="1"/>
  <c r="E169" i="19" s="1"/>
  <c r="D169" i="19" a="1"/>
  <c r="D169" i="19" s="1"/>
  <c r="C169" i="19" a="1"/>
  <c r="C169" i="19" s="1"/>
  <c r="G168" i="19" a="1"/>
  <c r="G168" i="19" s="1"/>
  <c r="F168" i="19" a="1"/>
  <c r="F168" i="19" s="1"/>
  <c r="E168" i="19" a="1"/>
  <c r="E168" i="19" s="1"/>
  <c r="D168" i="19" a="1"/>
  <c r="D168" i="19" s="1"/>
  <c r="C168" i="19" a="1"/>
  <c r="C168" i="19" s="1"/>
  <c r="G167" i="19" a="1"/>
  <c r="G167" i="19" s="1"/>
  <c r="F167" i="19" a="1"/>
  <c r="F167" i="19" s="1"/>
  <c r="E167" i="19" a="1"/>
  <c r="E167" i="19" s="1"/>
  <c r="D167" i="19" a="1"/>
  <c r="D167" i="19" s="1"/>
  <c r="C167" i="19" a="1"/>
  <c r="C167" i="19" s="1"/>
  <c r="G166" i="19" a="1"/>
  <c r="G166" i="19" s="1"/>
  <c r="F166" i="19" a="1"/>
  <c r="F166" i="19" s="1"/>
  <c r="E166" i="19" a="1"/>
  <c r="E166" i="19" s="1"/>
  <c r="D166" i="19" a="1"/>
  <c r="D166" i="19" s="1"/>
  <c r="C166" i="19" a="1"/>
  <c r="C166" i="19" s="1"/>
  <c r="G165" i="19"/>
  <c r="G165" i="19" a="1"/>
  <c r="F165" i="19"/>
  <c r="F165" i="19" a="1"/>
  <c r="E165" i="19"/>
  <c r="E165" i="19" a="1"/>
  <c r="D165" i="19"/>
  <c r="D165" i="19" a="1"/>
  <c r="C165" i="19"/>
  <c r="C165" i="19" a="1"/>
  <c r="G161" i="19" a="1"/>
  <c r="G161" i="19" s="1"/>
  <c r="F161" i="19" a="1"/>
  <c r="F161" i="19" s="1"/>
  <c r="E161" i="19" a="1"/>
  <c r="E161" i="19" s="1"/>
  <c r="D161" i="19" a="1"/>
  <c r="D161" i="19" s="1"/>
  <c r="C161" i="19" a="1"/>
  <c r="C161" i="19" s="1"/>
  <c r="G160" i="19" a="1"/>
  <c r="G160" i="19" s="1"/>
  <c r="F160" i="19" a="1"/>
  <c r="F160" i="19" s="1"/>
  <c r="E160" i="19" a="1"/>
  <c r="E160" i="19" s="1"/>
  <c r="D160" i="19" a="1"/>
  <c r="D160" i="19" s="1"/>
  <c r="C160" i="19" a="1"/>
  <c r="C160" i="19" s="1"/>
  <c r="G159" i="19" a="1"/>
  <c r="G159" i="19" s="1"/>
  <c r="F159" i="19" a="1"/>
  <c r="F159" i="19" s="1"/>
  <c r="E159" i="19" a="1"/>
  <c r="E159" i="19" s="1"/>
  <c r="D159" i="19" a="1"/>
  <c r="D159" i="19" s="1"/>
  <c r="C159" i="19" a="1"/>
  <c r="C159" i="19" s="1"/>
  <c r="G158" i="19" a="1"/>
  <c r="G158" i="19" s="1"/>
  <c r="F158" i="19" a="1"/>
  <c r="F158" i="19" s="1"/>
  <c r="E158" i="19" a="1"/>
  <c r="E158" i="19" s="1"/>
  <c r="D158" i="19" a="1"/>
  <c r="D158" i="19" s="1"/>
  <c r="C158" i="19" a="1"/>
  <c r="C158" i="19" s="1"/>
  <c r="G157" i="19"/>
  <c r="G157" i="19" a="1"/>
  <c r="F157" i="19"/>
  <c r="F157" i="19" a="1"/>
  <c r="E157" i="19"/>
  <c r="E157" i="19" a="1"/>
  <c r="D157" i="19"/>
  <c r="D157" i="19" a="1"/>
  <c r="C157" i="19"/>
  <c r="C157" i="19" a="1"/>
  <c r="G153" i="19" a="1"/>
  <c r="G153" i="19" s="1"/>
  <c r="F153" i="19" a="1"/>
  <c r="F153" i="19" s="1"/>
  <c r="E153" i="19" a="1"/>
  <c r="E153" i="19" s="1"/>
  <c r="D153" i="19" a="1"/>
  <c r="D153" i="19" s="1"/>
  <c r="C153" i="19" a="1"/>
  <c r="C153" i="19" s="1"/>
  <c r="G152" i="19" a="1"/>
  <c r="G152" i="19" s="1"/>
  <c r="F152" i="19" a="1"/>
  <c r="F152" i="19" s="1"/>
  <c r="E152" i="19" a="1"/>
  <c r="E152" i="19" s="1"/>
  <c r="D152" i="19" a="1"/>
  <c r="D152" i="19" s="1"/>
  <c r="C152" i="19" a="1"/>
  <c r="C152" i="19" s="1"/>
  <c r="G151" i="19"/>
  <c r="G151" i="19" a="1"/>
  <c r="F151" i="19"/>
  <c r="F151" i="19" a="1"/>
  <c r="E151" i="19"/>
  <c r="E151" i="19" a="1"/>
  <c r="D151" i="19"/>
  <c r="D151" i="19" a="1"/>
  <c r="C151" i="19"/>
  <c r="C151" i="19" a="1"/>
  <c r="G147" i="19" a="1"/>
  <c r="G147" i="19" s="1"/>
  <c r="F147" i="19" a="1"/>
  <c r="F147" i="19" s="1"/>
  <c r="E147" i="19" a="1"/>
  <c r="E147" i="19" s="1"/>
  <c r="D147" i="19" a="1"/>
  <c r="D147" i="19" s="1"/>
  <c r="C147" i="19" a="1"/>
  <c r="C147" i="19" s="1"/>
  <c r="G146" i="19" a="1"/>
  <c r="G146" i="19" s="1"/>
  <c r="F146" i="19" a="1"/>
  <c r="F146" i="19" s="1"/>
  <c r="E146" i="19" a="1"/>
  <c r="E146" i="19" s="1"/>
  <c r="D146" i="19" a="1"/>
  <c r="D146" i="19" s="1"/>
  <c r="C146" i="19" a="1"/>
  <c r="C146" i="19" s="1"/>
  <c r="G145" i="19"/>
  <c r="G145" i="19" a="1"/>
  <c r="F145" i="19"/>
  <c r="F145" i="19" a="1"/>
  <c r="E145" i="19"/>
  <c r="E145" i="19" a="1"/>
  <c r="D145" i="19"/>
  <c r="D145" i="19" a="1"/>
  <c r="C145" i="19"/>
  <c r="C145" i="19" a="1"/>
  <c r="G141" i="19" a="1"/>
  <c r="G141" i="19" s="1"/>
  <c r="F141" i="19" a="1"/>
  <c r="F141" i="19" s="1"/>
  <c r="E141" i="19" a="1"/>
  <c r="E141" i="19" s="1"/>
  <c r="D141" i="19" a="1"/>
  <c r="D141" i="19" s="1"/>
  <c r="C141" i="19" a="1"/>
  <c r="C141" i="19" s="1"/>
  <c r="G140" i="19" a="1"/>
  <c r="G140" i="19" s="1"/>
  <c r="F140" i="19" a="1"/>
  <c r="F140" i="19" s="1"/>
  <c r="E140" i="19" a="1"/>
  <c r="E140" i="19" s="1"/>
  <c r="D140" i="19" a="1"/>
  <c r="D140" i="19" s="1"/>
  <c r="C140" i="19" a="1"/>
  <c r="C140" i="19" s="1"/>
  <c r="G139" i="19" a="1"/>
  <c r="G139" i="19" s="1"/>
  <c r="F139" i="19" a="1"/>
  <c r="F139" i="19" s="1"/>
  <c r="E139" i="19" a="1"/>
  <c r="E139" i="19" s="1"/>
  <c r="D139" i="19" a="1"/>
  <c r="D139" i="19" s="1"/>
  <c r="C139" i="19" a="1"/>
  <c r="C139" i="19" s="1"/>
  <c r="G138" i="19"/>
  <c r="G138" i="19" a="1"/>
  <c r="F138" i="19"/>
  <c r="F138" i="19" a="1"/>
  <c r="E138" i="19"/>
  <c r="E138" i="19" a="1"/>
  <c r="D138" i="19"/>
  <c r="D138" i="19" a="1"/>
  <c r="C138" i="19"/>
  <c r="C138" i="19" a="1"/>
  <c r="G134" i="19" a="1"/>
  <c r="G134" i="19" s="1"/>
  <c r="F134" i="19" a="1"/>
  <c r="F134" i="19" s="1"/>
  <c r="E134" i="19" a="1"/>
  <c r="E134" i="19" s="1"/>
  <c r="D134" i="19" a="1"/>
  <c r="D134" i="19" s="1"/>
  <c r="C134" i="19" a="1"/>
  <c r="C134" i="19" s="1"/>
  <c r="G133" i="19" a="1"/>
  <c r="G133" i="19" s="1"/>
  <c r="F133" i="19" a="1"/>
  <c r="F133" i="19" s="1"/>
  <c r="E133" i="19" a="1"/>
  <c r="E133" i="19" s="1"/>
  <c r="D133" i="19" a="1"/>
  <c r="D133" i="19" s="1"/>
  <c r="C133" i="19" a="1"/>
  <c r="C133" i="19" s="1"/>
  <c r="G132" i="19" a="1"/>
  <c r="G132" i="19" s="1"/>
  <c r="F132" i="19" a="1"/>
  <c r="F132" i="19" s="1"/>
  <c r="E132" i="19" a="1"/>
  <c r="E132" i="19" s="1"/>
  <c r="D132" i="19" a="1"/>
  <c r="D132" i="19" s="1"/>
  <c r="C132" i="19" a="1"/>
  <c r="C132" i="19" s="1"/>
  <c r="G131" i="19" a="1"/>
  <c r="G131" i="19" s="1"/>
  <c r="F131" i="19" a="1"/>
  <c r="F131" i="19" s="1"/>
  <c r="E131" i="19" a="1"/>
  <c r="E131" i="19" s="1"/>
  <c r="D131" i="19" a="1"/>
  <c r="D131" i="19" s="1"/>
  <c r="C131" i="19" a="1"/>
  <c r="C131" i="19" s="1"/>
  <c r="G130" i="19" a="1"/>
  <c r="G130" i="19" s="1"/>
  <c r="F130" i="19" a="1"/>
  <c r="F130" i="19" s="1"/>
  <c r="E130" i="19" a="1"/>
  <c r="E130" i="19" s="1"/>
  <c r="D130" i="19" a="1"/>
  <c r="D130" i="19" s="1"/>
  <c r="C130" i="19" a="1"/>
  <c r="C130" i="19" s="1"/>
  <c r="G129" i="19"/>
  <c r="G129" i="19" a="1"/>
  <c r="F129" i="19"/>
  <c r="F129" i="19" a="1"/>
  <c r="E129" i="19"/>
  <c r="E129" i="19" a="1"/>
  <c r="D129" i="19"/>
  <c r="D129" i="19" a="1"/>
  <c r="C129" i="19"/>
  <c r="C129" i="19" a="1"/>
  <c r="G125" i="19" a="1"/>
  <c r="G125" i="19" s="1"/>
  <c r="F125" i="19" a="1"/>
  <c r="F125" i="19" s="1"/>
  <c r="E125" i="19" a="1"/>
  <c r="E125" i="19" s="1"/>
  <c r="D125" i="19" a="1"/>
  <c r="D125" i="19" s="1"/>
  <c r="C125" i="19" a="1"/>
  <c r="C125" i="19" s="1"/>
  <c r="G124" i="19" a="1"/>
  <c r="G124" i="19" s="1"/>
  <c r="F124" i="19" a="1"/>
  <c r="F124" i="19" s="1"/>
  <c r="E124" i="19" a="1"/>
  <c r="E124" i="19" s="1"/>
  <c r="D124" i="19" a="1"/>
  <c r="D124" i="19" s="1"/>
  <c r="C124" i="19" a="1"/>
  <c r="C124" i="19" s="1"/>
  <c r="G123" i="19"/>
  <c r="G123" i="19" a="1"/>
  <c r="F123" i="19"/>
  <c r="F123" i="19" a="1"/>
  <c r="E123" i="19"/>
  <c r="E123" i="19" a="1"/>
  <c r="D123" i="19"/>
  <c r="D123" i="19" a="1"/>
  <c r="C123" i="19"/>
  <c r="C123" i="19" a="1"/>
  <c r="G119" i="19" a="1"/>
  <c r="G119" i="19" s="1"/>
  <c r="F119" i="19" a="1"/>
  <c r="F119" i="19" s="1"/>
  <c r="E119" i="19" a="1"/>
  <c r="E119" i="19" s="1"/>
  <c r="D119" i="19" a="1"/>
  <c r="D119" i="19" s="1"/>
  <c r="C119" i="19" a="1"/>
  <c r="C119" i="19" s="1"/>
  <c r="G118" i="19" a="1"/>
  <c r="G118" i="19" s="1"/>
  <c r="F118" i="19" a="1"/>
  <c r="F118" i="19" s="1"/>
  <c r="E118" i="19" a="1"/>
  <c r="E118" i="19" s="1"/>
  <c r="D118" i="19" a="1"/>
  <c r="D118" i="19" s="1"/>
  <c r="C118" i="19" a="1"/>
  <c r="C118" i="19" s="1"/>
  <c r="G117" i="19"/>
  <c r="G117" i="19" a="1"/>
  <c r="F117" i="19"/>
  <c r="F117" i="19" a="1"/>
  <c r="E117" i="19"/>
  <c r="E117" i="19" a="1"/>
  <c r="D117" i="19"/>
  <c r="D117" i="19" a="1"/>
  <c r="C117" i="19"/>
  <c r="C117" i="19" a="1"/>
  <c r="G113" i="19" a="1"/>
  <c r="G113" i="19" s="1"/>
  <c r="F113" i="19" a="1"/>
  <c r="F113" i="19" s="1"/>
  <c r="E113" i="19" a="1"/>
  <c r="E113" i="19" s="1"/>
  <c r="D113" i="19" a="1"/>
  <c r="D113" i="19" s="1"/>
  <c r="C113" i="19" a="1"/>
  <c r="C113" i="19" s="1"/>
  <c r="G112" i="19" a="1"/>
  <c r="G112" i="19" s="1"/>
  <c r="F112" i="19" a="1"/>
  <c r="F112" i="19" s="1"/>
  <c r="E112" i="19" a="1"/>
  <c r="E112" i="19" s="1"/>
  <c r="D112" i="19" a="1"/>
  <c r="D112" i="19" s="1"/>
  <c r="C112" i="19" a="1"/>
  <c r="C112" i="19" s="1"/>
  <c r="G111" i="19" a="1"/>
  <c r="G111" i="19" s="1"/>
  <c r="F111" i="19" a="1"/>
  <c r="F111" i="19" s="1"/>
  <c r="E111" i="19" a="1"/>
  <c r="E111" i="19" s="1"/>
  <c r="D111" i="19" a="1"/>
  <c r="D111" i="19" s="1"/>
  <c r="C111" i="19" a="1"/>
  <c r="C111" i="19" s="1"/>
  <c r="G110" i="19" a="1"/>
  <c r="G110" i="19" s="1"/>
  <c r="F110" i="19" a="1"/>
  <c r="F110" i="19" s="1"/>
  <c r="E110" i="19" a="1"/>
  <c r="E110" i="19" s="1"/>
  <c r="D110" i="19" a="1"/>
  <c r="D110" i="19" s="1"/>
  <c r="C110" i="19" a="1"/>
  <c r="C110" i="19" s="1"/>
  <c r="G109" i="19" a="1"/>
  <c r="G109" i="19" s="1"/>
  <c r="F109" i="19" a="1"/>
  <c r="F109" i="19" s="1"/>
  <c r="E109" i="19" a="1"/>
  <c r="E109" i="19" s="1"/>
  <c r="D109" i="19" a="1"/>
  <c r="D109" i="19" s="1"/>
  <c r="C109" i="19" a="1"/>
  <c r="C109" i="19" s="1"/>
  <c r="G108" i="19" a="1"/>
  <c r="G108" i="19" s="1"/>
  <c r="F108" i="19" a="1"/>
  <c r="F108" i="19" s="1"/>
  <c r="E108" i="19" a="1"/>
  <c r="E108" i="19" s="1"/>
  <c r="D108" i="19" a="1"/>
  <c r="D108" i="19" s="1"/>
  <c r="C108" i="19" a="1"/>
  <c r="C108" i="19" s="1"/>
  <c r="G107" i="19" a="1"/>
  <c r="G107" i="19" s="1"/>
  <c r="F107" i="19" a="1"/>
  <c r="F107" i="19" s="1"/>
  <c r="E107" i="19" a="1"/>
  <c r="E107" i="19" s="1"/>
  <c r="D107" i="19" a="1"/>
  <c r="D107" i="19" s="1"/>
  <c r="C107" i="19" a="1"/>
  <c r="C107" i="19" s="1"/>
  <c r="G106" i="19" a="1"/>
  <c r="G106" i="19" s="1"/>
  <c r="F106" i="19" a="1"/>
  <c r="F106" i="19" s="1"/>
  <c r="E106" i="19" a="1"/>
  <c r="E106" i="19" s="1"/>
  <c r="D106" i="19" a="1"/>
  <c r="D106" i="19" s="1"/>
  <c r="C106" i="19" a="1"/>
  <c r="C106" i="19" s="1"/>
  <c r="G105" i="19" a="1"/>
  <c r="G105" i="19" s="1"/>
  <c r="F105" i="19" a="1"/>
  <c r="F105" i="19" s="1"/>
  <c r="E105" i="19" a="1"/>
  <c r="E105" i="19" s="1"/>
  <c r="D105" i="19" a="1"/>
  <c r="D105" i="19" s="1"/>
  <c r="C105" i="19" a="1"/>
  <c r="C105" i="19" s="1"/>
  <c r="G104" i="19"/>
  <c r="G104" i="19" a="1"/>
  <c r="F104" i="19"/>
  <c r="F104" i="19" a="1"/>
  <c r="E104" i="19"/>
  <c r="E104" i="19" a="1"/>
  <c r="D104" i="19"/>
  <c r="D104" i="19" a="1"/>
  <c r="C104" i="19"/>
  <c r="C104" i="19" a="1"/>
  <c r="G100" i="19" a="1"/>
  <c r="G100" i="19" s="1"/>
  <c r="F100" i="19" a="1"/>
  <c r="F100" i="19" s="1"/>
  <c r="E100" i="19" a="1"/>
  <c r="E100" i="19" s="1"/>
  <c r="D100" i="19" a="1"/>
  <c r="D100" i="19" s="1"/>
  <c r="C100" i="19" a="1"/>
  <c r="C100" i="19" s="1"/>
  <c r="G99" i="19" a="1"/>
  <c r="G99" i="19" s="1"/>
  <c r="F99" i="19" a="1"/>
  <c r="F99" i="19" s="1"/>
  <c r="E99" i="19" a="1"/>
  <c r="E99" i="19" s="1"/>
  <c r="D99" i="19" a="1"/>
  <c r="D99" i="19" s="1"/>
  <c r="C99" i="19" a="1"/>
  <c r="C99" i="19" s="1"/>
  <c r="G98" i="19" a="1"/>
  <c r="G98" i="19" s="1"/>
  <c r="F98" i="19" a="1"/>
  <c r="F98" i="19" s="1"/>
  <c r="E98" i="19" a="1"/>
  <c r="E98" i="19" s="1"/>
  <c r="D98" i="19" a="1"/>
  <c r="D98" i="19" s="1"/>
  <c r="C98" i="19" a="1"/>
  <c r="C98" i="19" s="1"/>
  <c r="G97" i="19" a="1"/>
  <c r="G97" i="19" s="1"/>
  <c r="F97" i="19" a="1"/>
  <c r="F97" i="19" s="1"/>
  <c r="E97" i="19" a="1"/>
  <c r="E97" i="19" s="1"/>
  <c r="D97" i="19" a="1"/>
  <c r="D97" i="19" s="1"/>
  <c r="C97" i="19" a="1"/>
  <c r="C97" i="19" s="1"/>
  <c r="G96" i="19" a="1"/>
  <c r="G96" i="19" s="1"/>
  <c r="F96" i="19" a="1"/>
  <c r="F96" i="19" s="1"/>
  <c r="E96" i="19" a="1"/>
  <c r="E96" i="19" s="1"/>
  <c r="D96" i="19" a="1"/>
  <c r="D96" i="19" s="1"/>
  <c r="C96" i="19" a="1"/>
  <c r="C96" i="19" s="1"/>
  <c r="G95" i="19" a="1"/>
  <c r="G95" i="19" s="1"/>
  <c r="F95" i="19" a="1"/>
  <c r="F95" i="19" s="1"/>
  <c r="E95" i="19" a="1"/>
  <c r="E95" i="19" s="1"/>
  <c r="D95" i="19" a="1"/>
  <c r="D95" i="19" s="1"/>
  <c r="C95" i="19" a="1"/>
  <c r="C95" i="19" s="1"/>
  <c r="G94" i="19"/>
  <c r="G94" i="19" a="1"/>
  <c r="F94" i="19"/>
  <c r="F94" i="19" a="1"/>
  <c r="E94" i="19"/>
  <c r="E94" i="19" a="1"/>
  <c r="D94" i="19"/>
  <c r="D94" i="19" a="1"/>
  <c r="C94" i="19"/>
  <c r="C94" i="19" a="1"/>
  <c r="G90" i="19" a="1"/>
  <c r="G90" i="19" s="1"/>
  <c r="F90" i="19" a="1"/>
  <c r="F90" i="19" s="1"/>
  <c r="E90" i="19" a="1"/>
  <c r="E90" i="19" s="1"/>
  <c r="D90" i="19" a="1"/>
  <c r="D90" i="19" s="1"/>
  <c r="C90" i="19" a="1"/>
  <c r="C90" i="19" s="1"/>
  <c r="G89" i="19" a="1"/>
  <c r="G89" i="19" s="1"/>
  <c r="F89" i="19" a="1"/>
  <c r="F89" i="19" s="1"/>
  <c r="E89" i="19" a="1"/>
  <c r="E89" i="19" s="1"/>
  <c r="D89" i="19" a="1"/>
  <c r="D89" i="19" s="1"/>
  <c r="C89" i="19" a="1"/>
  <c r="C89" i="19" s="1"/>
  <c r="G88" i="19" a="1"/>
  <c r="G88" i="19" s="1"/>
  <c r="F88" i="19" a="1"/>
  <c r="F88" i="19" s="1"/>
  <c r="E88" i="19" a="1"/>
  <c r="E88" i="19" s="1"/>
  <c r="D88" i="19" a="1"/>
  <c r="D88" i="19" s="1"/>
  <c r="C88" i="19" a="1"/>
  <c r="C88" i="19" s="1"/>
  <c r="G87" i="19"/>
  <c r="G87" i="19" a="1"/>
  <c r="F87" i="19"/>
  <c r="F87" i="19" a="1"/>
  <c r="E87" i="19"/>
  <c r="E87" i="19" a="1"/>
  <c r="D87" i="19"/>
  <c r="D87" i="19" a="1"/>
  <c r="C87" i="19"/>
  <c r="C87" i="19" a="1"/>
  <c r="G82" i="19" a="1"/>
  <c r="G82" i="19" s="1"/>
  <c r="F82" i="19" a="1"/>
  <c r="F82" i="19" s="1"/>
  <c r="E82" i="19" a="1"/>
  <c r="E82" i="19" s="1"/>
  <c r="D82" i="19" a="1"/>
  <c r="D82" i="19" s="1"/>
  <c r="C82" i="19" a="1"/>
  <c r="C82" i="19" s="1"/>
  <c r="G81" i="19" a="1"/>
  <c r="G81" i="19" s="1"/>
  <c r="F81" i="19" a="1"/>
  <c r="F81" i="19" s="1"/>
  <c r="E81" i="19" a="1"/>
  <c r="E81" i="19" s="1"/>
  <c r="D81" i="19" a="1"/>
  <c r="D81" i="19" s="1"/>
  <c r="C81" i="19" a="1"/>
  <c r="C81" i="19" s="1"/>
  <c r="G80" i="19"/>
  <c r="G80" i="19" a="1"/>
  <c r="F80" i="19"/>
  <c r="F80" i="19" a="1"/>
  <c r="E80" i="19"/>
  <c r="E80" i="19" a="1"/>
  <c r="D80" i="19"/>
  <c r="D80" i="19" a="1"/>
  <c r="C80" i="19"/>
  <c r="C80" i="19" a="1"/>
  <c r="G75" i="19" a="1"/>
  <c r="G75" i="19" s="1"/>
  <c r="F75" i="19" a="1"/>
  <c r="F75" i="19" s="1"/>
  <c r="E75" i="19" a="1"/>
  <c r="E75" i="19" s="1"/>
  <c r="D75" i="19" a="1"/>
  <c r="D75" i="19" s="1"/>
  <c r="C75" i="19" a="1"/>
  <c r="C75" i="19" s="1"/>
  <c r="G74" i="19" a="1"/>
  <c r="G74" i="19" s="1"/>
  <c r="F74" i="19" a="1"/>
  <c r="F74" i="19" s="1"/>
  <c r="E74" i="19" a="1"/>
  <c r="E74" i="19" s="1"/>
  <c r="D74" i="19" a="1"/>
  <c r="D74" i="19" s="1"/>
  <c r="C74" i="19" a="1"/>
  <c r="C74" i="19" s="1"/>
  <c r="G73" i="19"/>
  <c r="G73" i="19" a="1"/>
  <c r="F73" i="19"/>
  <c r="F73" i="19" a="1"/>
  <c r="E73" i="19"/>
  <c r="E73" i="19" a="1"/>
  <c r="D73" i="19"/>
  <c r="D73" i="19" a="1"/>
  <c r="C73" i="19"/>
  <c r="C73" i="19" a="1"/>
  <c r="G68" i="19"/>
  <c r="G68" i="19" a="1"/>
  <c r="F68" i="19"/>
  <c r="F68" i="19" a="1"/>
  <c r="E68" i="19"/>
  <c r="E68" i="19" a="1"/>
  <c r="D68" i="19"/>
  <c r="D68" i="19" a="1"/>
  <c r="C68" i="19"/>
  <c r="C68" i="19" a="1"/>
  <c r="G61" i="19"/>
  <c r="G61" i="19" a="1"/>
  <c r="F61" i="19"/>
  <c r="F61" i="19" a="1"/>
  <c r="E61" i="19"/>
  <c r="E61" i="19" a="1"/>
  <c r="D61" i="19"/>
  <c r="D61" i="19" a="1"/>
  <c r="C61" i="19"/>
  <c r="C61" i="19" a="1"/>
  <c r="G56" i="19" a="1"/>
  <c r="G56" i="19" s="1"/>
  <c r="F56" i="19" a="1"/>
  <c r="F56" i="19" s="1"/>
  <c r="E56" i="19" a="1"/>
  <c r="E56" i="19" s="1"/>
  <c r="D56" i="19" a="1"/>
  <c r="D56" i="19" s="1"/>
  <c r="C56" i="19" a="1"/>
  <c r="C56" i="19" s="1"/>
  <c r="G55" i="19" a="1"/>
  <c r="G55" i="19" s="1"/>
  <c r="F55" i="19" a="1"/>
  <c r="F55" i="19" s="1"/>
  <c r="E55" i="19" a="1"/>
  <c r="E55" i="19" s="1"/>
  <c r="D55" i="19" a="1"/>
  <c r="D55" i="19" s="1"/>
  <c r="C55" i="19" a="1"/>
  <c r="C55" i="19" s="1"/>
  <c r="G54" i="19"/>
  <c r="G54" i="19" a="1"/>
  <c r="F54" i="19"/>
  <c r="F54" i="19" a="1"/>
  <c r="E54" i="19"/>
  <c r="E54" i="19" a="1"/>
  <c r="D54" i="19"/>
  <c r="D54" i="19" a="1"/>
  <c r="C54" i="19"/>
  <c r="C54" i="19" a="1"/>
  <c r="G50" i="19" a="1"/>
  <c r="G50" i="19" s="1"/>
  <c r="G49" i="19" a="1"/>
  <c r="G49" i="19" s="1"/>
  <c r="F49" i="19" a="1"/>
  <c r="F49" i="19" s="1"/>
  <c r="E49" i="19" a="1"/>
  <c r="E49" i="19" s="1"/>
  <c r="D49" i="19" a="1"/>
  <c r="D49" i="19" s="1"/>
  <c r="C49" i="19" a="1"/>
  <c r="C49" i="19" s="1"/>
  <c r="G48" i="19" a="1"/>
  <c r="G48" i="19" s="1"/>
  <c r="F48" i="19" a="1"/>
  <c r="F48" i="19" s="1"/>
  <c r="E48" i="19" a="1"/>
  <c r="E48" i="19" s="1"/>
  <c r="D48" i="19" a="1"/>
  <c r="D48" i="19" s="1"/>
  <c r="C48" i="19" a="1"/>
  <c r="C48" i="19" s="1"/>
  <c r="G47" i="19" a="1"/>
  <c r="G47" i="19" s="1"/>
  <c r="F47" i="19" a="1"/>
  <c r="F47" i="19" s="1"/>
  <c r="E47" i="19" a="1"/>
  <c r="E47" i="19" s="1"/>
  <c r="D47" i="19" a="1"/>
  <c r="D47" i="19" s="1"/>
  <c r="C47" i="19" a="1"/>
  <c r="C47" i="19" s="1"/>
  <c r="G46" i="19" a="1"/>
  <c r="G46" i="19" s="1"/>
  <c r="F46" i="19" a="1"/>
  <c r="F46" i="19" s="1"/>
  <c r="E46" i="19" a="1"/>
  <c r="E46" i="19" s="1"/>
  <c r="D46" i="19" a="1"/>
  <c r="D46" i="19" s="1"/>
  <c r="C46" i="19" a="1"/>
  <c r="C46" i="19" s="1"/>
  <c r="G45" i="19"/>
  <c r="G45" i="19" a="1"/>
  <c r="F45" i="19"/>
  <c r="F45" i="19" a="1"/>
  <c r="E45" i="19"/>
  <c r="E45" i="19" a="1"/>
  <c r="D45" i="19"/>
  <c r="D45" i="19" a="1"/>
  <c r="C45" i="19"/>
  <c r="C45" i="19" a="1"/>
  <c r="G41" i="19" a="1"/>
  <c r="G41" i="19" s="1"/>
  <c r="F41" i="19" a="1"/>
  <c r="F41" i="19" s="1"/>
  <c r="E41" i="19" a="1"/>
  <c r="E41" i="19" s="1"/>
  <c r="D41" i="19" a="1"/>
  <c r="D41" i="19" s="1"/>
  <c r="C41" i="19" a="1"/>
  <c r="C41" i="19" s="1"/>
  <c r="G40" i="19" a="1"/>
  <c r="G40" i="19" s="1"/>
  <c r="F40" i="19" a="1"/>
  <c r="F40" i="19" s="1"/>
  <c r="E40" i="19" a="1"/>
  <c r="E40" i="19" s="1"/>
  <c r="D40" i="19" a="1"/>
  <c r="D40" i="19" s="1"/>
  <c r="C40" i="19" a="1"/>
  <c r="C40" i="19" s="1"/>
  <c r="G39" i="19" a="1"/>
  <c r="G39" i="19" s="1"/>
  <c r="F39" i="19" a="1"/>
  <c r="F39" i="19" s="1"/>
  <c r="E39" i="19" a="1"/>
  <c r="E39" i="19" s="1"/>
  <c r="D39" i="19" a="1"/>
  <c r="D39" i="19" s="1"/>
  <c r="C39" i="19" a="1"/>
  <c r="C39" i="19" s="1"/>
  <c r="G38" i="19" a="1"/>
  <c r="G38" i="19" s="1"/>
  <c r="F38" i="19" a="1"/>
  <c r="F38" i="19" s="1"/>
  <c r="E38" i="19" a="1"/>
  <c r="E38" i="19" s="1"/>
  <c r="D38" i="19" a="1"/>
  <c r="D38" i="19" s="1"/>
  <c r="C38" i="19" a="1"/>
  <c r="C38" i="19" s="1"/>
  <c r="G37" i="19"/>
  <c r="G37" i="19" a="1"/>
  <c r="F37" i="19"/>
  <c r="F37" i="19" a="1"/>
  <c r="E37" i="19"/>
  <c r="E37" i="19" a="1"/>
  <c r="D37" i="19"/>
  <c r="D37" i="19" a="1"/>
  <c r="C37" i="19"/>
  <c r="C37" i="19" a="1"/>
  <c r="G33" i="19" a="1"/>
  <c r="G33" i="19" s="1"/>
  <c r="F33" i="19" a="1"/>
  <c r="F33" i="19" s="1"/>
  <c r="E33" i="19" a="1"/>
  <c r="E33" i="19" s="1"/>
  <c r="D33" i="19" a="1"/>
  <c r="D33" i="19" s="1"/>
  <c r="C33" i="19" a="1"/>
  <c r="C33" i="19" s="1"/>
  <c r="G32" i="19" a="1"/>
  <c r="G32" i="19" s="1"/>
  <c r="F32" i="19" a="1"/>
  <c r="F32" i="19" s="1"/>
  <c r="E32" i="19" a="1"/>
  <c r="E32" i="19" s="1"/>
  <c r="D32" i="19" a="1"/>
  <c r="D32" i="19" s="1"/>
  <c r="C32" i="19" a="1"/>
  <c r="C32" i="19" s="1"/>
  <c r="G31" i="19" a="1"/>
  <c r="G31" i="19" s="1"/>
  <c r="F31" i="19" a="1"/>
  <c r="F31" i="19" s="1"/>
  <c r="E31" i="19" a="1"/>
  <c r="E31" i="19" s="1"/>
  <c r="D31" i="19" a="1"/>
  <c r="D31" i="19" s="1"/>
  <c r="C31" i="19" a="1"/>
  <c r="C31" i="19" s="1"/>
  <c r="G30" i="19" a="1"/>
  <c r="G30" i="19" s="1"/>
  <c r="F30" i="19" a="1"/>
  <c r="F30" i="19" s="1"/>
  <c r="E30" i="19" a="1"/>
  <c r="E30" i="19" s="1"/>
  <c r="D30" i="19" a="1"/>
  <c r="D30" i="19" s="1"/>
  <c r="C30" i="19" a="1"/>
  <c r="C30" i="19" s="1"/>
  <c r="G29" i="19"/>
  <c r="G29" i="19" a="1"/>
  <c r="F29" i="19"/>
  <c r="F29" i="19" a="1"/>
  <c r="E29" i="19"/>
  <c r="E29" i="19" a="1"/>
  <c r="D29" i="19"/>
  <c r="D29" i="19" a="1"/>
  <c r="C29" i="19"/>
  <c r="C29" i="19" a="1"/>
  <c r="G25" i="19" a="1"/>
  <c r="G25" i="19" s="1"/>
  <c r="F25" i="19" a="1"/>
  <c r="F25" i="19" s="1"/>
  <c r="E25" i="19" a="1"/>
  <c r="E25" i="19" s="1"/>
  <c r="D25" i="19" a="1"/>
  <c r="D25" i="19" s="1"/>
  <c r="C25" i="19" a="1"/>
  <c r="C25" i="19" s="1"/>
  <c r="G24" i="19" a="1"/>
  <c r="G24" i="19" s="1"/>
  <c r="F24" i="19" a="1"/>
  <c r="F24" i="19" s="1"/>
  <c r="E24" i="19" a="1"/>
  <c r="E24" i="19" s="1"/>
  <c r="D24" i="19" a="1"/>
  <c r="D24" i="19" s="1"/>
  <c r="C24" i="19" a="1"/>
  <c r="C24" i="19" s="1"/>
  <c r="G23" i="19" a="1"/>
  <c r="G23" i="19" s="1"/>
  <c r="F23" i="19" a="1"/>
  <c r="F23" i="19" s="1"/>
  <c r="E23" i="19" a="1"/>
  <c r="E23" i="19" s="1"/>
  <c r="D23" i="19" a="1"/>
  <c r="D23" i="19" s="1"/>
  <c r="C23" i="19" a="1"/>
  <c r="C23" i="19" s="1"/>
  <c r="G22" i="19" a="1"/>
  <c r="G22" i="19" s="1"/>
  <c r="F22" i="19" a="1"/>
  <c r="F22" i="19" s="1"/>
  <c r="E22" i="19" a="1"/>
  <c r="E22" i="19" s="1"/>
  <c r="D22" i="19" a="1"/>
  <c r="D22" i="19" s="1"/>
  <c r="C22" i="19" a="1"/>
  <c r="C22" i="19" s="1"/>
  <c r="G21" i="19"/>
  <c r="G21" i="19" a="1"/>
  <c r="F21" i="19"/>
  <c r="F21" i="19" a="1"/>
  <c r="E21" i="19"/>
  <c r="E21" i="19" a="1"/>
  <c r="D21" i="19"/>
  <c r="D21" i="19" a="1"/>
  <c r="C21" i="19"/>
  <c r="C21" i="19" a="1"/>
  <c r="G17" i="19" a="1"/>
  <c r="G17" i="19" s="1"/>
  <c r="F17" i="19" a="1"/>
  <c r="F17" i="19" s="1"/>
  <c r="E17" i="19" a="1"/>
  <c r="E17" i="19" s="1"/>
  <c r="D17" i="19" a="1"/>
  <c r="D17" i="19" s="1"/>
  <c r="C17" i="19" a="1"/>
  <c r="C17" i="19" s="1"/>
  <c r="G16" i="19" a="1"/>
  <c r="G16" i="19" s="1"/>
  <c r="F16" i="19" a="1"/>
  <c r="F16" i="19" s="1"/>
  <c r="E16" i="19" a="1"/>
  <c r="E16" i="19" s="1"/>
  <c r="D16" i="19" a="1"/>
  <c r="D16" i="19" s="1"/>
  <c r="C16" i="19" a="1"/>
  <c r="C16" i="19" s="1"/>
  <c r="G15" i="19" a="1"/>
  <c r="G15" i="19" s="1"/>
  <c r="F15" i="19" a="1"/>
  <c r="F15" i="19" s="1"/>
  <c r="E15" i="19" a="1"/>
  <c r="E15" i="19" s="1"/>
  <c r="D15" i="19" a="1"/>
  <c r="D15" i="19" s="1"/>
  <c r="C15" i="19" a="1"/>
  <c r="C15" i="19" s="1"/>
  <c r="G14" i="19" a="1"/>
  <c r="G14" i="19" s="1"/>
  <c r="F14" i="19" a="1"/>
  <c r="F14" i="19" s="1"/>
  <c r="E14" i="19" a="1"/>
  <c r="E14" i="19" s="1"/>
  <c r="D14" i="19" a="1"/>
  <c r="D14" i="19" s="1"/>
  <c r="C14" i="19" a="1"/>
  <c r="C14" i="19" s="1"/>
  <c r="G13" i="19"/>
  <c r="G13" i="19" a="1"/>
  <c r="F13" i="19"/>
  <c r="F13" i="19" a="1"/>
  <c r="E13" i="19"/>
  <c r="E13" i="19" a="1"/>
  <c r="D13" i="19"/>
  <c r="D13" i="19" a="1"/>
  <c r="C13" i="19"/>
  <c r="C13" i="19" a="1"/>
  <c r="G9" i="19" a="1"/>
  <c r="G9" i="19" s="1"/>
  <c r="F9" i="19" a="1"/>
  <c r="F9" i="19" s="1"/>
  <c r="E9" i="19" a="1"/>
  <c r="E9" i="19" s="1"/>
  <c r="D9" i="19" a="1"/>
  <c r="D9" i="19" s="1"/>
  <c r="C9" i="19" a="1"/>
  <c r="C9" i="19" s="1"/>
  <c r="G8" i="19" a="1"/>
  <c r="G8" i="19" s="1"/>
  <c r="F8" i="19" a="1"/>
  <c r="F8" i="19" s="1"/>
  <c r="E8" i="19" a="1"/>
  <c r="E8" i="19" s="1"/>
  <c r="D8" i="19" a="1"/>
  <c r="D8" i="19" s="1"/>
  <c r="C8" i="19" a="1"/>
  <c r="C8" i="19" s="1"/>
  <c r="G7" i="19" a="1"/>
  <c r="G7" i="19" s="1"/>
  <c r="F7" i="19" a="1"/>
  <c r="F7" i="19" s="1"/>
  <c r="E7" i="19" a="1"/>
  <c r="E7" i="19" s="1"/>
  <c r="D7" i="19" a="1"/>
  <c r="D7" i="19" s="1"/>
  <c r="C7" i="19" a="1"/>
  <c r="C7" i="19" s="1"/>
  <c r="G6" i="19" a="1"/>
  <c r="G6" i="19" s="1"/>
  <c r="F6" i="19" a="1"/>
  <c r="F6" i="19" s="1"/>
  <c r="E6" i="19" a="1"/>
  <c r="E6" i="19" s="1"/>
  <c r="D6" i="19" a="1"/>
  <c r="D6" i="19" s="1"/>
  <c r="C6" i="19" a="1"/>
  <c r="C6" i="19" s="1"/>
  <c r="G5" i="19"/>
  <c r="G5" i="19" a="1"/>
  <c r="F5" i="19"/>
  <c r="F5" i="19" a="1"/>
  <c r="E5" i="19"/>
  <c r="E5" i="19" a="1"/>
  <c r="D5" i="19"/>
  <c r="D5" i="19" a="1"/>
  <c r="C5" i="19"/>
  <c r="C5" i="19" a="1"/>
  <c r="G104" i="22" a="1"/>
  <c r="G104" i="22" s="1"/>
  <c r="F104" i="22" a="1"/>
  <c r="F104" i="22" s="1"/>
  <c r="E104" i="22" a="1"/>
  <c r="E104" i="22" s="1"/>
  <c r="D104" i="22" a="1"/>
  <c r="D104" i="22" s="1"/>
  <c r="C104" i="22" a="1"/>
  <c r="C104" i="22" s="1"/>
  <c r="G103" i="22" a="1"/>
  <c r="G103" i="22" s="1"/>
  <c r="F103" i="22" a="1"/>
  <c r="F103" i="22" s="1"/>
  <c r="E103" i="22" a="1"/>
  <c r="E103" i="22" s="1"/>
  <c r="D103" i="22" a="1"/>
  <c r="D103" i="22" s="1"/>
  <c r="C103" i="22" a="1"/>
  <c r="C103" i="22" s="1"/>
  <c r="G102" i="22" a="1"/>
  <c r="G102" i="22" s="1"/>
  <c r="F102" i="22" a="1"/>
  <c r="F102" i="22" s="1"/>
  <c r="E102" i="22" a="1"/>
  <c r="E102" i="22" s="1"/>
  <c r="D102" i="22" a="1"/>
  <c r="D102" i="22" s="1"/>
  <c r="C102" i="22" a="1"/>
  <c r="C102" i="22" s="1"/>
  <c r="G101" i="22" a="1"/>
  <c r="G101" i="22" s="1"/>
  <c r="F101" i="22" a="1"/>
  <c r="F101" i="22" s="1"/>
  <c r="E101" i="22" a="1"/>
  <c r="E101" i="22" s="1"/>
  <c r="D101" i="22" a="1"/>
  <c r="D101" i="22" s="1"/>
  <c r="C101" i="22" a="1"/>
  <c r="C101" i="22" s="1"/>
  <c r="G100" i="22" a="1"/>
  <c r="G100" i="22" s="1"/>
  <c r="F100" i="22" a="1"/>
  <c r="F100" i="22" s="1"/>
  <c r="E100" i="22" a="1"/>
  <c r="E100" i="22" s="1"/>
  <c r="D100" i="22" a="1"/>
  <c r="D100" i="22" s="1"/>
  <c r="C100" i="22" a="1"/>
  <c r="C100" i="22" s="1"/>
  <c r="G99" i="22" a="1"/>
  <c r="G99" i="22" s="1"/>
  <c r="F99" i="22" a="1"/>
  <c r="F99" i="22" s="1"/>
  <c r="E99" i="22" a="1"/>
  <c r="E99" i="22" s="1"/>
  <c r="D99" i="22" a="1"/>
  <c r="D99" i="22" s="1"/>
  <c r="C99" i="22" a="1"/>
  <c r="C99" i="22" s="1"/>
  <c r="G98" i="22" a="1"/>
  <c r="G98" i="22" s="1"/>
  <c r="F98" i="22" a="1"/>
  <c r="F98" i="22" s="1"/>
  <c r="E98" i="22" a="1"/>
  <c r="E98" i="22" s="1"/>
  <c r="D98" i="22" a="1"/>
  <c r="D98" i="22" s="1"/>
  <c r="C98" i="22" a="1"/>
  <c r="C98" i="22" s="1"/>
  <c r="G97" i="22" a="1"/>
  <c r="G97" i="22" s="1"/>
  <c r="F97" i="22" a="1"/>
  <c r="F97" i="22" s="1"/>
  <c r="E97" i="22" a="1"/>
  <c r="E97" i="22" s="1"/>
  <c r="D97" i="22" a="1"/>
  <c r="D97" i="22" s="1"/>
  <c r="C97" i="22" a="1"/>
  <c r="C97" i="22" s="1"/>
  <c r="G96" i="22" a="1"/>
  <c r="G96" i="22" s="1"/>
  <c r="F96" i="22" a="1"/>
  <c r="F96" i="22" s="1"/>
  <c r="E96" i="22" a="1"/>
  <c r="E96" i="22" s="1"/>
  <c r="D96" i="22" a="1"/>
  <c r="D96" i="22" s="1"/>
  <c r="C96" i="22" a="1"/>
  <c r="C96" i="22" s="1"/>
  <c r="G95" i="22" a="1"/>
  <c r="G95" i="22" s="1"/>
  <c r="F95" i="22" a="1"/>
  <c r="F95" i="22" s="1"/>
  <c r="E95" i="22" a="1"/>
  <c r="E95" i="22" s="1"/>
  <c r="D95" i="22" a="1"/>
  <c r="D95" i="22" s="1"/>
  <c r="C95" i="22" a="1"/>
  <c r="C95" i="22" s="1"/>
  <c r="G94" i="22" a="1"/>
  <c r="G94" i="22" s="1"/>
  <c r="F94" i="22" a="1"/>
  <c r="F94" i="22" s="1"/>
  <c r="E94" i="22" a="1"/>
  <c r="E94" i="22" s="1"/>
  <c r="D94" i="22" a="1"/>
  <c r="D94" i="22" s="1"/>
  <c r="C94" i="22" a="1"/>
  <c r="C94" i="22" s="1"/>
  <c r="G93" i="22" a="1"/>
  <c r="G93" i="22" s="1"/>
  <c r="F93" i="22" a="1"/>
  <c r="F93" i="22" s="1"/>
  <c r="E93" i="22" a="1"/>
  <c r="E93" i="22" s="1"/>
  <c r="D93" i="22" a="1"/>
  <c r="D93" i="22" s="1"/>
  <c r="C93" i="22" a="1"/>
  <c r="C93" i="22" s="1"/>
  <c r="G92" i="22" a="1"/>
  <c r="G92" i="22" s="1"/>
  <c r="F92" i="22" a="1"/>
  <c r="F92" i="22" s="1"/>
  <c r="E92" i="22" a="1"/>
  <c r="E92" i="22" s="1"/>
  <c r="D92" i="22" a="1"/>
  <c r="D92" i="22" s="1"/>
  <c r="C92" i="22" a="1"/>
  <c r="C92" i="22" s="1"/>
  <c r="G91" i="22" a="1"/>
  <c r="G91" i="22" s="1"/>
  <c r="F91" i="22" a="1"/>
  <c r="F91" i="22" s="1"/>
  <c r="E91" i="22" a="1"/>
  <c r="E91" i="22" s="1"/>
  <c r="D91" i="22" a="1"/>
  <c r="D91" i="22" s="1"/>
  <c r="C91" i="22" a="1"/>
  <c r="C91" i="22" s="1"/>
  <c r="G90" i="22" a="1"/>
  <c r="G90" i="22" s="1"/>
  <c r="F90" i="22" a="1"/>
  <c r="F90" i="22" s="1"/>
  <c r="E90" i="22" a="1"/>
  <c r="E90" i="22" s="1"/>
  <c r="D90" i="22" a="1"/>
  <c r="D90" i="22" s="1"/>
  <c r="C90" i="22" a="1"/>
  <c r="C90" i="22" s="1"/>
  <c r="G89" i="22" a="1"/>
  <c r="G89" i="22" s="1"/>
  <c r="F89" i="22" a="1"/>
  <c r="F89" i="22" s="1"/>
  <c r="E89" i="22" a="1"/>
  <c r="E89" i="22" s="1"/>
  <c r="D89" i="22" a="1"/>
  <c r="D89" i="22" s="1"/>
  <c r="C89" i="22" a="1"/>
  <c r="C89" i="22" s="1"/>
  <c r="G88" i="22" a="1"/>
  <c r="G88" i="22" s="1"/>
  <c r="F88" i="22" a="1"/>
  <c r="F88" i="22" s="1"/>
  <c r="E88" i="22" a="1"/>
  <c r="E88" i="22" s="1"/>
  <c r="D88" i="22" a="1"/>
  <c r="D88" i="22" s="1"/>
  <c r="C88" i="22" a="1"/>
  <c r="C88" i="22" s="1"/>
  <c r="G87" i="22" a="1"/>
  <c r="G87" i="22" s="1"/>
  <c r="F87" i="22" a="1"/>
  <c r="F87" i="22" s="1"/>
  <c r="E87" i="22" a="1"/>
  <c r="E87" i="22" s="1"/>
  <c r="D87" i="22" a="1"/>
  <c r="D87" i="22" s="1"/>
  <c r="C87" i="22" a="1"/>
  <c r="C87" i="22" s="1"/>
  <c r="G86" i="22" a="1"/>
  <c r="G86" i="22" s="1"/>
  <c r="F86" i="22" a="1"/>
  <c r="F86" i="22" s="1"/>
  <c r="E86" i="22" a="1"/>
  <c r="E86" i="22" s="1"/>
  <c r="D86" i="22" a="1"/>
  <c r="D86" i="22" s="1"/>
  <c r="C86" i="22" a="1"/>
  <c r="C86" i="22" s="1"/>
  <c r="G85" i="22" a="1"/>
  <c r="G85" i="22" s="1"/>
  <c r="F85" i="22" a="1"/>
  <c r="F85" i="22" s="1"/>
  <c r="E85" i="22" a="1"/>
  <c r="E85" i="22" s="1"/>
  <c r="D85" i="22" a="1"/>
  <c r="D85" i="22" s="1"/>
  <c r="C85" i="22" a="1"/>
  <c r="C85" i="22" s="1"/>
  <c r="G84" i="22"/>
  <c r="G84" i="22" a="1"/>
  <c r="F84" i="22"/>
  <c r="F84" i="22" a="1"/>
  <c r="E84" i="22"/>
  <c r="E84" i="22" a="1"/>
  <c r="D84" i="22"/>
  <c r="D84" i="22" a="1"/>
  <c r="C84" i="22"/>
  <c r="C84" i="22" a="1"/>
  <c r="G82" i="22" a="1"/>
  <c r="G82" i="22" s="1"/>
  <c r="F82" i="22" a="1"/>
  <c r="F82" i="22" s="1"/>
  <c r="E82" i="22" a="1"/>
  <c r="E82" i="22" s="1"/>
  <c r="D82" i="22" a="1"/>
  <c r="D82" i="22" s="1"/>
  <c r="C82" i="22" a="1"/>
  <c r="C82" i="22" s="1"/>
  <c r="G81" i="22" a="1"/>
  <c r="G81" i="22" s="1"/>
  <c r="F81" i="22" a="1"/>
  <c r="F81" i="22" s="1"/>
  <c r="E81" i="22" a="1"/>
  <c r="E81" i="22" s="1"/>
  <c r="D81" i="22" a="1"/>
  <c r="D81" i="22" s="1"/>
  <c r="C81" i="22" a="1"/>
  <c r="C81" i="22" s="1"/>
  <c r="G80" i="22" a="1"/>
  <c r="G80" i="22" s="1"/>
  <c r="F80" i="22" a="1"/>
  <c r="F80" i="22" s="1"/>
  <c r="E80" i="22" a="1"/>
  <c r="E80" i="22" s="1"/>
  <c r="D80" i="22" a="1"/>
  <c r="D80" i="22" s="1"/>
  <c r="C80" i="22" a="1"/>
  <c r="C80" i="22" s="1"/>
  <c r="G79" i="22" a="1"/>
  <c r="G79" i="22" s="1"/>
  <c r="F79" i="22" a="1"/>
  <c r="F79" i="22" s="1"/>
  <c r="E79" i="22" a="1"/>
  <c r="E79" i="22" s="1"/>
  <c r="D79" i="22" a="1"/>
  <c r="D79" i="22" s="1"/>
  <c r="C79" i="22" a="1"/>
  <c r="C79" i="22" s="1"/>
  <c r="G78" i="22" a="1"/>
  <c r="G78" i="22" s="1"/>
  <c r="F78" i="22" a="1"/>
  <c r="F78" i="22" s="1"/>
  <c r="E78" i="22" a="1"/>
  <c r="E78" i="22" s="1"/>
  <c r="D78" i="22" a="1"/>
  <c r="D78" i="22" s="1"/>
  <c r="C78" i="22" a="1"/>
  <c r="C78" i="22" s="1"/>
  <c r="G77" i="22" a="1"/>
  <c r="G77" i="22" s="1"/>
  <c r="F77" i="22" a="1"/>
  <c r="F77" i="22" s="1"/>
  <c r="E77" i="22" a="1"/>
  <c r="E77" i="22" s="1"/>
  <c r="D77" i="22" a="1"/>
  <c r="D77" i="22" s="1"/>
  <c r="C77" i="22" a="1"/>
  <c r="C77" i="22" s="1"/>
  <c r="G76" i="22" a="1"/>
  <c r="G76" i="22" s="1"/>
  <c r="F76" i="22" a="1"/>
  <c r="F76" i="22" s="1"/>
  <c r="E76" i="22" a="1"/>
  <c r="E76" i="22" s="1"/>
  <c r="D76" i="22" a="1"/>
  <c r="D76" i="22" s="1"/>
  <c r="C76" i="22" a="1"/>
  <c r="C76" i="22" s="1"/>
  <c r="G75" i="22" a="1"/>
  <c r="G75" i="22" s="1"/>
  <c r="F75" i="22" a="1"/>
  <c r="F75" i="22" s="1"/>
  <c r="E75" i="22" a="1"/>
  <c r="E75" i="22" s="1"/>
  <c r="D75" i="22" a="1"/>
  <c r="D75" i="22" s="1"/>
  <c r="C75" i="22" a="1"/>
  <c r="C75" i="22" s="1"/>
  <c r="G74" i="22" a="1"/>
  <c r="G74" i="22" s="1"/>
  <c r="F74" i="22" a="1"/>
  <c r="F74" i="22" s="1"/>
  <c r="E74" i="22" a="1"/>
  <c r="E74" i="22" s="1"/>
  <c r="D74" i="22" a="1"/>
  <c r="D74" i="22" s="1"/>
  <c r="C74" i="22" a="1"/>
  <c r="C74" i="22" s="1"/>
  <c r="G73" i="22" a="1"/>
  <c r="G73" i="22" s="1"/>
  <c r="F73" i="22" a="1"/>
  <c r="F73" i="22" s="1"/>
  <c r="E73" i="22" a="1"/>
  <c r="E73" i="22" s="1"/>
  <c r="D73" i="22" a="1"/>
  <c r="D73" i="22" s="1"/>
  <c r="C73" i="22" a="1"/>
  <c r="C73" i="22" s="1"/>
  <c r="G72" i="22" a="1"/>
  <c r="G72" i="22" s="1"/>
  <c r="F72" i="22" a="1"/>
  <c r="F72" i="22" s="1"/>
  <c r="E72" i="22" a="1"/>
  <c r="E72" i="22" s="1"/>
  <c r="D72" i="22" a="1"/>
  <c r="D72" i="22" s="1"/>
  <c r="C72" i="22" a="1"/>
  <c r="C72" i="22" s="1"/>
  <c r="G71" i="22"/>
  <c r="G71" i="22" a="1"/>
  <c r="F71" i="22"/>
  <c r="F71" i="22" a="1"/>
  <c r="E71" i="22"/>
  <c r="E71" i="22" a="1"/>
  <c r="D71" i="22"/>
  <c r="D71" i="22" a="1"/>
  <c r="C71" i="22"/>
  <c r="C71" i="22" a="1"/>
  <c r="G68" i="22" a="1"/>
  <c r="G68" i="22" s="1"/>
  <c r="F68" i="22" a="1"/>
  <c r="F68" i="22" s="1"/>
  <c r="E68" i="22" a="1"/>
  <c r="E68" i="22" s="1"/>
  <c r="D68" i="22" a="1"/>
  <c r="D68" i="22" s="1"/>
  <c r="C68" i="22" a="1"/>
  <c r="C68" i="22" s="1"/>
  <c r="G67" i="22" a="1"/>
  <c r="G67" i="22" s="1"/>
  <c r="F67" i="22" a="1"/>
  <c r="F67" i="22" s="1"/>
  <c r="E67" i="22" a="1"/>
  <c r="E67" i="22" s="1"/>
  <c r="D67" i="22" a="1"/>
  <c r="D67" i="22" s="1"/>
  <c r="C67" i="22" a="1"/>
  <c r="C67" i="22" s="1"/>
  <c r="G66" i="22"/>
  <c r="G66" i="22" a="1"/>
  <c r="F66" i="22"/>
  <c r="F66" i="22" a="1"/>
  <c r="E66" i="22"/>
  <c r="E66" i="22" a="1"/>
  <c r="D66" i="22"/>
  <c r="D66" i="22" a="1"/>
  <c r="C66" i="22"/>
  <c r="C66" i="22" a="1"/>
  <c r="G63" i="22" a="1"/>
  <c r="G63" i="22" s="1"/>
  <c r="F63" i="22" a="1"/>
  <c r="F63" i="22" s="1"/>
  <c r="E63" i="22" a="1"/>
  <c r="E63" i="22" s="1"/>
  <c r="D63" i="22" a="1"/>
  <c r="D63" i="22" s="1"/>
  <c r="C63" i="22" a="1"/>
  <c r="C63" i="22" s="1"/>
  <c r="G62" i="22" a="1"/>
  <c r="G62" i="22" s="1"/>
  <c r="F62" i="22" a="1"/>
  <c r="F62" i="22" s="1"/>
  <c r="E62" i="22" a="1"/>
  <c r="E62" i="22" s="1"/>
  <c r="D62" i="22" a="1"/>
  <c r="D62" i="22" s="1"/>
  <c r="C62" i="22" a="1"/>
  <c r="C62" i="22" s="1"/>
  <c r="G61" i="22"/>
  <c r="G61" i="22" a="1"/>
  <c r="F61" i="22"/>
  <c r="F61" i="22" a="1"/>
  <c r="E61" i="22"/>
  <c r="E61" i="22" a="1"/>
  <c r="D61" i="22"/>
  <c r="D61" i="22" a="1"/>
  <c r="C61" i="22"/>
  <c r="C61" i="22" a="1"/>
  <c r="G58" i="22" a="1"/>
  <c r="G58" i="22" s="1"/>
  <c r="F58" i="22" a="1"/>
  <c r="F58" i="22" s="1"/>
  <c r="E58" i="22" a="1"/>
  <c r="E58" i="22" s="1"/>
  <c r="D58" i="22" a="1"/>
  <c r="D58" i="22" s="1"/>
  <c r="C58" i="22" a="1"/>
  <c r="C58" i="22" s="1"/>
  <c r="K57" i="22"/>
  <c r="G57" i="22" a="1"/>
  <c r="G57" i="22" s="1"/>
  <c r="F57" i="22" a="1"/>
  <c r="F57" i="22" s="1"/>
  <c r="E57" i="22" a="1"/>
  <c r="E57" i="22" s="1"/>
  <c r="D57" i="22" a="1"/>
  <c r="D57" i="22" s="1"/>
  <c r="C57" i="22" a="1"/>
  <c r="C57" i="22" s="1"/>
  <c r="G56" i="22" a="1"/>
  <c r="G56" i="22" s="1"/>
  <c r="N59" i="22" s="1"/>
  <c r="F56" i="22" a="1"/>
  <c r="F56" i="22" s="1"/>
  <c r="N56" i="22" s="1"/>
  <c r="E56" i="22" a="1"/>
  <c r="E56" i="22" s="1"/>
  <c r="D56" i="22" a="1"/>
  <c r="D56" i="22" s="1"/>
  <c r="C56" i="22" a="1"/>
  <c r="C56" i="22" s="1"/>
  <c r="G55" i="22" a="1"/>
  <c r="G55" i="22" s="1"/>
  <c r="F55" i="22" a="1"/>
  <c r="F55" i="22" s="1"/>
  <c r="L55" i="22" s="1"/>
  <c r="E55" i="22" a="1"/>
  <c r="E55" i="22" s="1"/>
  <c r="D55" i="22" a="1"/>
  <c r="D55" i="22" s="1"/>
  <c r="C55" i="22" a="1"/>
  <c r="C55" i="22" s="1"/>
  <c r="K54" i="22"/>
  <c r="G54" i="22"/>
  <c r="G54" i="22" a="1"/>
  <c r="F54" i="22"/>
  <c r="F54" i="22" a="1"/>
  <c r="E54" i="22"/>
  <c r="E54" i="22" a="1"/>
  <c r="D54" i="22"/>
  <c r="D54" i="22" a="1"/>
  <c r="C54" i="22"/>
  <c r="C54" i="22" a="1"/>
  <c r="K53" i="22"/>
  <c r="G52" i="22" a="1"/>
  <c r="G52" i="22" s="1"/>
  <c r="F52" i="22" a="1"/>
  <c r="F52" i="22" s="1"/>
  <c r="E52" i="22" a="1"/>
  <c r="E52" i="22" s="1"/>
  <c r="D52" i="22" a="1"/>
  <c r="D52" i="22" s="1"/>
  <c r="C52" i="22" a="1"/>
  <c r="C52" i="22" s="1"/>
  <c r="G51" i="22" a="1"/>
  <c r="G51" i="22" s="1"/>
  <c r="F51" i="22" a="1"/>
  <c r="F51" i="22" s="1"/>
  <c r="E51" i="22" a="1"/>
  <c r="E51" i="22" s="1"/>
  <c r="D51" i="22" a="1"/>
  <c r="D51" i="22" s="1"/>
  <c r="C51" i="22" a="1"/>
  <c r="C51" i="22" s="1"/>
  <c r="G50" i="22" a="1"/>
  <c r="G50" i="22" s="1"/>
  <c r="F50" i="22" a="1"/>
  <c r="F50" i="22" s="1"/>
  <c r="E50" i="22" a="1"/>
  <c r="E50" i="22" s="1"/>
  <c r="D50" i="22" a="1"/>
  <c r="D50" i="22" s="1"/>
  <c r="C50" i="22" a="1"/>
  <c r="C50" i="22" s="1"/>
  <c r="G49" i="22" a="1"/>
  <c r="G49" i="22" s="1"/>
  <c r="F49" i="22" a="1"/>
  <c r="F49" i="22" s="1"/>
  <c r="E49" i="22" a="1"/>
  <c r="E49" i="22" s="1"/>
  <c r="D49" i="22" a="1"/>
  <c r="D49" i="22" s="1"/>
  <c r="C49" i="22" a="1"/>
  <c r="C49" i="22" s="1"/>
  <c r="G48" i="22" a="1"/>
  <c r="G48" i="22" s="1"/>
  <c r="F48" i="22" a="1"/>
  <c r="F48" i="22" s="1"/>
  <c r="E48" i="22" a="1"/>
  <c r="E48" i="22" s="1"/>
  <c r="D48" i="22" a="1"/>
  <c r="D48" i="22" s="1"/>
  <c r="C48" i="22" a="1"/>
  <c r="C48" i="22" s="1"/>
  <c r="G47" i="22" a="1"/>
  <c r="G47" i="22" s="1"/>
  <c r="F47" i="22" a="1"/>
  <c r="F47" i="22" s="1"/>
  <c r="E47" i="22" a="1"/>
  <c r="E47" i="22" s="1"/>
  <c r="D47" i="22" a="1"/>
  <c r="D47" i="22" s="1"/>
  <c r="C47" i="22" a="1"/>
  <c r="C47" i="22" s="1"/>
  <c r="G46" i="22" a="1"/>
  <c r="G46" i="22" s="1"/>
  <c r="F46" i="22" a="1"/>
  <c r="F46" i="22" s="1"/>
  <c r="E46" i="22" a="1"/>
  <c r="E46" i="22" s="1"/>
  <c r="D46" i="22" a="1"/>
  <c r="D46" i="22" s="1"/>
  <c r="C46" i="22" a="1"/>
  <c r="C46" i="22" s="1"/>
  <c r="G45" i="22" a="1"/>
  <c r="G45" i="22" s="1"/>
  <c r="F45" i="22" a="1"/>
  <c r="F45" i="22" s="1"/>
  <c r="E45" i="22" a="1"/>
  <c r="E45" i="22" s="1"/>
  <c r="D45" i="22" a="1"/>
  <c r="D45" i="22" s="1"/>
  <c r="C45" i="22" a="1"/>
  <c r="C45" i="22" s="1"/>
  <c r="G44" i="22" a="1"/>
  <c r="G44" i="22" s="1"/>
  <c r="F44" i="22" a="1"/>
  <c r="F44" i="22" s="1"/>
  <c r="E44" i="22" a="1"/>
  <c r="E44" i="22" s="1"/>
  <c r="D44" i="22" a="1"/>
  <c r="D44" i="22" s="1"/>
  <c r="C44" i="22" a="1"/>
  <c r="C44" i="22" s="1"/>
  <c r="G43" i="22" a="1"/>
  <c r="G43" i="22" s="1"/>
  <c r="F43" i="22" a="1"/>
  <c r="F43" i="22" s="1"/>
  <c r="E43" i="22" a="1"/>
  <c r="E43" i="22" s="1"/>
  <c r="D43" i="22" a="1"/>
  <c r="D43" i="22" s="1"/>
  <c r="C43" i="22" a="1"/>
  <c r="C43" i="22" s="1"/>
  <c r="G42" i="22" a="1"/>
  <c r="G42" i="22" s="1"/>
  <c r="F42" i="22" a="1"/>
  <c r="F42" i="22" s="1"/>
  <c r="E42" i="22" a="1"/>
  <c r="E42" i="22" s="1"/>
  <c r="D42" i="22" a="1"/>
  <c r="D42" i="22" s="1"/>
  <c r="C42" i="22" a="1"/>
  <c r="C42" i="22" s="1"/>
  <c r="G41" i="22" a="1"/>
  <c r="G41" i="22" s="1"/>
  <c r="F41" i="22" a="1"/>
  <c r="F41" i="22" s="1"/>
  <c r="E41" i="22" a="1"/>
  <c r="E41" i="22" s="1"/>
  <c r="D41" i="22" a="1"/>
  <c r="D41" i="22" s="1"/>
  <c r="C41" i="22" a="1"/>
  <c r="C41" i="22" s="1"/>
  <c r="G40" i="22" a="1"/>
  <c r="G40" i="22" s="1"/>
  <c r="F40" i="22" a="1"/>
  <c r="F40" i="22" s="1"/>
  <c r="E40" i="22" a="1"/>
  <c r="E40" i="22" s="1"/>
  <c r="D40" i="22" a="1"/>
  <c r="D40" i="22" s="1"/>
  <c r="C40" i="22" a="1"/>
  <c r="C40" i="22" s="1"/>
  <c r="G39" i="22" a="1"/>
  <c r="G39" i="22" s="1"/>
  <c r="F39" i="22" a="1"/>
  <c r="F39" i="22" s="1"/>
  <c r="E39" i="22" a="1"/>
  <c r="E39" i="22" s="1"/>
  <c r="D39" i="22" a="1"/>
  <c r="D39" i="22" s="1"/>
  <c r="C39" i="22" a="1"/>
  <c r="C39" i="22" s="1"/>
  <c r="G38" i="22" a="1"/>
  <c r="G38" i="22" s="1"/>
  <c r="F38" i="22" a="1"/>
  <c r="F38" i="22" s="1"/>
  <c r="E38" i="22" a="1"/>
  <c r="E38" i="22" s="1"/>
  <c r="D38" i="22" a="1"/>
  <c r="D38" i="22" s="1"/>
  <c r="C38" i="22" a="1"/>
  <c r="C38" i="22" s="1"/>
  <c r="G37" i="22" a="1"/>
  <c r="G37" i="22" s="1"/>
  <c r="F37" i="22" a="1"/>
  <c r="F37" i="22" s="1"/>
  <c r="E37" i="22" a="1"/>
  <c r="E37" i="22" s="1"/>
  <c r="D37" i="22" a="1"/>
  <c r="D37" i="22" s="1"/>
  <c r="C37" i="22" a="1"/>
  <c r="C37" i="22" s="1"/>
  <c r="G36" i="22" a="1"/>
  <c r="G36" i="22" s="1"/>
  <c r="F36" i="22" a="1"/>
  <c r="F36" i="22" s="1"/>
  <c r="E36" i="22" a="1"/>
  <c r="E36" i="22" s="1"/>
  <c r="D36" i="22" a="1"/>
  <c r="D36" i="22" s="1"/>
  <c r="C36" i="22" a="1"/>
  <c r="C36" i="22" s="1"/>
  <c r="G35" i="22" a="1"/>
  <c r="G35" i="22" s="1"/>
  <c r="F35" i="22" a="1"/>
  <c r="F35" i="22" s="1"/>
  <c r="E35" i="22" a="1"/>
  <c r="E35" i="22" s="1"/>
  <c r="D35" i="22" a="1"/>
  <c r="D35" i="22" s="1"/>
  <c r="C35" i="22" a="1"/>
  <c r="C35" i="22" s="1"/>
  <c r="G34" i="22" a="1"/>
  <c r="G34" i="22" s="1"/>
  <c r="F34" i="22" a="1"/>
  <c r="F34" i="22" s="1"/>
  <c r="E34" i="22" a="1"/>
  <c r="E34" i="22" s="1"/>
  <c r="D34" i="22" a="1"/>
  <c r="D34" i="22" s="1"/>
  <c r="C34" i="22" a="1"/>
  <c r="C34" i="22" s="1"/>
  <c r="G33" i="22" a="1"/>
  <c r="G33" i="22" s="1"/>
  <c r="F33" i="22" a="1"/>
  <c r="F33" i="22" s="1"/>
  <c r="E33" i="22" a="1"/>
  <c r="E33" i="22" s="1"/>
  <c r="D33" i="22" a="1"/>
  <c r="D33" i="22" s="1"/>
  <c r="C33" i="22" a="1"/>
  <c r="C33" i="22" s="1"/>
  <c r="G32" i="22" a="1"/>
  <c r="G32" i="22" s="1"/>
  <c r="F32" i="22" a="1"/>
  <c r="F32" i="22" s="1"/>
  <c r="E32" i="22" a="1"/>
  <c r="E32" i="22" s="1"/>
  <c r="D32" i="22" a="1"/>
  <c r="D32" i="22" s="1"/>
  <c r="C32" i="22" a="1"/>
  <c r="C32" i="22" s="1"/>
  <c r="G31" i="22" a="1"/>
  <c r="G31" i="22" s="1"/>
  <c r="F31" i="22" a="1"/>
  <c r="F31" i="22" s="1"/>
  <c r="E31" i="22" a="1"/>
  <c r="E31" i="22" s="1"/>
  <c r="D31" i="22" a="1"/>
  <c r="D31" i="22" s="1"/>
  <c r="C31" i="22" a="1"/>
  <c r="C31" i="22" s="1"/>
  <c r="G30" i="22" a="1"/>
  <c r="G30" i="22" s="1"/>
  <c r="F30" i="22" a="1"/>
  <c r="F30" i="22" s="1"/>
  <c r="E30" i="22" a="1"/>
  <c r="E30" i="22" s="1"/>
  <c r="D30" i="22" a="1"/>
  <c r="D30" i="22" s="1"/>
  <c r="C30" i="22" a="1"/>
  <c r="C30" i="22" s="1"/>
  <c r="G29" i="22" a="1"/>
  <c r="G29" i="22" s="1"/>
  <c r="F29" i="22" a="1"/>
  <c r="F29" i="22" s="1"/>
  <c r="E29" i="22" a="1"/>
  <c r="E29" i="22" s="1"/>
  <c r="D29" i="22" a="1"/>
  <c r="D29" i="22" s="1"/>
  <c r="C29" i="22" a="1"/>
  <c r="C29" i="22" s="1"/>
  <c r="G28" i="22" a="1"/>
  <c r="G28" i="22" s="1"/>
  <c r="F28" i="22" a="1"/>
  <c r="F28" i="22" s="1"/>
  <c r="E28" i="22" a="1"/>
  <c r="E28" i="22" s="1"/>
  <c r="D28" i="22" a="1"/>
  <c r="D28" i="22" s="1"/>
  <c r="C28" i="22" a="1"/>
  <c r="C28" i="22" s="1"/>
  <c r="G27" i="22"/>
  <c r="G27" i="22" a="1"/>
  <c r="F27" i="22"/>
  <c r="F27" i="22" a="1"/>
  <c r="E27" i="22"/>
  <c r="E27" i="22" a="1"/>
  <c r="D27" i="22"/>
  <c r="D27" i="22" a="1"/>
  <c r="C27" i="22"/>
  <c r="C27" i="22" a="1"/>
  <c r="G25" i="22" a="1"/>
  <c r="G25" i="22" s="1"/>
  <c r="F25" i="22" a="1"/>
  <c r="F25" i="22" s="1"/>
  <c r="E25" i="22" a="1"/>
  <c r="E25" i="22" s="1"/>
  <c r="D25" i="22" a="1"/>
  <c r="D25" i="22" s="1"/>
  <c r="C25" i="22" a="1"/>
  <c r="C25" i="22" s="1"/>
  <c r="G24" i="22" a="1"/>
  <c r="G24" i="22" s="1"/>
  <c r="F24" i="22" a="1"/>
  <c r="F24" i="22" s="1"/>
  <c r="E24" i="22" a="1"/>
  <c r="E24" i="22" s="1"/>
  <c r="D24" i="22" a="1"/>
  <c r="D24" i="22" s="1"/>
  <c r="C24" i="22" a="1"/>
  <c r="C24" i="22" s="1"/>
  <c r="G23" i="22" a="1"/>
  <c r="G23" i="22" s="1"/>
  <c r="F23" i="22" a="1"/>
  <c r="F23" i="22" s="1"/>
  <c r="E23" i="22" a="1"/>
  <c r="E23" i="22" s="1"/>
  <c r="D23" i="22" a="1"/>
  <c r="D23" i="22" s="1"/>
  <c r="C23" i="22" a="1"/>
  <c r="C23" i="22" s="1"/>
  <c r="G22" i="22" a="1"/>
  <c r="G22" i="22" s="1"/>
  <c r="F22" i="22" a="1"/>
  <c r="F22" i="22" s="1"/>
  <c r="E22" i="22" a="1"/>
  <c r="E22" i="22" s="1"/>
  <c r="D22" i="22" a="1"/>
  <c r="D22" i="22" s="1"/>
  <c r="C22" i="22" a="1"/>
  <c r="C22" i="22" s="1"/>
  <c r="G21" i="22" a="1"/>
  <c r="G21" i="22" s="1"/>
  <c r="F21" i="22" a="1"/>
  <c r="F21" i="22" s="1"/>
  <c r="E21" i="22" a="1"/>
  <c r="E21" i="22" s="1"/>
  <c r="D21" i="22" a="1"/>
  <c r="D21" i="22" s="1"/>
  <c r="C21" i="22" a="1"/>
  <c r="C21" i="22" s="1"/>
  <c r="G20" i="22" a="1"/>
  <c r="G20" i="22" s="1"/>
  <c r="F20" i="22" a="1"/>
  <c r="F20" i="22" s="1"/>
  <c r="E20" i="22" a="1"/>
  <c r="E20" i="22" s="1"/>
  <c r="D20" i="22" a="1"/>
  <c r="D20" i="22" s="1"/>
  <c r="C20" i="22" a="1"/>
  <c r="C20" i="22" s="1"/>
  <c r="G19" i="22" a="1"/>
  <c r="G19" i="22" s="1"/>
  <c r="F19" i="22" a="1"/>
  <c r="F19" i="22" s="1"/>
  <c r="E19" i="22" a="1"/>
  <c r="E19" i="22" s="1"/>
  <c r="D19" i="22" a="1"/>
  <c r="D19" i="22" s="1"/>
  <c r="C19" i="22" a="1"/>
  <c r="C19" i="22" s="1"/>
  <c r="G18" i="22" a="1"/>
  <c r="G18" i="22" s="1"/>
  <c r="F18" i="22" a="1"/>
  <c r="F18" i="22" s="1"/>
  <c r="E18" i="22" a="1"/>
  <c r="E18" i="22" s="1"/>
  <c r="D18" i="22" a="1"/>
  <c r="D18" i="22" s="1"/>
  <c r="C18" i="22" a="1"/>
  <c r="C18" i="22" s="1"/>
  <c r="G17" i="22" a="1"/>
  <c r="G17" i="22" s="1"/>
  <c r="F17" i="22" a="1"/>
  <c r="F17" i="22" s="1"/>
  <c r="E17" i="22" a="1"/>
  <c r="E17" i="22" s="1"/>
  <c r="D17" i="22" a="1"/>
  <c r="D17" i="22" s="1"/>
  <c r="C17" i="22" a="1"/>
  <c r="C17" i="22" s="1"/>
  <c r="G16" i="22" a="1"/>
  <c r="G16" i="22" s="1"/>
  <c r="F16" i="22" a="1"/>
  <c r="F16" i="22" s="1"/>
  <c r="E16" i="22" a="1"/>
  <c r="E16" i="22" s="1"/>
  <c r="D16" i="22" a="1"/>
  <c r="D16" i="22" s="1"/>
  <c r="C16" i="22" a="1"/>
  <c r="C16" i="22" s="1"/>
  <c r="G15" i="22" a="1"/>
  <c r="G15" i="22" s="1"/>
  <c r="F15" i="22" a="1"/>
  <c r="F15" i="22" s="1"/>
  <c r="E15" i="22" a="1"/>
  <c r="E15" i="22" s="1"/>
  <c r="D15" i="22" a="1"/>
  <c r="D15" i="22" s="1"/>
  <c r="C15" i="22" a="1"/>
  <c r="C15" i="22" s="1"/>
  <c r="G14" i="22" a="1"/>
  <c r="G14" i="22" s="1"/>
  <c r="F14" i="22" a="1"/>
  <c r="F14" i="22" s="1"/>
  <c r="E14" i="22" a="1"/>
  <c r="E14" i="22" s="1"/>
  <c r="D14" i="22" a="1"/>
  <c r="D14" i="22" s="1"/>
  <c r="C14" i="22" a="1"/>
  <c r="C14" i="22" s="1"/>
  <c r="G13" i="22" a="1"/>
  <c r="G13" i="22" s="1"/>
  <c r="F13" i="22" a="1"/>
  <c r="F13" i="22" s="1"/>
  <c r="E13" i="22" a="1"/>
  <c r="E13" i="22" s="1"/>
  <c r="D13" i="22" a="1"/>
  <c r="D13" i="22" s="1"/>
  <c r="C13" i="22" a="1"/>
  <c r="C13" i="22" s="1"/>
  <c r="G12" i="22" a="1"/>
  <c r="G12" i="22" s="1"/>
  <c r="F12" i="22" a="1"/>
  <c r="F12" i="22" s="1"/>
  <c r="E12" i="22" a="1"/>
  <c r="E12" i="22" s="1"/>
  <c r="D12" i="22" a="1"/>
  <c r="D12" i="22" s="1"/>
  <c r="C12" i="22" a="1"/>
  <c r="C12" i="22" s="1"/>
  <c r="G11" i="22" a="1"/>
  <c r="G11" i="22" s="1"/>
  <c r="F11" i="22" a="1"/>
  <c r="F11" i="22" s="1"/>
  <c r="E11" i="22" a="1"/>
  <c r="E11" i="22" s="1"/>
  <c r="D11" i="22" a="1"/>
  <c r="D11" i="22" s="1"/>
  <c r="C11" i="22" a="1"/>
  <c r="C11" i="22" s="1"/>
  <c r="G10" i="22" a="1"/>
  <c r="G10" i="22" s="1"/>
  <c r="F10" i="22" a="1"/>
  <c r="F10" i="22" s="1"/>
  <c r="E10" i="22" a="1"/>
  <c r="E10" i="22" s="1"/>
  <c r="D10" i="22" a="1"/>
  <c r="D10" i="22" s="1"/>
  <c r="C10" i="22" a="1"/>
  <c r="C10" i="22" s="1"/>
  <c r="G9" i="22" a="1"/>
  <c r="G9" i="22" s="1"/>
  <c r="F9" i="22" a="1"/>
  <c r="F9" i="22" s="1"/>
  <c r="E9" i="22" a="1"/>
  <c r="E9" i="22" s="1"/>
  <c r="D9" i="22" a="1"/>
  <c r="D9" i="22" s="1"/>
  <c r="C9" i="22" a="1"/>
  <c r="C9" i="22" s="1"/>
  <c r="G8" i="22" a="1"/>
  <c r="G8" i="22" s="1"/>
  <c r="F8" i="22" a="1"/>
  <c r="F8" i="22" s="1"/>
  <c r="E8" i="22" a="1"/>
  <c r="E8" i="22" s="1"/>
  <c r="D8" i="22" a="1"/>
  <c r="D8" i="22" s="1"/>
  <c r="C8" i="22" a="1"/>
  <c r="C8" i="22" s="1"/>
  <c r="G7" i="22" a="1"/>
  <c r="G7" i="22" s="1"/>
  <c r="F7" i="22" a="1"/>
  <c r="F7" i="22" s="1"/>
  <c r="E7" i="22" a="1"/>
  <c r="E7" i="22" s="1"/>
  <c r="D7" i="22" a="1"/>
  <c r="D7" i="22" s="1"/>
  <c r="C7" i="22" a="1"/>
  <c r="C7" i="22" s="1"/>
  <c r="G6" i="22" a="1"/>
  <c r="G6" i="22" s="1"/>
  <c r="F6" i="22" a="1"/>
  <c r="F6" i="22" s="1"/>
  <c r="E6" i="22" a="1"/>
  <c r="E6" i="22" s="1"/>
  <c r="D6" i="22" a="1"/>
  <c r="D6" i="22" s="1"/>
  <c r="C6" i="22" a="1"/>
  <c r="C6" i="22" s="1"/>
  <c r="G5" i="22" a="1"/>
  <c r="G5" i="22" s="1"/>
  <c r="F5" i="22" a="1"/>
  <c r="F5" i="22" s="1"/>
  <c r="E5" i="22" a="1"/>
  <c r="E5" i="22" s="1"/>
  <c r="D5" i="22" a="1"/>
  <c r="D5" i="22" s="1"/>
  <c r="C5" i="22" a="1"/>
  <c r="C5" i="22" s="1"/>
  <c r="G4" i="22"/>
  <c r="G4" i="22" a="1"/>
  <c r="F4" i="22"/>
  <c r="F4" i="22" a="1"/>
  <c r="E4" i="22"/>
  <c r="E4" i="22" a="1"/>
  <c r="D4" i="22"/>
  <c r="D4" i="22" a="1"/>
  <c r="C4" i="22"/>
  <c r="C4" i="22" a="1"/>
  <c r="J226" i="11"/>
  <c r="I226" i="11"/>
  <c r="H226" i="11"/>
  <c r="G226" i="11"/>
  <c r="F226" i="11"/>
  <c r="E226" i="11"/>
  <c r="D226" i="11"/>
  <c r="C226" i="11"/>
  <c r="J225" i="11"/>
  <c r="I225" i="11"/>
  <c r="H225" i="11"/>
  <c r="G225" i="11"/>
  <c r="F225" i="11"/>
  <c r="E225" i="11"/>
  <c r="D225" i="11"/>
  <c r="C225" i="11"/>
  <c r="J224" i="11"/>
  <c r="I224" i="11"/>
  <c r="H224" i="11"/>
  <c r="G224" i="11"/>
  <c r="F224" i="11"/>
  <c r="E224" i="11"/>
  <c r="D224" i="11"/>
  <c r="C224" i="11"/>
  <c r="K223" i="11"/>
  <c r="K222" i="11"/>
  <c r="J221" i="11"/>
  <c r="I221" i="11"/>
  <c r="H221" i="11"/>
  <c r="G221" i="11"/>
  <c r="F221" i="11"/>
  <c r="E221" i="11"/>
  <c r="D221" i="11"/>
  <c r="C221" i="11"/>
  <c r="K220" i="11"/>
  <c r="J218" i="11"/>
  <c r="I218" i="11"/>
  <c r="H218" i="11"/>
  <c r="G218" i="11"/>
  <c r="F218" i="11"/>
  <c r="E218" i="11"/>
  <c r="D218" i="11"/>
  <c r="C218" i="11"/>
  <c r="K217" i="11"/>
  <c r="K214" i="11"/>
  <c r="J214" i="11"/>
  <c r="I214" i="11"/>
  <c r="H214" i="11"/>
  <c r="G214" i="11"/>
  <c r="F214" i="11"/>
  <c r="E214" i="11"/>
  <c r="D214" i="11"/>
  <c r="C214" i="11"/>
  <c r="K213" i="11"/>
  <c r="J213" i="11"/>
  <c r="I213" i="11"/>
  <c r="H213" i="11"/>
  <c r="G213" i="11"/>
  <c r="F213" i="11"/>
  <c r="E213" i="11"/>
  <c r="D213" i="11"/>
  <c r="C213" i="11"/>
  <c r="K212" i="11"/>
  <c r="K211" i="11"/>
  <c r="K209" i="11"/>
  <c r="J209" i="11"/>
  <c r="I209" i="11"/>
  <c r="H209" i="11"/>
  <c r="G209" i="11"/>
  <c r="F209" i="11"/>
  <c r="E209" i="11"/>
  <c r="D209" i="11"/>
  <c r="C209" i="11"/>
  <c r="K208" i="11"/>
  <c r="J208" i="11"/>
  <c r="I208" i="11"/>
  <c r="H208" i="11"/>
  <c r="G208" i="11"/>
  <c r="F208" i="11"/>
  <c r="E208" i="11"/>
  <c r="D208" i="11"/>
  <c r="C208" i="11"/>
  <c r="K207" i="11"/>
  <c r="K206" i="11"/>
  <c r="K204" i="11"/>
  <c r="J204" i="11"/>
  <c r="I204" i="11"/>
  <c r="H204" i="11"/>
  <c r="G204" i="11"/>
  <c r="F204" i="11"/>
  <c r="E204" i="11"/>
  <c r="D204" i="11"/>
  <c r="C204" i="11"/>
  <c r="K203" i="11"/>
  <c r="J203" i="11"/>
  <c r="I203" i="11"/>
  <c r="H203" i="11"/>
  <c r="G203" i="11"/>
  <c r="F203" i="11"/>
  <c r="E203" i="11"/>
  <c r="D203" i="11"/>
  <c r="C203" i="11"/>
  <c r="K202" i="11"/>
  <c r="K201" i="11"/>
  <c r="J199" i="11"/>
  <c r="I199" i="11"/>
  <c r="H199" i="11"/>
  <c r="G199" i="11"/>
  <c r="F199" i="11"/>
  <c r="E199" i="11"/>
  <c r="D199" i="11"/>
  <c r="D196" i="11" a="1"/>
  <c r="D196" i="11" s="1"/>
  <c r="C196" i="11" a="1"/>
  <c r="C196" i="11" s="1"/>
  <c r="D195" i="11" a="1"/>
  <c r="D195" i="11" s="1"/>
  <c r="C195" i="11" a="1"/>
  <c r="C195" i="11" s="1"/>
  <c r="D194" i="11" a="1"/>
  <c r="D194" i="11" s="1"/>
  <c r="C194" i="11" a="1"/>
  <c r="C194" i="11" s="1"/>
  <c r="D193" i="11" a="1"/>
  <c r="D193" i="11" s="1"/>
  <c r="C193" i="11" a="1"/>
  <c r="C193" i="11" s="1"/>
  <c r="D192" i="11" a="1"/>
  <c r="D192" i="11" s="1"/>
  <c r="C192" i="11" a="1"/>
  <c r="C192" i="11" s="1"/>
  <c r="D191" i="11" a="1"/>
  <c r="D191" i="11" s="1"/>
  <c r="C191" i="11" a="1"/>
  <c r="C191" i="11" s="1"/>
  <c r="D190" i="11" a="1"/>
  <c r="D190" i="11" s="1"/>
  <c r="C190" i="11" a="1"/>
  <c r="C190" i="11" s="1"/>
  <c r="D189" i="11" a="1"/>
  <c r="D189" i="11" s="1"/>
  <c r="C189" i="11" a="1"/>
  <c r="C189" i="11" s="1"/>
  <c r="D188" i="11" a="1"/>
  <c r="D188" i="11" s="1"/>
  <c r="C188" i="11" a="1"/>
  <c r="C188" i="11" s="1"/>
  <c r="D187" i="11" a="1"/>
  <c r="D187" i="11" s="1"/>
  <c r="C187" i="11" a="1"/>
  <c r="C187" i="11" s="1"/>
  <c r="D183" i="11" a="1"/>
  <c r="D183" i="11" s="1"/>
  <c r="C183" i="11" a="1"/>
  <c r="C183" i="11" s="1"/>
  <c r="D182" i="11" a="1"/>
  <c r="D182" i="11" s="1"/>
  <c r="C182" i="11" a="1"/>
  <c r="C182" i="11" s="1"/>
  <c r="D181" i="11" a="1"/>
  <c r="D181" i="11" s="1"/>
  <c r="C181" i="11" a="1"/>
  <c r="C181" i="11" s="1"/>
  <c r="D180" i="11" a="1"/>
  <c r="D180" i="11" s="1"/>
  <c r="C180" i="11" a="1"/>
  <c r="C180" i="11" s="1"/>
  <c r="D179" i="11" a="1"/>
  <c r="D179" i="11" s="1"/>
  <c r="C179" i="11" a="1"/>
  <c r="C179" i="11" s="1"/>
  <c r="D178" i="11" a="1"/>
  <c r="D178" i="11" s="1"/>
  <c r="C178" i="11" a="1"/>
  <c r="C178" i="11" s="1"/>
  <c r="D177" i="11" a="1"/>
  <c r="D177" i="11" s="1"/>
  <c r="C177" i="11" a="1"/>
  <c r="C177" i="11" s="1"/>
  <c r="D176" i="11" a="1"/>
  <c r="D176" i="11" s="1"/>
  <c r="C176" i="11" a="1"/>
  <c r="C176" i="11" s="1"/>
  <c r="D175" i="11" a="1"/>
  <c r="D175" i="11" s="1"/>
  <c r="C175" i="11" a="1"/>
  <c r="C175" i="11" s="1"/>
  <c r="D174" i="11" a="1"/>
  <c r="D174" i="11" s="1"/>
  <c r="C174" i="11" a="1"/>
  <c r="C174" i="11" s="1"/>
  <c r="G171" i="11" a="1"/>
  <c r="G171" i="11" s="1"/>
  <c r="F171" i="11" a="1"/>
  <c r="F171" i="11" s="1"/>
  <c r="E171" i="11" a="1"/>
  <c r="E171" i="11" s="1"/>
  <c r="D171" i="11" a="1"/>
  <c r="D171" i="11" s="1"/>
  <c r="C171" i="11" a="1"/>
  <c r="C171" i="11" s="1"/>
  <c r="G170" i="11" a="1"/>
  <c r="G170" i="11" s="1"/>
  <c r="F170" i="11" a="1"/>
  <c r="F170" i="11" s="1"/>
  <c r="E170" i="11" a="1"/>
  <c r="E170" i="11" s="1"/>
  <c r="D170" i="11" a="1"/>
  <c r="D170" i="11" s="1"/>
  <c r="C170" i="11" a="1"/>
  <c r="C170" i="11" s="1"/>
  <c r="G169" i="11" a="1"/>
  <c r="G169" i="11" s="1"/>
  <c r="F169" i="11" a="1"/>
  <c r="F169" i="11" s="1"/>
  <c r="E169" i="11" a="1"/>
  <c r="E169" i="11" s="1"/>
  <c r="D169" i="11" a="1"/>
  <c r="D169" i="11" s="1"/>
  <c r="C169" i="11" a="1"/>
  <c r="C169" i="11" s="1"/>
  <c r="G168" i="11" a="1"/>
  <c r="G168" i="11" s="1"/>
  <c r="F168" i="11" a="1"/>
  <c r="F168" i="11" s="1"/>
  <c r="E168" i="11" a="1"/>
  <c r="E168" i="11" s="1"/>
  <c r="D168" i="11" a="1"/>
  <c r="D168" i="11" s="1"/>
  <c r="C168" i="11" a="1"/>
  <c r="C168" i="11" s="1"/>
  <c r="G167" i="11" a="1"/>
  <c r="G167" i="11" s="1"/>
  <c r="F167" i="11" a="1"/>
  <c r="F167" i="11" s="1"/>
  <c r="E167" i="11" a="1"/>
  <c r="E167" i="11" s="1"/>
  <c r="D167" i="11" a="1"/>
  <c r="D167" i="11" s="1"/>
  <c r="C167" i="11" a="1"/>
  <c r="C167" i="11" s="1"/>
  <c r="G166" i="11" a="1"/>
  <c r="G166" i="11" s="1"/>
  <c r="F166" i="11" a="1"/>
  <c r="F166" i="11" s="1"/>
  <c r="E166" i="11" a="1"/>
  <c r="E166" i="11" s="1"/>
  <c r="D166" i="11" a="1"/>
  <c r="D166" i="11" s="1"/>
  <c r="C166" i="11" a="1"/>
  <c r="C166" i="11" s="1"/>
  <c r="G165" i="11" a="1"/>
  <c r="G165" i="11" s="1"/>
  <c r="F165" i="11" a="1"/>
  <c r="F165" i="11" s="1"/>
  <c r="E165" i="11" a="1"/>
  <c r="E165" i="11" s="1"/>
  <c r="D165" i="11" a="1"/>
  <c r="D165" i="11" s="1"/>
  <c r="C165" i="11" a="1"/>
  <c r="C165" i="11" s="1"/>
  <c r="G164" i="11" a="1"/>
  <c r="G164" i="11" s="1"/>
  <c r="F164" i="11" a="1"/>
  <c r="F164" i="11" s="1"/>
  <c r="E164" i="11" a="1"/>
  <c r="E164" i="11" s="1"/>
  <c r="D164" i="11" a="1"/>
  <c r="D164" i="11" s="1"/>
  <c r="C164" i="11" a="1"/>
  <c r="C164" i="11" s="1"/>
  <c r="G163" i="11" a="1"/>
  <c r="G163" i="11" s="1"/>
  <c r="F163" i="11" a="1"/>
  <c r="F163" i="11" s="1"/>
  <c r="E163" i="11" a="1"/>
  <c r="E163" i="11" s="1"/>
  <c r="D163" i="11" a="1"/>
  <c r="D163" i="11" s="1"/>
  <c r="C163" i="11" a="1"/>
  <c r="C163" i="11" s="1"/>
  <c r="G162" i="11" a="1"/>
  <c r="G162" i="11" s="1"/>
  <c r="F162" i="11" a="1"/>
  <c r="F162" i="11" s="1"/>
  <c r="E162" i="11" a="1"/>
  <c r="E162" i="11" s="1"/>
  <c r="D162" i="11" a="1"/>
  <c r="D162" i="11" s="1"/>
  <c r="C162" i="11" a="1"/>
  <c r="C162" i="11" s="1"/>
  <c r="G161" i="11" a="1"/>
  <c r="G161" i="11" s="1"/>
  <c r="F161" i="11" a="1"/>
  <c r="F161" i="11" s="1"/>
  <c r="E161" i="11" a="1"/>
  <c r="E161" i="11" s="1"/>
  <c r="D161" i="11" a="1"/>
  <c r="D161" i="11" s="1"/>
  <c r="C161" i="11" a="1"/>
  <c r="C161" i="11" s="1"/>
  <c r="G160" i="11" a="1"/>
  <c r="G160" i="11" s="1"/>
  <c r="F160" i="11" a="1"/>
  <c r="F160" i="11" s="1"/>
  <c r="E160" i="11" a="1"/>
  <c r="E160" i="11" s="1"/>
  <c r="D160" i="11" a="1"/>
  <c r="D160" i="11" s="1"/>
  <c r="C160" i="11" a="1"/>
  <c r="C160" i="11" s="1"/>
  <c r="G159" i="11"/>
  <c r="G159" i="11" a="1"/>
  <c r="F159" i="11"/>
  <c r="F159" i="11" a="1"/>
  <c r="E159" i="11"/>
  <c r="E159" i="11" a="1"/>
  <c r="D159" i="11"/>
  <c r="D159" i="11" a="1"/>
  <c r="C159" i="11"/>
  <c r="C159" i="11" a="1"/>
  <c r="G157" i="11" a="1"/>
  <c r="G157" i="11" s="1"/>
  <c r="F157" i="11" a="1"/>
  <c r="F157" i="11" s="1"/>
  <c r="E157" i="11" a="1"/>
  <c r="E157" i="11" s="1"/>
  <c r="D157" i="11" a="1"/>
  <c r="D157" i="11" s="1"/>
  <c r="C157" i="11" a="1"/>
  <c r="C157" i="11" s="1"/>
  <c r="G156" i="11" a="1"/>
  <c r="G156" i="11" s="1"/>
  <c r="F156" i="11" a="1"/>
  <c r="F156" i="11" s="1"/>
  <c r="E156" i="11" a="1"/>
  <c r="E156" i="11" s="1"/>
  <c r="D156" i="11" a="1"/>
  <c r="D156" i="11" s="1"/>
  <c r="C156" i="11" a="1"/>
  <c r="C156" i="11" s="1"/>
  <c r="G155" i="11" a="1"/>
  <c r="G155" i="11" s="1"/>
  <c r="F155" i="11" a="1"/>
  <c r="F155" i="11" s="1"/>
  <c r="E155" i="11" a="1"/>
  <c r="E155" i="11" s="1"/>
  <c r="D155" i="11" a="1"/>
  <c r="D155" i="11" s="1"/>
  <c r="C155" i="11" a="1"/>
  <c r="C155" i="11" s="1"/>
  <c r="G154" i="11" a="1"/>
  <c r="G154" i="11" s="1"/>
  <c r="F154" i="11" a="1"/>
  <c r="F154" i="11" s="1"/>
  <c r="E154" i="11" a="1"/>
  <c r="E154" i="11" s="1"/>
  <c r="D154" i="11" a="1"/>
  <c r="D154" i="11" s="1"/>
  <c r="C154" i="11" a="1"/>
  <c r="C154" i="11" s="1"/>
  <c r="G153" i="11" a="1"/>
  <c r="G153" i="11" s="1"/>
  <c r="F153" i="11" a="1"/>
  <c r="F153" i="11" s="1"/>
  <c r="E153" i="11" a="1"/>
  <c r="E153" i="11" s="1"/>
  <c r="D153" i="11" a="1"/>
  <c r="D153" i="11" s="1"/>
  <c r="C153" i="11" a="1"/>
  <c r="C153" i="11" s="1"/>
  <c r="G152" i="11" a="1"/>
  <c r="G152" i="11" s="1"/>
  <c r="F152" i="11" a="1"/>
  <c r="F152" i="11" s="1"/>
  <c r="E152" i="11" a="1"/>
  <c r="E152" i="11" s="1"/>
  <c r="D152" i="11" a="1"/>
  <c r="D152" i="11" s="1"/>
  <c r="C152" i="11" a="1"/>
  <c r="C152" i="11" s="1"/>
  <c r="G151" i="11" a="1"/>
  <c r="G151" i="11" s="1"/>
  <c r="F151" i="11" a="1"/>
  <c r="F151" i="11" s="1"/>
  <c r="E151" i="11" a="1"/>
  <c r="E151" i="11" s="1"/>
  <c r="D151" i="11" a="1"/>
  <c r="D151" i="11" s="1"/>
  <c r="C151" i="11" a="1"/>
  <c r="C151" i="11" s="1"/>
  <c r="G150" i="11" a="1"/>
  <c r="G150" i="11" s="1"/>
  <c r="F150" i="11" a="1"/>
  <c r="F150" i="11" s="1"/>
  <c r="E150" i="11" a="1"/>
  <c r="E150" i="11" s="1"/>
  <c r="D150" i="11" a="1"/>
  <c r="D150" i="11" s="1"/>
  <c r="C150" i="11" a="1"/>
  <c r="C150" i="11" s="1"/>
  <c r="G149" i="11" a="1"/>
  <c r="G149" i="11" s="1"/>
  <c r="F149" i="11" a="1"/>
  <c r="F149" i="11" s="1"/>
  <c r="E149" i="11" a="1"/>
  <c r="E149" i="11" s="1"/>
  <c r="D149" i="11" a="1"/>
  <c r="D149" i="11" s="1"/>
  <c r="C149" i="11" a="1"/>
  <c r="C149" i="11" s="1"/>
  <c r="G148" i="11" a="1"/>
  <c r="G148" i="11" s="1"/>
  <c r="F148" i="11" a="1"/>
  <c r="F148" i="11" s="1"/>
  <c r="E148" i="11" a="1"/>
  <c r="E148" i="11" s="1"/>
  <c r="D148" i="11" a="1"/>
  <c r="D148" i="11" s="1"/>
  <c r="C148" i="11" a="1"/>
  <c r="C148" i="11" s="1"/>
  <c r="G147" i="11" a="1"/>
  <c r="G147" i="11" s="1"/>
  <c r="F147" i="11" a="1"/>
  <c r="F147" i="11" s="1"/>
  <c r="E147" i="11" a="1"/>
  <c r="E147" i="11" s="1"/>
  <c r="D147" i="11" a="1"/>
  <c r="D147" i="11" s="1"/>
  <c r="C147" i="11" a="1"/>
  <c r="C147" i="11" s="1"/>
  <c r="G146" i="11" a="1"/>
  <c r="G146" i="11" s="1"/>
  <c r="F146" i="11" a="1"/>
  <c r="F146" i="11" s="1"/>
  <c r="E146" i="11" a="1"/>
  <c r="E146" i="11" s="1"/>
  <c r="D146" i="11" a="1"/>
  <c r="D146" i="11" s="1"/>
  <c r="C146" i="11" a="1"/>
  <c r="C146" i="11" s="1"/>
  <c r="G145" i="11"/>
  <c r="G145" i="11" a="1"/>
  <c r="F145" i="11"/>
  <c r="F145" i="11" a="1"/>
  <c r="E145" i="11"/>
  <c r="E145" i="11" a="1"/>
  <c r="D145" i="11"/>
  <c r="D145" i="11" a="1"/>
  <c r="C145" i="11"/>
  <c r="C145" i="11" a="1"/>
  <c r="G143" i="11" a="1"/>
  <c r="G143" i="11" s="1"/>
  <c r="F143" i="11" a="1"/>
  <c r="F143" i="11" s="1"/>
  <c r="E143" i="11" a="1"/>
  <c r="E143" i="11" s="1"/>
  <c r="D143" i="11" a="1"/>
  <c r="D143" i="11" s="1"/>
  <c r="C143" i="11" a="1"/>
  <c r="C143" i="11" s="1"/>
  <c r="G142" i="11" a="1"/>
  <c r="G142" i="11" s="1"/>
  <c r="F142" i="11" a="1"/>
  <c r="F142" i="11" s="1"/>
  <c r="E142" i="11" a="1"/>
  <c r="E142" i="11" s="1"/>
  <c r="D142" i="11" a="1"/>
  <c r="D142" i="11" s="1"/>
  <c r="C142" i="11" a="1"/>
  <c r="C142" i="11" s="1"/>
  <c r="G141" i="11" a="1"/>
  <c r="G141" i="11" s="1"/>
  <c r="F141" i="11" a="1"/>
  <c r="F141" i="11" s="1"/>
  <c r="E141" i="11" a="1"/>
  <c r="E141" i="11" s="1"/>
  <c r="D141" i="11" a="1"/>
  <c r="D141" i="11" s="1"/>
  <c r="C141" i="11" a="1"/>
  <c r="C141" i="11" s="1"/>
  <c r="G140" i="11" a="1"/>
  <c r="G140" i="11" s="1"/>
  <c r="F140" i="11" a="1"/>
  <c r="F140" i="11" s="1"/>
  <c r="E140" i="11" a="1"/>
  <c r="E140" i="11" s="1"/>
  <c r="D140" i="11" a="1"/>
  <c r="D140" i="11" s="1"/>
  <c r="C140" i="11" a="1"/>
  <c r="C140" i="11" s="1"/>
  <c r="G139" i="11" a="1"/>
  <c r="G139" i="11" s="1"/>
  <c r="F139" i="11" a="1"/>
  <c r="F139" i="11" s="1"/>
  <c r="E139" i="11" a="1"/>
  <c r="E139" i="11" s="1"/>
  <c r="D139" i="11" a="1"/>
  <c r="D139" i="11" s="1"/>
  <c r="C139" i="11" a="1"/>
  <c r="C139" i="11" s="1"/>
  <c r="G138" i="11" a="1"/>
  <c r="G138" i="11" s="1"/>
  <c r="F138" i="11" a="1"/>
  <c r="F138" i="11" s="1"/>
  <c r="E138" i="11" a="1"/>
  <c r="E138" i="11" s="1"/>
  <c r="D138" i="11" a="1"/>
  <c r="D138" i="11" s="1"/>
  <c r="C138" i="11" a="1"/>
  <c r="C138" i="11" s="1"/>
  <c r="G137" i="11" a="1"/>
  <c r="G137" i="11" s="1"/>
  <c r="F137" i="11" a="1"/>
  <c r="F137" i="11" s="1"/>
  <c r="E137" i="11" a="1"/>
  <c r="E137" i="11" s="1"/>
  <c r="D137" i="11" a="1"/>
  <c r="D137" i="11" s="1"/>
  <c r="C137" i="11" a="1"/>
  <c r="C137" i="11" s="1"/>
  <c r="G136" i="11" a="1"/>
  <c r="G136" i="11" s="1"/>
  <c r="F136" i="11" a="1"/>
  <c r="F136" i="11" s="1"/>
  <c r="E136" i="11" a="1"/>
  <c r="E136" i="11" s="1"/>
  <c r="D136" i="11" a="1"/>
  <c r="D136" i="11" s="1"/>
  <c r="C136" i="11" a="1"/>
  <c r="C136" i="11" s="1"/>
  <c r="G135" i="11" a="1"/>
  <c r="G135" i="11" s="1"/>
  <c r="F135" i="11" a="1"/>
  <c r="F135" i="11" s="1"/>
  <c r="E135" i="11" a="1"/>
  <c r="E135" i="11" s="1"/>
  <c r="D135" i="11" a="1"/>
  <c r="D135" i="11" s="1"/>
  <c r="C135" i="11" a="1"/>
  <c r="C135" i="11" s="1"/>
  <c r="G134" i="11" a="1"/>
  <c r="G134" i="11" s="1"/>
  <c r="F134" i="11" a="1"/>
  <c r="F134" i="11" s="1"/>
  <c r="E134" i="11" a="1"/>
  <c r="E134" i="11" s="1"/>
  <c r="D134" i="11" a="1"/>
  <c r="D134" i="11" s="1"/>
  <c r="C134" i="11" a="1"/>
  <c r="C134" i="11" s="1"/>
  <c r="G133" i="11" a="1"/>
  <c r="G133" i="11" s="1"/>
  <c r="F133" i="11" a="1"/>
  <c r="F133" i="11" s="1"/>
  <c r="E133" i="11" a="1"/>
  <c r="E133" i="11" s="1"/>
  <c r="D133" i="11" a="1"/>
  <c r="D133" i="11" s="1"/>
  <c r="C133" i="11" a="1"/>
  <c r="C133" i="11" s="1"/>
  <c r="G132" i="11" a="1"/>
  <c r="G132" i="11" s="1"/>
  <c r="F132" i="11" a="1"/>
  <c r="F132" i="11" s="1"/>
  <c r="E132" i="11" a="1"/>
  <c r="E132" i="11" s="1"/>
  <c r="D132" i="11" a="1"/>
  <c r="D132" i="11" s="1"/>
  <c r="C132" i="11" a="1"/>
  <c r="C132" i="11" s="1"/>
  <c r="G131" i="11"/>
  <c r="G131" i="11" a="1"/>
  <c r="F131" i="11"/>
  <c r="F131" i="11" a="1"/>
  <c r="E131" i="11"/>
  <c r="E131" i="11" a="1"/>
  <c r="D131" i="11"/>
  <c r="D131" i="11" a="1"/>
  <c r="C131" i="11"/>
  <c r="C131" i="11" a="1"/>
  <c r="G128" i="11" a="1"/>
  <c r="G128" i="11" s="1"/>
  <c r="F128" i="11" a="1"/>
  <c r="F128" i="11" s="1"/>
  <c r="E128" i="11" a="1"/>
  <c r="E128" i="11" s="1"/>
  <c r="D128" i="11" a="1"/>
  <c r="D128" i="11" s="1"/>
  <c r="C128" i="11" a="1"/>
  <c r="C128" i="11" s="1"/>
  <c r="G127" i="11" a="1"/>
  <c r="G127" i="11" s="1"/>
  <c r="F127" i="11" a="1"/>
  <c r="F127" i="11" s="1"/>
  <c r="E127" i="11" a="1"/>
  <c r="E127" i="11" s="1"/>
  <c r="D127" i="11" a="1"/>
  <c r="D127" i="11" s="1"/>
  <c r="C127" i="11" a="1"/>
  <c r="C127" i="11" s="1"/>
  <c r="G126" i="11" a="1"/>
  <c r="G126" i="11" s="1"/>
  <c r="F126" i="11" a="1"/>
  <c r="F126" i="11" s="1"/>
  <c r="E126" i="11" a="1"/>
  <c r="E126" i="11" s="1"/>
  <c r="D126" i="11" a="1"/>
  <c r="D126" i="11" s="1"/>
  <c r="C126" i="11" a="1"/>
  <c r="C126" i="11" s="1"/>
  <c r="G125" i="11" a="1"/>
  <c r="G125" i="11" s="1"/>
  <c r="F125" i="11" a="1"/>
  <c r="F125" i="11" s="1"/>
  <c r="E125" i="11" a="1"/>
  <c r="E125" i="11" s="1"/>
  <c r="D125" i="11" a="1"/>
  <c r="D125" i="11" s="1"/>
  <c r="C125" i="11" a="1"/>
  <c r="C125" i="11" s="1"/>
  <c r="G124" i="11" a="1"/>
  <c r="G124" i="11" s="1"/>
  <c r="F124" i="11" a="1"/>
  <c r="F124" i="11" s="1"/>
  <c r="E124" i="11" a="1"/>
  <c r="E124" i="11" s="1"/>
  <c r="D124" i="11" a="1"/>
  <c r="D124" i="11" s="1"/>
  <c r="C124" i="11" a="1"/>
  <c r="C124" i="11" s="1"/>
  <c r="G123" i="11" a="1"/>
  <c r="G123" i="11" s="1"/>
  <c r="F123" i="11" a="1"/>
  <c r="F123" i="11" s="1"/>
  <c r="E123" i="11" a="1"/>
  <c r="E123" i="11" s="1"/>
  <c r="D123" i="11" a="1"/>
  <c r="D123" i="11" s="1"/>
  <c r="C123" i="11" a="1"/>
  <c r="C123" i="11" s="1"/>
  <c r="G122" i="11" a="1"/>
  <c r="G122" i="11" s="1"/>
  <c r="F122" i="11" a="1"/>
  <c r="F122" i="11" s="1"/>
  <c r="E122" i="11" a="1"/>
  <c r="E122" i="11" s="1"/>
  <c r="D122" i="11" a="1"/>
  <c r="D122" i="11" s="1"/>
  <c r="C122" i="11" a="1"/>
  <c r="C122" i="11" s="1"/>
  <c r="G121" i="11" a="1"/>
  <c r="G121" i="11" s="1"/>
  <c r="F121" i="11" a="1"/>
  <c r="F121" i="11" s="1"/>
  <c r="E121" i="11" a="1"/>
  <c r="E121" i="11" s="1"/>
  <c r="D121" i="11" a="1"/>
  <c r="D121" i="11" s="1"/>
  <c r="C121" i="11" a="1"/>
  <c r="C121" i="11" s="1"/>
  <c r="G120" i="11" a="1"/>
  <c r="G120" i="11" s="1"/>
  <c r="F120" i="11" a="1"/>
  <c r="F120" i="11" s="1"/>
  <c r="E120" i="11" a="1"/>
  <c r="E120" i="11" s="1"/>
  <c r="D120" i="11" a="1"/>
  <c r="D120" i="11" s="1"/>
  <c r="C120" i="11" a="1"/>
  <c r="C120" i="11" s="1"/>
  <c r="G119" i="11" a="1"/>
  <c r="G119" i="11" s="1"/>
  <c r="F119" i="11" a="1"/>
  <c r="F119" i="11" s="1"/>
  <c r="E119" i="11" a="1"/>
  <c r="E119" i="11" s="1"/>
  <c r="D119" i="11" a="1"/>
  <c r="D119" i="11" s="1"/>
  <c r="C119" i="11" a="1"/>
  <c r="C119" i="11" s="1"/>
  <c r="G118" i="11" a="1"/>
  <c r="G118" i="11" s="1"/>
  <c r="F118" i="11" a="1"/>
  <c r="F118" i="11" s="1"/>
  <c r="E118" i="11" a="1"/>
  <c r="E118" i="11" s="1"/>
  <c r="D118" i="11" a="1"/>
  <c r="D118" i="11" s="1"/>
  <c r="C118" i="11" a="1"/>
  <c r="C118" i="11" s="1"/>
  <c r="G117" i="11"/>
  <c r="G117" i="11" a="1"/>
  <c r="F117" i="11"/>
  <c r="F117" i="11" a="1"/>
  <c r="E117" i="11"/>
  <c r="E117" i="11" a="1"/>
  <c r="D117" i="11"/>
  <c r="D117" i="11" a="1"/>
  <c r="C117" i="11"/>
  <c r="C117" i="11" a="1"/>
  <c r="G114" i="11" a="1"/>
  <c r="G114" i="11" s="1"/>
  <c r="F114" i="11" a="1"/>
  <c r="F114" i="11" s="1"/>
  <c r="E114" i="11" a="1"/>
  <c r="E114" i="11" s="1"/>
  <c r="D114" i="11" a="1"/>
  <c r="D114" i="11" s="1"/>
  <c r="C114" i="11" a="1"/>
  <c r="C114" i="11" s="1"/>
  <c r="G113" i="11" a="1"/>
  <c r="G113" i="11" s="1"/>
  <c r="F113" i="11" a="1"/>
  <c r="F113" i="11" s="1"/>
  <c r="E113" i="11" a="1"/>
  <c r="E113" i="11" s="1"/>
  <c r="D113" i="11" a="1"/>
  <c r="D113" i="11" s="1"/>
  <c r="C113" i="11" a="1"/>
  <c r="C113" i="11" s="1"/>
  <c r="G112" i="11" a="1"/>
  <c r="G112" i="11" s="1"/>
  <c r="F112" i="11" a="1"/>
  <c r="F112" i="11" s="1"/>
  <c r="E112" i="11" a="1"/>
  <c r="E112" i="11" s="1"/>
  <c r="D112" i="11" a="1"/>
  <c r="D112" i="11" s="1"/>
  <c r="C112" i="11" a="1"/>
  <c r="C112" i="11" s="1"/>
  <c r="G111" i="11" a="1"/>
  <c r="G111" i="11" s="1"/>
  <c r="F111" i="11" a="1"/>
  <c r="F111" i="11" s="1"/>
  <c r="E111" i="11" a="1"/>
  <c r="E111" i="11" s="1"/>
  <c r="D111" i="11" a="1"/>
  <c r="D111" i="11" s="1"/>
  <c r="C111" i="11" a="1"/>
  <c r="C111" i="11" s="1"/>
  <c r="G110" i="11" a="1"/>
  <c r="G110" i="11" s="1"/>
  <c r="F110" i="11" a="1"/>
  <c r="F110" i="11" s="1"/>
  <c r="E110" i="11" a="1"/>
  <c r="E110" i="11" s="1"/>
  <c r="D110" i="11" a="1"/>
  <c r="D110" i="11" s="1"/>
  <c r="C110" i="11" a="1"/>
  <c r="C110" i="11" s="1"/>
  <c r="G109" i="11" a="1"/>
  <c r="G109" i="11" s="1"/>
  <c r="F109" i="11" a="1"/>
  <c r="F109" i="11" s="1"/>
  <c r="E109" i="11" a="1"/>
  <c r="E109" i="11" s="1"/>
  <c r="D109" i="11" a="1"/>
  <c r="D109" i="11" s="1"/>
  <c r="C109" i="11" a="1"/>
  <c r="C109" i="11" s="1"/>
  <c r="G108" i="11" a="1"/>
  <c r="G108" i="11" s="1"/>
  <c r="F108" i="11" a="1"/>
  <c r="F108" i="11" s="1"/>
  <c r="E108" i="11" a="1"/>
  <c r="E108" i="11" s="1"/>
  <c r="D108" i="11" a="1"/>
  <c r="D108" i="11" s="1"/>
  <c r="C108" i="11" a="1"/>
  <c r="C108" i="11" s="1"/>
  <c r="G107" i="11" a="1"/>
  <c r="G107" i="11" s="1"/>
  <c r="F107" i="11" a="1"/>
  <c r="F107" i="11" s="1"/>
  <c r="E107" i="11" a="1"/>
  <c r="E107" i="11" s="1"/>
  <c r="D107" i="11" a="1"/>
  <c r="D107" i="11" s="1"/>
  <c r="C107" i="11" a="1"/>
  <c r="C107" i="11" s="1"/>
  <c r="G106" i="11" a="1"/>
  <c r="G106" i="11" s="1"/>
  <c r="F106" i="11" a="1"/>
  <c r="F106" i="11" s="1"/>
  <c r="E106" i="11" a="1"/>
  <c r="E106" i="11" s="1"/>
  <c r="D106" i="11" a="1"/>
  <c r="D106" i="11" s="1"/>
  <c r="C106" i="11" a="1"/>
  <c r="C106" i="11" s="1"/>
  <c r="G105" i="11" a="1"/>
  <c r="G105" i="11" s="1"/>
  <c r="F105" i="11" a="1"/>
  <c r="F105" i="11" s="1"/>
  <c r="E105" i="11" a="1"/>
  <c r="E105" i="11" s="1"/>
  <c r="D105" i="11" a="1"/>
  <c r="D105" i="11" s="1"/>
  <c r="C105" i="11" a="1"/>
  <c r="C105" i="11" s="1"/>
  <c r="G104" i="11" a="1"/>
  <c r="G104" i="11" s="1"/>
  <c r="F104" i="11" a="1"/>
  <c r="F104" i="11" s="1"/>
  <c r="E104" i="11" a="1"/>
  <c r="E104" i="11" s="1"/>
  <c r="D104" i="11" a="1"/>
  <c r="D104" i="11" s="1"/>
  <c r="C104" i="11" a="1"/>
  <c r="C104" i="11" s="1"/>
  <c r="G103" i="11"/>
  <c r="G103" i="11" a="1"/>
  <c r="F103" i="11"/>
  <c r="F103" i="11" a="1"/>
  <c r="E103" i="11"/>
  <c r="E103" i="11" a="1"/>
  <c r="D103" i="11"/>
  <c r="D103" i="11" a="1"/>
  <c r="C103" i="11"/>
  <c r="C103" i="11" a="1"/>
  <c r="G101" i="11"/>
  <c r="F101" i="11"/>
  <c r="E101" i="11"/>
  <c r="D101" i="11"/>
  <c r="C101" i="11"/>
  <c r="G88" i="11"/>
  <c r="G88" i="11" a="1"/>
  <c r="F88" i="11"/>
  <c r="F88" i="11" a="1"/>
  <c r="E88" i="11"/>
  <c r="E88" i="11" a="1"/>
  <c r="D88" i="11"/>
  <c r="D88" i="11" a="1"/>
  <c r="C88" i="11"/>
  <c r="C88" i="11" a="1"/>
  <c r="G85" i="11" a="1"/>
  <c r="G85" i="11" s="1"/>
  <c r="F85" i="11" a="1"/>
  <c r="F85" i="11" s="1"/>
  <c r="E85" i="11" a="1"/>
  <c r="E85" i="11" s="1"/>
  <c r="D85" i="11" a="1"/>
  <c r="D85" i="11" s="1"/>
  <c r="C85" i="11" a="1"/>
  <c r="C85" i="11" s="1"/>
  <c r="G84" i="11" a="1"/>
  <c r="G84" i="11" s="1"/>
  <c r="F84" i="11" a="1"/>
  <c r="F84" i="11" s="1"/>
  <c r="E84" i="11" a="1"/>
  <c r="E84" i="11" s="1"/>
  <c r="D84" i="11" a="1"/>
  <c r="D84" i="11" s="1"/>
  <c r="C84" i="11" a="1"/>
  <c r="C84" i="11" s="1"/>
  <c r="G83" i="11" a="1"/>
  <c r="G83" i="11" s="1"/>
  <c r="F83" i="11" a="1"/>
  <c r="F83" i="11" s="1"/>
  <c r="E83" i="11" a="1"/>
  <c r="E83" i="11" s="1"/>
  <c r="D83" i="11" a="1"/>
  <c r="D83" i="11" s="1"/>
  <c r="C83" i="11" a="1"/>
  <c r="C83" i="11" s="1"/>
  <c r="G82" i="11" a="1"/>
  <c r="G82" i="11" s="1"/>
  <c r="F82" i="11" a="1"/>
  <c r="F82" i="11" s="1"/>
  <c r="E82" i="11" a="1"/>
  <c r="E82" i="11" s="1"/>
  <c r="D82" i="11" a="1"/>
  <c r="D82" i="11" s="1"/>
  <c r="C82" i="11" a="1"/>
  <c r="C82" i="11" s="1"/>
  <c r="G81" i="11" a="1"/>
  <c r="G81" i="11" s="1"/>
  <c r="F81" i="11" a="1"/>
  <c r="F81" i="11" s="1"/>
  <c r="E81" i="11" a="1"/>
  <c r="E81" i="11" s="1"/>
  <c r="D81" i="11" a="1"/>
  <c r="D81" i="11" s="1"/>
  <c r="C81" i="11" a="1"/>
  <c r="C81" i="11" s="1"/>
  <c r="G80" i="11" a="1"/>
  <c r="G80" i="11" s="1"/>
  <c r="F80" i="11" a="1"/>
  <c r="F80" i="11" s="1"/>
  <c r="E80" i="11" a="1"/>
  <c r="E80" i="11" s="1"/>
  <c r="D80" i="11" a="1"/>
  <c r="D80" i="11" s="1"/>
  <c r="C80" i="11" a="1"/>
  <c r="C80" i="11" s="1"/>
  <c r="G79" i="11" a="1"/>
  <c r="G79" i="11" s="1"/>
  <c r="F79" i="11" a="1"/>
  <c r="F79" i="11" s="1"/>
  <c r="E79" i="11" a="1"/>
  <c r="E79" i="11" s="1"/>
  <c r="D79" i="11" a="1"/>
  <c r="D79" i="11" s="1"/>
  <c r="C79" i="11" a="1"/>
  <c r="C79" i="11" s="1"/>
  <c r="G78" i="11" a="1"/>
  <c r="G78" i="11" s="1"/>
  <c r="F78" i="11" a="1"/>
  <c r="F78" i="11" s="1"/>
  <c r="E78" i="11" a="1"/>
  <c r="E78" i="11" s="1"/>
  <c r="D78" i="11" a="1"/>
  <c r="D78" i="11" s="1"/>
  <c r="C78" i="11" a="1"/>
  <c r="C78" i="11" s="1"/>
  <c r="G77" i="11" a="1"/>
  <c r="G77" i="11" s="1"/>
  <c r="F77" i="11" a="1"/>
  <c r="F77" i="11" s="1"/>
  <c r="E77" i="11" a="1"/>
  <c r="E77" i="11" s="1"/>
  <c r="D77" i="11" a="1"/>
  <c r="D77" i="11" s="1"/>
  <c r="C77" i="11" a="1"/>
  <c r="C77" i="11" s="1"/>
  <c r="G76" i="11" a="1"/>
  <c r="G76" i="11" s="1"/>
  <c r="F76" i="11" a="1"/>
  <c r="F76" i="11" s="1"/>
  <c r="E76" i="11" a="1"/>
  <c r="E76" i="11" s="1"/>
  <c r="D76" i="11" a="1"/>
  <c r="D76" i="11" s="1"/>
  <c r="C76" i="11" a="1"/>
  <c r="C76" i="11" s="1"/>
  <c r="G75" i="11" a="1"/>
  <c r="G75" i="11" s="1"/>
  <c r="F75" i="11" a="1"/>
  <c r="F75" i="11" s="1"/>
  <c r="E75" i="11" a="1"/>
  <c r="E75" i="11" s="1"/>
  <c r="D75" i="11" a="1"/>
  <c r="D75" i="11" s="1"/>
  <c r="C75" i="11" a="1"/>
  <c r="C75" i="11" s="1"/>
  <c r="G74" i="11"/>
  <c r="G74" i="11" a="1"/>
  <c r="F74" i="11"/>
  <c r="F74" i="11" a="1"/>
  <c r="E74" i="11"/>
  <c r="E74" i="11" a="1"/>
  <c r="D74" i="11"/>
  <c r="D74" i="11" a="1"/>
  <c r="C74" i="11"/>
  <c r="C74" i="11" a="1"/>
  <c r="G70" i="11" a="1"/>
  <c r="G70" i="11" s="1"/>
  <c r="F70" i="11" a="1"/>
  <c r="F70" i="11" s="1"/>
  <c r="E70" i="11" a="1"/>
  <c r="E70" i="11" s="1"/>
  <c r="D70" i="11" a="1"/>
  <c r="D70" i="11" s="1"/>
  <c r="C70" i="11" a="1"/>
  <c r="C70" i="11" s="1"/>
  <c r="G69" i="11" a="1"/>
  <c r="G69" i="11" s="1"/>
  <c r="F69" i="11" a="1"/>
  <c r="F69" i="11" s="1"/>
  <c r="E69" i="11" a="1"/>
  <c r="E69" i="11" s="1"/>
  <c r="D69" i="11" a="1"/>
  <c r="D69" i="11" s="1"/>
  <c r="C69" i="11" a="1"/>
  <c r="C69" i="11" s="1"/>
  <c r="G68" i="11" a="1"/>
  <c r="G68" i="11" s="1"/>
  <c r="F68" i="11" a="1"/>
  <c r="F68" i="11" s="1"/>
  <c r="E68" i="11" a="1"/>
  <c r="E68" i="11" s="1"/>
  <c r="D68" i="11" a="1"/>
  <c r="D68" i="11" s="1"/>
  <c r="C68" i="11" a="1"/>
  <c r="C68" i="11" s="1"/>
  <c r="G67" i="11" a="1"/>
  <c r="G67" i="11" s="1"/>
  <c r="F67" i="11" a="1"/>
  <c r="F67" i="11" s="1"/>
  <c r="E67" i="11" a="1"/>
  <c r="E67" i="11" s="1"/>
  <c r="D67" i="11" a="1"/>
  <c r="D67" i="11" s="1"/>
  <c r="C67" i="11" a="1"/>
  <c r="C67" i="11" s="1"/>
  <c r="G66" i="11" a="1"/>
  <c r="G66" i="11" s="1"/>
  <c r="F66" i="11" a="1"/>
  <c r="F66" i="11" s="1"/>
  <c r="E66" i="11" a="1"/>
  <c r="E66" i="11" s="1"/>
  <c r="D66" i="11" a="1"/>
  <c r="D66" i="11" s="1"/>
  <c r="C66" i="11" a="1"/>
  <c r="C66" i="11" s="1"/>
  <c r="G65" i="11" a="1"/>
  <c r="G65" i="11" s="1"/>
  <c r="F65" i="11" a="1"/>
  <c r="F65" i="11" s="1"/>
  <c r="E65" i="11" a="1"/>
  <c r="E65" i="11" s="1"/>
  <c r="D65" i="11" a="1"/>
  <c r="D65" i="11" s="1"/>
  <c r="C65" i="11" a="1"/>
  <c r="C65" i="11" s="1"/>
  <c r="G64" i="11" a="1"/>
  <c r="G64" i="11" s="1"/>
  <c r="F64" i="11" a="1"/>
  <c r="F64" i="11" s="1"/>
  <c r="E64" i="11" a="1"/>
  <c r="E64" i="11" s="1"/>
  <c r="D64" i="11" a="1"/>
  <c r="D64" i="11" s="1"/>
  <c r="C64" i="11" a="1"/>
  <c r="C64" i="11" s="1"/>
  <c r="G63" i="11" a="1"/>
  <c r="G63" i="11" s="1"/>
  <c r="F63" i="11" a="1"/>
  <c r="F63" i="11" s="1"/>
  <c r="E63" i="11" a="1"/>
  <c r="E63" i="11" s="1"/>
  <c r="D63" i="11" a="1"/>
  <c r="D63" i="11" s="1"/>
  <c r="C63" i="11" a="1"/>
  <c r="C63" i="11" s="1"/>
  <c r="G62" i="11" a="1"/>
  <c r="G62" i="11" s="1"/>
  <c r="F62" i="11" a="1"/>
  <c r="F62" i="11" s="1"/>
  <c r="E62" i="11" a="1"/>
  <c r="E62" i="11" s="1"/>
  <c r="D62" i="11" a="1"/>
  <c r="D62" i="11" s="1"/>
  <c r="C62" i="11" a="1"/>
  <c r="C62" i="11" s="1"/>
  <c r="G61" i="11" a="1"/>
  <c r="G61" i="11" s="1"/>
  <c r="F61" i="11" a="1"/>
  <c r="F61" i="11" s="1"/>
  <c r="E61" i="11" a="1"/>
  <c r="E61" i="11" s="1"/>
  <c r="D61" i="11" a="1"/>
  <c r="D61" i="11" s="1"/>
  <c r="C61" i="11" a="1"/>
  <c r="C61" i="11" s="1"/>
  <c r="G60" i="11" a="1"/>
  <c r="G60" i="11" s="1"/>
  <c r="F60" i="11" a="1"/>
  <c r="F60" i="11" s="1"/>
  <c r="E60" i="11" a="1"/>
  <c r="E60" i="11" s="1"/>
  <c r="D60" i="11" a="1"/>
  <c r="D60" i="11" s="1"/>
  <c r="C60" i="11" a="1"/>
  <c r="C60" i="11" s="1"/>
  <c r="G59" i="11"/>
  <c r="G59" i="11" a="1"/>
  <c r="F59" i="11"/>
  <c r="F59" i="11" a="1"/>
  <c r="E59" i="11"/>
  <c r="E59" i="11" a="1"/>
  <c r="D59" i="11"/>
  <c r="D59" i="11" a="1"/>
  <c r="C59" i="11"/>
  <c r="C59" i="11" a="1"/>
  <c r="G55" i="11" a="1"/>
  <c r="G55" i="11" s="1"/>
  <c r="F55" i="11" a="1"/>
  <c r="F55" i="11" s="1"/>
  <c r="E55" i="11" a="1"/>
  <c r="E55" i="11" s="1"/>
  <c r="D55" i="11" a="1"/>
  <c r="D55" i="11" s="1"/>
  <c r="C55" i="11" a="1"/>
  <c r="C55" i="11" s="1"/>
  <c r="G54" i="11" a="1"/>
  <c r="G54" i="11" s="1"/>
  <c r="F54" i="11" a="1"/>
  <c r="F54" i="11" s="1"/>
  <c r="E54" i="11" a="1"/>
  <c r="E54" i="11" s="1"/>
  <c r="D54" i="11" a="1"/>
  <c r="D54" i="11" s="1"/>
  <c r="C54" i="11" a="1"/>
  <c r="C54" i="11" s="1"/>
  <c r="G53" i="11" a="1"/>
  <c r="G53" i="11" s="1"/>
  <c r="F53" i="11" a="1"/>
  <c r="F53" i="11" s="1"/>
  <c r="E53" i="11" a="1"/>
  <c r="E53" i="11" s="1"/>
  <c r="D53" i="11" a="1"/>
  <c r="D53" i="11" s="1"/>
  <c r="C53" i="11" a="1"/>
  <c r="C53" i="11" s="1"/>
  <c r="G52" i="11" a="1"/>
  <c r="G52" i="11" s="1"/>
  <c r="F52" i="11" a="1"/>
  <c r="F52" i="11" s="1"/>
  <c r="E52" i="11" a="1"/>
  <c r="E52" i="11" s="1"/>
  <c r="D52" i="11" a="1"/>
  <c r="D52" i="11" s="1"/>
  <c r="C52" i="11" a="1"/>
  <c r="C52" i="11" s="1"/>
  <c r="G51" i="11" a="1"/>
  <c r="G51" i="11" s="1"/>
  <c r="F51" i="11" a="1"/>
  <c r="F51" i="11" s="1"/>
  <c r="E51" i="11" a="1"/>
  <c r="E51" i="11" s="1"/>
  <c r="D51" i="11" a="1"/>
  <c r="D51" i="11" s="1"/>
  <c r="C51" i="11" a="1"/>
  <c r="C51" i="11" s="1"/>
  <c r="G50" i="11" a="1"/>
  <c r="G50" i="11" s="1"/>
  <c r="F50" i="11" a="1"/>
  <c r="F50" i="11" s="1"/>
  <c r="E50" i="11" a="1"/>
  <c r="E50" i="11" s="1"/>
  <c r="D50" i="11" a="1"/>
  <c r="D50" i="11" s="1"/>
  <c r="C50" i="11" a="1"/>
  <c r="C50" i="11" s="1"/>
  <c r="G49" i="11" a="1"/>
  <c r="G49" i="11" s="1"/>
  <c r="F49" i="11" a="1"/>
  <c r="F49" i="11" s="1"/>
  <c r="E49" i="11" a="1"/>
  <c r="E49" i="11" s="1"/>
  <c r="D49" i="11" a="1"/>
  <c r="D49" i="11" s="1"/>
  <c r="C49" i="11" a="1"/>
  <c r="C49" i="11" s="1"/>
  <c r="G48" i="11" a="1"/>
  <c r="G48" i="11" s="1"/>
  <c r="F48" i="11" a="1"/>
  <c r="F48" i="11" s="1"/>
  <c r="E48" i="11" a="1"/>
  <c r="E48" i="11" s="1"/>
  <c r="D48" i="11" a="1"/>
  <c r="D48" i="11" s="1"/>
  <c r="C48" i="11" a="1"/>
  <c r="C48" i="11" s="1"/>
  <c r="G47" i="11" a="1"/>
  <c r="G47" i="11" s="1"/>
  <c r="F47" i="11" a="1"/>
  <c r="F47" i="11" s="1"/>
  <c r="E47" i="11" a="1"/>
  <c r="E47" i="11" s="1"/>
  <c r="D47" i="11" a="1"/>
  <c r="D47" i="11" s="1"/>
  <c r="C47" i="11" a="1"/>
  <c r="C47" i="11" s="1"/>
  <c r="G46" i="11" a="1"/>
  <c r="G46" i="11" s="1"/>
  <c r="F46" i="11" a="1"/>
  <c r="F46" i="11" s="1"/>
  <c r="E46" i="11" a="1"/>
  <c r="E46" i="11" s="1"/>
  <c r="D46" i="11" a="1"/>
  <c r="D46" i="11" s="1"/>
  <c r="C46" i="11" a="1"/>
  <c r="C46" i="11" s="1"/>
  <c r="G45" i="11" a="1"/>
  <c r="G45" i="11" s="1"/>
  <c r="F45" i="11" a="1"/>
  <c r="F45" i="11" s="1"/>
  <c r="E45" i="11" a="1"/>
  <c r="E45" i="11" s="1"/>
  <c r="D45" i="11" a="1"/>
  <c r="D45" i="11" s="1"/>
  <c r="C45" i="11" a="1"/>
  <c r="C45" i="11" s="1"/>
  <c r="G44" i="11"/>
  <c r="G44" i="11" a="1"/>
  <c r="F44" i="11"/>
  <c r="F44" i="11" a="1"/>
  <c r="E44" i="11"/>
  <c r="E44" i="11" a="1"/>
  <c r="D44" i="11"/>
  <c r="D44" i="11" a="1"/>
  <c r="C44" i="11"/>
  <c r="C44" i="11" a="1"/>
  <c r="G40" i="11" a="1"/>
  <c r="G40" i="11" s="1"/>
  <c r="F40" i="11" a="1"/>
  <c r="F40" i="11" s="1"/>
  <c r="E40" i="11" a="1"/>
  <c r="E40" i="11" s="1"/>
  <c r="D40" i="11" a="1"/>
  <c r="D40" i="11" s="1"/>
  <c r="C40" i="11" a="1"/>
  <c r="C40" i="11" s="1"/>
  <c r="G39" i="11" a="1"/>
  <c r="G39" i="11" s="1"/>
  <c r="F39" i="11" a="1"/>
  <c r="F39" i="11" s="1"/>
  <c r="E39" i="11" a="1"/>
  <c r="E39" i="11" s="1"/>
  <c r="D39" i="11" a="1"/>
  <c r="D39" i="11" s="1"/>
  <c r="C39" i="11" a="1"/>
  <c r="C39" i="11" s="1"/>
  <c r="G38" i="11" a="1"/>
  <c r="G38" i="11" s="1"/>
  <c r="F11" i="29" s="1"/>
  <c r="F38" i="11" a="1"/>
  <c r="F38" i="11" s="1"/>
  <c r="E38" i="11" a="1"/>
  <c r="E38" i="11" s="1"/>
  <c r="D38" i="11" a="1"/>
  <c r="D38" i="11" s="1"/>
  <c r="C38" i="11" a="1"/>
  <c r="C38" i="11" s="1"/>
  <c r="G37" i="11"/>
  <c r="G37" i="11" a="1"/>
  <c r="F37" i="11"/>
  <c r="F37" i="11" a="1"/>
  <c r="E37" i="11"/>
  <c r="E37" i="11" a="1"/>
  <c r="D37" i="11"/>
  <c r="D37" i="11" a="1"/>
  <c r="C37" i="11"/>
  <c r="C37" i="11" a="1"/>
  <c r="G35" i="11" a="1"/>
  <c r="G35" i="11" s="1"/>
  <c r="F35" i="11" a="1"/>
  <c r="F35" i="11" s="1"/>
  <c r="E35" i="11" a="1"/>
  <c r="E35" i="11" s="1"/>
  <c r="D35" i="11" a="1"/>
  <c r="D35" i="11" s="1"/>
  <c r="C35" i="11" a="1"/>
  <c r="C35" i="11" s="1"/>
  <c r="G34" i="11" a="1"/>
  <c r="G34" i="11" s="1"/>
  <c r="F34" i="11" a="1"/>
  <c r="F34" i="11" s="1"/>
  <c r="E34" i="11" a="1"/>
  <c r="E34" i="11" s="1"/>
  <c r="D34" i="11" a="1"/>
  <c r="D34" i="11" s="1"/>
  <c r="C34" i="11" a="1"/>
  <c r="C34" i="11" s="1"/>
  <c r="G33" i="11" a="1"/>
  <c r="G33" i="11" s="1"/>
  <c r="I33" i="11" s="1"/>
  <c r="F33" i="11" a="1"/>
  <c r="F33" i="11" s="1"/>
  <c r="E33" i="11" a="1"/>
  <c r="E33" i="11" s="1"/>
  <c r="D33" i="11" a="1"/>
  <c r="D33" i="11" s="1"/>
  <c r="C33" i="11" a="1"/>
  <c r="C33" i="11" s="1"/>
  <c r="G32" i="11" a="1"/>
  <c r="G32" i="11" s="1"/>
  <c r="F32" i="11" a="1"/>
  <c r="F32" i="11" s="1"/>
  <c r="E32" i="11" a="1"/>
  <c r="E32" i="11" s="1"/>
  <c r="D32" i="11" a="1"/>
  <c r="D32" i="11" s="1"/>
  <c r="C32" i="11" a="1"/>
  <c r="C32" i="11" s="1"/>
  <c r="G31" i="11"/>
  <c r="G31" i="11" a="1"/>
  <c r="F31" i="11"/>
  <c r="F31" i="11" a="1"/>
  <c r="E31" i="11"/>
  <c r="E31" i="11" a="1"/>
  <c r="D31" i="11"/>
  <c r="D31" i="11" a="1"/>
  <c r="C31" i="11"/>
  <c r="C31" i="11" a="1"/>
  <c r="G28" i="11" a="1"/>
  <c r="G28" i="11" s="1"/>
  <c r="F28" i="11" a="1"/>
  <c r="F28" i="11" s="1"/>
  <c r="E28" i="11" a="1"/>
  <c r="E28" i="11" s="1"/>
  <c r="D28" i="11" a="1"/>
  <c r="D28" i="11" s="1"/>
  <c r="C28" i="11" a="1"/>
  <c r="C28" i="11" s="1"/>
  <c r="G27" i="11" a="1"/>
  <c r="G27" i="11" s="1"/>
  <c r="F27" i="11" a="1"/>
  <c r="F27" i="11" s="1"/>
  <c r="E27" i="11" a="1"/>
  <c r="E27" i="11" s="1"/>
  <c r="D27" i="11" a="1"/>
  <c r="D27" i="11" s="1"/>
  <c r="C27" i="11" a="1"/>
  <c r="C27" i="11" s="1"/>
  <c r="G26" i="11"/>
  <c r="G26" i="11" a="1"/>
  <c r="F26" i="11"/>
  <c r="F26" i="11" a="1"/>
  <c r="E26" i="11"/>
  <c r="E26" i="11" a="1"/>
  <c r="D26" i="11"/>
  <c r="D26" i="11" a="1"/>
  <c r="C26" i="11"/>
  <c r="C26" i="11" a="1"/>
  <c r="G23" i="11" a="1"/>
  <c r="G23" i="11" s="1"/>
  <c r="F23" i="11" a="1"/>
  <c r="F23" i="11" s="1"/>
  <c r="E23" i="11" a="1"/>
  <c r="E23" i="11" s="1"/>
  <c r="D23" i="11" a="1"/>
  <c r="D23" i="11" s="1"/>
  <c r="C23" i="11" a="1"/>
  <c r="C23" i="11" s="1"/>
  <c r="G22" i="11" a="1"/>
  <c r="G22" i="11" s="1"/>
  <c r="F22" i="11" a="1"/>
  <c r="F22" i="11" s="1"/>
  <c r="E22" i="11" a="1"/>
  <c r="E22" i="11" s="1"/>
  <c r="D22" i="11" a="1"/>
  <c r="D22" i="11" s="1"/>
  <c r="C22" i="11" a="1"/>
  <c r="C22" i="11" s="1"/>
  <c r="G21" i="11" a="1"/>
  <c r="G21" i="11" s="1"/>
  <c r="F21" i="11" a="1"/>
  <c r="F21" i="11" s="1"/>
  <c r="E21" i="11" a="1"/>
  <c r="E21" i="11" s="1"/>
  <c r="D21" i="11" a="1"/>
  <c r="D21" i="11" s="1"/>
  <c r="C21" i="11" a="1"/>
  <c r="C21" i="11" s="1"/>
  <c r="G20" i="11" a="1"/>
  <c r="G20" i="11" s="1"/>
  <c r="F20" i="11" a="1"/>
  <c r="F20" i="11" s="1"/>
  <c r="E20" i="11" a="1"/>
  <c r="E20" i="11" s="1"/>
  <c r="D20" i="11" a="1"/>
  <c r="D20" i="11" s="1"/>
  <c r="C20" i="11" a="1"/>
  <c r="C20" i="11" s="1"/>
  <c r="G19" i="11" a="1"/>
  <c r="G19" i="11" s="1"/>
  <c r="F19" i="11" a="1"/>
  <c r="F19" i="11" s="1"/>
  <c r="E19" i="11" a="1"/>
  <c r="E19" i="11" s="1"/>
  <c r="D19" i="11" a="1"/>
  <c r="D19" i="11" s="1"/>
  <c r="C19" i="11" a="1"/>
  <c r="C19" i="11" s="1"/>
  <c r="G18" i="11" a="1"/>
  <c r="G18" i="11" s="1"/>
  <c r="F18" i="11" a="1"/>
  <c r="F18" i="11" s="1"/>
  <c r="E18" i="11" a="1"/>
  <c r="E18" i="11" s="1"/>
  <c r="D18" i="11" a="1"/>
  <c r="D18" i="11" s="1"/>
  <c r="C18" i="11" a="1"/>
  <c r="C18" i="11" s="1"/>
  <c r="G17" i="11"/>
  <c r="G17" i="11" a="1"/>
  <c r="F17" i="11"/>
  <c r="F17" i="11" a="1"/>
  <c r="E17" i="11"/>
  <c r="E17" i="11" a="1"/>
  <c r="D17" i="11"/>
  <c r="D17" i="11" a="1"/>
  <c r="C17" i="11"/>
  <c r="C17" i="11" a="1"/>
  <c r="G13" i="11"/>
  <c r="G13" i="11" a="1"/>
  <c r="F13" i="11"/>
  <c r="F13" i="11" a="1"/>
  <c r="E13" i="11"/>
  <c r="E13" i="11" a="1"/>
  <c r="D13" i="11"/>
  <c r="D13" i="11" a="1"/>
  <c r="C13" i="11"/>
  <c r="C13" i="11" a="1"/>
  <c r="G9" i="11" a="1"/>
  <c r="G9" i="11" s="1"/>
  <c r="F9" i="11" a="1"/>
  <c r="F9" i="11" s="1"/>
  <c r="E9" i="11" a="1"/>
  <c r="E9" i="11" s="1"/>
  <c r="D9" i="11" a="1"/>
  <c r="D9" i="11" s="1"/>
  <c r="C9" i="11" a="1"/>
  <c r="C9" i="11" s="1"/>
  <c r="G4" i="11"/>
  <c r="G4" i="11" a="1"/>
  <c r="F4" i="11"/>
  <c r="F4" i="11" a="1"/>
  <c r="E4" i="11"/>
  <c r="E4" i="11" a="1"/>
  <c r="D4" i="11"/>
  <c r="D4" i="11" a="1"/>
  <c r="C4" i="11"/>
  <c r="C4" i="11" a="1"/>
  <c r="G87" i="25" a="1"/>
  <c r="G87" i="25" s="1"/>
  <c r="F87" i="25" a="1"/>
  <c r="F87" i="25" s="1"/>
  <c r="E87" i="25" a="1"/>
  <c r="E87" i="25" s="1"/>
  <c r="D87" i="25" a="1"/>
  <c r="D87" i="25" s="1"/>
  <c r="C87" i="25" a="1"/>
  <c r="C87" i="25" s="1"/>
  <c r="G86" i="25" a="1"/>
  <c r="G86" i="25" s="1"/>
  <c r="F86" i="25" a="1"/>
  <c r="F86" i="25" s="1"/>
  <c r="E86" i="25" a="1"/>
  <c r="E86" i="25" s="1"/>
  <c r="D86" i="25" a="1"/>
  <c r="D86" i="25" s="1"/>
  <c r="C86" i="25" a="1"/>
  <c r="C86" i="25" s="1"/>
  <c r="G85" i="25" a="1"/>
  <c r="G85" i="25" s="1"/>
  <c r="F85" i="25" a="1"/>
  <c r="F85" i="25" s="1"/>
  <c r="E85" i="25" a="1"/>
  <c r="E85" i="25" s="1"/>
  <c r="D85" i="25" a="1"/>
  <c r="D85" i="25" s="1"/>
  <c r="C85" i="25" a="1"/>
  <c r="C85" i="25" s="1"/>
  <c r="G83" i="25" a="1"/>
  <c r="G83" i="25" s="1"/>
  <c r="F83" i="25" a="1"/>
  <c r="F83" i="25" s="1"/>
  <c r="E83" i="25" a="1"/>
  <c r="E83" i="25" s="1"/>
  <c r="D83" i="25" a="1"/>
  <c r="D83" i="25" s="1"/>
  <c r="C83" i="25" a="1"/>
  <c r="C83" i="25" s="1"/>
  <c r="G82" i="25" a="1"/>
  <c r="G82" i="25" s="1"/>
  <c r="F82" i="25" a="1"/>
  <c r="F82" i="25" s="1"/>
  <c r="E82" i="25" a="1"/>
  <c r="E82" i="25" s="1"/>
  <c r="D82" i="25" a="1"/>
  <c r="D82" i="25" s="1"/>
  <c r="C82" i="25" a="1"/>
  <c r="C82" i="25" s="1"/>
  <c r="G81" i="25" a="1"/>
  <c r="G81" i="25" s="1"/>
  <c r="F81" i="25" a="1"/>
  <c r="F81" i="25" s="1"/>
  <c r="E81" i="25" a="1"/>
  <c r="E81" i="25" s="1"/>
  <c r="D81" i="25" a="1"/>
  <c r="D81" i="25" s="1"/>
  <c r="C81" i="25" a="1"/>
  <c r="C81" i="25" s="1"/>
  <c r="G80" i="25"/>
  <c r="G80" i="25" a="1"/>
  <c r="F80" i="25"/>
  <c r="F80" i="25" a="1"/>
  <c r="E80" i="25"/>
  <c r="E80" i="25" a="1"/>
  <c r="D80" i="25"/>
  <c r="D80" i="25" a="1"/>
  <c r="C80" i="25"/>
  <c r="C80" i="25" a="1"/>
  <c r="G77" i="25" a="1"/>
  <c r="G77" i="25" s="1"/>
  <c r="F77" i="25" a="1"/>
  <c r="F77" i="25" s="1"/>
  <c r="E77" i="25" a="1"/>
  <c r="E77" i="25" s="1"/>
  <c r="D77" i="25" a="1"/>
  <c r="D77" i="25" s="1"/>
  <c r="C77" i="25" a="1"/>
  <c r="C77" i="25" s="1"/>
  <c r="G76" i="25" a="1"/>
  <c r="G76" i="25" s="1"/>
  <c r="F76" i="25" a="1"/>
  <c r="F76" i="25" s="1"/>
  <c r="E76" i="25" a="1"/>
  <c r="E76" i="25" s="1"/>
  <c r="D76" i="25" a="1"/>
  <c r="D76" i="25" s="1"/>
  <c r="C76" i="25" a="1"/>
  <c r="C76" i="25" s="1"/>
  <c r="G75" i="25" a="1"/>
  <c r="G75" i="25" s="1"/>
  <c r="F75" i="25" a="1"/>
  <c r="F75" i="25" s="1"/>
  <c r="E75" i="25" a="1"/>
  <c r="E75" i="25" s="1"/>
  <c r="D75" i="25" a="1"/>
  <c r="D75" i="25" s="1"/>
  <c r="C75" i="25" a="1"/>
  <c r="C75" i="25" s="1"/>
  <c r="G73" i="25" a="1"/>
  <c r="G73" i="25" s="1"/>
  <c r="F73" i="25" a="1"/>
  <c r="F73" i="25" s="1"/>
  <c r="E73" i="25" a="1"/>
  <c r="E73" i="25" s="1"/>
  <c r="D73" i="25" a="1"/>
  <c r="D73" i="25" s="1"/>
  <c r="C73" i="25" a="1"/>
  <c r="C73" i="25" s="1"/>
  <c r="G72" i="25" a="1"/>
  <c r="G72" i="25" s="1"/>
  <c r="F72" i="25" a="1"/>
  <c r="F72" i="25" s="1"/>
  <c r="E72" i="25" a="1"/>
  <c r="E72" i="25" s="1"/>
  <c r="D72" i="25" a="1"/>
  <c r="D72" i="25" s="1"/>
  <c r="C72" i="25" a="1"/>
  <c r="C72" i="25" s="1"/>
  <c r="G71" i="25" a="1"/>
  <c r="G71" i="25" s="1"/>
  <c r="F71" i="25" a="1"/>
  <c r="F71" i="25" s="1"/>
  <c r="E71" i="25" a="1"/>
  <c r="E71" i="25" s="1"/>
  <c r="D71" i="25" a="1"/>
  <c r="D71" i="25" s="1"/>
  <c r="C71" i="25" a="1"/>
  <c r="C71" i="25" s="1"/>
  <c r="G70" i="25"/>
  <c r="G70" i="25" a="1"/>
  <c r="F70" i="25"/>
  <c r="F70" i="25" a="1"/>
  <c r="E70" i="25"/>
  <c r="E70" i="25" a="1"/>
  <c r="D70" i="25"/>
  <c r="D70" i="25" a="1"/>
  <c r="C70" i="25"/>
  <c r="C70" i="25" a="1"/>
  <c r="G68" i="25" a="1"/>
  <c r="G68" i="25" s="1"/>
  <c r="F68" i="25" a="1"/>
  <c r="F68" i="25" s="1"/>
  <c r="E68" i="25" a="1"/>
  <c r="E68" i="25" s="1"/>
  <c r="D68" i="25" a="1"/>
  <c r="D68" i="25" s="1"/>
  <c r="C68" i="25" a="1"/>
  <c r="C68" i="25" s="1"/>
  <c r="G67" i="25"/>
  <c r="G67" i="25" a="1"/>
  <c r="F67" i="25"/>
  <c r="F67" i="25" a="1"/>
  <c r="E67" i="25"/>
  <c r="E67" i="25" a="1"/>
  <c r="D67" i="25"/>
  <c r="D67" i="25" a="1"/>
  <c r="C67" i="25"/>
  <c r="C67" i="25" a="1"/>
  <c r="G56" i="25"/>
  <c r="G56" i="25" a="1"/>
  <c r="F56" i="25"/>
  <c r="F56" i="25" a="1"/>
  <c r="E56" i="25"/>
  <c r="E56" i="25" a="1"/>
  <c r="D56" i="25"/>
  <c r="D56" i="25" a="1"/>
  <c r="C56" i="25"/>
  <c r="C56" i="25" a="1"/>
  <c r="G54" i="25" a="1"/>
  <c r="G54" i="25" s="1"/>
  <c r="F54" i="25" a="1"/>
  <c r="F54" i="25" s="1"/>
  <c r="E54" i="25" a="1"/>
  <c r="E54" i="25" s="1"/>
  <c r="D54" i="25" a="1"/>
  <c r="D54" i="25" s="1"/>
  <c r="C54" i="25" a="1"/>
  <c r="C54" i="25" s="1"/>
  <c r="G53" i="25" a="1"/>
  <c r="G53" i="25" s="1"/>
  <c r="F53" i="25" a="1"/>
  <c r="F53" i="25" s="1"/>
  <c r="E53" i="25" a="1"/>
  <c r="E53" i="25" s="1"/>
  <c r="D53" i="25" a="1"/>
  <c r="D53" i="25" s="1"/>
  <c r="C53" i="25" a="1"/>
  <c r="C53" i="25" s="1"/>
  <c r="G52" i="25" a="1"/>
  <c r="G52" i="25" s="1"/>
  <c r="F52" i="25" a="1"/>
  <c r="F52" i="25" s="1"/>
  <c r="E52" i="25" a="1"/>
  <c r="E52" i="25" s="1"/>
  <c r="D52" i="25" a="1"/>
  <c r="D52" i="25" s="1"/>
  <c r="C52" i="25" a="1"/>
  <c r="C52" i="25" s="1"/>
  <c r="G51" i="25" a="1"/>
  <c r="G51" i="25" s="1"/>
  <c r="F51" i="25" a="1"/>
  <c r="F51" i="25" s="1"/>
  <c r="E51" i="25" a="1"/>
  <c r="E51" i="25" s="1"/>
  <c r="D51" i="25" a="1"/>
  <c r="D51" i="25" s="1"/>
  <c r="C51" i="25" a="1"/>
  <c r="C51" i="25" s="1"/>
  <c r="G50" i="25" a="1"/>
  <c r="G50" i="25" s="1"/>
  <c r="F50" i="25" a="1"/>
  <c r="F50" i="25" s="1"/>
  <c r="E50" i="25" a="1"/>
  <c r="E50" i="25" s="1"/>
  <c r="D50" i="25" a="1"/>
  <c r="D50" i="25" s="1"/>
  <c r="C50" i="25" a="1"/>
  <c r="C50" i="25" s="1"/>
  <c r="G49" i="25" a="1"/>
  <c r="G49" i="25" s="1"/>
  <c r="F49" i="25" a="1"/>
  <c r="F49" i="25" s="1"/>
  <c r="E49" i="25" a="1"/>
  <c r="E49" i="25" s="1"/>
  <c r="D49" i="25" a="1"/>
  <c r="D49" i="25" s="1"/>
  <c r="C49" i="25" a="1"/>
  <c r="C49" i="25" s="1"/>
  <c r="G48" i="25" a="1"/>
  <c r="G48" i="25" s="1"/>
  <c r="F48" i="25" a="1"/>
  <c r="F48" i="25" s="1"/>
  <c r="E48" i="25" a="1"/>
  <c r="E48" i="25" s="1"/>
  <c r="D48" i="25" a="1"/>
  <c r="D48" i="25" s="1"/>
  <c r="C48" i="25" a="1"/>
  <c r="C48" i="25" s="1"/>
  <c r="G47" i="25" a="1"/>
  <c r="G47" i="25" s="1"/>
  <c r="F47" i="25" a="1"/>
  <c r="F47" i="25" s="1"/>
  <c r="E47" i="25" a="1"/>
  <c r="E47" i="25" s="1"/>
  <c r="D47" i="25" a="1"/>
  <c r="D47" i="25" s="1"/>
  <c r="C47" i="25" a="1"/>
  <c r="C47" i="25" s="1"/>
  <c r="G46" i="25" a="1"/>
  <c r="G46" i="25" s="1"/>
  <c r="F46" i="25" a="1"/>
  <c r="F46" i="25" s="1"/>
  <c r="E46" i="25" a="1"/>
  <c r="E46" i="25" s="1"/>
  <c r="D46" i="25" a="1"/>
  <c r="D46" i="25" s="1"/>
  <c r="C46" i="25" a="1"/>
  <c r="C46" i="25" s="1"/>
  <c r="G45" i="25" a="1"/>
  <c r="G45" i="25" s="1"/>
  <c r="F45" i="25" a="1"/>
  <c r="F45" i="25" s="1"/>
  <c r="E45" i="25" a="1"/>
  <c r="E45" i="25" s="1"/>
  <c r="D45" i="25" a="1"/>
  <c r="D45" i="25" s="1"/>
  <c r="C45" i="25" a="1"/>
  <c r="C45" i="25" s="1"/>
  <c r="G44" i="25" a="1"/>
  <c r="G44" i="25" s="1"/>
  <c r="F44" i="25" a="1"/>
  <c r="F44" i="25" s="1"/>
  <c r="E44" i="25" a="1"/>
  <c r="E44" i="25" s="1"/>
  <c r="D44" i="25" a="1"/>
  <c r="D44" i="25" s="1"/>
  <c r="C44" i="25" a="1"/>
  <c r="C44" i="25" s="1"/>
  <c r="G43" i="25" a="1"/>
  <c r="G43" i="25" s="1"/>
  <c r="F43" i="25" a="1"/>
  <c r="F43" i="25" s="1"/>
  <c r="E43" i="25" a="1"/>
  <c r="E43" i="25" s="1"/>
  <c r="D43" i="25" a="1"/>
  <c r="D43" i="25" s="1"/>
  <c r="C43" i="25" a="1"/>
  <c r="C43" i="25" s="1"/>
  <c r="G42" i="25" a="1"/>
  <c r="G42" i="25" s="1"/>
  <c r="F42" i="25" a="1"/>
  <c r="F42" i="25" s="1"/>
  <c r="E42" i="25" a="1"/>
  <c r="E42" i="25" s="1"/>
  <c r="D42" i="25" a="1"/>
  <c r="D42" i="25" s="1"/>
  <c r="C42" i="25" a="1"/>
  <c r="C42" i="25" s="1"/>
  <c r="G41" i="25" a="1"/>
  <c r="G41" i="25" s="1"/>
  <c r="F41" i="25" a="1"/>
  <c r="F41" i="25" s="1"/>
  <c r="E41" i="25" a="1"/>
  <c r="E41" i="25" s="1"/>
  <c r="D41" i="25" a="1"/>
  <c r="D41" i="25" s="1"/>
  <c r="C41" i="25" a="1"/>
  <c r="C41" i="25" s="1"/>
  <c r="G40" i="25" a="1"/>
  <c r="G40" i="25" s="1"/>
  <c r="F40" i="25" a="1"/>
  <c r="F40" i="25" s="1"/>
  <c r="E40" i="25" a="1"/>
  <c r="E40" i="25" s="1"/>
  <c r="D40" i="25" a="1"/>
  <c r="D40" i="25" s="1"/>
  <c r="C40" i="25" a="1"/>
  <c r="C40" i="25" s="1"/>
  <c r="G39" i="25" a="1"/>
  <c r="G39" i="25" s="1"/>
  <c r="F39" i="25" a="1"/>
  <c r="F39" i="25" s="1"/>
  <c r="E39" i="25" a="1"/>
  <c r="E39" i="25" s="1"/>
  <c r="D39" i="25" a="1"/>
  <c r="D39" i="25" s="1"/>
  <c r="C39" i="25" a="1"/>
  <c r="C39" i="25" s="1"/>
  <c r="G38" i="25" a="1"/>
  <c r="G38" i="25" s="1"/>
  <c r="F38" i="25" a="1"/>
  <c r="F38" i="25" s="1"/>
  <c r="E38" i="25" a="1"/>
  <c r="E38" i="25" s="1"/>
  <c r="D38" i="25" a="1"/>
  <c r="D38" i="25" s="1"/>
  <c r="C38" i="25" a="1"/>
  <c r="C38" i="25" s="1"/>
  <c r="G37" i="25" a="1"/>
  <c r="G37" i="25" s="1"/>
  <c r="F37" i="25" a="1"/>
  <c r="F37" i="25" s="1"/>
  <c r="E37" i="25" a="1"/>
  <c r="E37" i="25" s="1"/>
  <c r="D37" i="25" a="1"/>
  <c r="D37" i="25" s="1"/>
  <c r="C37" i="25" a="1"/>
  <c r="C37" i="25" s="1"/>
  <c r="G36" i="25" a="1"/>
  <c r="G36" i="25" s="1"/>
  <c r="F36" i="25" a="1"/>
  <c r="F36" i="25" s="1"/>
  <c r="E36" i="25" a="1"/>
  <c r="E36" i="25" s="1"/>
  <c r="D36" i="25" a="1"/>
  <c r="D36" i="25" s="1"/>
  <c r="C36" i="25" a="1"/>
  <c r="C36" i="25" s="1"/>
  <c r="G35" i="25" a="1"/>
  <c r="G35" i="25" s="1"/>
  <c r="F35" i="25" a="1"/>
  <c r="F35" i="25" s="1"/>
  <c r="E35" i="25" a="1"/>
  <c r="E35" i="25" s="1"/>
  <c r="D35" i="25" a="1"/>
  <c r="D35" i="25" s="1"/>
  <c r="C35" i="25" a="1"/>
  <c r="C35" i="25" s="1"/>
  <c r="G34" i="25" a="1"/>
  <c r="G34" i="25" s="1"/>
  <c r="F34" i="25" a="1"/>
  <c r="F34" i="25" s="1"/>
  <c r="E34" i="25" a="1"/>
  <c r="E34" i="25" s="1"/>
  <c r="D34" i="25" a="1"/>
  <c r="D34" i="25" s="1"/>
  <c r="C34" i="25" a="1"/>
  <c r="C34" i="25" s="1"/>
  <c r="G33" i="25" a="1"/>
  <c r="G33" i="25" s="1"/>
  <c r="F33" i="25" a="1"/>
  <c r="F33" i="25" s="1"/>
  <c r="E33" i="25" a="1"/>
  <c r="E33" i="25" s="1"/>
  <c r="D33" i="25" a="1"/>
  <c r="D33" i="25" s="1"/>
  <c r="C33" i="25" a="1"/>
  <c r="C33" i="25" s="1"/>
  <c r="G32" i="25" a="1"/>
  <c r="G32" i="25" s="1"/>
  <c r="F32" i="25" a="1"/>
  <c r="F32" i="25" s="1"/>
  <c r="E32" i="25" a="1"/>
  <c r="E32" i="25" s="1"/>
  <c r="D32" i="25" a="1"/>
  <c r="D32" i="25" s="1"/>
  <c r="C32" i="25" a="1"/>
  <c r="C32" i="25" s="1"/>
  <c r="G31" i="25" a="1"/>
  <c r="G31" i="25" s="1"/>
  <c r="F31" i="25" a="1"/>
  <c r="F31" i="25" s="1"/>
  <c r="E31" i="25" a="1"/>
  <c r="E31" i="25" s="1"/>
  <c r="D31" i="25" a="1"/>
  <c r="D31" i="25" s="1"/>
  <c r="C31" i="25" a="1"/>
  <c r="C31" i="25" s="1"/>
  <c r="G30" i="25"/>
  <c r="G30" i="25" a="1"/>
  <c r="F30" i="25"/>
  <c r="F30" i="25" a="1"/>
  <c r="E30" i="25"/>
  <c r="E30" i="25" a="1"/>
  <c r="D30" i="25"/>
  <c r="D30" i="25" a="1"/>
  <c r="C30" i="25"/>
  <c r="C30" i="25" a="1"/>
  <c r="G28" i="25" a="1"/>
  <c r="G28" i="25" s="1"/>
  <c r="F28" i="25" a="1"/>
  <c r="F28" i="25" s="1"/>
  <c r="E28" i="25" a="1"/>
  <c r="E28" i="25" s="1"/>
  <c r="D28" i="25" a="1"/>
  <c r="D28" i="25" s="1"/>
  <c r="C28" i="25" a="1"/>
  <c r="C28" i="25" s="1"/>
  <c r="G27" i="25" a="1"/>
  <c r="G27" i="25" s="1"/>
  <c r="F27" i="25" a="1"/>
  <c r="F27" i="25" s="1"/>
  <c r="E27" i="25" a="1"/>
  <c r="E27" i="25" s="1"/>
  <c r="D27" i="25" a="1"/>
  <c r="D27" i="25" s="1"/>
  <c r="C27" i="25" a="1"/>
  <c r="C27" i="25" s="1"/>
  <c r="G26" i="25" a="1"/>
  <c r="G26" i="25" s="1"/>
  <c r="F26" i="25" a="1"/>
  <c r="F26" i="25" s="1"/>
  <c r="E26" i="25" a="1"/>
  <c r="E26" i="25" s="1"/>
  <c r="D26" i="25" a="1"/>
  <c r="D26" i="25" s="1"/>
  <c r="C26" i="25" a="1"/>
  <c r="C26" i="25" s="1"/>
  <c r="G25" i="25" a="1"/>
  <c r="G25" i="25" s="1"/>
  <c r="F25" i="25" a="1"/>
  <c r="F25" i="25" s="1"/>
  <c r="E25" i="25" a="1"/>
  <c r="E25" i="25" s="1"/>
  <c r="D25" i="25" a="1"/>
  <c r="D25" i="25" s="1"/>
  <c r="C25" i="25" a="1"/>
  <c r="C25" i="25" s="1"/>
  <c r="F24" i="25" a="1"/>
  <c r="F24" i="25" s="1"/>
  <c r="H24" i="25" s="1"/>
  <c r="E24" i="25" a="1"/>
  <c r="E24" i="25" s="1"/>
  <c r="D24" i="25" a="1"/>
  <c r="D24" i="25" s="1"/>
  <c r="C24" i="25" a="1"/>
  <c r="C24" i="25" s="1"/>
  <c r="G23" i="25" a="1"/>
  <c r="G23" i="25" s="1"/>
  <c r="F23" i="25" a="1"/>
  <c r="F23" i="25" s="1"/>
  <c r="E23" i="25" a="1"/>
  <c r="E23" i="25" s="1"/>
  <c r="D23" i="25" a="1"/>
  <c r="D23" i="25" s="1"/>
  <c r="C23" i="25" a="1"/>
  <c r="C23" i="25" s="1"/>
  <c r="G22" i="25" a="1"/>
  <c r="G22" i="25" s="1"/>
  <c r="F22" i="25" a="1"/>
  <c r="F22" i="25" s="1"/>
  <c r="E22" i="25" a="1"/>
  <c r="E22" i="25" s="1"/>
  <c r="D22" i="25" a="1"/>
  <c r="D22" i="25" s="1"/>
  <c r="C22" i="25" a="1"/>
  <c r="C22" i="25" s="1"/>
  <c r="G21" i="25" a="1"/>
  <c r="G21" i="25" s="1"/>
  <c r="F21" i="25" a="1"/>
  <c r="F21" i="25" s="1"/>
  <c r="E21" i="25" a="1"/>
  <c r="E21" i="25" s="1"/>
  <c r="D21" i="25" a="1"/>
  <c r="D21" i="25" s="1"/>
  <c r="C21" i="25" a="1"/>
  <c r="C21" i="25" s="1"/>
  <c r="G20" i="25" a="1"/>
  <c r="G20" i="25" s="1"/>
  <c r="F20" i="25" a="1"/>
  <c r="F20" i="25" s="1"/>
  <c r="E20" i="25" a="1"/>
  <c r="E20" i="25" s="1"/>
  <c r="D20" i="25" a="1"/>
  <c r="D20" i="25" s="1"/>
  <c r="C20" i="25" a="1"/>
  <c r="C20" i="25" s="1"/>
  <c r="G19" i="25" a="1"/>
  <c r="G19" i="25" s="1"/>
  <c r="F19" i="25" a="1"/>
  <c r="F19" i="25" s="1"/>
  <c r="E19" i="25" a="1"/>
  <c r="E19" i="25" s="1"/>
  <c r="D19" i="25" a="1"/>
  <c r="D19" i="25" s="1"/>
  <c r="C19" i="25" a="1"/>
  <c r="C19" i="25" s="1"/>
  <c r="G18" i="25" a="1"/>
  <c r="G18" i="25" s="1"/>
  <c r="F18" i="25" a="1"/>
  <c r="F18" i="25" s="1"/>
  <c r="E18" i="25" a="1"/>
  <c r="E18" i="25" s="1"/>
  <c r="D18" i="25" a="1"/>
  <c r="D18" i="25" s="1"/>
  <c r="C18" i="25" a="1"/>
  <c r="C18" i="25" s="1"/>
  <c r="G17" i="25" a="1"/>
  <c r="G17" i="25" s="1"/>
  <c r="F17" i="25" a="1"/>
  <c r="F17" i="25" s="1"/>
  <c r="E17" i="25" a="1"/>
  <c r="E17" i="25" s="1"/>
  <c r="D17" i="25" a="1"/>
  <c r="D17" i="25" s="1"/>
  <c r="C17" i="25" a="1"/>
  <c r="C17" i="25" s="1"/>
  <c r="G16" i="25" a="1"/>
  <c r="G16" i="25" s="1"/>
  <c r="F16" i="25" a="1"/>
  <c r="F16" i="25" s="1"/>
  <c r="E16" i="25" a="1"/>
  <c r="E16" i="25" s="1"/>
  <c r="D16" i="25" a="1"/>
  <c r="D16" i="25" s="1"/>
  <c r="C16" i="25" a="1"/>
  <c r="C16" i="25" s="1"/>
  <c r="G15" i="25" a="1"/>
  <c r="G15" i="25" s="1"/>
  <c r="F15" i="25" a="1"/>
  <c r="F15" i="25" s="1"/>
  <c r="E15" i="25" a="1"/>
  <c r="E15" i="25" s="1"/>
  <c r="D15" i="25" a="1"/>
  <c r="D15" i="25" s="1"/>
  <c r="C15" i="25" a="1"/>
  <c r="C15" i="25" s="1"/>
  <c r="G14" i="25" a="1"/>
  <c r="G14" i="25" s="1"/>
  <c r="F14" i="25" a="1"/>
  <c r="F14" i="25" s="1"/>
  <c r="E14" i="25" a="1"/>
  <c r="E14" i="25" s="1"/>
  <c r="D14" i="25" a="1"/>
  <c r="D14" i="25" s="1"/>
  <c r="C14" i="25" a="1"/>
  <c r="C14" i="25" s="1"/>
  <c r="G13" i="25" a="1"/>
  <c r="G13" i="25" s="1"/>
  <c r="F13" i="25" a="1"/>
  <c r="F13" i="25" s="1"/>
  <c r="E13" i="25" a="1"/>
  <c r="E13" i="25" s="1"/>
  <c r="D13" i="25" a="1"/>
  <c r="D13" i="25" s="1"/>
  <c r="C13" i="25" a="1"/>
  <c r="C13" i="25" s="1"/>
  <c r="G12" i="25" a="1"/>
  <c r="G12" i="25" s="1"/>
  <c r="F12" i="25" a="1"/>
  <c r="F12" i="25" s="1"/>
  <c r="E12" i="25" a="1"/>
  <c r="E12" i="25" s="1"/>
  <c r="D12" i="25" a="1"/>
  <c r="D12" i="25" s="1"/>
  <c r="C12" i="25" a="1"/>
  <c r="C12" i="25" s="1"/>
  <c r="G11" i="25" a="1"/>
  <c r="G11" i="25" s="1"/>
  <c r="F11" i="25" a="1"/>
  <c r="F11" i="25" s="1"/>
  <c r="E11" i="25" a="1"/>
  <c r="E11" i="25" s="1"/>
  <c r="D11" i="25" a="1"/>
  <c r="D11" i="25" s="1"/>
  <c r="C11" i="25" a="1"/>
  <c r="C11" i="25" s="1"/>
  <c r="G10" i="25" a="1"/>
  <c r="G10" i="25" s="1"/>
  <c r="F10" i="25" a="1"/>
  <c r="F10" i="25" s="1"/>
  <c r="E10" i="25" a="1"/>
  <c r="E10" i="25" s="1"/>
  <c r="D10" i="25" a="1"/>
  <c r="D10" i="25" s="1"/>
  <c r="C10" i="25" a="1"/>
  <c r="C10" i="25" s="1"/>
  <c r="G9" i="25" a="1"/>
  <c r="G9" i="25" s="1"/>
  <c r="F9" i="25" a="1"/>
  <c r="F9" i="25" s="1"/>
  <c r="E9" i="25" a="1"/>
  <c r="E9" i="25" s="1"/>
  <c r="D9" i="25" a="1"/>
  <c r="D9" i="25" s="1"/>
  <c r="C9" i="25" a="1"/>
  <c r="C9" i="25" s="1"/>
  <c r="G8" i="25" a="1"/>
  <c r="G8" i="25" s="1"/>
  <c r="F8" i="25" a="1"/>
  <c r="F8" i="25" s="1"/>
  <c r="E8" i="25" a="1"/>
  <c r="E8" i="25" s="1"/>
  <c r="D8" i="25" a="1"/>
  <c r="D8" i="25" s="1"/>
  <c r="C8" i="25" a="1"/>
  <c r="C8" i="25" s="1"/>
  <c r="G7" i="25" a="1"/>
  <c r="G7" i="25" s="1"/>
  <c r="F7" i="25" a="1"/>
  <c r="F7" i="25" s="1"/>
  <c r="E7" i="25" a="1"/>
  <c r="E7" i="25" s="1"/>
  <c r="D7" i="25" a="1"/>
  <c r="D7" i="25" s="1"/>
  <c r="C7" i="25" a="1"/>
  <c r="C7" i="25" s="1"/>
  <c r="G6" i="25" a="1"/>
  <c r="G6" i="25" s="1"/>
  <c r="F6" i="25" a="1"/>
  <c r="F6" i="25" s="1"/>
  <c r="E6" i="25" a="1"/>
  <c r="E6" i="25" s="1"/>
  <c r="D6" i="25" a="1"/>
  <c r="D6" i="25" s="1"/>
  <c r="C6" i="25" a="1"/>
  <c r="C6" i="25" s="1"/>
  <c r="G5" i="25" a="1"/>
  <c r="G5" i="25" s="1"/>
  <c r="F5" i="25" a="1"/>
  <c r="F5" i="25" s="1"/>
  <c r="E5" i="25" a="1"/>
  <c r="E5" i="25" s="1"/>
  <c r="D5" i="25" a="1"/>
  <c r="D5" i="25" s="1"/>
  <c r="C5" i="25" a="1"/>
  <c r="C5" i="25" s="1"/>
  <c r="G4" i="25"/>
  <c r="G4" i="25" a="1"/>
  <c r="F4" i="25"/>
  <c r="F4" i="25" a="1"/>
  <c r="E4" i="25"/>
  <c r="E4" i="25" a="1"/>
  <c r="D4" i="25"/>
  <c r="D4" i="25" a="1"/>
  <c r="C4" i="25"/>
  <c r="C4" i="25" a="1"/>
  <c r="G43" i="3" a="1"/>
  <c r="G43" i="3" s="1"/>
  <c r="F43" i="3" a="1"/>
  <c r="F43" i="3" s="1"/>
  <c r="E43" i="3" a="1"/>
  <c r="E43" i="3" s="1"/>
  <c r="D43" i="3" a="1"/>
  <c r="D43" i="3" s="1"/>
  <c r="C43" i="3" a="1"/>
  <c r="C43" i="3" s="1"/>
  <c r="G42" i="3" a="1"/>
  <c r="G42" i="3" s="1"/>
  <c r="F42" i="3" a="1"/>
  <c r="F42" i="3" s="1"/>
  <c r="E42" i="3" a="1"/>
  <c r="E42" i="3" s="1"/>
  <c r="D42" i="3" a="1"/>
  <c r="D42" i="3" s="1"/>
  <c r="C42" i="3" a="1"/>
  <c r="C42" i="3" s="1"/>
  <c r="G41" i="3" a="1"/>
  <c r="G41" i="3" s="1"/>
  <c r="F41" i="3" a="1"/>
  <c r="F41" i="3" s="1"/>
  <c r="E41" i="3" a="1"/>
  <c r="E41" i="3" s="1"/>
  <c r="D41" i="3" a="1"/>
  <c r="D41" i="3" s="1"/>
  <c r="C41" i="3" a="1"/>
  <c r="C41" i="3" s="1"/>
  <c r="G40" i="3" a="1"/>
  <c r="G40" i="3" s="1"/>
  <c r="F40" i="3" a="1"/>
  <c r="F40" i="3" s="1"/>
  <c r="E40" i="3" a="1"/>
  <c r="E40" i="3" s="1"/>
  <c r="D40" i="3" a="1"/>
  <c r="D40" i="3" s="1"/>
  <c r="C40" i="3" a="1"/>
  <c r="C40" i="3" s="1"/>
  <c r="G39" i="3" a="1"/>
  <c r="G39" i="3" s="1"/>
  <c r="F39" i="3" a="1"/>
  <c r="F39" i="3" s="1"/>
  <c r="E39" i="3" a="1"/>
  <c r="E39" i="3" s="1"/>
  <c r="D39" i="3" a="1"/>
  <c r="D39" i="3" s="1"/>
  <c r="C39" i="3" a="1"/>
  <c r="C39" i="3" s="1"/>
  <c r="G38" i="3"/>
  <c r="G38" i="3" a="1"/>
  <c r="F38" i="3"/>
  <c r="F38" i="3" a="1"/>
  <c r="E38" i="3"/>
  <c r="E38" i="3" a="1"/>
  <c r="D38" i="3"/>
  <c r="D38" i="3" a="1"/>
  <c r="C38" i="3"/>
  <c r="C38" i="3" a="1"/>
  <c r="G36" i="3" a="1"/>
  <c r="G36" i="3" s="1"/>
  <c r="F36" i="3" a="1"/>
  <c r="F36" i="3" s="1"/>
  <c r="E36" i="3" a="1"/>
  <c r="E36" i="3" s="1"/>
  <c r="D36" i="3" a="1"/>
  <c r="D36" i="3" s="1"/>
  <c r="C36" i="3" a="1"/>
  <c r="C36" i="3" s="1"/>
  <c r="G35" i="3" a="1"/>
  <c r="G35" i="3" s="1"/>
  <c r="F35" i="3" a="1"/>
  <c r="F35" i="3" s="1"/>
  <c r="E35" i="3" a="1"/>
  <c r="E35" i="3" s="1"/>
  <c r="D35" i="3" a="1"/>
  <c r="D35" i="3" s="1"/>
  <c r="C35" i="3" a="1"/>
  <c r="C35" i="3" s="1"/>
  <c r="G34" i="3" a="1"/>
  <c r="G34" i="3" s="1"/>
  <c r="F34" i="3" a="1"/>
  <c r="F34" i="3" s="1"/>
  <c r="E34" i="3" a="1"/>
  <c r="E34" i="3" s="1"/>
  <c r="D34" i="3" a="1"/>
  <c r="D34" i="3" s="1"/>
  <c r="C34" i="3" a="1"/>
  <c r="C34" i="3" s="1"/>
  <c r="G33" i="3" a="1"/>
  <c r="G33" i="3" s="1"/>
  <c r="F33" i="3" a="1"/>
  <c r="F33" i="3" s="1"/>
  <c r="E33" i="3" a="1"/>
  <c r="E33" i="3" s="1"/>
  <c r="D33" i="3" a="1"/>
  <c r="D33" i="3" s="1"/>
  <c r="C33" i="3" a="1"/>
  <c r="C33" i="3" s="1"/>
  <c r="G32" i="3" a="1"/>
  <c r="G32" i="3" s="1"/>
  <c r="F32" i="3" a="1"/>
  <c r="F32" i="3" s="1"/>
  <c r="E32" i="3" a="1"/>
  <c r="E32" i="3" s="1"/>
  <c r="D32" i="3" a="1"/>
  <c r="D32" i="3" s="1"/>
  <c r="C32" i="3" a="1"/>
  <c r="C32" i="3" s="1"/>
  <c r="G31" i="3" a="1"/>
  <c r="G31" i="3" s="1"/>
  <c r="F31" i="3" a="1"/>
  <c r="F31" i="3" s="1"/>
  <c r="E31" i="3" a="1"/>
  <c r="E31" i="3" s="1"/>
  <c r="D31" i="3" a="1"/>
  <c r="D31" i="3" s="1"/>
  <c r="C31" i="3" a="1"/>
  <c r="C31" i="3" s="1"/>
  <c r="G30" i="3"/>
  <c r="G30" i="3" a="1"/>
  <c r="F30" i="3"/>
  <c r="F30" i="3" a="1"/>
  <c r="E30" i="3"/>
  <c r="E30" i="3" a="1"/>
  <c r="D30" i="3"/>
  <c r="D30" i="3" a="1"/>
  <c r="C30" i="3"/>
  <c r="C30" i="3" a="1"/>
  <c r="G28" i="3" a="1"/>
  <c r="G28" i="3" s="1"/>
  <c r="F28" i="3" a="1"/>
  <c r="F28" i="3" s="1"/>
  <c r="E28" i="3" a="1"/>
  <c r="E28" i="3" s="1"/>
  <c r="D28" i="3" a="1"/>
  <c r="D28" i="3" s="1"/>
  <c r="C28" i="3" a="1"/>
  <c r="C28" i="3" s="1"/>
  <c r="G27" i="3" a="1"/>
  <c r="G27" i="3" s="1"/>
  <c r="F27" i="3" a="1"/>
  <c r="F27" i="3" s="1"/>
  <c r="E27" i="3" a="1"/>
  <c r="E27" i="3" s="1"/>
  <c r="D27" i="3" a="1"/>
  <c r="D27" i="3" s="1"/>
  <c r="C27" i="3" a="1"/>
  <c r="C27" i="3" s="1"/>
  <c r="G26" i="3" a="1"/>
  <c r="G26" i="3" s="1"/>
  <c r="F26" i="3" a="1"/>
  <c r="F26" i="3" s="1"/>
  <c r="E26" i="3" a="1"/>
  <c r="E26" i="3" s="1"/>
  <c r="D26" i="3" a="1"/>
  <c r="D26" i="3" s="1"/>
  <c r="C26" i="3" a="1"/>
  <c r="C26" i="3" s="1"/>
  <c r="G25" i="3" a="1"/>
  <c r="G25" i="3" s="1"/>
  <c r="F25" i="3" a="1"/>
  <c r="F25" i="3" s="1"/>
  <c r="E25" i="3" a="1"/>
  <c r="E25" i="3" s="1"/>
  <c r="D25" i="3" a="1"/>
  <c r="D25" i="3" s="1"/>
  <c r="C25" i="3" a="1"/>
  <c r="C25" i="3" s="1"/>
  <c r="G24" i="3" a="1"/>
  <c r="G24" i="3" s="1"/>
  <c r="F24" i="3" a="1"/>
  <c r="F24" i="3" s="1"/>
  <c r="E24" i="3" a="1"/>
  <c r="E24" i="3" s="1"/>
  <c r="D24" i="3" a="1"/>
  <c r="D24" i="3" s="1"/>
  <c r="C24" i="3" a="1"/>
  <c r="C24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G22" i="3" a="1"/>
  <c r="G22" i="3" s="1"/>
  <c r="F22" i="3" a="1"/>
  <c r="F22" i="3" s="1"/>
  <c r="E22" i="3" a="1"/>
  <c r="E22" i="3" s="1"/>
  <c r="D22" i="3" a="1"/>
  <c r="D22" i="3" s="1"/>
  <c r="C22" i="3" a="1"/>
  <c r="C22" i="3" s="1"/>
  <c r="G21" i="3"/>
  <c r="G21" i="3" a="1"/>
  <c r="F21" i="3"/>
  <c r="F21" i="3" a="1"/>
  <c r="E21" i="3"/>
  <c r="E21" i="3" a="1"/>
  <c r="D21" i="3"/>
  <c r="D21" i="3" a="1"/>
  <c r="C21" i="3"/>
  <c r="C21" i="3" a="1"/>
  <c r="G15" i="3" a="1"/>
  <c r="G15" i="3" s="1"/>
  <c r="F15" i="3" a="1"/>
  <c r="F15" i="3" s="1"/>
  <c r="E15" i="3" a="1"/>
  <c r="E15" i="3" s="1"/>
  <c r="D15" i="3" a="1"/>
  <c r="D15" i="3" s="1"/>
  <c r="C15" i="3" a="1"/>
  <c r="C15" i="3" s="1"/>
  <c r="G14" i="3" a="1"/>
  <c r="G14" i="3" s="1"/>
  <c r="F14" i="3" a="1"/>
  <c r="F14" i="3" s="1"/>
  <c r="E14" i="3" a="1"/>
  <c r="E14" i="3" s="1"/>
  <c r="D14" i="3" a="1"/>
  <c r="D14" i="3" s="1"/>
  <c r="C14" i="3" a="1"/>
  <c r="C14" i="3" s="1"/>
  <c r="G13" i="3"/>
  <c r="G13" i="3" a="1"/>
  <c r="F13" i="3"/>
  <c r="F13" i="3" a="1"/>
  <c r="E13" i="3"/>
  <c r="E13" i="3" a="1"/>
  <c r="D13" i="3"/>
  <c r="D13" i="3" a="1"/>
  <c r="C13" i="3"/>
  <c r="C13" i="3" a="1"/>
  <c r="G9" i="3" a="1"/>
  <c r="G9" i="3" s="1"/>
  <c r="F9" i="3" a="1"/>
  <c r="F9" i="3" s="1"/>
  <c r="E9" i="3" a="1"/>
  <c r="E9" i="3" s="1"/>
  <c r="D9" i="3" a="1"/>
  <c r="D9" i="3" s="1"/>
  <c r="C9" i="3" a="1"/>
  <c r="C9" i="3" s="1"/>
  <c r="G8" i="3" a="1"/>
  <c r="G8" i="3" s="1"/>
  <c r="F8" i="3" a="1"/>
  <c r="F8" i="3" s="1"/>
  <c r="E8" i="3" a="1"/>
  <c r="E8" i="3" s="1"/>
  <c r="D8" i="3" a="1"/>
  <c r="D8" i="3" s="1"/>
  <c r="C8" i="3" a="1"/>
  <c r="C8" i="3" s="1"/>
  <c r="G7" i="3" a="1"/>
  <c r="G7" i="3" s="1"/>
  <c r="F7" i="3" a="1"/>
  <c r="F7" i="3" s="1"/>
  <c r="E7" i="3" a="1"/>
  <c r="E7" i="3" s="1"/>
  <c r="D7" i="3" a="1"/>
  <c r="D7" i="3" s="1"/>
  <c r="C7" i="3" a="1"/>
  <c r="C7" i="3" s="1"/>
  <c r="G6" i="3" a="1"/>
  <c r="G6" i="3" s="1"/>
  <c r="F6" i="3" a="1"/>
  <c r="F6" i="3" s="1"/>
  <c r="E6" i="3" a="1"/>
  <c r="E6" i="3" s="1"/>
  <c r="D6" i="3" a="1"/>
  <c r="D6" i="3" s="1"/>
  <c r="C6" i="3" a="1"/>
  <c r="C6" i="3" s="1"/>
  <c r="G5" i="3" a="1"/>
  <c r="G5" i="3" s="1"/>
  <c r="F5" i="3" a="1"/>
  <c r="F5" i="3" s="1"/>
  <c r="E5" i="3" a="1"/>
  <c r="E5" i="3" s="1"/>
  <c r="D5" i="3" a="1"/>
  <c r="D5" i="3" s="1"/>
  <c r="C5" i="3" a="1"/>
  <c r="C5" i="3" s="1"/>
  <c r="G4" i="3"/>
  <c r="G4" i="3" a="1"/>
  <c r="F4" i="3"/>
  <c r="F4" i="3" a="1"/>
  <c r="E4" i="3"/>
  <c r="E4" i="3" a="1"/>
  <c r="D4" i="3"/>
  <c r="D4" i="3" a="1"/>
  <c r="C4" i="3"/>
  <c r="C4" i="3" a="1"/>
  <c r="J271" i="1" a="1"/>
  <c r="J271" i="1" s="1"/>
  <c r="I271" i="1" a="1"/>
  <c r="I271" i="1" s="1"/>
  <c r="H271" i="1" a="1"/>
  <c r="H271" i="1" s="1"/>
  <c r="G271" i="1" a="1"/>
  <c r="G271" i="1" s="1"/>
  <c r="F271" i="1" a="1"/>
  <c r="F271" i="1" s="1"/>
  <c r="E271" i="1" a="1"/>
  <c r="E271" i="1" s="1"/>
  <c r="D271" i="1" a="1"/>
  <c r="D271" i="1" s="1"/>
  <c r="C271" i="1" a="1"/>
  <c r="C271" i="1" s="1"/>
  <c r="J270" i="1" a="1"/>
  <c r="J270" i="1" s="1"/>
  <c r="I270" i="1" a="1"/>
  <c r="I270" i="1" s="1"/>
  <c r="H270" i="1" a="1"/>
  <c r="H270" i="1" s="1"/>
  <c r="G270" i="1" a="1"/>
  <c r="G270" i="1" s="1"/>
  <c r="F270" i="1" a="1"/>
  <c r="F270" i="1" s="1"/>
  <c r="E270" i="1" a="1"/>
  <c r="E270" i="1" s="1"/>
  <c r="D270" i="1" a="1"/>
  <c r="D270" i="1" s="1"/>
  <c r="C270" i="1" a="1"/>
  <c r="C270" i="1" s="1"/>
  <c r="J269" i="1" a="1"/>
  <c r="J269" i="1" s="1"/>
  <c r="I269" i="1" a="1"/>
  <c r="I269" i="1" s="1"/>
  <c r="H269" i="1" a="1"/>
  <c r="H269" i="1" s="1"/>
  <c r="G269" i="1" a="1"/>
  <c r="G269" i="1" s="1"/>
  <c r="F269" i="1" a="1"/>
  <c r="F269" i="1" s="1"/>
  <c r="E269" i="1" a="1"/>
  <c r="E269" i="1" s="1"/>
  <c r="D269" i="1" a="1"/>
  <c r="D269" i="1" s="1"/>
  <c r="C269" i="1" a="1"/>
  <c r="C269" i="1" s="1"/>
  <c r="J268" i="1" a="1"/>
  <c r="J268" i="1" s="1"/>
  <c r="I268" i="1" a="1"/>
  <c r="I268" i="1" s="1"/>
  <c r="H268" i="1" a="1"/>
  <c r="H268" i="1" s="1"/>
  <c r="G268" i="1" a="1"/>
  <c r="G268" i="1" s="1"/>
  <c r="F268" i="1" a="1"/>
  <c r="F268" i="1" s="1"/>
  <c r="E268" i="1" a="1"/>
  <c r="E268" i="1" s="1"/>
  <c r="D268" i="1" a="1"/>
  <c r="D268" i="1" s="1"/>
  <c r="C268" i="1" a="1"/>
  <c r="C268" i="1" s="1"/>
  <c r="J267" i="1" a="1"/>
  <c r="J267" i="1" s="1"/>
  <c r="I267" i="1" a="1"/>
  <c r="I267" i="1" s="1"/>
  <c r="H267" i="1" a="1"/>
  <c r="H267" i="1" s="1"/>
  <c r="G267" i="1" a="1"/>
  <c r="G267" i="1" s="1"/>
  <c r="F267" i="1" a="1"/>
  <c r="F267" i="1" s="1"/>
  <c r="E267" i="1" a="1"/>
  <c r="E267" i="1" s="1"/>
  <c r="D267" i="1" a="1"/>
  <c r="D267" i="1" s="1"/>
  <c r="C267" i="1" a="1"/>
  <c r="C267" i="1" s="1"/>
  <c r="J266" i="1" a="1"/>
  <c r="J266" i="1" s="1"/>
  <c r="I266" i="1" a="1"/>
  <c r="I266" i="1" s="1"/>
  <c r="H266" i="1" a="1"/>
  <c r="H266" i="1" s="1"/>
  <c r="G266" i="1" a="1"/>
  <c r="G266" i="1" s="1"/>
  <c r="F266" i="1" a="1"/>
  <c r="F266" i="1" s="1"/>
  <c r="E266" i="1" a="1"/>
  <c r="E266" i="1" s="1"/>
  <c r="D266" i="1" a="1"/>
  <c r="D266" i="1" s="1"/>
  <c r="C266" i="1" a="1"/>
  <c r="C266" i="1" s="1"/>
  <c r="J265" i="1" a="1"/>
  <c r="J265" i="1" s="1"/>
  <c r="I265" i="1" a="1"/>
  <c r="I265" i="1" s="1"/>
  <c r="H265" i="1" a="1"/>
  <c r="H265" i="1" s="1"/>
  <c r="G265" i="1" a="1"/>
  <c r="G265" i="1" s="1"/>
  <c r="F265" i="1" a="1"/>
  <c r="F265" i="1" s="1"/>
  <c r="E265" i="1" a="1"/>
  <c r="E265" i="1" s="1"/>
  <c r="D265" i="1" a="1"/>
  <c r="D265" i="1" s="1"/>
  <c r="C265" i="1" a="1"/>
  <c r="C265" i="1" s="1"/>
  <c r="N264" i="1"/>
  <c r="B264" i="1"/>
  <c r="B264" i="1" a="1"/>
  <c r="J261" i="1" a="1"/>
  <c r="J261" i="1" s="1"/>
  <c r="I261" i="1" a="1"/>
  <c r="I261" i="1" s="1"/>
  <c r="H261" i="1" a="1"/>
  <c r="H261" i="1" s="1"/>
  <c r="G261" i="1" a="1"/>
  <c r="G261" i="1" s="1"/>
  <c r="F261" i="1" a="1"/>
  <c r="F261" i="1" s="1"/>
  <c r="E261" i="1" a="1"/>
  <c r="E261" i="1" s="1"/>
  <c r="D261" i="1" a="1"/>
  <c r="D261" i="1" s="1"/>
  <c r="C261" i="1" a="1"/>
  <c r="C261" i="1" s="1"/>
  <c r="J260" i="1" a="1"/>
  <c r="J260" i="1" s="1"/>
  <c r="I260" i="1" a="1"/>
  <c r="I260" i="1" s="1"/>
  <c r="H260" i="1" a="1"/>
  <c r="H260" i="1" s="1"/>
  <c r="G260" i="1" a="1"/>
  <c r="G260" i="1" s="1"/>
  <c r="F260" i="1" a="1"/>
  <c r="F260" i="1" s="1"/>
  <c r="E260" i="1" a="1"/>
  <c r="E260" i="1" s="1"/>
  <c r="D260" i="1" a="1"/>
  <c r="D260" i="1" s="1"/>
  <c r="C260" i="1" a="1"/>
  <c r="C260" i="1" s="1"/>
  <c r="J259" i="1" a="1"/>
  <c r="J259" i="1" s="1"/>
  <c r="I259" i="1" a="1"/>
  <c r="I259" i="1" s="1"/>
  <c r="H259" i="1" a="1"/>
  <c r="H259" i="1" s="1"/>
  <c r="G259" i="1" a="1"/>
  <c r="G259" i="1" s="1"/>
  <c r="F259" i="1" a="1"/>
  <c r="F259" i="1" s="1"/>
  <c r="E259" i="1" a="1"/>
  <c r="E259" i="1" s="1"/>
  <c r="D259" i="1" a="1"/>
  <c r="D259" i="1" s="1"/>
  <c r="C259" i="1" a="1"/>
  <c r="C259" i="1" s="1"/>
  <c r="J258" i="1" a="1"/>
  <c r="J258" i="1" s="1"/>
  <c r="I258" i="1" a="1"/>
  <c r="I258" i="1" s="1"/>
  <c r="H258" i="1" a="1"/>
  <c r="H258" i="1" s="1"/>
  <c r="G258" i="1" a="1"/>
  <c r="G258" i="1" s="1"/>
  <c r="F258" i="1" a="1"/>
  <c r="F258" i="1" s="1"/>
  <c r="E258" i="1" a="1"/>
  <c r="E258" i="1" s="1"/>
  <c r="D258" i="1" a="1"/>
  <c r="D258" i="1" s="1"/>
  <c r="C258" i="1" a="1"/>
  <c r="C258" i="1" s="1"/>
  <c r="J257" i="1" a="1"/>
  <c r="J257" i="1" s="1"/>
  <c r="I257" i="1" a="1"/>
  <c r="I257" i="1" s="1"/>
  <c r="H257" i="1" a="1"/>
  <c r="H257" i="1" s="1"/>
  <c r="G257" i="1" a="1"/>
  <c r="G257" i="1" s="1"/>
  <c r="F257" i="1" a="1"/>
  <c r="F257" i="1" s="1"/>
  <c r="E257" i="1" a="1"/>
  <c r="E257" i="1" s="1"/>
  <c r="D257" i="1" a="1"/>
  <c r="D257" i="1" s="1"/>
  <c r="C257" i="1" a="1"/>
  <c r="C257" i="1" s="1"/>
  <c r="J256" i="1" a="1"/>
  <c r="J256" i="1" s="1"/>
  <c r="I256" i="1" a="1"/>
  <c r="I256" i="1" s="1"/>
  <c r="H256" i="1" a="1"/>
  <c r="H256" i="1" s="1"/>
  <c r="G256" i="1" a="1"/>
  <c r="G256" i="1" s="1"/>
  <c r="F256" i="1" a="1"/>
  <c r="F256" i="1" s="1"/>
  <c r="E256" i="1" a="1"/>
  <c r="E256" i="1" s="1"/>
  <c r="D256" i="1" a="1"/>
  <c r="D256" i="1" s="1"/>
  <c r="C256" i="1" a="1"/>
  <c r="C256" i="1" s="1"/>
  <c r="B255" i="1"/>
  <c r="B255" i="1" a="1"/>
  <c r="K252" i="1" a="1"/>
  <c r="K252" i="1" s="1"/>
  <c r="K253" i="1" s="1"/>
  <c r="J252" i="1" a="1"/>
  <c r="J252" i="1" s="1"/>
  <c r="J253" i="1" s="1"/>
  <c r="I252" i="1" a="1"/>
  <c r="I252" i="1" s="1"/>
  <c r="I253" i="1" s="1"/>
  <c r="H252" i="1" a="1"/>
  <c r="H252" i="1" s="1"/>
  <c r="H253" i="1" s="1"/>
  <c r="G252" i="1" a="1"/>
  <c r="G252" i="1" s="1"/>
  <c r="G253" i="1" s="1"/>
  <c r="F252" i="1" a="1"/>
  <c r="F252" i="1" s="1"/>
  <c r="F253" i="1" s="1"/>
  <c r="E252" i="1" a="1"/>
  <c r="E252" i="1" s="1"/>
  <c r="E253" i="1" s="1"/>
  <c r="D252" i="1" a="1"/>
  <c r="D252" i="1" s="1"/>
  <c r="D253" i="1" s="1"/>
  <c r="C252" i="1" a="1"/>
  <c r="C252" i="1" s="1"/>
  <c r="B251" i="1"/>
  <c r="B251" i="1" a="1"/>
  <c r="G249" i="1" a="1"/>
  <c r="G249" i="1" s="1"/>
  <c r="F249" i="1" a="1"/>
  <c r="F249" i="1" s="1"/>
  <c r="E249" i="1" a="1"/>
  <c r="E249" i="1" s="1"/>
  <c r="D249" i="1" a="1"/>
  <c r="D249" i="1" s="1"/>
  <c r="C249" i="1" a="1"/>
  <c r="C249" i="1" s="1"/>
  <c r="G248" i="1" a="1"/>
  <c r="G248" i="1" s="1"/>
  <c r="F248" i="1" a="1"/>
  <c r="F248" i="1" s="1"/>
  <c r="E248" i="1" a="1"/>
  <c r="E248" i="1" s="1"/>
  <c r="D248" i="1" a="1"/>
  <c r="D248" i="1" s="1"/>
  <c r="C248" i="1" a="1"/>
  <c r="C248" i="1" s="1"/>
  <c r="G247" i="1" a="1"/>
  <c r="G247" i="1" s="1"/>
  <c r="F247" i="1" a="1"/>
  <c r="F247" i="1" s="1"/>
  <c r="E247" i="1" a="1"/>
  <c r="E247" i="1" s="1"/>
  <c r="D247" i="1" a="1"/>
  <c r="D247" i="1" s="1"/>
  <c r="C247" i="1" a="1"/>
  <c r="C247" i="1" s="1"/>
  <c r="G246" i="1" a="1"/>
  <c r="G246" i="1" s="1"/>
  <c r="F246" i="1" a="1"/>
  <c r="F246" i="1" s="1"/>
  <c r="E246" i="1" a="1"/>
  <c r="E246" i="1" s="1"/>
  <c r="D246" i="1" a="1"/>
  <c r="D246" i="1" s="1"/>
  <c r="C246" i="1" a="1"/>
  <c r="C246" i="1" s="1"/>
  <c r="G245" i="1" a="1"/>
  <c r="G245" i="1" s="1"/>
  <c r="F245" i="1" a="1"/>
  <c r="F245" i="1" s="1"/>
  <c r="E245" i="1" a="1"/>
  <c r="E245" i="1" s="1"/>
  <c r="D245" i="1" a="1"/>
  <c r="D245" i="1" s="1"/>
  <c r="C245" i="1" a="1"/>
  <c r="C245" i="1" s="1"/>
  <c r="G244" i="1" a="1"/>
  <c r="G244" i="1" s="1"/>
  <c r="F244" i="1" a="1"/>
  <c r="F244" i="1" s="1"/>
  <c r="E244" i="1" a="1"/>
  <c r="E244" i="1" s="1"/>
  <c r="D244" i="1" a="1"/>
  <c r="D244" i="1" s="1"/>
  <c r="C244" i="1" a="1"/>
  <c r="C244" i="1" s="1"/>
  <c r="G243" i="1" a="1"/>
  <c r="G243" i="1" s="1"/>
  <c r="F243" i="1" a="1"/>
  <c r="F243" i="1" s="1"/>
  <c r="E243" i="1" a="1"/>
  <c r="E243" i="1" s="1"/>
  <c r="D243" i="1" a="1"/>
  <c r="D243" i="1" s="1"/>
  <c r="C243" i="1" a="1"/>
  <c r="C243" i="1" s="1"/>
  <c r="G242" i="1"/>
  <c r="G242" i="1" a="1"/>
  <c r="F242" i="1"/>
  <c r="F242" i="1" a="1"/>
  <c r="E242" i="1"/>
  <c r="E242" i="1" a="1"/>
  <c r="D242" i="1"/>
  <c r="D242" i="1" a="1"/>
  <c r="C242" i="1"/>
  <c r="C242" i="1" a="1"/>
  <c r="G239" i="1" a="1"/>
  <c r="G239" i="1" s="1"/>
  <c r="F239" i="1" a="1"/>
  <c r="F239" i="1" s="1"/>
  <c r="E239" i="1" a="1"/>
  <c r="E239" i="1" s="1"/>
  <c r="D239" i="1" a="1"/>
  <c r="D239" i="1" s="1"/>
  <c r="C239" i="1" a="1"/>
  <c r="C239" i="1" s="1"/>
  <c r="G238" i="1" a="1"/>
  <c r="G238" i="1" s="1"/>
  <c r="F238" i="1" a="1"/>
  <c r="F238" i="1" s="1"/>
  <c r="E238" i="1" a="1"/>
  <c r="E238" i="1" s="1"/>
  <c r="D238" i="1" a="1"/>
  <c r="D238" i="1" s="1"/>
  <c r="C238" i="1" a="1"/>
  <c r="C238" i="1" s="1"/>
  <c r="G237" i="1" a="1"/>
  <c r="G237" i="1" s="1"/>
  <c r="F237" i="1" a="1"/>
  <c r="F237" i="1" s="1"/>
  <c r="E237" i="1" a="1"/>
  <c r="E237" i="1" s="1"/>
  <c r="D237" i="1" a="1"/>
  <c r="D237" i="1" s="1"/>
  <c r="C237" i="1" a="1"/>
  <c r="C237" i="1" s="1"/>
  <c r="G236" i="1" a="1"/>
  <c r="G236" i="1" s="1"/>
  <c r="F236" i="1" a="1"/>
  <c r="F236" i="1" s="1"/>
  <c r="E236" i="1" a="1"/>
  <c r="E236" i="1" s="1"/>
  <c r="D236" i="1" a="1"/>
  <c r="D236" i="1" s="1"/>
  <c r="C236" i="1" a="1"/>
  <c r="C236" i="1" s="1"/>
  <c r="G235" i="1" a="1"/>
  <c r="G235" i="1" s="1"/>
  <c r="F235" i="1" a="1"/>
  <c r="F235" i="1" s="1"/>
  <c r="E235" i="1" a="1"/>
  <c r="E235" i="1" s="1"/>
  <c r="D235" i="1" a="1"/>
  <c r="D235" i="1" s="1"/>
  <c r="C235" i="1" a="1"/>
  <c r="C235" i="1" s="1"/>
  <c r="G234" i="1" a="1"/>
  <c r="G234" i="1" s="1"/>
  <c r="F234" i="1" a="1"/>
  <c r="F234" i="1" s="1"/>
  <c r="E234" i="1" a="1"/>
  <c r="E234" i="1" s="1"/>
  <c r="D234" i="1" a="1"/>
  <c r="D234" i="1" s="1"/>
  <c r="C234" i="1" a="1"/>
  <c r="C234" i="1" s="1"/>
  <c r="G233" i="1" a="1"/>
  <c r="G233" i="1" s="1"/>
  <c r="F233" i="1" a="1"/>
  <c r="F233" i="1" s="1"/>
  <c r="E233" i="1" a="1"/>
  <c r="E233" i="1" s="1"/>
  <c r="D233" i="1" a="1"/>
  <c r="D233" i="1" s="1"/>
  <c r="C233" i="1" a="1"/>
  <c r="C233" i="1" s="1"/>
  <c r="G232" i="1"/>
  <c r="G232" i="1" a="1"/>
  <c r="F232" i="1"/>
  <c r="F232" i="1" a="1"/>
  <c r="E232" i="1"/>
  <c r="E232" i="1" a="1"/>
  <c r="D232" i="1"/>
  <c r="D232" i="1" a="1"/>
  <c r="C232" i="1"/>
  <c r="C232" i="1" a="1"/>
  <c r="G230" i="1" a="1"/>
  <c r="G230" i="1" s="1"/>
  <c r="F230" i="1" a="1"/>
  <c r="F230" i="1" s="1"/>
  <c r="E230" i="1" a="1"/>
  <c r="E230" i="1" s="1"/>
  <c r="D230" i="1" a="1"/>
  <c r="D230" i="1" s="1"/>
  <c r="C230" i="1" a="1"/>
  <c r="C230" i="1" s="1"/>
  <c r="G229" i="1" a="1"/>
  <c r="G229" i="1" s="1"/>
  <c r="F229" i="1" a="1"/>
  <c r="F229" i="1" s="1"/>
  <c r="E229" i="1" a="1"/>
  <c r="E229" i="1" s="1"/>
  <c r="D229" i="1" a="1"/>
  <c r="D229" i="1" s="1"/>
  <c r="C229" i="1" a="1"/>
  <c r="C229" i="1" s="1"/>
  <c r="G228" i="1"/>
  <c r="G228" i="1" a="1"/>
  <c r="F228" i="1"/>
  <c r="F228" i="1" a="1"/>
  <c r="E228" i="1"/>
  <c r="E228" i="1" a="1"/>
  <c r="D228" i="1"/>
  <c r="D228" i="1" a="1"/>
  <c r="C228" i="1"/>
  <c r="C228" i="1" a="1"/>
  <c r="G226" i="1" a="1"/>
  <c r="G226" i="1" s="1"/>
  <c r="F226" i="1" a="1"/>
  <c r="F226" i="1" s="1"/>
  <c r="E226" i="1" a="1"/>
  <c r="E226" i="1" s="1"/>
  <c r="D226" i="1" a="1"/>
  <c r="D226" i="1" s="1"/>
  <c r="C226" i="1" a="1"/>
  <c r="C226" i="1" s="1"/>
  <c r="G225" i="1" a="1"/>
  <c r="G225" i="1" s="1"/>
  <c r="F225" i="1" a="1"/>
  <c r="F225" i="1" s="1"/>
  <c r="E225" i="1" a="1"/>
  <c r="E225" i="1" s="1"/>
  <c r="D225" i="1" a="1"/>
  <c r="D225" i="1" s="1"/>
  <c r="C225" i="1" a="1"/>
  <c r="C225" i="1" s="1"/>
  <c r="G224" i="1"/>
  <c r="G224" i="1" a="1"/>
  <c r="F224" i="1"/>
  <c r="F224" i="1" a="1"/>
  <c r="E224" i="1"/>
  <c r="E224" i="1" a="1"/>
  <c r="D224" i="1"/>
  <c r="D224" i="1" a="1"/>
  <c r="C224" i="1"/>
  <c r="C224" i="1" a="1"/>
  <c r="G222" i="1" a="1"/>
  <c r="G222" i="1" s="1"/>
  <c r="F222" i="1" a="1"/>
  <c r="F222" i="1" s="1"/>
  <c r="E222" i="1" a="1"/>
  <c r="E222" i="1" s="1"/>
  <c r="D222" i="1" a="1"/>
  <c r="D222" i="1" s="1"/>
  <c r="C222" i="1" a="1"/>
  <c r="C222" i="1" s="1"/>
  <c r="G221" i="1" a="1"/>
  <c r="G221" i="1" s="1"/>
  <c r="F221" i="1" a="1"/>
  <c r="F221" i="1" s="1"/>
  <c r="E221" i="1" a="1"/>
  <c r="E221" i="1" s="1"/>
  <c r="D221" i="1" a="1"/>
  <c r="D221" i="1" s="1"/>
  <c r="C221" i="1" a="1"/>
  <c r="C221" i="1" s="1"/>
  <c r="G220" i="1"/>
  <c r="G220" i="1" a="1"/>
  <c r="F220" i="1"/>
  <c r="F220" i="1" a="1"/>
  <c r="E220" i="1"/>
  <c r="E220" i="1" a="1"/>
  <c r="D220" i="1"/>
  <c r="D220" i="1" a="1"/>
  <c r="C220" i="1"/>
  <c r="C220" i="1" a="1"/>
  <c r="G215" i="1" a="1"/>
  <c r="G215" i="1" s="1"/>
  <c r="F215" i="1" a="1"/>
  <c r="F215" i="1" s="1"/>
  <c r="E215" i="1" a="1"/>
  <c r="E215" i="1" s="1"/>
  <c r="D215" i="1" a="1"/>
  <c r="D215" i="1" s="1"/>
  <c r="C215" i="1" a="1"/>
  <c r="C215" i="1" s="1"/>
  <c r="G214" i="1" a="1"/>
  <c r="G214" i="1" s="1"/>
  <c r="F214" i="1" a="1"/>
  <c r="F214" i="1" s="1"/>
  <c r="E214" i="1" a="1"/>
  <c r="E214" i="1" s="1"/>
  <c r="D214" i="1" a="1"/>
  <c r="D214" i="1" s="1"/>
  <c r="C214" i="1" a="1"/>
  <c r="C214" i="1" s="1"/>
  <c r="G213" i="1"/>
  <c r="G213" i="1" a="1"/>
  <c r="F213" i="1"/>
  <c r="F213" i="1" a="1"/>
  <c r="E213" i="1"/>
  <c r="E213" i="1" a="1"/>
  <c r="D213" i="1"/>
  <c r="D213" i="1" a="1"/>
  <c r="C213" i="1"/>
  <c r="C213" i="1" a="1"/>
  <c r="G211" i="1" a="1"/>
  <c r="G211" i="1" s="1"/>
  <c r="F211" i="1" a="1"/>
  <c r="F211" i="1" s="1"/>
  <c r="E211" i="1" a="1"/>
  <c r="E211" i="1" s="1"/>
  <c r="D211" i="1" a="1"/>
  <c r="D211" i="1" s="1"/>
  <c r="C211" i="1" a="1"/>
  <c r="C211" i="1" s="1"/>
  <c r="G210" i="1" a="1"/>
  <c r="G210" i="1" s="1"/>
  <c r="F210" i="1" a="1"/>
  <c r="F210" i="1" s="1"/>
  <c r="E210" i="1" a="1"/>
  <c r="E210" i="1" s="1"/>
  <c r="D210" i="1" a="1"/>
  <c r="D210" i="1" s="1"/>
  <c r="C210" i="1" a="1"/>
  <c r="C210" i="1" s="1"/>
  <c r="G209" i="1" a="1"/>
  <c r="G209" i="1" s="1"/>
  <c r="F209" i="1" a="1"/>
  <c r="F209" i="1" s="1"/>
  <c r="E209" i="1" a="1"/>
  <c r="E209" i="1" s="1"/>
  <c r="D209" i="1" a="1"/>
  <c r="D209" i="1" s="1"/>
  <c r="C209" i="1" a="1"/>
  <c r="C209" i="1" s="1"/>
  <c r="G208" i="1" a="1"/>
  <c r="G208" i="1" s="1"/>
  <c r="F208" i="1" a="1"/>
  <c r="F208" i="1" s="1"/>
  <c r="E208" i="1" a="1"/>
  <c r="E208" i="1" s="1"/>
  <c r="D208" i="1" a="1"/>
  <c r="D208" i="1" s="1"/>
  <c r="C208" i="1" a="1"/>
  <c r="C208" i="1" s="1"/>
  <c r="G207" i="1"/>
  <c r="G207" i="1" a="1"/>
  <c r="F207" i="1"/>
  <c r="F207" i="1" a="1"/>
  <c r="E207" i="1"/>
  <c r="E207" i="1" a="1"/>
  <c r="D207" i="1"/>
  <c r="D207" i="1" a="1"/>
  <c r="C207" i="1"/>
  <c r="C207" i="1" a="1"/>
  <c r="G204" i="1" a="1"/>
  <c r="G204" i="1" s="1"/>
  <c r="F204" i="1" a="1"/>
  <c r="F204" i="1" s="1"/>
  <c r="E204" i="1" a="1"/>
  <c r="E204" i="1" s="1"/>
  <c r="D204" i="1" a="1"/>
  <c r="D204" i="1" s="1"/>
  <c r="C204" i="1" a="1"/>
  <c r="C204" i="1" s="1"/>
  <c r="G202" i="1" a="1"/>
  <c r="G202" i="1" s="1"/>
  <c r="F202" i="1" a="1"/>
  <c r="F202" i="1" s="1"/>
  <c r="E202" i="1" a="1"/>
  <c r="E202" i="1" s="1"/>
  <c r="D202" i="1" a="1"/>
  <c r="D202" i="1" s="1"/>
  <c r="C202" i="1" a="1"/>
  <c r="C202" i="1" s="1"/>
  <c r="G201" i="1" a="1"/>
  <c r="G201" i="1" s="1"/>
  <c r="F201" i="1" a="1"/>
  <c r="F201" i="1" s="1"/>
  <c r="E201" i="1" a="1"/>
  <c r="E201" i="1" s="1"/>
  <c r="D201" i="1" a="1"/>
  <c r="D201" i="1" s="1"/>
  <c r="C201" i="1" a="1"/>
  <c r="C201" i="1" s="1"/>
  <c r="G199" i="1" a="1"/>
  <c r="G199" i="1" s="1"/>
  <c r="F199" i="1" a="1"/>
  <c r="F199" i="1" s="1"/>
  <c r="E199" i="1" a="1"/>
  <c r="E199" i="1" s="1"/>
  <c r="D199" i="1" a="1"/>
  <c r="D199" i="1" s="1"/>
  <c r="C199" i="1" a="1"/>
  <c r="C199" i="1" s="1"/>
  <c r="G198" i="1" a="1"/>
  <c r="G198" i="1" s="1"/>
  <c r="F198" i="1" a="1"/>
  <c r="F198" i="1" s="1"/>
  <c r="E198" i="1" a="1"/>
  <c r="E198" i="1" s="1"/>
  <c r="D198" i="1" a="1"/>
  <c r="D198" i="1" s="1"/>
  <c r="C198" i="1" a="1"/>
  <c r="C198" i="1" s="1"/>
  <c r="G197" i="1" a="1"/>
  <c r="G197" i="1" s="1"/>
  <c r="F197" i="1" a="1"/>
  <c r="F197" i="1" s="1"/>
  <c r="E197" i="1" a="1"/>
  <c r="E197" i="1" s="1"/>
  <c r="D197" i="1" a="1"/>
  <c r="D197" i="1" s="1"/>
  <c r="C197" i="1" a="1"/>
  <c r="C197" i="1" s="1"/>
  <c r="G196" i="1" a="1"/>
  <c r="G196" i="1" s="1"/>
  <c r="F196" i="1" a="1"/>
  <c r="F196" i="1" s="1"/>
  <c r="E196" i="1" a="1"/>
  <c r="E196" i="1" s="1"/>
  <c r="D196" i="1" a="1"/>
  <c r="D196" i="1" s="1"/>
  <c r="C196" i="1" a="1"/>
  <c r="C196" i="1" s="1"/>
  <c r="G195" i="1" a="1"/>
  <c r="G195" i="1" s="1"/>
  <c r="F195" i="1" a="1"/>
  <c r="F195" i="1" s="1"/>
  <c r="E195" i="1" a="1"/>
  <c r="E195" i="1" s="1"/>
  <c r="D195" i="1" a="1"/>
  <c r="D195" i="1" s="1"/>
  <c r="C195" i="1" a="1"/>
  <c r="C195" i="1" s="1"/>
  <c r="G194" i="1" a="1"/>
  <c r="G194" i="1" s="1"/>
  <c r="F194" i="1" a="1"/>
  <c r="F194" i="1" s="1"/>
  <c r="E194" i="1" a="1"/>
  <c r="E194" i="1" s="1"/>
  <c r="D194" i="1" a="1"/>
  <c r="D194" i="1" s="1"/>
  <c r="C194" i="1" a="1"/>
  <c r="C194" i="1" s="1"/>
  <c r="G193" i="1"/>
  <c r="G193" i="1" a="1"/>
  <c r="F193" i="1"/>
  <c r="F193" i="1" a="1"/>
  <c r="E193" i="1"/>
  <c r="E193" i="1" a="1"/>
  <c r="D193" i="1"/>
  <c r="D193" i="1" a="1"/>
  <c r="C193" i="1"/>
  <c r="C193" i="1" a="1"/>
  <c r="G178" i="1" a="1"/>
  <c r="G178" i="1" s="1"/>
  <c r="F178" i="1" a="1"/>
  <c r="F178" i="1" s="1"/>
  <c r="E178" i="1" a="1"/>
  <c r="E178" i="1" s="1"/>
  <c r="D178" i="1" a="1"/>
  <c r="D178" i="1" s="1"/>
  <c r="C178" i="1" a="1"/>
  <c r="C178" i="1" s="1"/>
  <c r="G177" i="1" a="1"/>
  <c r="G177" i="1" s="1"/>
  <c r="F177" i="1" a="1"/>
  <c r="F177" i="1" s="1"/>
  <c r="E177" i="1" a="1"/>
  <c r="E177" i="1" s="1"/>
  <c r="D177" i="1" a="1"/>
  <c r="D177" i="1" s="1"/>
  <c r="C177" i="1" a="1"/>
  <c r="C177" i="1" s="1"/>
  <c r="G176" i="1" a="1"/>
  <c r="G176" i="1" s="1"/>
  <c r="F176" i="1" a="1"/>
  <c r="F176" i="1" s="1"/>
  <c r="E176" i="1" a="1"/>
  <c r="E176" i="1" s="1"/>
  <c r="D176" i="1" a="1"/>
  <c r="D176" i="1" s="1"/>
  <c r="C176" i="1" a="1"/>
  <c r="C176" i="1" s="1"/>
  <c r="G175" i="1" a="1"/>
  <c r="G175" i="1" s="1"/>
  <c r="F175" i="1" a="1"/>
  <c r="F175" i="1" s="1"/>
  <c r="E175" i="1" a="1"/>
  <c r="E175" i="1" s="1"/>
  <c r="D175" i="1" a="1"/>
  <c r="D175" i="1" s="1"/>
  <c r="C175" i="1" a="1"/>
  <c r="C175" i="1" s="1"/>
  <c r="G174" i="1" a="1"/>
  <c r="G174" i="1" s="1"/>
  <c r="F174" i="1" a="1"/>
  <c r="F174" i="1" s="1"/>
  <c r="E174" i="1" a="1"/>
  <c r="E174" i="1" s="1"/>
  <c r="D174" i="1" a="1"/>
  <c r="D174" i="1" s="1"/>
  <c r="C174" i="1" a="1"/>
  <c r="C174" i="1" s="1"/>
  <c r="G173" i="1" a="1"/>
  <c r="G173" i="1" s="1"/>
  <c r="F173" i="1" a="1"/>
  <c r="F173" i="1" s="1"/>
  <c r="E173" i="1" a="1"/>
  <c r="E173" i="1" s="1"/>
  <c r="D173" i="1" a="1"/>
  <c r="D173" i="1" s="1"/>
  <c r="C173" i="1" a="1"/>
  <c r="C173" i="1" s="1"/>
  <c r="G172" i="1"/>
  <c r="G172" i="1" a="1"/>
  <c r="F172" i="1"/>
  <c r="F172" i="1" a="1"/>
  <c r="E172" i="1"/>
  <c r="E172" i="1" a="1"/>
  <c r="D172" i="1"/>
  <c r="D172" i="1" a="1"/>
  <c r="C172" i="1"/>
  <c r="C172" i="1" a="1"/>
  <c r="G170" i="1" a="1"/>
  <c r="G170" i="1" s="1"/>
  <c r="F170" i="1" a="1"/>
  <c r="F170" i="1" s="1"/>
  <c r="E170" i="1" a="1"/>
  <c r="E170" i="1" s="1"/>
  <c r="D170" i="1" a="1"/>
  <c r="D170" i="1" s="1"/>
  <c r="C170" i="1" a="1"/>
  <c r="C170" i="1" s="1"/>
  <c r="G169" i="1" a="1"/>
  <c r="G169" i="1" s="1"/>
  <c r="F169" i="1" a="1"/>
  <c r="F169" i="1" s="1"/>
  <c r="E169" i="1" a="1"/>
  <c r="E169" i="1" s="1"/>
  <c r="D169" i="1" a="1"/>
  <c r="D169" i="1" s="1"/>
  <c r="C169" i="1" a="1"/>
  <c r="C169" i="1" s="1"/>
  <c r="G168" i="1" a="1"/>
  <c r="G168" i="1" s="1"/>
  <c r="F168" i="1" a="1"/>
  <c r="F168" i="1" s="1"/>
  <c r="E168" i="1" a="1"/>
  <c r="E168" i="1" s="1"/>
  <c r="D168" i="1" a="1"/>
  <c r="D168" i="1" s="1"/>
  <c r="C168" i="1" a="1"/>
  <c r="C168" i="1" s="1"/>
  <c r="G167" i="1" a="1"/>
  <c r="G167" i="1" s="1"/>
  <c r="F167" i="1" a="1"/>
  <c r="F167" i="1" s="1"/>
  <c r="E167" i="1" a="1"/>
  <c r="E167" i="1" s="1"/>
  <c r="D167" i="1" a="1"/>
  <c r="D167" i="1" s="1"/>
  <c r="C167" i="1" a="1"/>
  <c r="C167" i="1" s="1"/>
  <c r="G166" i="1"/>
  <c r="G166" i="1" a="1"/>
  <c r="F166" i="1"/>
  <c r="F166" i="1" a="1"/>
  <c r="E166" i="1"/>
  <c r="E166" i="1" a="1"/>
  <c r="D166" i="1"/>
  <c r="D166" i="1" a="1"/>
  <c r="C166" i="1"/>
  <c r="C166" i="1" a="1"/>
  <c r="G164" i="1" a="1"/>
  <c r="G164" i="1" s="1"/>
  <c r="F164" i="1" a="1"/>
  <c r="F164" i="1" s="1"/>
  <c r="E164" i="1" a="1"/>
  <c r="E164" i="1" s="1"/>
  <c r="D164" i="1" a="1"/>
  <c r="D164" i="1" s="1"/>
  <c r="C164" i="1" a="1"/>
  <c r="C164" i="1" s="1"/>
  <c r="G163" i="1" a="1"/>
  <c r="G163" i="1" s="1"/>
  <c r="F163" i="1" a="1"/>
  <c r="F163" i="1" s="1"/>
  <c r="E163" i="1" a="1"/>
  <c r="E163" i="1" s="1"/>
  <c r="D163" i="1" a="1"/>
  <c r="D163" i="1" s="1"/>
  <c r="C163" i="1" a="1"/>
  <c r="C163" i="1" s="1"/>
  <c r="G162" i="1" a="1"/>
  <c r="G162" i="1" s="1"/>
  <c r="F162" i="1" a="1"/>
  <c r="F162" i="1" s="1"/>
  <c r="E162" i="1" a="1"/>
  <c r="E162" i="1" s="1"/>
  <c r="D162" i="1" a="1"/>
  <c r="D162" i="1" s="1"/>
  <c r="C162" i="1" a="1"/>
  <c r="C162" i="1" s="1"/>
  <c r="G161" i="1" a="1"/>
  <c r="G161" i="1" s="1"/>
  <c r="F161" i="1" a="1"/>
  <c r="F161" i="1" s="1"/>
  <c r="E161" i="1" a="1"/>
  <c r="E161" i="1" s="1"/>
  <c r="D161" i="1" a="1"/>
  <c r="D161" i="1" s="1"/>
  <c r="C161" i="1" a="1"/>
  <c r="C161" i="1" s="1"/>
  <c r="G160" i="1" a="1"/>
  <c r="G160" i="1" s="1"/>
  <c r="F160" i="1" a="1"/>
  <c r="F160" i="1" s="1"/>
  <c r="E160" i="1" a="1"/>
  <c r="E160" i="1" s="1"/>
  <c r="D160" i="1" a="1"/>
  <c r="D160" i="1" s="1"/>
  <c r="C160" i="1" a="1"/>
  <c r="C160" i="1" s="1"/>
  <c r="G159" i="1" a="1"/>
  <c r="G159" i="1" s="1"/>
  <c r="F159" i="1" a="1"/>
  <c r="F159" i="1" s="1"/>
  <c r="E159" i="1" a="1"/>
  <c r="E159" i="1" s="1"/>
  <c r="D159" i="1" a="1"/>
  <c r="D159" i="1" s="1"/>
  <c r="C159" i="1" a="1"/>
  <c r="C159" i="1" s="1"/>
  <c r="G158" i="1" a="1"/>
  <c r="G158" i="1" s="1"/>
  <c r="F158" i="1" a="1"/>
  <c r="F158" i="1" s="1"/>
  <c r="E158" i="1" a="1"/>
  <c r="E158" i="1" s="1"/>
  <c r="D158" i="1" a="1"/>
  <c r="D158" i="1" s="1"/>
  <c r="C158" i="1" a="1"/>
  <c r="C158" i="1" s="1"/>
  <c r="G157" i="1" a="1"/>
  <c r="G157" i="1" s="1"/>
  <c r="F157" i="1" a="1"/>
  <c r="F157" i="1" s="1"/>
  <c r="E157" i="1" a="1"/>
  <c r="E157" i="1" s="1"/>
  <c r="D157" i="1" a="1"/>
  <c r="D157" i="1" s="1"/>
  <c r="C157" i="1" a="1"/>
  <c r="C157" i="1" s="1"/>
  <c r="G156" i="1" a="1"/>
  <c r="G156" i="1" s="1"/>
  <c r="F156" i="1" a="1"/>
  <c r="F156" i="1" s="1"/>
  <c r="E156" i="1" a="1"/>
  <c r="E156" i="1" s="1"/>
  <c r="D156" i="1" a="1"/>
  <c r="D156" i="1" s="1"/>
  <c r="C156" i="1" a="1"/>
  <c r="C156" i="1" s="1"/>
  <c r="G155" i="1"/>
  <c r="G155" i="1" a="1"/>
  <c r="F155" i="1"/>
  <c r="F155" i="1" a="1"/>
  <c r="E155" i="1"/>
  <c r="E155" i="1" a="1"/>
  <c r="D155" i="1"/>
  <c r="D155" i="1" a="1"/>
  <c r="C155" i="1"/>
  <c r="C155" i="1" a="1"/>
  <c r="G153" i="1" a="1"/>
  <c r="G153" i="1" s="1"/>
  <c r="F153" i="1" a="1"/>
  <c r="F153" i="1" s="1"/>
  <c r="E153" i="1" a="1"/>
  <c r="E153" i="1" s="1"/>
  <c r="D153" i="1" a="1"/>
  <c r="D153" i="1" s="1"/>
  <c r="C153" i="1" a="1"/>
  <c r="C153" i="1" s="1"/>
  <c r="G152" i="1" a="1"/>
  <c r="G152" i="1" s="1"/>
  <c r="F152" i="1" a="1"/>
  <c r="F152" i="1" s="1"/>
  <c r="E152" i="1" a="1"/>
  <c r="E152" i="1" s="1"/>
  <c r="D152" i="1" a="1"/>
  <c r="D152" i="1" s="1"/>
  <c r="C152" i="1" a="1"/>
  <c r="C152" i="1" s="1"/>
  <c r="G151" i="1" a="1"/>
  <c r="G151" i="1" s="1"/>
  <c r="F151" i="1" a="1"/>
  <c r="F151" i="1" s="1"/>
  <c r="E151" i="1" a="1"/>
  <c r="E151" i="1" s="1"/>
  <c r="D151" i="1" a="1"/>
  <c r="D151" i="1" s="1"/>
  <c r="C151" i="1" a="1"/>
  <c r="C151" i="1" s="1"/>
  <c r="G150" i="1" a="1"/>
  <c r="G150" i="1" s="1"/>
  <c r="F150" i="1" a="1"/>
  <c r="F150" i="1" s="1"/>
  <c r="E150" i="1" a="1"/>
  <c r="E150" i="1" s="1"/>
  <c r="D150" i="1" a="1"/>
  <c r="D150" i="1" s="1"/>
  <c r="C150" i="1" a="1"/>
  <c r="C150" i="1" s="1"/>
  <c r="G149" i="1" a="1"/>
  <c r="G149" i="1" s="1"/>
  <c r="F149" i="1" a="1"/>
  <c r="F149" i="1" s="1"/>
  <c r="E149" i="1" a="1"/>
  <c r="E149" i="1" s="1"/>
  <c r="D149" i="1" a="1"/>
  <c r="D149" i="1" s="1"/>
  <c r="C149" i="1" a="1"/>
  <c r="C149" i="1" s="1"/>
  <c r="G148" i="1" a="1"/>
  <c r="G148" i="1" s="1"/>
  <c r="F148" i="1" a="1"/>
  <c r="F148" i="1" s="1"/>
  <c r="E148" i="1" a="1"/>
  <c r="E148" i="1" s="1"/>
  <c r="D148" i="1" a="1"/>
  <c r="D148" i="1" s="1"/>
  <c r="C148" i="1" a="1"/>
  <c r="C148" i="1" s="1"/>
  <c r="G147" i="1"/>
  <c r="G147" i="1" a="1"/>
  <c r="F147" i="1"/>
  <c r="F147" i="1" a="1"/>
  <c r="E147" i="1"/>
  <c r="E147" i="1" a="1"/>
  <c r="D147" i="1"/>
  <c r="D147" i="1" a="1"/>
  <c r="C147" i="1"/>
  <c r="C147" i="1" a="1"/>
  <c r="G145" i="1" a="1"/>
  <c r="G145" i="1" s="1"/>
  <c r="F145" i="1" a="1"/>
  <c r="F145" i="1" s="1"/>
  <c r="E145" i="1" a="1"/>
  <c r="E145" i="1" s="1"/>
  <c r="D145" i="1" a="1"/>
  <c r="D145" i="1" s="1"/>
  <c r="C145" i="1" a="1"/>
  <c r="C145" i="1" s="1"/>
  <c r="G144" i="1" a="1"/>
  <c r="G144" i="1" s="1"/>
  <c r="F144" i="1" a="1"/>
  <c r="F144" i="1" s="1"/>
  <c r="E144" i="1" a="1"/>
  <c r="E144" i="1" s="1"/>
  <c r="D144" i="1" a="1"/>
  <c r="D144" i="1" s="1"/>
  <c r="C144" i="1" a="1"/>
  <c r="C144" i="1" s="1"/>
  <c r="G143" i="1" a="1"/>
  <c r="G143" i="1" s="1"/>
  <c r="F143" i="1" a="1"/>
  <c r="F143" i="1" s="1"/>
  <c r="E143" i="1" a="1"/>
  <c r="E143" i="1" s="1"/>
  <c r="D143" i="1" a="1"/>
  <c r="D143" i="1" s="1"/>
  <c r="C143" i="1" a="1"/>
  <c r="C143" i="1" s="1"/>
  <c r="G142" i="1" a="1"/>
  <c r="G142" i="1" s="1"/>
  <c r="F142" i="1" a="1"/>
  <c r="F142" i="1" s="1"/>
  <c r="E142" i="1" a="1"/>
  <c r="E142" i="1" s="1"/>
  <c r="D142" i="1" a="1"/>
  <c r="D142" i="1" s="1"/>
  <c r="C142" i="1" a="1"/>
  <c r="C142" i="1" s="1"/>
  <c r="G141" i="1" a="1"/>
  <c r="G141" i="1" s="1"/>
  <c r="F141" i="1" a="1"/>
  <c r="F141" i="1" s="1"/>
  <c r="E141" i="1" a="1"/>
  <c r="E141" i="1" s="1"/>
  <c r="D141" i="1" a="1"/>
  <c r="D141" i="1" s="1"/>
  <c r="C141" i="1" a="1"/>
  <c r="C141" i="1" s="1"/>
  <c r="G140" i="1" a="1"/>
  <c r="G140" i="1" s="1"/>
  <c r="F140" i="1" a="1"/>
  <c r="F140" i="1" s="1"/>
  <c r="E140" i="1" a="1"/>
  <c r="E140" i="1" s="1"/>
  <c r="D140" i="1" a="1"/>
  <c r="D140" i="1" s="1"/>
  <c r="C140" i="1" a="1"/>
  <c r="C140" i="1" s="1"/>
  <c r="G139" i="1" a="1"/>
  <c r="G139" i="1" s="1"/>
  <c r="F139" i="1" a="1"/>
  <c r="F139" i="1" s="1"/>
  <c r="E139" i="1" a="1"/>
  <c r="E139" i="1" s="1"/>
  <c r="D139" i="1" a="1"/>
  <c r="D139" i="1" s="1"/>
  <c r="C139" i="1" a="1"/>
  <c r="C139" i="1" s="1"/>
  <c r="G138" i="1" a="1"/>
  <c r="G138" i="1" s="1"/>
  <c r="F138" i="1" a="1"/>
  <c r="F138" i="1" s="1"/>
  <c r="E138" i="1" a="1"/>
  <c r="E138" i="1" s="1"/>
  <c r="D138" i="1" a="1"/>
  <c r="D138" i="1" s="1"/>
  <c r="C138" i="1" a="1"/>
  <c r="C138" i="1" s="1"/>
  <c r="G137" i="1" a="1"/>
  <c r="G137" i="1" s="1"/>
  <c r="F137" i="1" a="1"/>
  <c r="F137" i="1" s="1"/>
  <c r="E137" i="1" a="1"/>
  <c r="E137" i="1" s="1"/>
  <c r="D137" i="1" a="1"/>
  <c r="D137" i="1" s="1"/>
  <c r="C137" i="1" a="1"/>
  <c r="C137" i="1" s="1"/>
  <c r="G136" i="1" a="1"/>
  <c r="G136" i="1" s="1"/>
  <c r="F136" i="1" a="1"/>
  <c r="F136" i="1" s="1"/>
  <c r="E136" i="1" a="1"/>
  <c r="E136" i="1" s="1"/>
  <c r="D136" i="1" a="1"/>
  <c r="D136" i="1" s="1"/>
  <c r="C136" i="1" a="1"/>
  <c r="C136" i="1" s="1"/>
  <c r="G135" i="1" a="1"/>
  <c r="G135" i="1" s="1"/>
  <c r="F135" i="1" a="1"/>
  <c r="F135" i="1" s="1"/>
  <c r="E135" i="1" a="1"/>
  <c r="E135" i="1" s="1"/>
  <c r="D135" i="1" a="1"/>
  <c r="D135" i="1" s="1"/>
  <c r="C135" i="1" a="1"/>
  <c r="C135" i="1" s="1"/>
  <c r="G134" i="1" a="1"/>
  <c r="G134" i="1" s="1"/>
  <c r="F134" i="1" a="1"/>
  <c r="F134" i="1" s="1"/>
  <c r="E134" i="1" a="1"/>
  <c r="E134" i="1" s="1"/>
  <c r="D134" i="1" a="1"/>
  <c r="D134" i="1" s="1"/>
  <c r="C134" i="1" a="1"/>
  <c r="C134" i="1" s="1"/>
  <c r="G133" i="1"/>
  <c r="G133" i="1" a="1"/>
  <c r="F133" i="1"/>
  <c r="F133" i="1" a="1"/>
  <c r="E133" i="1"/>
  <c r="E133" i="1" a="1"/>
  <c r="D133" i="1"/>
  <c r="D133" i="1" a="1"/>
  <c r="C133" i="1"/>
  <c r="C133" i="1" a="1"/>
  <c r="G131" i="1" a="1"/>
  <c r="G131" i="1" s="1"/>
  <c r="F131" i="1" a="1"/>
  <c r="F131" i="1" s="1"/>
  <c r="E131" i="1" a="1"/>
  <c r="E131" i="1" s="1"/>
  <c r="D131" i="1" a="1"/>
  <c r="D131" i="1" s="1"/>
  <c r="C131" i="1" a="1"/>
  <c r="C131" i="1" s="1"/>
  <c r="G130" i="1" a="1"/>
  <c r="G130" i="1" s="1"/>
  <c r="F130" i="1" a="1"/>
  <c r="F130" i="1" s="1"/>
  <c r="E130" i="1" a="1"/>
  <c r="E130" i="1" s="1"/>
  <c r="D130" i="1" a="1"/>
  <c r="D130" i="1" s="1"/>
  <c r="C130" i="1" a="1"/>
  <c r="C130" i="1" s="1"/>
  <c r="G129" i="1" a="1"/>
  <c r="G129" i="1" s="1"/>
  <c r="F129" i="1" a="1"/>
  <c r="F129" i="1" s="1"/>
  <c r="E129" i="1" a="1"/>
  <c r="E129" i="1" s="1"/>
  <c r="D129" i="1" a="1"/>
  <c r="D129" i="1" s="1"/>
  <c r="C129" i="1" a="1"/>
  <c r="C129" i="1" s="1"/>
  <c r="G128" i="1" a="1"/>
  <c r="G128" i="1" s="1"/>
  <c r="F128" i="1" a="1"/>
  <c r="F128" i="1" s="1"/>
  <c r="E128" i="1" a="1"/>
  <c r="E128" i="1" s="1"/>
  <c r="D128" i="1" a="1"/>
  <c r="D128" i="1" s="1"/>
  <c r="C128" i="1" a="1"/>
  <c r="C128" i="1" s="1"/>
  <c r="G127" i="1" a="1"/>
  <c r="G127" i="1" s="1"/>
  <c r="F127" i="1" a="1"/>
  <c r="F127" i="1" s="1"/>
  <c r="E127" i="1" a="1"/>
  <c r="E127" i="1" s="1"/>
  <c r="D127" i="1" a="1"/>
  <c r="D127" i="1" s="1"/>
  <c r="C127" i="1" a="1"/>
  <c r="C127" i="1" s="1"/>
  <c r="G126" i="1" a="1"/>
  <c r="G126" i="1" s="1"/>
  <c r="F126" i="1" a="1"/>
  <c r="F126" i="1" s="1"/>
  <c r="E126" i="1" a="1"/>
  <c r="E126" i="1" s="1"/>
  <c r="D126" i="1" a="1"/>
  <c r="D126" i="1" s="1"/>
  <c r="C126" i="1" a="1"/>
  <c r="C126" i="1" s="1"/>
  <c r="G125" i="1" a="1"/>
  <c r="G125" i="1" s="1"/>
  <c r="F125" i="1" a="1"/>
  <c r="F125" i="1" s="1"/>
  <c r="E125" i="1" a="1"/>
  <c r="E125" i="1" s="1"/>
  <c r="D125" i="1" a="1"/>
  <c r="D125" i="1" s="1"/>
  <c r="C125" i="1" a="1"/>
  <c r="C125" i="1" s="1"/>
  <c r="G124" i="1" a="1"/>
  <c r="G124" i="1" s="1"/>
  <c r="F124" i="1" a="1"/>
  <c r="F124" i="1" s="1"/>
  <c r="E124" i="1" a="1"/>
  <c r="E124" i="1" s="1"/>
  <c r="D124" i="1" a="1"/>
  <c r="D124" i="1" s="1"/>
  <c r="C124" i="1" a="1"/>
  <c r="C124" i="1" s="1"/>
  <c r="G123" i="1" a="1"/>
  <c r="G123" i="1" s="1"/>
  <c r="F123" i="1" a="1"/>
  <c r="F123" i="1" s="1"/>
  <c r="E123" i="1" a="1"/>
  <c r="E123" i="1" s="1"/>
  <c r="D123" i="1" a="1"/>
  <c r="D123" i="1" s="1"/>
  <c r="C123" i="1" a="1"/>
  <c r="C123" i="1" s="1"/>
  <c r="G122" i="1" a="1"/>
  <c r="G122" i="1" s="1"/>
  <c r="F122" i="1" a="1"/>
  <c r="F122" i="1" s="1"/>
  <c r="E122" i="1" a="1"/>
  <c r="E122" i="1" s="1"/>
  <c r="D122" i="1" a="1"/>
  <c r="D122" i="1" s="1"/>
  <c r="C122" i="1" a="1"/>
  <c r="C122" i="1" s="1"/>
  <c r="G121" i="1" a="1"/>
  <c r="G121" i="1" s="1"/>
  <c r="F121" i="1" a="1"/>
  <c r="F121" i="1" s="1"/>
  <c r="E121" i="1" a="1"/>
  <c r="E121" i="1" s="1"/>
  <c r="D121" i="1" a="1"/>
  <c r="D121" i="1" s="1"/>
  <c r="C121" i="1" a="1"/>
  <c r="C121" i="1" s="1"/>
  <c r="G120" i="1" a="1"/>
  <c r="G120" i="1" s="1"/>
  <c r="F120" i="1" a="1"/>
  <c r="F120" i="1" s="1"/>
  <c r="E120" i="1" a="1"/>
  <c r="E120" i="1" s="1"/>
  <c r="D120" i="1" a="1"/>
  <c r="D120" i="1" s="1"/>
  <c r="C120" i="1" a="1"/>
  <c r="C120" i="1" s="1"/>
  <c r="G119" i="1"/>
  <c r="G119" i="1" a="1"/>
  <c r="F119" i="1"/>
  <c r="F119" i="1" a="1"/>
  <c r="E119" i="1"/>
  <c r="E119" i="1" a="1"/>
  <c r="D119" i="1"/>
  <c r="D119" i="1" a="1"/>
  <c r="C119" i="1"/>
  <c r="C119" i="1" a="1"/>
  <c r="D117" i="1" a="1"/>
  <c r="D117" i="1" s="1"/>
  <c r="C117" i="1" a="1"/>
  <c r="C117" i="1" s="1"/>
  <c r="D116" i="1" a="1"/>
  <c r="D116" i="1" s="1"/>
  <c r="C116" i="1" a="1"/>
  <c r="C116" i="1" s="1"/>
  <c r="D115" i="1" a="1"/>
  <c r="D115" i="1" s="1"/>
  <c r="C115" i="1" a="1"/>
  <c r="C115" i="1" s="1"/>
  <c r="D114" i="1" a="1"/>
  <c r="D114" i="1" s="1"/>
  <c r="C114" i="1" a="1"/>
  <c r="C114" i="1" s="1"/>
  <c r="D113" i="1" a="1"/>
  <c r="D113" i="1" s="1"/>
  <c r="C113" i="1" a="1"/>
  <c r="C113" i="1" s="1"/>
  <c r="D112" i="1" a="1"/>
  <c r="D112" i="1" s="1"/>
  <c r="C112" i="1" a="1"/>
  <c r="C112" i="1" s="1"/>
  <c r="D111" i="1" a="1"/>
  <c r="D111" i="1" s="1"/>
  <c r="C111" i="1" a="1"/>
  <c r="C111" i="1" s="1"/>
  <c r="D110" i="1" a="1"/>
  <c r="D110" i="1" s="1"/>
  <c r="C110" i="1" a="1"/>
  <c r="C110" i="1" s="1"/>
  <c r="D109" i="1" a="1"/>
  <c r="D109" i="1" s="1"/>
  <c r="C109" i="1" a="1"/>
  <c r="C109" i="1" s="1"/>
  <c r="D108" i="1" a="1"/>
  <c r="D108" i="1" s="1"/>
  <c r="C108" i="1" a="1"/>
  <c r="C108" i="1" s="1"/>
  <c r="D107" i="1" a="1"/>
  <c r="D107" i="1" s="1"/>
  <c r="C107" i="1" a="1"/>
  <c r="C107" i="1" s="1"/>
  <c r="D106" i="1" a="1"/>
  <c r="D106" i="1" s="1"/>
  <c r="C106" i="1" a="1"/>
  <c r="C106" i="1" s="1"/>
  <c r="B105" i="1"/>
  <c r="B105" i="1" a="1"/>
  <c r="G103" i="1" a="1"/>
  <c r="G103" i="1" s="1"/>
  <c r="F103" i="1" a="1"/>
  <c r="F103" i="1" s="1"/>
  <c r="E103" i="1" a="1"/>
  <c r="E103" i="1" s="1"/>
  <c r="D103" i="1" a="1"/>
  <c r="D103" i="1" s="1"/>
  <c r="C103" i="1" a="1"/>
  <c r="C103" i="1" s="1"/>
  <c r="G102" i="1" a="1"/>
  <c r="G102" i="1" s="1"/>
  <c r="F102" i="1" a="1"/>
  <c r="F102" i="1" s="1"/>
  <c r="E102" i="1" a="1"/>
  <c r="E102" i="1" s="1"/>
  <c r="D102" i="1" a="1"/>
  <c r="D102" i="1" s="1"/>
  <c r="C102" i="1" a="1"/>
  <c r="C102" i="1" s="1"/>
  <c r="G101" i="1" a="1"/>
  <c r="G101" i="1" s="1"/>
  <c r="F101" i="1" a="1"/>
  <c r="F101" i="1" s="1"/>
  <c r="E101" i="1" a="1"/>
  <c r="E101" i="1" s="1"/>
  <c r="D101" i="1" a="1"/>
  <c r="D101" i="1" s="1"/>
  <c r="C101" i="1" a="1"/>
  <c r="C101" i="1" s="1"/>
  <c r="G100" i="1" a="1"/>
  <c r="G100" i="1" s="1"/>
  <c r="F100" i="1" a="1"/>
  <c r="F100" i="1" s="1"/>
  <c r="E100" i="1" a="1"/>
  <c r="E100" i="1" s="1"/>
  <c r="D100" i="1" a="1"/>
  <c r="D100" i="1" s="1"/>
  <c r="C100" i="1" a="1"/>
  <c r="C100" i="1" s="1"/>
  <c r="G99" i="1" a="1"/>
  <c r="G99" i="1" s="1"/>
  <c r="F99" i="1" a="1"/>
  <c r="F99" i="1" s="1"/>
  <c r="E99" i="1" a="1"/>
  <c r="E99" i="1" s="1"/>
  <c r="D99" i="1" a="1"/>
  <c r="D99" i="1" s="1"/>
  <c r="C99" i="1" a="1"/>
  <c r="C99" i="1" s="1"/>
  <c r="G98" i="1" a="1"/>
  <c r="G98" i="1" s="1"/>
  <c r="F98" i="1" a="1"/>
  <c r="F98" i="1" s="1"/>
  <c r="E98" i="1" a="1"/>
  <c r="E98" i="1" s="1"/>
  <c r="D98" i="1" a="1"/>
  <c r="D98" i="1" s="1"/>
  <c r="C98" i="1" a="1"/>
  <c r="C98" i="1" s="1"/>
  <c r="G97" i="1"/>
  <c r="G97" i="1" a="1"/>
  <c r="F97" i="1"/>
  <c r="F97" i="1" a="1"/>
  <c r="E97" i="1"/>
  <c r="E97" i="1" a="1"/>
  <c r="D97" i="1"/>
  <c r="D97" i="1" a="1"/>
  <c r="C97" i="1"/>
  <c r="C97" i="1" a="1"/>
  <c r="G95" i="1" a="1"/>
  <c r="G95" i="1" s="1"/>
  <c r="F95" i="1" a="1"/>
  <c r="F95" i="1" s="1"/>
  <c r="E95" i="1" a="1"/>
  <c r="E95" i="1" s="1"/>
  <c r="D95" i="1" a="1"/>
  <c r="D95" i="1" s="1"/>
  <c r="C95" i="1" a="1"/>
  <c r="C95" i="1" s="1"/>
  <c r="G94" i="1" a="1"/>
  <c r="G94" i="1" s="1"/>
  <c r="F94" i="1" a="1"/>
  <c r="F94" i="1" s="1"/>
  <c r="E94" i="1" a="1"/>
  <c r="E94" i="1" s="1"/>
  <c r="D94" i="1" a="1"/>
  <c r="D94" i="1" s="1"/>
  <c r="C94" i="1" a="1"/>
  <c r="C94" i="1" s="1"/>
  <c r="G93" i="1" a="1"/>
  <c r="G93" i="1" s="1"/>
  <c r="F93" i="1" a="1"/>
  <c r="F93" i="1" s="1"/>
  <c r="E93" i="1" a="1"/>
  <c r="E93" i="1" s="1"/>
  <c r="D93" i="1" a="1"/>
  <c r="D93" i="1" s="1"/>
  <c r="C93" i="1" a="1"/>
  <c r="C93" i="1" s="1"/>
  <c r="G92" i="1" a="1"/>
  <c r="G92" i="1" s="1"/>
  <c r="F92" i="1" a="1"/>
  <c r="F92" i="1" s="1"/>
  <c r="E92" i="1" a="1"/>
  <c r="E92" i="1" s="1"/>
  <c r="D92" i="1" a="1"/>
  <c r="D92" i="1" s="1"/>
  <c r="C92" i="1" a="1"/>
  <c r="C92" i="1" s="1"/>
  <c r="G91" i="1"/>
  <c r="G91" i="1" a="1"/>
  <c r="F91" i="1"/>
  <c r="F91" i="1" a="1"/>
  <c r="E91" i="1"/>
  <c r="E91" i="1" a="1"/>
  <c r="D91" i="1"/>
  <c r="D91" i="1" a="1"/>
  <c r="C91" i="1"/>
  <c r="C91" i="1" a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4" i="1" a="1"/>
  <c r="G84" i="1" s="1"/>
  <c r="F84" i="1" a="1"/>
  <c r="F84" i="1" s="1"/>
  <c r="E84" i="1" a="1"/>
  <c r="E84" i="1" s="1"/>
  <c r="D84" i="1" a="1"/>
  <c r="D84" i="1" s="1"/>
  <c r="C84" i="1" a="1"/>
  <c r="C84" i="1" s="1"/>
  <c r="G83" i="1" a="1"/>
  <c r="G83" i="1" s="1"/>
  <c r="F83" i="1" a="1"/>
  <c r="F83" i="1" s="1"/>
  <c r="E83" i="1" a="1"/>
  <c r="E83" i="1" s="1"/>
  <c r="D83" i="1" a="1"/>
  <c r="D83" i="1" s="1"/>
  <c r="C83" i="1" a="1"/>
  <c r="C83" i="1" s="1"/>
  <c r="G82" i="1" a="1"/>
  <c r="G82" i="1" s="1"/>
  <c r="F82" i="1" a="1"/>
  <c r="F82" i="1" s="1"/>
  <c r="E82" i="1" a="1"/>
  <c r="E82" i="1" s="1"/>
  <c r="D82" i="1" a="1"/>
  <c r="D82" i="1" s="1"/>
  <c r="C82" i="1" a="1"/>
  <c r="C82" i="1" s="1"/>
  <c r="G81" i="1" a="1"/>
  <c r="G81" i="1" s="1"/>
  <c r="F81" i="1" a="1"/>
  <c r="F81" i="1" s="1"/>
  <c r="E81" i="1" a="1"/>
  <c r="E81" i="1" s="1"/>
  <c r="D81" i="1" a="1"/>
  <c r="D81" i="1" s="1"/>
  <c r="C81" i="1" a="1"/>
  <c r="C81" i="1" s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3" i="1" a="1"/>
  <c r="G73" i="1" s="1"/>
  <c r="F73" i="1" a="1"/>
  <c r="F73" i="1" s="1"/>
  <c r="E73" i="1" a="1"/>
  <c r="E73" i="1" s="1"/>
  <c r="D73" i="1" a="1"/>
  <c r="D73" i="1" s="1"/>
  <c r="C73" i="1" a="1"/>
  <c r="C73" i="1" s="1"/>
  <c r="G72" i="1" a="1"/>
  <c r="G72" i="1" s="1"/>
  <c r="F72" i="1" a="1"/>
  <c r="F72" i="1" s="1"/>
  <c r="E72" i="1" a="1"/>
  <c r="E72" i="1" s="1"/>
  <c r="D72" i="1" a="1"/>
  <c r="D72" i="1" s="1"/>
  <c r="C72" i="1" a="1"/>
  <c r="C72" i="1" s="1"/>
  <c r="G71" i="1" a="1"/>
  <c r="G71" i="1" s="1"/>
  <c r="F71" i="1" a="1"/>
  <c r="F71" i="1" s="1"/>
  <c r="E71" i="1" a="1"/>
  <c r="E71" i="1" s="1"/>
  <c r="D71" i="1" a="1"/>
  <c r="D71" i="1" s="1"/>
  <c r="C71" i="1" a="1"/>
  <c r="C71" i="1" s="1"/>
  <c r="G70" i="1" a="1"/>
  <c r="G70" i="1" s="1"/>
  <c r="F70" i="1" a="1"/>
  <c r="F70" i="1" s="1"/>
  <c r="E70" i="1" a="1"/>
  <c r="E70" i="1" s="1"/>
  <c r="D70" i="1" a="1"/>
  <c r="D70" i="1" s="1"/>
  <c r="C70" i="1" a="1"/>
  <c r="C70" i="1" s="1"/>
  <c r="G67" i="1"/>
  <c r="G67" i="1" a="1"/>
  <c r="F67" i="1"/>
  <c r="F67" i="1" a="1"/>
  <c r="E67" i="1"/>
  <c r="E67" i="1" a="1"/>
  <c r="D67" i="1"/>
  <c r="D67" i="1" a="1"/>
  <c r="C67" i="1"/>
  <c r="C67" i="1" a="1"/>
  <c r="M65" i="1"/>
  <c r="M64" i="1"/>
  <c r="M63" i="1"/>
  <c r="M62" i="1"/>
  <c r="M60" i="1"/>
  <c r="M59" i="1"/>
  <c r="M58" i="1"/>
  <c r="M57" i="1"/>
  <c r="L55" i="1"/>
  <c r="K55" i="1"/>
  <c r="J55" i="1"/>
  <c r="I55" i="1"/>
  <c r="H55" i="1"/>
  <c r="G55" i="1"/>
  <c r="F55" i="1"/>
  <c r="E55" i="1"/>
  <c r="D55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Q51" i="1" a="1"/>
  <c r="Q51" i="1" s="1"/>
  <c r="P51" i="1" a="1"/>
  <c r="P51" i="1" s="1"/>
  <c r="O51" i="1" a="1"/>
  <c r="O51" i="1" s="1"/>
  <c r="N51" i="1" a="1"/>
  <c r="N51" i="1" s="1"/>
  <c r="M51" i="1" a="1"/>
  <c r="M51" i="1" s="1"/>
  <c r="L51" i="1" a="1"/>
  <c r="L51" i="1" s="1"/>
  <c r="K51" i="1" a="1"/>
  <c r="K51" i="1" s="1"/>
  <c r="J51" i="1" a="1"/>
  <c r="J51" i="1" s="1"/>
  <c r="I51" i="1" a="1"/>
  <c r="I51" i="1" s="1"/>
  <c r="H51" i="1" a="1"/>
  <c r="H51" i="1" s="1"/>
  <c r="G51" i="1" a="1"/>
  <c r="G51" i="1" s="1"/>
  <c r="F51" i="1" a="1"/>
  <c r="F51" i="1" s="1"/>
  <c r="E51" i="1" a="1"/>
  <c r="E51" i="1" s="1"/>
  <c r="D51" i="1" a="1"/>
  <c r="D51" i="1" s="1"/>
  <c r="C51" i="1" a="1"/>
  <c r="C51" i="1" s="1"/>
  <c r="Q50" i="1" a="1"/>
  <c r="Q50" i="1" s="1"/>
  <c r="P50" i="1" a="1"/>
  <c r="P50" i="1" s="1"/>
  <c r="O50" i="1" a="1"/>
  <c r="O50" i="1" s="1"/>
  <c r="N50" i="1" a="1"/>
  <c r="N50" i="1" s="1"/>
  <c r="M50" i="1" a="1"/>
  <c r="M50" i="1" s="1"/>
  <c r="L50" i="1" a="1"/>
  <c r="L50" i="1" s="1"/>
  <c r="K50" i="1" a="1"/>
  <c r="K50" i="1" s="1"/>
  <c r="J50" i="1" a="1"/>
  <c r="J50" i="1" s="1"/>
  <c r="I50" i="1" a="1"/>
  <c r="I50" i="1" s="1"/>
  <c r="H50" i="1" a="1"/>
  <c r="H50" i="1" s="1"/>
  <c r="G50" i="1" a="1"/>
  <c r="G50" i="1" s="1"/>
  <c r="F50" i="1" a="1"/>
  <c r="F50" i="1" s="1"/>
  <c r="E50" i="1" a="1"/>
  <c r="E50" i="1" s="1"/>
  <c r="D50" i="1" a="1"/>
  <c r="D50" i="1" s="1"/>
  <c r="C50" i="1" a="1"/>
  <c r="C50" i="1" s="1"/>
  <c r="G45" i="1" a="1"/>
  <c r="G45" i="1" s="1"/>
  <c r="F45" i="1" a="1"/>
  <c r="F45" i="1" s="1"/>
  <c r="E45" i="1" a="1"/>
  <c r="E45" i="1" s="1"/>
  <c r="D45" i="1" a="1"/>
  <c r="D45" i="1" s="1"/>
  <c r="C45" i="1" a="1"/>
  <c r="C45" i="1" s="1"/>
  <c r="G44" i="1"/>
  <c r="G44" i="1" a="1"/>
  <c r="F44" i="1"/>
  <c r="F44" i="1" a="1"/>
  <c r="E44" i="1"/>
  <c r="E44" i="1" a="1"/>
  <c r="D44" i="1"/>
  <c r="D44" i="1" a="1"/>
  <c r="C44" i="1"/>
  <c r="C44" i="1" a="1"/>
  <c r="G41" i="1" a="1"/>
  <c r="G41" i="1" s="1"/>
  <c r="F41" i="1" a="1"/>
  <c r="F41" i="1" s="1"/>
  <c r="E41" i="1" a="1"/>
  <c r="E41" i="1" s="1"/>
  <c r="D41" i="1" a="1"/>
  <c r="D41" i="1" s="1"/>
  <c r="C41" i="1" a="1"/>
  <c r="C41" i="1" s="1"/>
  <c r="G40" i="1" a="1"/>
  <c r="G40" i="1" s="1"/>
  <c r="F40" i="1" a="1"/>
  <c r="F40" i="1" s="1"/>
  <c r="E40" i="1" a="1"/>
  <c r="E40" i="1" s="1"/>
  <c r="D40" i="1" a="1"/>
  <c r="D40" i="1" s="1"/>
  <c r="C40" i="1" a="1"/>
  <c r="C40" i="1" s="1"/>
  <c r="G39" i="1" a="1"/>
  <c r="G39" i="1" s="1"/>
  <c r="F39" i="1" a="1"/>
  <c r="F39" i="1" s="1"/>
  <c r="E39" i="1" a="1"/>
  <c r="E39" i="1" s="1"/>
  <c r="D39" i="1" a="1"/>
  <c r="D39" i="1" s="1"/>
  <c r="C39" i="1" a="1"/>
  <c r="C39" i="1" s="1"/>
  <c r="G38" i="1" a="1"/>
  <c r="G38" i="1" s="1"/>
  <c r="F38" i="1" a="1"/>
  <c r="F38" i="1" s="1"/>
  <c r="E38" i="1" a="1"/>
  <c r="E38" i="1" s="1"/>
  <c r="D38" i="1" a="1"/>
  <c r="D38" i="1" s="1"/>
  <c r="C38" i="1" a="1"/>
  <c r="C38" i="1" s="1"/>
  <c r="G37" i="1" a="1"/>
  <c r="G37" i="1" s="1"/>
  <c r="F37" i="1" a="1"/>
  <c r="F37" i="1" s="1"/>
  <c r="E37" i="1" a="1"/>
  <c r="E37" i="1" s="1"/>
  <c r="D37" i="1" a="1"/>
  <c r="D37" i="1" s="1"/>
  <c r="C37" i="1" a="1"/>
  <c r="C37" i="1" s="1"/>
  <c r="G36" i="1" a="1"/>
  <c r="G36" i="1" s="1"/>
  <c r="F36" i="1" a="1"/>
  <c r="F36" i="1" s="1"/>
  <c r="E36" i="1" a="1"/>
  <c r="E36" i="1" s="1"/>
  <c r="D36" i="1" a="1"/>
  <c r="D36" i="1" s="1"/>
  <c r="C36" i="1" a="1"/>
  <c r="C36" i="1" s="1"/>
  <c r="G35" i="1" a="1"/>
  <c r="G35" i="1" s="1"/>
  <c r="F35" i="1" a="1"/>
  <c r="F35" i="1" s="1"/>
  <c r="E35" i="1" a="1"/>
  <c r="E35" i="1" s="1"/>
  <c r="D35" i="1" a="1"/>
  <c r="D35" i="1" s="1"/>
  <c r="C35" i="1" a="1"/>
  <c r="C35" i="1" s="1"/>
  <c r="G34" i="1" a="1"/>
  <c r="G34" i="1" s="1"/>
  <c r="F34" i="1" a="1"/>
  <c r="F34" i="1" s="1"/>
  <c r="E34" i="1" a="1"/>
  <c r="E34" i="1" s="1"/>
  <c r="D34" i="1" a="1"/>
  <c r="D34" i="1" s="1"/>
  <c r="C34" i="1" a="1"/>
  <c r="C34" i="1" s="1"/>
  <c r="G33" i="1" a="1"/>
  <c r="G33" i="1" s="1"/>
  <c r="F33" i="1" a="1"/>
  <c r="F33" i="1" s="1"/>
  <c r="E33" i="1" a="1"/>
  <c r="E33" i="1" s="1"/>
  <c r="D33" i="1" a="1"/>
  <c r="D33" i="1" s="1"/>
  <c r="C33" i="1" a="1"/>
  <c r="C33" i="1" s="1"/>
  <c r="G32" i="1" a="1"/>
  <c r="G32" i="1" s="1"/>
  <c r="F32" i="1" a="1"/>
  <c r="F32" i="1" s="1"/>
  <c r="E32" i="1" a="1"/>
  <c r="E32" i="1" s="1"/>
  <c r="D32" i="1" a="1"/>
  <c r="D32" i="1" s="1"/>
  <c r="C32" i="1" a="1"/>
  <c r="C32" i="1" s="1"/>
  <c r="G31" i="1"/>
  <c r="G31" i="1" a="1"/>
  <c r="F31" i="1"/>
  <c r="F31" i="1" a="1"/>
  <c r="E31" i="1"/>
  <c r="E31" i="1" a="1"/>
  <c r="D31" i="1"/>
  <c r="D31" i="1" a="1"/>
  <c r="C31" i="1"/>
  <c r="C31" i="1" a="1"/>
  <c r="G28" i="1" a="1"/>
  <c r="G28" i="1" s="1"/>
  <c r="F28" i="1" a="1"/>
  <c r="F28" i="1" s="1"/>
  <c r="E28" i="1" a="1"/>
  <c r="E28" i="1" s="1"/>
  <c r="D28" i="1" a="1"/>
  <c r="D28" i="1" s="1"/>
  <c r="C28" i="1" a="1"/>
  <c r="C28" i="1" s="1"/>
  <c r="G27" i="1" a="1"/>
  <c r="G27" i="1" s="1"/>
  <c r="F27" i="1" a="1"/>
  <c r="F27" i="1" s="1"/>
  <c r="E27" i="1" a="1"/>
  <c r="E27" i="1" s="1"/>
  <c r="D27" i="1" a="1"/>
  <c r="D27" i="1" s="1"/>
  <c r="C27" i="1" a="1"/>
  <c r="C27" i="1" s="1"/>
  <c r="G26" i="1" a="1"/>
  <c r="G26" i="1" s="1"/>
  <c r="F26" i="1" a="1"/>
  <c r="F26" i="1" s="1"/>
  <c r="E26" i="1" a="1"/>
  <c r="E26" i="1" s="1"/>
  <c r="D26" i="1" a="1"/>
  <c r="D26" i="1" s="1"/>
  <c r="C26" i="1" a="1"/>
  <c r="C26" i="1" s="1"/>
  <c r="G25" i="1" a="1"/>
  <c r="G25" i="1" s="1"/>
  <c r="F25" i="1" a="1"/>
  <c r="F25" i="1" s="1"/>
  <c r="E25" i="1" a="1"/>
  <c r="E25" i="1" s="1"/>
  <c r="D25" i="1" a="1"/>
  <c r="D25" i="1" s="1"/>
  <c r="C25" i="1" a="1"/>
  <c r="C25" i="1" s="1"/>
  <c r="G24" i="1" a="1"/>
  <c r="G24" i="1" s="1"/>
  <c r="F24" i="1" a="1"/>
  <c r="F24" i="1" s="1"/>
  <c r="E24" i="1" a="1"/>
  <c r="E24" i="1" s="1"/>
  <c r="D24" i="1" a="1"/>
  <c r="D24" i="1" s="1"/>
  <c r="C24" i="1" a="1"/>
  <c r="C24" i="1" s="1"/>
  <c r="G23" i="1" a="1"/>
  <c r="G23" i="1" s="1"/>
  <c r="F23" i="1" a="1"/>
  <c r="F23" i="1" s="1"/>
  <c r="E23" i="1" a="1"/>
  <c r="E23" i="1" s="1"/>
  <c r="D23" i="1" a="1"/>
  <c r="D23" i="1" s="1"/>
  <c r="C23" i="1" a="1"/>
  <c r="C23" i="1" s="1"/>
  <c r="G22" i="1" a="1"/>
  <c r="G22" i="1" s="1"/>
  <c r="F22" i="1" a="1"/>
  <c r="F22" i="1" s="1"/>
  <c r="E22" i="1" a="1"/>
  <c r="E22" i="1" s="1"/>
  <c r="D22" i="1" a="1"/>
  <c r="D22" i="1" s="1"/>
  <c r="C22" i="1" a="1"/>
  <c r="C22" i="1" s="1"/>
  <c r="G21" i="1" a="1"/>
  <c r="G21" i="1" s="1"/>
  <c r="F21" i="1" a="1"/>
  <c r="F21" i="1" s="1"/>
  <c r="E21" i="1" a="1"/>
  <c r="E21" i="1" s="1"/>
  <c r="D21" i="1" a="1"/>
  <c r="D21" i="1" s="1"/>
  <c r="C21" i="1" a="1"/>
  <c r="C21" i="1" s="1"/>
  <c r="G20" i="1" a="1"/>
  <c r="G20" i="1" s="1"/>
  <c r="F20" i="1" a="1"/>
  <c r="F20" i="1" s="1"/>
  <c r="E20" i="1" a="1"/>
  <c r="E20" i="1" s="1"/>
  <c r="D20" i="1" a="1"/>
  <c r="D20" i="1" s="1"/>
  <c r="C20" i="1" a="1"/>
  <c r="C20" i="1" s="1"/>
  <c r="G19" i="1" a="1"/>
  <c r="G19" i="1" s="1"/>
  <c r="F19" i="1" a="1"/>
  <c r="F19" i="1" s="1"/>
  <c r="E19" i="1" a="1"/>
  <c r="E19" i="1" s="1"/>
  <c r="D19" i="1" a="1"/>
  <c r="D19" i="1" s="1"/>
  <c r="C19" i="1" a="1"/>
  <c r="C19" i="1" s="1"/>
  <c r="G18" i="1"/>
  <c r="G18" i="1" a="1"/>
  <c r="F18" i="1"/>
  <c r="F18" i="1" a="1"/>
  <c r="E18" i="1"/>
  <c r="E18" i="1" a="1"/>
  <c r="D18" i="1"/>
  <c r="D18" i="1" a="1"/>
  <c r="C18" i="1"/>
  <c r="C18" i="1" a="1"/>
  <c r="H756" i="12" a="1"/>
  <c r="H756" i="12" s="1"/>
  <c r="G756" i="12" a="1"/>
  <c r="G756" i="12" s="1"/>
  <c r="F756" i="12" a="1"/>
  <c r="F756" i="12" s="1"/>
  <c r="E756" i="12" a="1"/>
  <c r="E756" i="12" s="1"/>
  <c r="D756" i="12" a="1"/>
  <c r="D756" i="12" s="1"/>
  <c r="C756" i="12" a="1"/>
  <c r="C756" i="12" s="1"/>
  <c r="H755" i="12" a="1"/>
  <c r="H755" i="12" s="1"/>
  <c r="G755" i="12" a="1"/>
  <c r="G755" i="12" s="1"/>
  <c r="F755" i="12" a="1"/>
  <c r="F755" i="12" s="1"/>
  <c r="E755" i="12" a="1"/>
  <c r="E755" i="12" s="1"/>
  <c r="D755" i="12" a="1"/>
  <c r="D755" i="12" s="1"/>
  <c r="C755" i="12" a="1"/>
  <c r="C755" i="12" s="1"/>
  <c r="H754" i="12" a="1"/>
  <c r="H754" i="12" s="1"/>
  <c r="G754" i="12" a="1"/>
  <c r="G754" i="12" s="1"/>
  <c r="F754" i="12" a="1"/>
  <c r="F754" i="12" s="1"/>
  <c r="E754" i="12" a="1"/>
  <c r="E754" i="12" s="1"/>
  <c r="D754" i="12" a="1"/>
  <c r="D754" i="12" s="1"/>
  <c r="C754" i="12" a="1"/>
  <c r="C754" i="12" s="1"/>
  <c r="H753" i="12" a="1"/>
  <c r="H753" i="12" s="1"/>
  <c r="G753" i="12" a="1"/>
  <c r="G753" i="12" s="1"/>
  <c r="F753" i="12" a="1"/>
  <c r="F753" i="12" s="1"/>
  <c r="E753" i="12" a="1"/>
  <c r="E753" i="12" s="1"/>
  <c r="D753" i="12" a="1"/>
  <c r="D753" i="12" s="1"/>
  <c r="C753" i="12" a="1"/>
  <c r="C753" i="12" s="1"/>
  <c r="G731" i="12" a="1"/>
  <c r="G731" i="12" s="1"/>
  <c r="F731" i="12" a="1"/>
  <c r="F731" i="12" s="1"/>
  <c r="E731" i="12" a="1"/>
  <c r="E731" i="12" s="1"/>
  <c r="D731" i="12" a="1"/>
  <c r="D731" i="12" s="1"/>
  <c r="C731" i="12" a="1"/>
  <c r="C731" i="12" s="1"/>
  <c r="G730" i="12" a="1"/>
  <c r="G730" i="12" s="1"/>
  <c r="F730" i="12" a="1"/>
  <c r="F730" i="12" s="1"/>
  <c r="E730" i="12" a="1"/>
  <c r="E730" i="12" s="1"/>
  <c r="D730" i="12" a="1"/>
  <c r="D730" i="12" s="1"/>
  <c r="C730" i="12" a="1"/>
  <c r="C730" i="12" s="1"/>
  <c r="H729" i="12"/>
  <c r="H729" i="12" a="1"/>
  <c r="G729" i="12"/>
  <c r="G729" i="12" a="1"/>
  <c r="F729" i="12"/>
  <c r="F729" i="12" a="1"/>
  <c r="E729" i="12"/>
  <c r="E729" i="12" a="1"/>
  <c r="D729" i="12"/>
  <c r="D729" i="12" a="1"/>
  <c r="C729" i="12"/>
  <c r="C729" i="12" a="1"/>
  <c r="G725" i="12" a="1"/>
  <c r="G725" i="12" s="1"/>
  <c r="F725" i="12" a="1"/>
  <c r="F725" i="12" s="1"/>
  <c r="G724" i="12" a="1"/>
  <c r="G724" i="12" s="1"/>
  <c r="F724" i="12" a="1"/>
  <c r="F724" i="12" s="1"/>
  <c r="G723" i="12" a="1"/>
  <c r="G723" i="12" s="1"/>
  <c r="F723" i="12" a="1"/>
  <c r="F723" i="12" s="1"/>
  <c r="G722" i="12" a="1"/>
  <c r="G722" i="12" s="1"/>
  <c r="F722" i="12" a="1"/>
  <c r="F722" i="12" s="1"/>
  <c r="G721" i="12" a="1"/>
  <c r="G721" i="12" s="1"/>
  <c r="F721" i="12" a="1"/>
  <c r="F721" i="12" s="1"/>
  <c r="G719" i="12" a="1"/>
  <c r="G719" i="12" s="1"/>
  <c r="H719" i="12" s="1"/>
  <c r="F719" i="12" a="1"/>
  <c r="F719" i="12" s="1"/>
  <c r="F720" i="12" s="1"/>
  <c r="H718" i="12"/>
  <c r="H718" i="12" a="1"/>
  <c r="G718" i="12"/>
  <c r="G718" i="12" a="1"/>
  <c r="F718" i="12"/>
  <c r="F718" i="12" a="1"/>
  <c r="G716" i="12" a="1"/>
  <c r="G716" i="12" s="1"/>
  <c r="F716" i="12" a="1"/>
  <c r="F716" i="12" s="1"/>
  <c r="E716" i="12" a="1"/>
  <c r="E716" i="12" s="1"/>
  <c r="D716" i="12" a="1"/>
  <c r="D716" i="12" s="1"/>
  <c r="C716" i="12" a="1"/>
  <c r="C716" i="12" s="1"/>
  <c r="G715" i="12" a="1"/>
  <c r="G715" i="12" s="1"/>
  <c r="F715" i="12" a="1"/>
  <c r="F715" i="12" s="1"/>
  <c r="E715" i="12" a="1"/>
  <c r="E715" i="12" s="1"/>
  <c r="D715" i="12" a="1"/>
  <c r="D715" i="12" s="1"/>
  <c r="C715" i="12" a="1"/>
  <c r="C715" i="12" s="1"/>
  <c r="G714" i="12" a="1"/>
  <c r="G714" i="12" s="1"/>
  <c r="F714" i="12" a="1"/>
  <c r="F714" i="12" s="1"/>
  <c r="E714" i="12" a="1"/>
  <c r="E714" i="12" s="1"/>
  <c r="D714" i="12" a="1"/>
  <c r="D714" i="12" s="1"/>
  <c r="C714" i="12" a="1"/>
  <c r="C714" i="12" s="1"/>
  <c r="G713" i="12" a="1"/>
  <c r="G713" i="12" s="1"/>
  <c r="F713" i="12" a="1"/>
  <c r="F713" i="12" s="1"/>
  <c r="E713" i="12" a="1"/>
  <c r="E713" i="12" s="1"/>
  <c r="D713" i="12" a="1"/>
  <c r="D713" i="12" s="1"/>
  <c r="C713" i="12" a="1"/>
  <c r="C713" i="12" s="1"/>
  <c r="G712" i="12" a="1"/>
  <c r="G712" i="12" s="1"/>
  <c r="F712" i="12" a="1"/>
  <c r="F712" i="12" s="1"/>
  <c r="E712" i="12" a="1"/>
  <c r="E712" i="12" s="1"/>
  <c r="D712" i="12" a="1"/>
  <c r="D712" i="12" s="1"/>
  <c r="C712" i="12" a="1"/>
  <c r="C712" i="12" s="1"/>
  <c r="G711" i="12" a="1"/>
  <c r="G711" i="12" s="1"/>
  <c r="F711" i="12" a="1"/>
  <c r="F711" i="12" s="1"/>
  <c r="E711" i="12" a="1"/>
  <c r="E711" i="12" s="1"/>
  <c r="D711" i="12" a="1"/>
  <c r="D711" i="12" s="1"/>
  <c r="C711" i="12" a="1"/>
  <c r="C711" i="12" s="1"/>
  <c r="G710" i="12" a="1"/>
  <c r="G710" i="12" s="1"/>
  <c r="F710" i="12" a="1"/>
  <c r="F710" i="12" s="1"/>
  <c r="E710" i="12" a="1"/>
  <c r="E710" i="12" s="1"/>
  <c r="D710" i="12" a="1"/>
  <c r="D710" i="12" s="1"/>
  <c r="C710" i="12" a="1"/>
  <c r="C710" i="12" s="1"/>
  <c r="G709" i="12" a="1"/>
  <c r="G709" i="12" s="1"/>
  <c r="F709" i="12" a="1"/>
  <c r="F709" i="12" s="1"/>
  <c r="E709" i="12" a="1"/>
  <c r="E709" i="12" s="1"/>
  <c r="D709" i="12" a="1"/>
  <c r="D709" i="12" s="1"/>
  <c r="C709" i="12" a="1"/>
  <c r="C709" i="12" s="1"/>
  <c r="G708" i="12" a="1"/>
  <c r="G708" i="12" s="1"/>
  <c r="F708" i="12" a="1"/>
  <c r="F708" i="12" s="1"/>
  <c r="E708" i="12" a="1"/>
  <c r="E708" i="12" s="1"/>
  <c r="D708" i="12" a="1"/>
  <c r="D708" i="12" s="1"/>
  <c r="C708" i="12" a="1"/>
  <c r="C708" i="12" s="1"/>
  <c r="G707" i="12" a="1"/>
  <c r="G707" i="12" s="1"/>
  <c r="F707" i="12" a="1"/>
  <c r="F707" i="12" s="1"/>
  <c r="E707" i="12" a="1"/>
  <c r="E707" i="12" s="1"/>
  <c r="D707" i="12" a="1"/>
  <c r="D707" i="12" s="1"/>
  <c r="C707" i="12" a="1"/>
  <c r="C707" i="12" s="1"/>
  <c r="G705" i="12" a="1"/>
  <c r="G705" i="12" s="1"/>
  <c r="H705" i="12" s="1"/>
  <c r="F705" i="12" a="1"/>
  <c r="F705" i="12" s="1"/>
  <c r="E705" i="12" a="1"/>
  <c r="E705" i="12" s="1"/>
  <c r="D705" i="12" a="1"/>
  <c r="D705" i="12" s="1"/>
  <c r="C705" i="12" a="1"/>
  <c r="C705" i="12" s="1"/>
  <c r="C706" i="12" s="1"/>
  <c r="H704" i="12"/>
  <c r="H704" i="12" a="1"/>
  <c r="G704" i="12"/>
  <c r="G704" i="12" a="1"/>
  <c r="F704" i="12"/>
  <c r="F704" i="12" a="1"/>
  <c r="E704" i="12"/>
  <c r="E704" i="12" a="1"/>
  <c r="D704" i="12"/>
  <c r="D704" i="12" a="1"/>
  <c r="C704" i="12"/>
  <c r="C704" i="12" a="1"/>
  <c r="CF700" i="12" a="1"/>
  <c r="CF700" i="12" s="1"/>
  <c r="CE700" i="12" a="1"/>
  <c r="CE700" i="12" s="1"/>
  <c r="CD700" i="12" a="1"/>
  <c r="CD700" i="12" s="1"/>
  <c r="CC700" i="12" a="1"/>
  <c r="CC700" i="12" s="1"/>
  <c r="CB700" i="12" a="1"/>
  <c r="CB700" i="12" s="1"/>
  <c r="CA700" i="12" a="1"/>
  <c r="CA700" i="12" s="1"/>
  <c r="BZ700" i="12" a="1"/>
  <c r="BZ700" i="12" s="1"/>
  <c r="BY700" i="12" a="1"/>
  <c r="BY700" i="12" s="1"/>
  <c r="BX700" i="12" a="1"/>
  <c r="BX700" i="12" s="1"/>
  <c r="BW700" i="12" a="1"/>
  <c r="BW700" i="12" s="1"/>
  <c r="BV700" i="12" a="1"/>
  <c r="BV700" i="12" s="1"/>
  <c r="BU700" i="12" a="1"/>
  <c r="BU700" i="12" s="1"/>
  <c r="BT700" i="12" a="1"/>
  <c r="BT700" i="12" s="1"/>
  <c r="BS700" i="12" a="1"/>
  <c r="BS700" i="12" s="1"/>
  <c r="BR700" i="12" a="1"/>
  <c r="BR700" i="12" s="1"/>
  <c r="BQ700" i="12" a="1"/>
  <c r="BQ700" i="12" s="1"/>
  <c r="BP700" i="12" a="1"/>
  <c r="BP700" i="12" s="1"/>
  <c r="BO700" i="12" a="1"/>
  <c r="BO700" i="12" s="1"/>
  <c r="BN700" i="12" a="1"/>
  <c r="BN700" i="12" s="1"/>
  <c r="BM700" i="12" a="1"/>
  <c r="BM700" i="12" s="1"/>
  <c r="BL700" i="12" a="1"/>
  <c r="BL700" i="12" s="1"/>
  <c r="BK700" i="12" a="1"/>
  <c r="BK700" i="12" s="1"/>
  <c r="BJ700" i="12" a="1"/>
  <c r="BJ700" i="12" s="1"/>
  <c r="BI700" i="12" a="1"/>
  <c r="BI700" i="12" s="1"/>
  <c r="BH700" i="12" a="1"/>
  <c r="BH700" i="12" s="1"/>
  <c r="BG700" i="12" a="1"/>
  <c r="BG700" i="12" s="1"/>
  <c r="BF700" i="12" a="1"/>
  <c r="BF700" i="12" s="1"/>
  <c r="BE700" i="12" a="1"/>
  <c r="BE700" i="12" s="1"/>
  <c r="BD700" i="12" a="1"/>
  <c r="BD700" i="12" s="1"/>
  <c r="BC700" i="12" a="1"/>
  <c r="BC700" i="12" s="1"/>
  <c r="BB700" i="12" a="1"/>
  <c r="BB700" i="12" s="1"/>
  <c r="BA700" i="12" a="1"/>
  <c r="BA700" i="12" s="1"/>
  <c r="AZ700" i="12" a="1"/>
  <c r="AZ700" i="12" s="1"/>
  <c r="AY700" i="12" a="1"/>
  <c r="AY700" i="12" s="1"/>
  <c r="AX700" i="12" a="1"/>
  <c r="AX700" i="12" s="1"/>
  <c r="AW700" i="12" a="1"/>
  <c r="AW700" i="12" s="1"/>
  <c r="AV700" i="12" a="1"/>
  <c r="AV700" i="12" s="1"/>
  <c r="AU700" i="12" a="1"/>
  <c r="AU700" i="12" s="1"/>
  <c r="AT700" i="12" a="1"/>
  <c r="AT700" i="12" s="1"/>
  <c r="AS700" i="12" a="1"/>
  <c r="AS700" i="12" s="1"/>
  <c r="AR700" i="12" a="1"/>
  <c r="AR700" i="12" s="1"/>
  <c r="AQ700" i="12" a="1"/>
  <c r="AQ700" i="12" s="1"/>
  <c r="AP700" i="12" a="1"/>
  <c r="AP700" i="12" s="1"/>
  <c r="AO700" i="12" a="1"/>
  <c r="AO700" i="12" s="1"/>
  <c r="AN700" i="12" a="1"/>
  <c r="AN700" i="12" s="1"/>
  <c r="AM700" i="12" a="1"/>
  <c r="AM700" i="12" s="1"/>
  <c r="AL700" i="12" a="1"/>
  <c r="AL700" i="12" s="1"/>
  <c r="AK700" i="12" a="1"/>
  <c r="AK700" i="12" s="1"/>
  <c r="AJ700" i="12" a="1"/>
  <c r="AJ700" i="12" s="1"/>
  <c r="AI700" i="12" a="1"/>
  <c r="AI700" i="12" s="1"/>
  <c r="AH700" i="12" a="1"/>
  <c r="AH700" i="12" s="1"/>
  <c r="AG700" i="12" a="1"/>
  <c r="AG700" i="12" s="1"/>
  <c r="AF700" i="12" a="1"/>
  <c r="AF700" i="12" s="1"/>
  <c r="AE700" i="12" a="1"/>
  <c r="AE700" i="12" s="1"/>
  <c r="AD700" i="12" a="1"/>
  <c r="AD700" i="12" s="1"/>
  <c r="AC700" i="12" a="1"/>
  <c r="AC700" i="12" s="1"/>
  <c r="AB700" i="12" a="1"/>
  <c r="AB700" i="12" s="1"/>
  <c r="AA700" i="12" a="1"/>
  <c r="AA700" i="12" s="1"/>
  <c r="Z700" i="12" a="1"/>
  <c r="Z700" i="12" s="1"/>
  <c r="Y700" i="12" a="1"/>
  <c r="Y700" i="12" s="1"/>
  <c r="X700" i="12" a="1"/>
  <c r="X700" i="12" s="1"/>
  <c r="W700" i="12" a="1"/>
  <c r="W700" i="12" s="1"/>
  <c r="V700" i="12" a="1"/>
  <c r="V700" i="12" s="1"/>
  <c r="U700" i="12" a="1"/>
  <c r="U700" i="12" s="1"/>
  <c r="T700" i="12" a="1"/>
  <c r="T700" i="12" s="1"/>
  <c r="S700" i="12" a="1"/>
  <c r="S700" i="12" s="1"/>
  <c r="R700" i="12" a="1"/>
  <c r="R700" i="12" s="1"/>
  <c r="Q700" i="12" a="1"/>
  <c r="Q700" i="12" s="1"/>
  <c r="P700" i="12" a="1"/>
  <c r="P700" i="12" s="1"/>
  <c r="O700" i="12" a="1"/>
  <c r="O700" i="12" s="1"/>
  <c r="N700" i="12" a="1"/>
  <c r="N700" i="12" s="1"/>
  <c r="M700" i="12" a="1"/>
  <c r="M700" i="12" s="1"/>
  <c r="L700" i="12" a="1"/>
  <c r="L700" i="12" s="1"/>
  <c r="K700" i="12" a="1"/>
  <c r="K700" i="12" s="1"/>
  <c r="J700" i="12" a="1"/>
  <c r="J700" i="12" s="1"/>
  <c r="I700" i="12" a="1"/>
  <c r="I700" i="12" s="1"/>
  <c r="H700" i="12" a="1"/>
  <c r="H700" i="12" s="1"/>
  <c r="G700" i="12" a="1"/>
  <c r="G700" i="12" s="1"/>
  <c r="F700" i="12" a="1"/>
  <c r="F700" i="12" s="1"/>
  <c r="E700" i="12" a="1"/>
  <c r="E700" i="12" s="1"/>
  <c r="D700" i="12" a="1"/>
  <c r="D700" i="12" s="1"/>
  <c r="C700" i="12" a="1"/>
  <c r="C700" i="12" s="1"/>
  <c r="CF699" i="12" a="1"/>
  <c r="CF699" i="12" s="1"/>
  <c r="CE699" i="12" a="1"/>
  <c r="CE699" i="12" s="1"/>
  <c r="CD699" i="12" a="1"/>
  <c r="CD699" i="12" s="1"/>
  <c r="CC699" i="12" a="1"/>
  <c r="CC699" i="12" s="1"/>
  <c r="CB699" i="12" a="1"/>
  <c r="CB699" i="12" s="1"/>
  <c r="CA699" i="12" a="1"/>
  <c r="CA699" i="12" s="1"/>
  <c r="BZ699" i="12" a="1"/>
  <c r="BZ699" i="12" s="1"/>
  <c r="BY699" i="12" a="1"/>
  <c r="BY699" i="12" s="1"/>
  <c r="BX699" i="12" a="1"/>
  <c r="BX699" i="12" s="1"/>
  <c r="BW699" i="12" a="1"/>
  <c r="BW699" i="12" s="1"/>
  <c r="BV699" i="12" a="1"/>
  <c r="BV699" i="12" s="1"/>
  <c r="BU699" i="12" a="1"/>
  <c r="BU699" i="12" s="1"/>
  <c r="BT699" i="12" a="1"/>
  <c r="BT699" i="12" s="1"/>
  <c r="BS699" i="12" a="1"/>
  <c r="BS699" i="12" s="1"/>
  <c r="BR699" i="12" a="1"/>
  <c r="BR699" i="12" s="1"/>
  <c r="BQ699" i="12" a="1"/>
  <c r="BQ699" i="12" s="1"/>
  <c r="BP699" i="12" a="1"/>
  <c r="BP699" i="12" s="1"/>
  <c r="BO699" i="12" a="1"/>
  <c r="BO699" i="12" s="1"/>
  <c r="BN699" i="12" a="1"/>
  <c r="BN699" i="12" s="1"/>
  <c r="BM699" i="12" a="1"/>
  <c r="BM699" i="12" s="1"/>
  <c r="BL699" i="12" a="1"/>
  <c r="BL699" i="12" s="1"/>
  <c r="BK699" i="12" a="1"/>
  <c r="BK699" i="12" s="1"/>
  <c r="BJ699" i="12" a="1"/>
  <c r="BJ699" i="12" s="1"/>
  <c r="BI699" i="12" a="1"/>
  <c r="BI699" i="12" s="1"/>
  <c r="BH699" i="12" a="1"/>
  <c r="BH699" i="12" s="1"/>
  <c r="BG699" i="12" a="1"/>
  <c r="BG699" i="12" s="1"/>
  <c r="BF699" i="12" a="1"/>
  <c r="BF699" i="12" s="1"/>
  <c r="BE699" i="12" a="1"/>
  <c r="BE699" i="12" s="1"/>
  <c r="BD699" i="12" a="1"/>
  <c r="BD699" i="12" s="1"/>
  <c r="BC699" i="12" a="1"/>
  <c r="BC699" i="12" s="1"/>
  <c r="BB699" i="12" a="1"/>
  <c r="BB699" i="12" s="1"/>
  <c r="BA699" i="12" a="1"/>
  <c r="BA699" i="12" s="1"/>
  <c r="AZ699" i="12" a="1"/>
  <c r="AZ699" i="12" s="1"/>
  <c r="AY699" i="12" a="1"/>
  <c r="AY699" i="12" s="1"/>
  <c r="AX699" i="12" a="1"/>
  <c r="AX699" i="12" s="1"/>
  <c r="AW699" i="12" a="1"/>
  <c r="AW699" i="12" s="1"/>
  <c r="AV699" i="12" a="1"/>
  <c r="AV699" i="12" s="1"/>
  <c r="AU699" i="12" a="1"/>
  <c r="AU699" i="12" s="1"/>
  <c r="AT699" i="12" a="1"/>
  <c r="AT699" i="12" s="1"/>
  <c r="AS699" i="12" a="1"/>
  <c r="AS699" i="12" s="1"/>
  <c r="AR699" i="12" a="1"/>
  <c r="AR699" i="12" s="1"/>
  <c r="AQ699" i="12" a="1"/>
  <c r="AQ699" i="12" s="1"/>
  <c r="AP699" i="12" a="1"/>
  <c r="AP699" i="12" s="1"/>
  <c r="AO699" i="12" a="1"/>
  <c r="AO699" i="12" s="1"/>
  <c r="AN699" i="12" a="1"/>
  <c r="AN699" i="12" s="1"/>
  <c r="AM699" i="12" a="1"/>
  <c r="AM699" i="12" s="1"/>
  <c r="AL699" i="12" a="1"/>
  <c r="AL699" i="12" s="1"/>
  <c r="AK699" i="12" a="1"/>
  <c r="AK699" i="12" s="1"/>
  <c r="AJ699" i="12" a="1"/>
  <c r="AJ699" i="12" s="1"/>
  <c r="AI699" i="12" a="1"/>
  <c r="AI699" i="12" s="1"/>
  <c r="AH699" i="12" a="1"/>
  <c r="AH699" i="12" s="1"/>
  <c r="AG699" i="12" a="1"/>
  <c r="AG699" i="12" s="1"/>
  <c r="AF699" i="12" a="1"/>
  <c r="AF699" i="12" s="1"/>
  <c r="AE699" i="12" a="1"/>
  <c r="AE699" i="12" s="1"/>
  <c r="AD699" i="12" a="1"/>
  <c r="AD699" i="12" s="1"/>
  <c r="AC699" i="12" a="1"/>
  <c r="AC699" i="12" s="1"/>
  <c r="AB699" i="12" a="1"/>
  <c r="AB699" i="12" s="1"/>
  <c r="AA699" i="12" a="1"/>
  <c r="AA699" i="12" s="1"/>
  <c r="Z699" i="12" a="1"/>
  <c r="Z699" i="12" s="1"/>
  <c r="Y699" i="12" a="1"/>
  <c r="Y699" i="12" s="1"/>
  <c r="X699" i="12" a="1"/>
  <c r="X699" i="12" s="1"/>
  <c r="W699" i="12" a="1"/>
  <c r="W699" i="12" s="1"/>
  <c r="V699" i="12" a="1"/>
  <c r="V699" i="12" s="1"/>
  <c r="U699" i="12" a="1"/>
  <c r="U699" i="12" s="1"/>
  <c r="T699" i="12" a="1"/>
  <c r="T699" i="12" s="1"/>
  <c r="S699" i="12" a="1"/>
  <c r="S699" i="12" s="1"/>
  <c r="R699" i="12" a="1"/>
  <c r="R699" i="12" s="1"/>
  <c r="Q699" i="12" a="1"/>
  <c r="Q699" i="12" s="1"/>
  <c r="P699" i="12" a="1"/>
  <c r="P699" i="12" s="1"/>
  <c r="O699" i="12" a="1"/>
  <c r="O699" i="12" s="1"/>
  <c r="N699" i="12" a="1"/>
  <c r="N699" i="12" s="1"/>
  <c r="M699" i="12" a="1"/>
  <c r="M699" i="12" s="1"/>
  <c r="L699" i="12" a="1"/>
  <c r="L699" i="12" s="1"/>
  <c r="K699" i="12" a="1"/>
  <c r="K699" i="12" s="1"/>
  <c r="J699" i="12" a="1"/>
  <c r="J699" i="12" s="1"/>
  <c r="I699" i="12" a="1"/>
  <c r="I699" i="12" s="1"/>
  <c r="H699" i="12" a="1"/>
  <c r="H699" i="12" s="1"/>
  <c r="G699" i="12" a="1"/>
  <c r="G699" i="12" s="1"/>
  <c r="F699" i="12" a="1"/>
  <c r="F699" i="12" s="1"/>
  <c r="E699" i="12" a="1"/>
  <c r="E699" i="12" s="1"/>
  <c r="D699" i="12" a="1"/>
  <c r="D699" i="12" s="1"/>
  <c r="C699" i="12" a="1"/>
  <c r="C699" i="12" s="1"/>
  <c r="CF698" i="12" a="1"/>
  <c r="CF698" i="12" s="1"/>
  <c r="CE698" i="12" a="1"/>
  <c r="CE698" i="12" s="1"/>
  <c r="CD698" i="12" a="1"/>
  <c r="CD698" i="12" s="1"/>
  <c r="CC698" i="12" a="1"/>
  <c r="CC698" i="12" s="1"/>
  <c r="CB698" i="12" a="1"/>
  <c r="CB698" i="12" s="1"/>
  <c r="CA698" i="12" a="1"/>
  <c r="CA698" i="12" s="1"/>
  <c r="BZ698" i="12" a="1"/>
  <c r="BZ698" i="12" s="1"/>
  <c r="BY698" i="12" a="1"/>
  <c r="BY698" i="12" s="1"/>
  <c r="BX698" i="12" a="1"/>
  <c r="BX698" i="12" s="1"/>
  <c r="BW698" i="12" a="1"/>
  <c r="BW698" i="12" s="1"/>
  <c r="BV698" i="12" a="1"/>
  <c r="BV698" i="12" s="1"/>
  <c r="BU698" i="12" a="1"/>
  <c r="BU698" i="12" s="1"/>
  <c r="BT698" i="12" a="1"/>
  <c r="BT698" i="12" s="1"/>
  <c r="BS698" i="12" a="1"/>
  <c r="BS698" i="12" s="1"/>
  <c r="BR698" i="12" a="1"/>
  <c r="BR698" i="12" s="1"/>
  <c r="BQ698" i="12" a="1"/>
  <c r="BQ698" i="12" s="1"/>
  <c r="BP698" i="12" a="1"/>
  <c r="BP698" i="12" s="1"/>
  <c r="BO698" i="12" a="1"/>
  <c r="BO698" i="12" s="1"/>
  <c r="BN698" i="12" a="1"/>
  <c r="BN698" i="12" s="1"/>
  <c r="BM698" i="12" a="1"/>
  <c r="BM698" i="12" s="1"/>
  <c r="BL698" i="12" a="1"/>
  <c r="BL698" i="12" s="1"/>
  <c r="BK698" i="12" a="1"/>
  <c r="BK698" i="12" s="1"/>
  <c r="BJ698" i="12" a="1"/>
  <c r="BJ698" i="12" s="1"/>
  <c r="BI698" i="12" a="1"/>
  <c r="BI698" i="12" s="1"/>
  <c r="BH698" i="12" a="1"/>
  <c r="BH698" i="12" s="1"/>
  <c r="BG698" i="12" a="1"/>
  <c r="BG698" i="12" s="1"/>
  <c r="BF698" i="12" a="1"/>
  <c r="BF698" i="12" s="1"/>
  <c r="BE698" i="12" a="1"/>
  <c r="BE698" i="12" s="1"/>
  <c r="BD698" i="12" a="1"/>
  <c r="BD698" i="12" s="1"/>
  <c r="BC698" i="12" a="1"/>
  <c r="BC698" i="12" s="1"/>
  <c r="BB698" i="12" a="1"/>
  <c r="BB698" i="12" s="1"/>
  <c r="BA698" i="12" a="1"/>
  <c r="BA698" i="12" s="1"/>
  <c r="AZ698" i="12" a="1"/>
  <c r="AZ698" i="12" s="1"/>
  <c r="AY698" i="12" a="1"/>
  <c r="AY698" i="12" s="1"/>
  <c r="AX698" i="12" a="1"/>
  <c r="AX698" i="12" s="1"/>
  <c r="AW698" i="12" a="1"/>
  <c r="AW698" i="12" s="1"/>
  <c r="AV698" i="12" a="1"/>
  <c r="AV698" i="12" s="1"/>
  <c r="AU698" i="12" a="1"/>
  <c r="AU698" i="12" s="1"/>
  <c r="AT698" i="12" a="1"/>
  <c r="AT698" i="12" s="1"/>
  <c r="AS698" i="12" a="1"/>
  <c r="AS698" i="12" s="1"/>
  <c r="AR698" i="12" a="1"/>
  <c r="AR698" i="12" s="1"/>
  <c r="AQ698" i="12" a="1"/>
  <c r="AQ698" i="12" s="1"/>
  <c r="AP698" i="12" a="1"/>
  <c r="AP698" i="12" s="1"/>
  <c r="AO698" i="12" a="1"/>
  <c r="AO698" i="12" s="1"/>
  <c r="AN698" i="12" a="1"/>
  <c r="AN698" i="12" s="1"/>
  <c r="AM698" i="12" a="1"/>
  <c r="AM698" i="12" s="1"/>
  <c r="AL698" i="12" a="1"/>
  <c r="AL698" i="12" s="1"/>
  <c r="AK698" i="12" a="1"/>
  <c r="AK698" i="12" s="1"/>
  <c r="AJ698" i="12" a="1"/>
  <c r="AJ698" i="12" s="1"/>
  <c r="AI698" i="12" a="1"/>
  <c r="AI698" i="12" s="1"/>
  <c r="AH698" i="12" a="1"/>
  <c r="AH698" i="12" s="1"/>
  <c r="AG698" i="12" a="1"/>
  <c r="AG698" i="12" s="1"/>
  <c r="AF698" i="12" a="1"/>
  <c r="AF698" i="12" s="1"/>
  <c r="AE698" i="12" a="1"/>
  <c r="AE698" i="12" s="1"/>
  <c r="AD698" i="12" a="1"/>
  <c r="AD698" i="12" s="1"/>
  <c r="AC698" i="12" a="1"/>
  <c r="AC698" i="12" s="1"/>
  <c r="AB698" i="12" a="1"/>
  <c r="AB698" i="12" s="1"/>
  <c r="AA698" i="12" a="1"/>
  <c r="AA698" i="12" s="1"/>
  <c r="Z698" i="12" a="1"/>
  <c r="Z698" i="12" s="1"/>
  <c r="Y698" i="12" a="1"/>
  <c r="Y698" i="12" s="1"/>
  <c r="X698" i="12" a="1"/>
  <c r="X698" i="12" s="1"/>
  <c r="W698" i="12" a="1"/>
  <c r="W698" i="12" s="1"/>
  <c r="V698" i="12" a="1"/>
  <c r="V698" i="12" s="1"/>
  <c r="U698" i="12" a="1"/>
  <c r="U698" i="12" s="1"/>
  <c r="T698" i="12" a="1"/>
  <c r="T698" i="12" s="1"/>
  <c r="S698" i="12" a="1"/>
  <c r="S698" i="12" s="1"/>
  <c r="R698" i="12" a="1"/>
  <c r="R698" i="12" s="1"/>
  <c r="Q698" i="12" a="1"/>
  <c r="Q698" i="12" s="1"/>
  <c r="P698" i="12" a="1"/>
  <c r="P698" i="12" s="1"/>
  <c r="O698" i="12" a="1"/>
  <c r="O698" i="12" s="1"/>
  <c r="N698" i="12" a="1"/>
  <c r="N698" i="12" s="1"/>
  <c r="M698" i="12" a="1"/>
  <c r="M698" i="12" s="1"/>
  <c r="L698" i="12" a="1"/>
  <c r="L698" i="12" s="1"/>
  <c r="K698" i="12" a="1"/>
  <c r="K698" i="12" s="1"/>
  <c r="J698" i="12" a="1"/>
  <c r="J698" i="12" s="1"/>
  <c r="I698" i="12" a="1"/>
  <c r="I698" i="12" s="1"/>
  <c r="H698" i="12" a="1"/>
  <c r="H698" i="12" s="1"/>
  <c r="G698" i="12" a="1"/>
  <c r="G698" i="12" s="1"/>
  <c r="F698" i="12" a="1"/>
  <c r="F698" i="12" s="1"/>
  <c r="E698" i="12" a="1"/>
  <c r="E698" i="12" s="1"/>
  <c r="D698" i="12" a="1"/>
  <c r="D698" i="12" s="1"/>
  <c r="C698" i="12" a="1"/>
  <c r="C698" i="12" s="1"/>
  <c r="CF697" i="12" a="1"/>
  <c r="CF697" i="12" s="1"/>
  <c r="CE697" i="12" a="1"/>
  <c r="CE697" i="12" s="1"/>
  <c r="CD697" i="12" a="1"/>
  <c r="CD697" i="12" s="1"/>
  <c r="CC697" i="12" a="1"/>
  <c r="CC697" i="12" s="1"/>
  <c r="CB697" i="12" a="1"/>
  <c r="CB697" i="12" s="1"/>
  <c r="CA697" i="12" a="1"/>
  <c r="CA697" i="12" s="1"/>
  <c r="BZ697" i="12" a="1"/>
  <c r="BZ697" i="12" s="1"/>
  <c r="BY697" i="12" a="1"/>
  <c r="BY697" i="12" s="1"/>
  <c r="BX697" i="12" a="1"/>
  <c r="BX697" i="12" s="1"/>
  <c r="BW697" i="12" a="1"/>
  <c r="BW697" i="12" s="1"/>
  <c r="BV697" i="12" a="1"/>
  <c r="BV697" i="12" s="1"/>
  <c r="BU697" i="12" a="1"/>
  <c r="BU697" i="12" s="1"/>
  <c r="BT697" i="12" a="1"/>
  <c r="BT697" i="12" s="1"/>
  <c r="BS697" i="12" a="1"/>
  <c r="BS697" i="12" s="1"/>
  <c r="BR697" i="12" a="1"/>
  <c r="BR697" i="12" s="1"/>
  <c r="BQ697" i="12" a="1"/>
  <c r="BQ697" i="12" s="1"/>
  <c r="BP697" i="12" a="1"/>
  <c r="BP697" i="12" s="1"/>
  <c r="BO697" i="12" a="1"/>
  <c r="BO697" i="12" s="1"/>
  <c r="BN697" i="12" a="1"/>
  <c r="BN697" i="12" s="1"/>
  <c r="BM697" i="12" a="1"/>
  <c r="BM697" i="12" s="1"/>
  <c r="BL697" i="12" a="1"/>
  <c r="BL697" i="12" s="1"/>
  <c r="BK697" i="12" a="1"/>
  <c r="BK697" i="12" s="1"/>
  <c r="BJ697" i="12" a="1"/>
  <c r="BJ697" i="12" s="1"/>
  <c r="BI697" i="12" a="1"/>
  <c r="BI697" i="12" s="1"/>
  <c r="BH697" i="12" a="1"/>
  <c r="BH697" i="12" s="1"/>
  <c r="BG697" i="12" a="1"/>
  <c r="BG697" i="12" s="1"/>
  <c r="BF697" i="12" a="1"/>
  <c r="BF697" i="12" s="1"/>
  <c r="BE697" i="12" a="1"/>
  <c r="BE697" i="12" s="1"/>
  <c r="BD697" i="12" a="1"/>
  <c r="BD697" i="12" s="1"/>
  <c r="BC697" i="12" a="1"/>
  <c r="BC697" i="12" s="1"/>
  <c r="BB697" i="12" a="1"/>
  <c r="BB697" i="12" s="1"/>
  <c r="BA697" i="12" a="1"/>
  <c r="BA697" i="12" s="1"/>
  <c r="AZ697" i="12" a="1"/>
  <c r="AZ697" i="12" s="1"/>
  <c r="AY697" i="12" a="1"/>
  <c r="AY697" i="12" s="1"/>
  <c r="AX697" i="12" a="1"/>
  <c r="AX697" i="12" s="1"/>
  <c r="AW697" i="12" a="1"/>
  <c r="AW697" i="12" s="1"/>
  <c r="AV697" i="12" a="1"/>
  <c r="AV697" i="12" s="1"/>
  <c r="AU697" i="12" a="1"/>
  <c r="AU697" i="12" s="1"/>
  <c r="AT697" i="12" a="1"/>
  <c r="AT697" i="12" s="1"/>
  <c r="AS697" i="12" a="1"/>
  <c r="AS697" i="12" s="1"/>
  <c r="AR697" i="12" a="1"/>
  <c r="AR697" i="12" s="1"/>
  <c r="AQ697" i="12" a="1"/>
  <c r="AQ697" i="12" s="1"/>
  <c r="AP697" i="12" a="1"/>
  <c r="AP697" i="12" s="1"/>
  <c r="AO697" i="12" a="1"/>
  <c r="AO697" i="12" s="1"/>
  <c r="AN697" i="12" a="1"/>
  <c r="AN697" i="12" s="1"/>
  <c r="AM697" i="12" a="1"/>
  <c r="AM697" i="12" s="1"/>
  <c r="AL697" i="12" a="1"/>
  <c r="AL697" i="12" s="1"/>
  <c r="AK697" i="12" a="1"/>
  <c r="AK697" i="12" s="1"/>
  <c r="AJ697" i="12" a="1"/>
  <c r="AJ697" i="12" s="1"/>
  <c r="AI697" i="12" a="1"/>
  <c r="AI697" i="12" s="1"/>
  <c r="AH697" i="12" a="1"/>
  <c r="AH697" i="12" s="1"/>
  <c r="AG697" i="12" a="1"/>
  <c r="AG697" i="12" s="1"/>
  <c r="AF697" i="12" a="1"/>
  <c r="AF697" i="12" s="1"/>
  <c r="AE697" i="12" a="1"/>
  <c r="AE697" i="12" s="1"/>
  <c r="AD697" i="12" a="1"/>
  <c r="AD697" i="12" s="1"/>
  <c r="AC697" i="12" a="1"/>
  <c r="AC697" i="12" s="1"/>
  <c r="AB697" i="12" a="1"/>
  <c r="AB697" i="12" s="1"/>
  <c r="AA697" i="12" a="1"/>
  <c r="AA697" i="12" s="1"/>
  <c r="Z697" i="12" a="1"/>
  <c r="Z697" i="12" s="1"/>
  <c r="Y697" i="12" a="1"/>
  <c r="Y697" i="12" s="1"/>
  <c r="X697" i="12" a="1"/>
  <c r="X697" i="12" s="1"/>
  <c r="W697" i="12" a="1"/>
  <c r="W697" i="12" s="1"/>
  <c r="V697" i="12" a="1"/>
  <c r="V697" i="12" s="1"/>
  <c r="U697" i="12" a="1"/>
  <c r="U697" i="12" s="1"/>
  <c r="T697" i="12" a="1"/>
  <c r="T697" i="12" s="1"/>
  <c r="S697" i="12" a="1"/>
  <c r="S697" i="12" s="1"/>
  <c r="R697" i="12" a="1"/>
  <c r="R697" i="12" s="1"/>
  <c r="Q697" i="12" a="1"/>
  <c r="Q697" i="12" s="1"/>
  <c r="P697" i="12" a="1"/>
  <c r="P697" i="12" s="1"/>
  <c r="O697" i="12" a="1"/>
  <c r="O697" i="12" s="1"/>
  <c r="N697" i="12" a="1"/>
  <c r="N697" i="12" s="1"/>
  <c r="M697" i="12" a="1"/>
  <c r="M697" i="12" s="1"/>
  <c r="L697" i="12" a="1"/>
  <c r="L697" i="12" s="1"/>
  <c r="K697" i="12" a="1"/>
  <c r="K697" i="12" s="1"/>
  <c r="J697" i="12" a="1"/>
  <c r="J697" i="12" s="1"/>
  <c r="I697" i="12" a="1"/>
  <c r="I697" i="12" s="1"/>
  <c r="H697" i="12" a="1"/>
  <c r="H697" i="12" s="1"/>
  <c r="G697" i="12" a="1"/>
  <c r="G697" i="12" s="1"/>
  <c r="F697" i="12" a="1"/>
  <c r="F697" i="12" s="1"/>
  <c r="E697" i="12" a="1"/>
  <c r="E697" i="12" s="1"/>
  <c r="D697" i="12" a="1"/>
  <c r="D697" i="12" s="1"/>
  <c r="C697" i="12" a="1"/>
  <c r="C697" i="12" s="1"/>
  <c r="CF695" i="12" a="1"/>
  <c r="CF695" i="12" s="1"/>
  <c r="CE695" i="12" a="1"/>
  <c r="CE695" i="12" s="1"/>
  <c r="CD695" i="12" a="1"/>
  <c r="CD695" i="12" s="1"/>
  <c r="CC695" i="12" a="1"/>
  <c r="CC695" i="12" s="1"/>
  <c r="CB695" i="12" a="1"/>
  <c r="CB695" i="12" s="1"/>
  <c r="CA695" i="12" a="1"/>
  <c r="CA695" i="12" s="1"/>
  <c r="BZ695" i="12" a="1"/>
  <c r="BZ695" i="12" s="1"/>
  <c r="BY695" i="12" a="1"/>
  <c r="BY695" i="12" s="1"/>
  <c r="BX695" i="12" a="1"/>
  <c r="BX695" i="12" s="1"/>
  <c r="BW695" i="12" a="1"/>
  <c r="BW695" i="12" s="1"/>
  <c r="BV695" i="12" a="1"/>
  <c r="BV695" i="12" s="1"/>
  <c r="BU695" i="12" a="1"/>
  <c r="BU695" i="12" s="1"/>
  <c r="BT695" i="12" a="1"/>
  <c r="BT695" i="12" s="1"/>
  <c r="BS695" i="12" a="1"/>
  <c r="BS695" i="12" s="1"/>
  <c r="BR695" i="12" a="1"/>
  <c r="BR695" i="12" s="1"/>
  <c r="BQ695" i="12" a="1"/>
  <c r="BQ695" i="12" s="1"/>
  <c r="BP695" i="12" a="1"/>
  <c r="BP695" i="12" s="1"/>
  <c r="BO695" i="12" a="1"/>
  <c r="BO695" i="12" s="1"/>
  <c r="BN695" i="12" a="1"/>
  <c r="BN695" i="12" s="1"/>
  <c r="BM695" i="12" a="1"/>
  <c r="BM695" i="12" s="1"/>
  <c r="BL695" i="12" a="1"/>
  <c r="BL695" i="12" s="1"/>
  <c r="BK695" i="12" a="1"/>
  <c r="BK695" i="12" s="1"/>
  <c r="BJ695" i="12" a="1"/>
  <c r="BJ695" i="12" s="1"/>
  <c r="BI695" i="12" a="1"/>
  <c r="BI695" i="12" s="1"/>
  <c r="BH695" i="12" a="1"/>
  <c r="BH695" i="12" s="1"/>
  <c r="BG695" i="12" a="1"/>
  <c r="BG695" i="12" s="1"/>
  <c r="BF695" i="12" a="1"/>
  <c r="BF695" i="12" s="1"/>
  <c r="BE695" i="12" a="1"/>
  <c r="BE695" i="12" s="1"/>
  <c r="BD695" i="12" a="1"/>
  <c r="BD695" i="12" s="1"/>
  <c r="BC695" i="12" a="1"/>
  <c r="BC695" i="12" s="1"/>
  <c r="BB695" i="12" a="1"/>
  <c r="BB695" i="12" s="1"/>
  <c r="BA695" i="12" a="1"/>
  <c r="BA695" i="12" s="1"/>
  <c r="AZ695" i="12" a="1"/>
  <c r="AZ695" i="12" s="1"/>
  <c r="AY695" i="12" a="1"/>
  <c r="AY695" i="12" s="1"/>
  <c r="AX695" i="12" a="1"/>
  <c r="AX695" i="12" s="1"/>
  <c r="AW695" i="12" a="1"/>
  <c r="AW695" i="12" s="1"/>
  <c r="AV695" i="12" a="1"/>
  <c r="AV695" i="12" s="1"/>
  <c r="AU695" i="12" a="1"/>
  <c r="AU695" i="12" s="1"/>
  <c r="AT695" i="12" a="1"/>
  <c r="AT695" i="12" s="1"/>
  <c r="AS695" i="12" a="1"/>
  <c r="AS695" i="12" s="1"/>
  <c r="AR695" i="12" a="1"/>
  <c r="AR695" i="12" s="1"/>
  <c r="AQ695" i="12" a="1"/>
  <c r="AQ695" i="12" s="1"/>
  <c r="AP695" i="12" a="1"/>
  <c r="AP695" i="12" s="1"/>
  <c r="AO695" i="12" a="1"/>
  <c r="AO695" i="12" s="1"/>
  <c r="AN695" i="12" a="1"/>
  <c r="AN695" i="12" s="1"/>
  <c r="AM695" i="12" a="1"/>
  <c r="AM695" i="12" s="1"/>
  <c r="AL695" i="12" a="1"/>
  <c r="AL695" i="12" s="1"/>
  <c r="AK695" i="12" a="1"/>
  <c r="AK695" i="12" s="1"/>
  <c r="AJ695" i="12" a="1"/>
  <c r="AJ695" i="12" s="1"/>
  <c r="AI695" i="12" a="1"/>
  <c r="AI695" i="12" s="1"/>
  <c r="AH695" i="12" a="1"/>
  <c r="AH695" i="12" s="1"/>
  <c r="AH701" i="12" s="1"/>
  <c r="AG695" i="12" a="1"/>
  <c r="AG695" i="12" s="1"/>
  <c r="AG701" i="12" s="1"/>
  <c r="AF695" i="12" a="1"/>
  <c r="AF695" i="12" s="1"/>
  <c r="AF701" i="12" s="1"/>
  <c r="AE695" i="12" a="1"/>
  <c r="AE695" i="12" s="1"/>
  <c r="AE701" i="12" s="1"/>
  <c r="AD695" i="12" a="1"/>
  <c r="AD695" i="12" s="1"/>
  <c r="AD701" i="12" s="1"/>
  <c r="AC695" i="12" a="1"/>
  <c r="AC695" i="12" s="1"/>
  <c r="AC701" i="12" s="1"/>
  <c r="AB695" i="12" a="1"/>
  <c r="AB695" i="12" s="1"/>
  <c r="AB701" i="12" s="1"/>
  <c r="AA695" i="12" a="1"/>
  <c r="AA695" i="12" s="1"/>
  <c r="AA701" i="12" s="1"/>
  <c r="Z695" i="12" a="1"/>
  <c r="Z695" i="12" s="1"/>
  <c r="Z701" i="12" s="1"/>
  <c r="Y695" i="12" a="1"/>
  <c r="Y695" i="12" s="1"/>
  <c r="Y701" i="12" s="1"/>
  <c r="X695" i="12" a="1"/>
  <c r="X695" i="12" s="1"/>
  <c r="X701" i="12" s="1"/>
  <c r="W695" i="12" a="1"/>
  <c r="W695" i="12" s="1"/>
  <c r="W701" i="12" s="1"/>
  <c r="V695" i="12" a="1"/>
  <c r="V695" i="12" s="1"/>
  <c r="V701" i="12" s="1"/>
  <c r="U695" i="12" a="1"/>
  <c r="U695" i="12" s="1"/>
  <c r="T695" i="12" a="1"/>
  <c r="T695" i="12" s="1"/>
  <c r="S695" i="12" a="1"/>
  <c r="S695" i="12" s="1"/>
  <c r="R695" i="12" a="1"/>
  <c r="R695" i="12" s="1"/>
  <c r="Q695" i="12" a="1"/>
  <c r="Q695" i="12" s="1"/>
  <c r="P695" i="12" a="1"/>
  <c r="P695" i="12" s="1"/>
  <c r="O695" i="12" a="1"/>
  <c r="O695" i="12" s="1"/>
  <c r="N695" i="12" a="1"/>
  <c r="N695" i="12" s="1"/>
  <c r="M695" i="12" a="1"/>
  <c r="M695" i="12" s="1"/>
  <c r="L695" i="12" a="1"/>
  <c r="L695" i="12" s="1"/>
  <c r="K695" i="12" a="1"/>
  <c r="K695" i="12" s="1"/>
  <c r="J695" i="12" a="1"/>
  <c r="J695" i="12" s="1"/>
  <c r="I695" i="12" a="1"/>
  <c r="I695" i="12" s="1"/>
  <c r="H695" i="12" a="1"/>
  <c r="H695" i="12" s="1"/>
  <c r="G695" i="12" a="1"/>
  <c r="G695" i="12" s="1"/>
  <c r="F695" i="12" a="1"/>
  <c r="F695" i="12" s="1"/>
  <c r="E695" i="12" a="1"/>
  <c r="E695" i="12" s="1"/>
  <c r="D695" i="12" a="1"/>
  <c r="D695" i="12" s="1"/>
  <c r="C695" i="12" a="1"/>
  <c r="C695" i="12" s="1"/>
  <c r="CF694" i="12" a="1"/>
  <c r="CF694" i="12" s="1"/>
  <c r="CE694" i="12" a="1"/>
  <c r="CE694" i="12" s="1"/>
  <c r="CD694" i="12" a="1"/>
  <c r="CD694" i="12" s="1"/>
  <c r="CC694" i="12" a="1"/>
  <c r="CC694" i="12" s="1"/>
  <c r="CB694" i="12" a="1"/>
  <c r="CB694" i="12" s="1"/>
  <c r="CA694" i="12" a="1"/>
  <c r="CA694" i="12" s="1"/>
  <c r="BZ694" i="12" a="1"/>
  <c r="BZ694" i="12" s="1"/>
  <c r="BY694" i="12" a="1"/>
  <c r="BY694" i="12" s="1"/>
  <c r="BX694" i="12" a="1"/>
  <c r="BX694" i="12" s="1"/>
  <c r="BW694" i="12" a="1"/>
  <c r="BW694" i="12" s="1"/>
  <c r="BV694" i="12" a="1"/>
  <c r="BV694" i="12" s="1"/>
  <c r="BU694" i="12" a="1"/>
  <c r="BU694" i="12" s="1"/>
  <c r="BT694" i="12" a="1"/>
  <c r="BT694" i="12" s="1"/>
  <c r="BS694" i="12" a="1"/>
  <c r="BS694" i="12" s="1"/>
  <c r="BR694" i="12" a="1"/>
  <c r="BR694" i="12" s="1"/>
  <c r="BQ694" i="12" a="1"/>
  <c r="BQ694" i="12" s="1"/>
  <c r="BP694" i="12" a="1"/>
  <c r="BP694" i="12" s="1"/>
  <c r="BO694" i="12" a="1"/>
  <c r="BO694" i="12" s="1"/>
  <c r="BN694" i="12" a="1"/>
  <c r="BN694" i="12" s="1"/>
  <c r="BM694" i="12" a="1"/>
  <c r="BM694" i="12" s="1"/>
  <c r="BL694" i="12" a="1"/>
  <c r="BL694" i="12" s="1"/>
  <c r="BK694" i="12" a="1"/>
  <c r="BK694" i="12" s="1"/>
  <c r="BJ694" i="12" a="1"/>
  <c r="BJ694" i="12" s="1"/>
  <c r="BI694" i="12" a="1"/>
  <c r="BI694" i="12" s="1"/>
  <c r="BH694" i="12" a="1"/>
  <c r="BH694" i="12" s="1"/>
  <c r="BG694" i="12" a="1"/>
  <c r="BG694" i="12" s="1"/>
  <c r="BF694" i="12" a="1"/>
  <c r="BF694" i="12" s="1"/>
  <c r="BE694" i="12" a="1"/>
  <c r="BE694" i="12" s="1"/>
  <c r="BD694" i="12" a="1"/>
  <c r="BD694" i="12" s="1"/>
  <c r="BC694" i="12" a="1"/>
  <c r="BC694" i="12" s="1"/>
  <c r="BB694" i="12" a="1"/>
  <c r="BB694" i="12" s="1"/>
  <c r="BA694" i="12" a="1"/>
  <c r="BA694" i="12" s="1"/>
  <c r="AZ694" i="12" a="1"/>
  <c r="AZ694" i="12" s="1"/>
  <c r="AY694" i="12" a="1"/>
  <c r="AY694" i="12" s="1"/>
  <c r="AX694" i="12" a="1"/>
  <c r="AX694" i="12" s="1"/>
  <c r="AW694" i="12" a="1"/>
  <c r="AW694" i="12" s="1"/>
  <c r="AV694" i="12" a="1"/>
  <c r="AV694" i="12" s="1"/>
  <c r="AU694" i="12" a="1"/>
  <c r="AU694" i="12" s="1"/>
  <c r="AT694" i="12" a="1"/>
  <c r="AT694" i="12" s="1"/>
  <c r="AS694" i="12" a="1"/>
  <c r="AS694" i="12" s="1"/>
  <c r="AR694" i="12" a="1"/>
  <c r="AR694" i="12" s="1"/>
  <c r="AQ694" i="12" a="1"/>
  <c r="AQ694" i="12" s="1"/>
  <c r="AP694" i="12" a="1"/>
  <c r="AP694" i="12" s="1"/>
  <c r="AO694" i="12" a="1"/>
  <c r="AO694" i="12" s="1"/>
  <c r="AN694" i="12" a="1"/>
  <c r="AN694" i="12" s="1"/>
  <c r="AM694" i="12" a="1"/>
  <c r="AM694" i="12" s="1"/>
  <c r="AL694" i="12" a="1"/>
  <c r="AL694" i="12" s="1"/>
  <c r="AK694" i="12" a="1"/>
  <c r="AK694" i="12" s="1"/>
  <c r="AJ694" i="12" a="1"/>
  <c r="AJ694" i="12" s="1"/>
  <c r="AI694" i="12" a="1"/>
  <c r="AI694" i="12" s="1"/>
  <c r="AH694" i="12" a="1"/>
  <c r="AH694" i="12" s="1"/>
  <c r="AG694" i="12" a="1"/>
  <c r="AG694" i="12" s="1"/>
  <c r="AF694" i="12" a="1"/>
  <c r="AF694" i="12" s="1"/>
  <c r="AE694" i="12" a="1"/>
  <c r="AE694" i="12" s="1"/>
  <c r="AD694" i="12" a="1"/>
  <c r="AD694" i="12" s="1"/>
  <c r="AC694" i="12" a="1"/>
  <c r="AC694" i="12" s="1"/>
  <c r="AB694" i="12" a="1"/>
  <c r="AB694" i="12" s="1"/>
  <c r="AA694" i="12" a="1"/>
  <c r="AA694" i="12" s="1"/>
  <c r="Z694" i="12" a="1"/>
  <c r="Z694" i="12" s="1"/>
  <c r="Y694" i="12" a="1"/>
  <c r="Y694" i="12" s="1"/>
  <c r="X694" i="12" a="1"/>
  <c r="X694" i="12" s="1"/>
  <c r="W694" i="12" a="1"/>
  <c r="W694" i="12" s="1"/>
  <c r="V694" i="12" a="1"/>
  <c r="V694" i="12" s="1"/>
  <c r="U694" i="12" a="1"/>
  <c r="U694" i="12" s="1"/>
  <c r="T694" i="12" a="1"/>
  <c r="T694" i="12" s="1"/>
  <c r="S694" i="12" a="1"/>
  <c r="S694" i="12" s="1"/>
  <c r="R694" i="12" a="1"/>
  <c r="R694" i="12" s="1"/>
  <c r="Q694" i="12" a="1"/>
  <c r="Q694" i="12" s="1"/>
  <c r="P694" i="12" a="1"/>
  <c r="P694" i="12" s="1"/>
  <c r="O694" i="12" a="1"/>
  <c r="O694" i="12" s="1"/>
  <c r="N694" i="12" a="1"/>
  <c r="N694" i="12" s="1"/>
  <c r="M694" i="12" a="1"/>
  <c r="M694" i="12" s="1"/>
  <c r="L694" i="12" a="1"/>
  <c r="L694" i="12" s="1"/>
  <c r="K694" i="12" a="1"/>
  <c r="K694" i="12" s="1"/>
  <c r="J694" i="12" a="1"/>
  <c r="J694" i="12" s="1"/>
  <c r="I694" i="12" a="1"/>
  <c r="I694" i="12" s="1"/>
  <c r="H694" i="12" a="1"/>
  <c r="H694" i="12" s="1"/>
  <c r="G694" i="12" a="1"/>
  <c r="G694" i="12" s="1"/>
  <c r="F694" i="12" a="1"/>
  <c r="F694" i="12" s="1"/>
  <c r="E694" i="12" a="1"/>
  <c r="E694" i="12" s="1"/>
  <c r="D694" i="12" a="1"/>
  <c r="D694" i="12" s="1"/>
  <c r="C694" i="12" a="1"/>
  <c r="C694" i="12" s="1"/>
  <c r="G691" i="12" a="1"/>
  <c r="G691" i="12" s="1"/>
  <c r="F691" i="12" a="1"/>
  <c r="F691" i="12" s="1"/>
  <c r="E691" i="12" a="1"/>
  <c r="E691" i="12" s="1"/>
  <c r="D691" i="12" a="1"/>
  <c r="D691" i="12" s="1"/>
  <c r="C691" i="12" a="1"/>
  <c r="C691" i="12" s="1"/>
  <c r="G690" i="12" a="1"/>
  <c r="G690" i="12" s="1"/>
  <c r="F690" i="12" a="1"/>
  <c r="F690" i="12" s="1"/>
  <c r="E690" i="12" a="1"/>
  <c r="E690" i="12" s="1"/>
  <c r="D690" i="12" a="1"/>
  <c r="D690" i="12" s="1"/>
  <c r="C690" i="12" a="1"/>
  <c r="C690" i="12" s="1"/>
  <c r="G689" i="12" a="1"/>
  <c r="G689" i="12" s="1"/>
  <c r="F689" i="12" a="1"/>
  <c r="F689" i="12" s="1"/>
  <c r="E689" i="12" a="1"/>
  <c r="E689" i="12" s="1"/>
  <c r="D689" i="12" a="1"/>
  <c r="D689" i="12" s="1"/>
  <c r="C689" i="12" a="1"/>
  <c r="C689" i="12" s="1"/>
  <c r="G688" i="12"/>
  <c r="G688" i="12" a="1"/>
  <c r="F688" i="12"/>
  <c r="F688" i="12" a="1"/>
  <c r="E688" i="12"/>
  <c r="E688" i="12" a="1"/>
  <c r="D688" i="12"/>
  <c r="D688" i="12" a="1"/>
  <c r="C688" i="12"/>
  <c r="C688" i="12" a="1"/>
  <c r="G686" i="12" a="1"/>
  <c r="G686" i="12" s="1"/>
  <c r="F686" i="12" a="1"/>
  <c r="F686" i="12" s="1"/>
  <c r="E686" i="12" a="1"/>
  <c r="E686" i="12" s="1"/>
  <c r="D686" i="12" a="1"/>
  <c r="D686" i="12" s="1"/>
  <c r="C686" i="12" a="1"/>
  <c r="C686" i="12" s="1"/>
  <c r="G685" i="12" a="1"/>
  <c r="G685" i="12" s="1"/>
  <c r="F685" i="12" a="1"/>
  <c r="F685" i="12" s="1"/>
  <c r="E685" i="12" a="1"/>
  <c r="E685" i="12" s="1"/>
  <c r="D685" i="12" a="1"/>
  <c r="D685" i="12" s="1"/>
  <c r="C685" i="12" a="1"/>
  <c r="C685" i="12" s="1"/>
  <c r="G684" i="12" a="1"/>
  <c r="G684" i="12" s="1"/>
  <c r="F684" i="12" a="1"/>
  <c r="F684" i="12" s="1"/>
  <c r="E684" i="12" a="1"/>
  <c r="E684" i="12" s="1"/>
  <c r="D684" i="12" a="1"/>
  <c r="D684" i="12" s="1"/>
  <c r="C684" i="12" a="1"/>
  <c r="C684" i="12" s="1"/>
  <c r="G683" i="12" a="1"/>
  <c r="G683" i="12" s="1"/>
  <c r="F683" i="12" a="1"/>
  <c r="F683" i="12" s="1"/>
  <c r="E683" i="12" a="1"/>
  <c r="E683" i="12" s="1"/>
  <c r="D683" i="12" a="1"/>
  <c r="D683" i="12" s="1"/>
  <c r="C683" i="12" a="1"/>
  <c r="C683" i="12" s="1"/>
  <c r="G682" i="12"/>
  <c r="G682" i="12" a="1"/>
  <c r="F682" i="12"/>
  <c r="F682" i="12" a="1"/>
  <c r="E682" i="12"/>
  <c r="E682" i="12" a="1"/>
  <c r="D682" i="12"/>
  <c r="D682" i="12" a="1"/>
  <c r="C682" i="12"/>
  <c r="C682" i="12" a="1"/>
  <c r="L680" i="12" a="1"/>
  <c r="L680" i="12" s="1"/>
  <c r="K680" i="12" a="1"/>
  <c r="K680" i="12" s="1"/>
  <c r="J680" i="12" a="1"/>
  <c r="J680" i="12" s="1"/>
  <c r="I680" i="12" a="1"/>
  <c r="I680" i="12" s="1"/>
  <c r="H680" i="12" a="1"/>
  <c r="H680" i="12" s="1"/>
  <c r="G680" i="12" a="1"/>
  <c r="G680" i="12" s="1"/>
  <c r="F680" i="12" a="1"/>
  <c r="F680" i="12" s="1"/>
  <c r="E680" i="12" a="1"/>
  <c r="E680" i="12" s="1"/>
  <c r="D680" i="12" a="1"/>
  <c r="D680" i="12" s="1"/>
  <c r="C680" i="12" a="1"/>
  <c r="C680" i="12" s="1"/>
  <c r="L679" i="12" a="1"/>
  <c r="L679" i="12" s="1"/>
  <c r="K679" i="12" a="1"/>
  <c r="K679" i="12" s="1"/>
  <c r="J679" i="12" a="1"/>
  <c r="J679" i="12" s="1"/>
  <c r="I679" i="12" a="1"/>
  <c r="I679" i="12" s="1"/>
  <c r="H679" i="12" a="1"/>
  <c r="H679" i="12" s="1"/>
  <c r="G679" i="12" a="1"/>
  <c r="G679" i="12" s="1"/>
  <c r="F679" i="12" a="1"/>
  <c r="F679" i="12" s="1"/>
  <c r="E679" i="12" a="1"/>
  <c r="E679" i="12" s="1"/>
  <c r="D679" i="12" a="1"/>
  <c r="D679" i="12" s="1"/>
  <c r="C679" i="12" a="1"/>
  <c r="C679" i="12" s="1"/>
  <c r="L678" i="12" a="1"/>
  <c r="L678" i="12" s="1"/>
  <c r="K678" i="12" a="1"/>
  <c r="K678" i="12" s="1"/>
  <c r="J678" i="12" a="1"/>
  <c r="J678" i="12" s="1"/>
  <c r="I678" i="12" a="1"/>
  <c r="I678" i="12" s="1"/>
  <c r="H678" i="12" a="1"/>
  <c r="H678" i="12" s="1"/>
  <c r="G678" i="12" a="1"/>
  <c r="G678" i="12" s="1"/>
  <c r="F678" i="12" a="1"/>
  <c r="F678" i="12" s="1"/>
  <c r="E678" i="12" a="1"/>
  <c r="E678" i="12" s="1"/>
  <c r="D678" i="12" a="1"/>
  <c r="D678" i="12" s="1"/>
  <c r="C678" i="12" a="1"/>
  <c r="C678" i="12" s="1"/>
  <c r="L677" i="12" a="1"/>
  <c r="L677" i="12" s="1"/>
  <c r="K677" i="12" a="1"/>
  <c r="K677" i="12" s="1"/>
  <c r="J677" i="12" a="1"/>
  <c r="J677" i="12" s="1"/>
  <c r="I677" i="12" a="1"/>
  <c r="I677" i="12" s="1"/>
  <c r="H677" i="12" a="1"/>
  <c r="H677" i="12" s="1"/>
  <c r="G677" i="12" a="1"/>
  <c r="G677" i="12" s="1"/>
  <c r="F677" i="12" a="1"/>
  <c r="F677" i="12" s="1"/>
  <c r="E677" i="12" a="1"/>
  <c r="E677" i="12" s="1"/>
  <c r="D677" i="12" a="1"/>
  <c r="D677" i="12" s="1"/>
  <c r="C677" i="12" a="1"/>
  <c r="C677" i="12" s="1"/>
  <c r="L676" i="12" a="1"/>
  <c r="L676" i="12" s="1"/>
  <c r="K676" i="12" a="1"/>
  <c r="K676" i="12" s="1"/>
  <c r="J676" i="12" a="1"/>
  <c r="J676" i="12" s="1"/>
  <c r="I676" i="12" a="1"/>
  <c r="I676" i="12" s="1"/>
  <c r="H676" i="12" a="1"/>
  <c r="H676" i="12" s="1"/>
  <c r="G676" i="12" a="1"/>
  <c r="G676" i="12" s="1"/>
  <c r="F676" i="12" a="1"/>
  <c r="F676" i="12" s="1"/>
  <c r="E676" i="12" a="1"/>
  <c r="E676" i="12" s="1"/>
  <c r="D676" i="12" a="1"/>
  <c r="D676" i="12" s="1"/>
  <c r="C676" i="12" a="1"/>
  <c r="C676" i="12" s="1"/>
  <c r="L675" i="12" a="1"/>
  <c r="L675" i="12" s="1"/>
  <c r="K675" i="12" a="1"/>
  <c r="K675" i="12" s="1"/>
  <c r="J675" i="12" a="1"/>
  <c r="J675" i="12" s="1"/>
  <c r="I675" i="12" a="1"/>
  <c r="I675" i="12" s="1"/>
  <c r="H675" i="12" a="1"/>
  <c r="H675" i="12" s="1"/>
  <c r="G675" i="12" a="1"/>
  <c r="G675" i="12" s="1"/>
  <c r="F675" i="12" a="1"/>
  <c r="F675" i="12" s="1"/>
  <c r="E675" i="12" a="1"/>
  <c r="E675" i="12" s="1"/>
  <c r="D675" i="12" a="1"/>
  <c r="D675" i="12" s="1"/>
  <c r="C675" i="12" a="1"/>
  <c r="C675" i="12" s="1"/>
  <c r="L674" i="12" a="1"/>
  <c r="L674" i="12" s="1"/>
  <c r="K674" i="12" a="1"/>
  <c r="K674" i="12" s="1"/>
  <c r="J674" i="12" a="1"/>
  <c r="J674" i="12" s="1"/>
  <c r="I674" i="12" a="1"/>
  <c r="I674" i="12" s="1"/>
  <c r="H674" i="12" a="1"/>
  <c r="H674" i="12" s="1"/>
  <c r="G674" i="12" a="1"/>
  <c r="G674" i="12" s="1"/>
  <c r="F674" i="12" a="1"/>
  <c r="F674" i="12" s="1"/>
  <c r="E674" i="12" a="1"/>
  <c r="E674" i="12" s="1"/>
  <c r="D674" i="12" a="1"/>
  <c r="D674" i="12" s="1"/>
  <c r="C674" i="12" a="1"/>
  <c r="C674" i="12" s="1"/>
  <c r="K673" i="12" a="1"/>
  <c r="K673" i="12" s="1"/>
  <c r="I673" i="12" a="1"/>
  <c r="I673" i="12" s="1"/>
  <c r="G673" i="12" a="1"/>
  <c r="G673" i="12" s="1"/>
  <c r="E673" i="12" a="1"/>
  <c r="E673" i="12" s="1"/>
  <c r="C673" i="12" a="1"/>
  <c r="C673" i="12" s="1"/>
  <c r="K672" i="12" a="1"/>
  <c r="K672" i="12" s="1"/>
  <c r="I672" i="12" a="1"/>
  <c r="I672" i="12" s="1"/>
  <c r="G672" i="12" a="1"/>
  <c r="G672" i="12" s="1"/>
  <c r="E672" i="12" a="1"/>
  <c r="E672" i="12" s="1"/>
  <c r="C672" i="12" a="1"/>
  <c r="C672" i="12" s="1"/>
  <c r="K671" i="12" a="1"/>
  <c r="K671" i="12" s="1"/>
  <c r="I671" i="12" a="1"/>
  <c r="I671" i="12" s="1"/>
  <c r="G671" i="12" a="1"/>
  <c r="G671" i="12" s="1"/>
  <c r="E671" i="12" a="1"/>
  <c r="E671" i="12" s="1"/>
  <c r="C671" i="12" a="1"/>
  <c r="C671" i="12" s="1"/>
  <c r="K670" i="12"/>
  <c r="K670" i="12" a="1"/>
  <c r="I670" i="12"/>
  <c r="I670" i="12" a="1"/>
  <c r="G670" i="12"/>
  <c r="G670" i="12" a="1"/>
  <c r="E670" i="12"/>
  <c r="E670" i="12" a="1"/>
  <c r="C670" i="12"/>
  <c r="C670" i="12" a="1"/>
  <c r="L668" i="12" a="1"/>
  <c r="L668" i="12" s="1"/>
  <c r="K668" i="12" a="1"/>
  <c r="K668" i="12" s="1"/>
  <c r="J668" i="12" a="1"/>
  <c r="J668" i="12" s="1"/>
  <c r="I668" i="12" a="1"/>
  <c r="I668" i="12" s="1"/>
  <c r="H668" i="12" a="1"/>
  <c r="H668" i="12" s="1"/>
  <c r="G668" i="12" a="1"/>
  <c r="G668" i="12" s="1"/>
  <c r="F668" i="12" a="1"/>
  <c r="F668" i="12" s="1"/>
  <c r="E668" i="12" a="1"/>
  <c r="E668" i="12" s="1"/>
  <c r="D668" i="12" a="1"/>
  <c r="D668" i="12" s="1"/>
  <c r="C668" i="12" a="1"/>
  <c r="C668" i="12" s="1"/>
  <c r="L667" i="12" a="1"/>
  <c r="L667" i="12" s="1"/>
  <c r="K667" i="12" a="1"/>
  <c r="K667" i="12" s="1"/>
  <c r="J667" i="12" a="1"/>
  <c r="J667" i="12" s="1"/>
  <c r="I667" i="12" a="1"/>
  <c r="I667" i="12" s="1"/>
  <c r="H667" i="12" a="1"/>
  <c r="H667" i="12" s="1"/>
  <c r="G667" i="12" a="1"/>
  <c r="G667" i="12" s="1"/>
  <c r="F667" i="12" a="1"/>
  <c r="F667" i="12" s="1"/>
  <c r="E667" i="12" a="1"/>
  <c r="E667" i="12" s="1"/>
  <c r="D667" i="12" a="1"/>
  <c r="D667" i="12" s="1"/>
  <c r="C667" i="12" a="1"/>
  <c r="C667" i="12" s="1"/>
  <c r="L666" i="12" a="1"/>
  <c r="L666" i="12" s="1"/>
  <c r="K666" i="12" a="1"/>
  <c r="K666" i="12" s="1"/>
  <c r="J666" i="12" a="1"/>
  <c r="J666" i="12" s="1"/>
  <c r="I666" i="12" a="1"/>
  <c r="I666" i="12" s="1"/>
  <c r="H666" i="12" a="1"/>
  <c r="H666" i="12" s="1"/>
  <c r="G666" i="12" a="1"/>
  <c r="G666" i="12" s="1"/>
  <c r="F666" i="12" a="1"/>
  <c r="F666" i="12" s="1"/>
  <c r="E666" i="12" a="1"/>
  <c r="E666" i="12" s="1"/>
  <c r="D666" i="12" a="1"/>
  <c r="D666" i="12" s="1"/>
  <c r="C666" i="12" a="1"/>
  <c r="C666" i="12" s="1"/>
  <c r="L665" i="12" a="1"/>
  <c r="L665" i="12" s="1"/>
  <c r="K665" i="12" a="1"/>
  <c r="K665" i="12" s="1"/>
  <c r="J665" i="12" a="1"/>
  <c r="J665" i="12" s="1"/>
  <c r="I665" i="12" a="1"/>
  <c r="I665" i="12" s="1"/>
  <c r="H665" i="12" a="1"/>
  <c r="H665" i="12" s="1"/>
  <c r="G665" i="12" a="1"/>
  <c r="G665" i="12" s="1"/>
  <c r="F665" i="12" a="1"/>
  <c r="F665" i="12" s="1"/>
  <c r="E665" i="12" a="1"/>
  <c r="E665" i="12" s="1"/>
  <c r="D665" i="12" a="1"/>
  <c r="D665" i="12" s="1"/>
  <c r="C665" i="12" a="1"/>
  <c r="C665" i="12" s="1"/>
  <c r="L664" i="12" a="1"/>
  <c r="L664" i="12" s="1"/>
  <c r="K664" i="12" a="1"/>
  <c r="K664" i="12" s="1"/>
  <c r="J664" i="12" a="1"/>
  <c r="J664" i="12" s="1"/>
  <c r="I664" i="12" a="1"/>
  <c r="I664" i="12" s="1"/>
  <c r="H664" i="12" a="1"/>
  <c r="H664" i="12" s="1"/>
  <c r="G664" i="12" a="1"/>
  <c r="G664" i="12" s="1"/>
  <c r="F664" i="12" a="1"/>
  <c r="F664" i="12" s="1"/>
  <c r="E664" i="12" a="1"/>
  <c r="E664" i="12" s="1"/>
  <c r="D664" i="12" a="1"/>
  <c r="D664" i="12" s="1"/>
  <c r="C664" i="12" a="1"/>
  <c r="C664" i="12" s="1"/>
  <c r="L663" i="12" a="1"/>
  <c r="L663" i="12" s="1"/>
  <c r="K663" i="12" a="1"/>
  <c r="K663" i="12" s="1"/>
  <c r="J663" i="12" a="1"/>
  <c r="J663" i="12" s="1"/>
  <c r="I663" i="12" a="1"/>
  <c r="I663" i="12" s="1"/>
  <c r="H663" i="12" a="1"/>
  <c r="H663" i="12" s="1"/>
  <c r="G663" i="12" a="1"/>
  <c r="G663" i="12" s="1"/>
  <c r="F663" i="12" a="1"/>
  <c r="F663" i="12" s="1"/>
  <c r="E663" i="12" a="1"/>
  <c r="E663" i="12" s="1"/>
  <c r="D663" i="12" a="1"/>
  <c r="D663" i="12" s="1"/>
  <c r="C663" i="12" a="1"/>
  <c r="C663" i="12" s="1"/>
  <c r="L662" i="12" a="1"/>
  <c r="L662" i="12" s="1"/>
  <c r="K662" i="12" a="1"/>
  <c r="K662" i="12" s="1"/>
  <c r="J662" i="12" a="1"/>
  <c r="J662" i="12" s="1"/>
  <c r="I662" i="12" a="1"/>
  <c r="I662" i="12" s="1"/>
  <c r="H662" i="12" a="1"/>
  <c r="H662" i="12" s="1"/>
  <c r="G662" i="12" a="1"/>
  <c r="G662" i="12" s="1"/>
  <c r="F662" i="12" a="1"/>
  <c r="F662" i="12" s="1"/>
  <c r="E662" i="12" a="1"/>
  <c r="E662" i="12" s="1"/>
  <c r="D662" i="12" a="1"/>
  <c r="D662" i="12" s="1"/>
  <c r="C662" i="12" a="1"/>
  <c r="C662" i="12" s="1"/>
  <c r="K661" i="12" a="1"/>
  <c r="K661" i="12" s="1"/>
  <c r="I661" i="12" a="1"/>
  <c r="I661" i="12" s="1"/>
  <c r="G661" i="12" a="1"/>
  <c r="G661" i="12" s="1"/>
  <c r="E661" i="12" a="1"/>
  <c r="E661" i="12" s="1"/>
  <c r="C661" i="12" a="1"/>
  <c r="C661" i="12" s="1"/>
  <c r="K660" i="12" a="1"/>
  <c r="K660" i="12" s="1"/>
  <c r="I660" i="12" a="1"/>
  <c r="I660" i="12" s="1"/>
  <c r="G660" i="12" a="1"/>
  <c r="G660" i="12" s="1"/>
  <c r="E660" i="12" a="1"/>
  <c r="E660" i="12" s="1"/>
  <c r="C660" i="12" a="1"/>
  <c r="C660" i="12" s="1"/>
  <c r="K659" i="12" a="1"/>
  <c r="K659" i="12" s="1"/>
  <c r="I659" i="12" a="1"/>
  <c r="I659" i="12" s="1"/>
  <c r="G659" i="12" a="1"/>
  <c r="G659" i="12" s="1"/>
  <c r="E659" i="12" a="1"/>
  <c r="E659" i="12" s="1"/>
  <c r="C659" i="12" a="1"/>
  <c r="C659" i="12" s="1"/>
  <c r="K658" i="12"/>
  <c r="K658" i="12" a="1"/>
  <c r="I658" i="12"/>
  <c r="I658" i="12" a="1"/>
  <c r="G658" i="12"/>
  <c r="G658" i="12" a="1"/>
  <c r="E658" i="12"/>
  <c r="E658" i="12" a="1"/>
  <c r="C658" i="12"/>
  <c r="C658" i="12" a="1"/>
  <c r="L655" i="12" a="1"/>
  <c r="L655" i="12" s="1"/>
  <c r="K655" i="12" a="1"/>
  <c r="K655" i="12" s="1"/>
  <c r="J655" i="12" a="1"/>
  <c r="J655" i="12" s="1"/>
  <c r="I655" i="12" a="1"/>
  <c r="I655" i="12" s="1"/>
  <c r="H655" i="12" a="1"/>
  <c r="H655" i="12" s="1"/>
  <c r="G655" i="12" a="1"/>
  <c r="G655" i="12" s="1"/>
  <c r="F655" i="12" a="1"/>
  <c r="F655" i="12" s="1"/>
  <c r="E655" i="12" a="1"/>
  <c r="E655" i="12" s="1"/>
  <c r="D655" i="12" a="1"/>
  <c r="D655" i="12" s="1"/>
  <c r="C655" i="12" a="1"/>
  <c r="C655" i="12" s="1"/>
  <c r="L654" i="12" a="1"/>
  <c r="L654" i="12" s="1"/>
  <c r="K654" i="12" a="1"/>
  <c r="K654" i="12" s="1"/>
  <c r="J654" i="12" a="1"/>
  <c r="J654" i="12" s="1"/>
  <c r="I654" i="12" a="1"/>
  <c r="I654" i="12" s="1"/>
  <c r="H654" i="12" a="1"/>
  <c r="H654" i="12" s="1"/>
  <c r="G654" i="12" a="1"/>
  <c r="G654" i="12" s="1"/>
  <c r="F654" i="12" a="1"/>
  <c r="F654" i="12" s="1"/>
  <c r="E654" i="12" a="1"/>
  <c r="E654" i="12" s="1"/>
  <c r="D654" i="12" a="1"/>
  <c r="D654" i="12" s="1"/>
  <c r="C654" i="12" a="1"/>
  <c r="C654" i="12" s="1"/>
  <c r="L653" i="12" a="1"/>
  <c r="L653" i="12" s="1"/>
  <c r="K653" i="12" a="1"/>
  <c r="K653" i="12" s="1"/>
  <c r="J653" i="12" a="1"/>
  <c r="J653" i="12" s="1"/>
  <c r="I653" i="12" a="1"/>
  <c r="I653" i="12" s="1"/>
  <c r="H653" i="12" a="1"/>
  <c r="H653" i="12" s="1"/>
  <c r="G653" i="12" a="1"/>
  <c r="G653" i="12" s="1"/>
  <c r="F653" i="12" a="1"/>
  <c r="F653" i="12" s="1"/>
  <c r="E653" i="12" a="1"/>
  <c r="E653" i="12" s="1"/>
  <c r="D653" i="12" a="1"/>
  <c r="D653" i="12" s="1"/>
  <c r="C653" i="12" a="1"/>
  <c r="C653" i="12" s="1"/>
  <c r="L652" i="12" a="1"/>
  <c r="L652" i="12" s="1"/>
  <c r="K652" i="12" a="1"/>
  <c r="K652" i="12" s="1"/>
  <c r="J652" i="12" a="1"/>
  <c r="J652" i="12" s="1"/>
  <c r="I652" i="12" a="1"/>
  <c r="I652" i="12" s="1"/>
  <c r="H652" i="12" a="1"/>
  <c r="H652" i="12" s="1"/>
  <c r="G652" i="12" a="1"/>
  <c r="G652" i="12" s="1"/>
  <c r="F652" i="12" a="1"/>
  <c r="F652" i="12" s="1"/>
  <c r="E652" i="12" a="1"/>
  <c r="E652" i="12" s="1"/>
  <c r="D652" i="12" a="1"/>
  <c r="D652" i="12" s="1"/>
  <c r="C652" i="12" a="1"/>
  <c r="C652" i="12" s="1"/>
  <c r="L651" i="12" a="1"/>
  <c r="L651" i="12" s="1"/>
  <c r="K651" i="12" a="1"/>
  <c r="K651" i="12" s="1"/>
  <c r="J651" i="12" a="1"/>
  <c r="J651" i="12" s="1"/>
  <c r="I651" i="12" a="1"/>
  <c r="I651" i="12" s="1"/>
  <c r="H651" i="12" a="1"/>
  <c r="H651" i="12" s="1"/>
  <c r="G651" i="12" a="1"/>
  <c r="G651" i="12" s="1"/>
  <c r="F651" i="12" a="1"/>
  <c r="F651" i="12" s="1"/>
  <c r="E651" i="12" a="1"/>
  <c r="E651" i="12" s="1"/>
  <c r="D651" i="12" a="1"/>
  <c r="D651" i="12" s="1"/>
  <c r="C651" i="12" a="1"/>
  <c r="C651" i="12" s="1"/>
  <c r="L650" i="12" a="1"/>
  <c r="L650" i="12" s="1"/>
  <c r="K650" i="12" a="1"/>
  <c r="K650" i="12" s="1"/>
  <c r="J650" i="12" a="1"/>
  <c r="J650" i="12" s="1"/>
  <c r="I650" i="12" a="1"/>
  <c r="I650" i="12" s="1"/>
  <c r="H650" i="12" a="1"/>
  <c r="H650" i="12" s="1"/>
  <c r="G650" i="12" a="1"/>
  <c r="G650" i="12" s="1"/>
  <c r="F650" i="12" a="1"/>
  <c r="F650" i="12" s="1"/>
  <c r="E650" i="12" a="1"/>
  <c r="E650" i="12" s="1"/>
  <c r="D650" i="12" a="1"/>
  <c r="D650" i="12" s="1"/>
  <c r="C650" i="12" a="1"/>
  <c r="C650" i="12" s="1"/>
  <c r="L649" i="12" a="1"/>
  <c r="L649" i="12" s="1"/>
  <c r="K649" i="12" a="1"/>
  <c r="K649" i="12" s="1"/>
  <c r="J649" i="12" a="1"/>
  <c r="J649" i="12" s="1"/>
  <c r="I649" i="12" a="1"/>
  <c r="I649" i="12" s="1"/>
  <c r="H649" i="12" a="1"/>
  <c r="H649" i="12" s="1"/>
  <c r="G649" i="12" a="1"/>
  <c r="G649" i="12" s="1"/>
  <c r="F649" i="12" a="1"/>
  <c r="F649" i="12" s="1"/>
  <c r="E649" i="12" a="1"/>
  <c r="E649" i="12" s="1"/>
  <c r="D649" i="12" a="1"/>
  <c r="D649" i="12" s="1"/>
  <c r="C649" i="12" a="1"/>
  <c r="C649" i="12" s="1"/>
  <c r="K648" i="12" a="1"/>
  <c r="K648" i="12" s="1"/>
  <c r="I648" i="12" a="1"/>
  <c r="I648" i="12" s="1"/>
  <c r="G648" i="12" a="1"/>
  <c r="G648" i="12" s="1"/>
  <c r="E648" i="12" a="1"/>
  <c r="E648" i="12" s="1"/>
  <c r="C648" i="12" a="1"/>
  <c r="C648" i="12" s="1"/>
  <c r="K647" i="12" a="1"/>
  <c r="K647" i="12" s="1"/>
  <c r="I647" i="12" a="1"/>
  <c r="I647" i="12" s="1"/>
  <c r="G647" i="12" a="1"/>
  <c r="G647" i="12" s="1"/>
  <c r="E647" i="12" a="1"/>
  <c r="E647" i="12" s="1"/>
  <c r="C647" i="12" a="1"/>
  <c r="C647" i="12" s="1"/>
  <c r="K646" i="12" a="1"/>
  <c r="K646" i="12" s="1"/>
  <c r="I646" i="12" a="1"/>
  <c r="I646" i="12" s="1"/>
  <c r="G646" i="12" a="1"/>
  <c r="G646" i="12" s="1"/>
  <c r="E646" i="12" a="1"/>
  <c r="E646" i="12" s="1"/>
  <c r="C646" i="12" a="1"/>
  <c r="C646" i="12" s="1"/>
  <c r="K645" i="12"/>
  <c r="K645" i="12" a="1"/>
  <c r="I645" i="12"/>
  <c r="I645" i="12" a="1"/>
  <c r="G645" i="12"/>
  <c r="G645" i="12" a="1"/>
  <c r="E645" i="12"/>
  <c r="E645" i="12" a="1"/>
  <c r="C645" i="12"/>
  <c r="C645" i="12" a="1"/>
  <c r="G642" i="12" a="1"/>
  <c r="G642" i="12" s="1"/>
  <c r="G643" i="12" s="1"/>
  <c r="F642" i="12" a="1"/>
  <c r="F642" i="12" s="1"/>
  <c r="F643" i="12" s="1"/>
  <c r="E642" i="12" a="1"/>
  <c r="E642" i="12" s="1"/>
  <c r="E643" i="12" s="1"/>
  <c r="D642" i="12" a="1"/>
  <c r="D642" i="12" s="1"/>
  <c r="D643" i="12" s="1"/>
  <c r="C642" i="12" a="1"/>
  <c r="C642" i="12" s="1"/>
  <c r="C643" i="12" s="1"/>
  <c r="G641" i="12" a="1"/>
  <c r="G641" i="12" s="1"/>
  <c r="F641" i="12" a="1"/>
  <c r="F641" i="12" s="1"/>
  <c r="E641" i="12" a="1"/>
  <c r="E641" i="12" s="1"/>
  <c r="D641" i="12" a="1"/>
  <c r="D641" i="12" s="1"/>
  <c r="C641" i="12" a="1"/>
  <c r="C641" i="12" s="1"/>
  <c r="G640" i="12" a="1"/>
  <c r="G640" i="12" s="1"/>
  <c r="F640" i="12" a="1"/>
  <c r="F640" i="12" s="1"/>
  <c r="E640" i="12" a="1"/>
  <c r="E640" i="12" s="1"/>
  <c r="D640" i="12" a="1"/>
  <c r="D640" i="12" s="1"/>
  <c r="C640" i="12" a="1"/>
  <c r="C640" i="12" s="1"/>
  <c r="G639" i="12" a="1"/>
  <c r="G639" i="12" s="1"/>
  <c r="F639" i="12" a="1"/>
  <c r="F639" i="12" s="1"/>
  <c r="E639" i="12" a="1"/>
  <c r="E639" i="12" s="1"/>
  <c r="D639" i="12" a="1"/>
  <c r="D639" i="12" s="1"/>
  <c r="C639" i="12" a="1"/>
  <c r="C639" i="12" s="1"/>
  <c r="G638" i="12" a="1"/>
  <c r="G638" i="12" s="1"/>
  <c r="F638" i="12" a="1"/>
  <c r="F638" i="12" s="1"/>
  <c r="E638" i="12" a="1"/>
  <c r="E638" i="12" s="1"/>
  <c r="D638" i="12" a="1"/>
  <c r="D638" i="12" s="1"/>
  <c r="C638" i="12" a="1"/>
  <c r="C638" i="12" s="1"/>
  <c r="G637" i="12" a="1"/>
  <c r="G637" i="12" s="1"/>
  <c r="F637" i="12" a="1"/>
  <c r="F637" i="12" s="1"/>
  <c r="E637" i="12" a="1"/>
  <c r="E637" i="12" s="1"/>
  <c r="D637" i="12" a="1"/>
  <c r="D637" i="12" s="1"/>
  <c r="C637" i="12" a="1"/>
  <c r="C637" i="12" s="1"/>
  <c r="G636" i="12"/>
  <c r="G636" i="12" a="1"/>
  <c r="F636" i="12"/>
  <c r="F636" i="12" a="1"/>
  <c r="E636" i="12"/>
  <c r="E636" i="12" a="1"/>
  <c r="D636" i="12"/>
  <c r="D636" i="12" a="1"/>
  <c r="C636" i="12"/>
  <c r="C636" i="12" a="1"/>
  <c r="G633" i="12" a="1"/>
  <c r="G633" i="12" s="1"/>
  <c r="G634" i="12" s="1"/>
  <c r="F633" i="12" a="1"/>
  <c r="F633" i="12" s="1"/>
  <c r="F634" i="12" s="1"/>
  <c r="E633" i="12" a="1"/>
  <c r="E633" i="12" s="1"/>
  <c r="E634" i="12" s="1"/>
  <c r="D633" i="12" a="1"/>
  <c r="D633" i="12" s="1"/>
  <c r="D634" i="12" s="1"/>
  <c r="C633" i="12" a="1"/>
  <c r="C633" i="12" s="1"/>
  <c r="C634" i="12" s="1"/>
  <c r="G632" i="12" a="1"/>
  <c r="G632" i="12" s="1"/>
  <c r="F632" i="12" a="1"/>
  <c r="F632" i="12" s="1"/>
  <c r="E632" i="12" a="1"/>
  <c r="E632" i="12" s="1"/>
  <c r="D632" i="12" a="1"/>
  <c r="D632" i="12" s="1"/>
  <c r="C632" i="12" a="1"/>
  <c r="C632" i="12" s="1"/>
  <c r="G631" i="12" a="1"/>
  <c r="G631" i="12" s="1"/>
  <c r="F631" i="12" a="1"/>
  <c r="F631" i="12" s="1"/>
  <c r="E631" i="12" a="1"/>
  <c r="E631" i="12" s="1"/>
  <c r="D631" i="12" a="1"/>
  <c r="D631" i="12" s="1"/>
  <c r="C631" i="12" a="1"/>
  <c r="C631" i="12" s="1"/>
  <c r="G630" i="12" a="1"/>
  <c r="G630" i="12" s="1"/>
  <c r="F630" i="12" a="1"/>
  <c r="F630" i="12" s="1"/>
  <c r="E630" i="12" a="1"/>
  <c r="E630" i="12" s="1"/>
  <c r="D630" i="12" a="1"/>
  <c r="D630" i="12" s="1"/>
  <c r="C630" i="12" a="1"/>
  <c r="C630" i="12" s="1"/>
  <c r="G629" i="12" a="1"/>
  <c r="G629" i="12" s="1"/>
  <c r="F629" i="12" a="1"/>
  <c r="F629" i="12" s="1"/>
  <c r="E629" i="12" a="1"/>
  <c r="E629" i="12" s="1"/>
  <c r="D629" i="12" a="1"/>
  <c r="D629" i="12" s="1"/>
  <c r="C629" i="12" a="1"/>
  <c r="C629" i="12" s="1"/>
  <c r="G628" i="12" a="1"/>
  <c r="G628" i="12" s="1"/>
  <c r="F628" i="12" a="1"/>
  <c r="F628" i="12" s="1"/>
  <c r="E628" i="12" a="1"/>
  <c r="E628" i="12" s="1"/>
  <c r="D628" i="12" a="1"/>
  <c r="D628" i="12" s="1"/>
  <c r="C628" i="12" a="1"/>
  <c r="C628" i="12" s="1"/>
  <c r="G627" i="12"/>
  <c r="G627" i="12" a="1"/>
  <c r="F627" i="12"/>
  <c r="F627" i="12" a="1"/>
  <c r="E627" i="12"/>
  <c r="E627" i="12" a="1"/>
  <c r="D627" i="12"/>
  <c r="D627" i="12" a="1"/>
  <c r="C627" i="12"/>
  <c r="C627" i="12" a="1"/>
  <c r="G625" i="12" a="1"/>
  <c r="G625" i="12" s="1"/>
  <c r="F625" i="12" a="1"/>
  <c r="F625" i="12" s="1"/>
  <c r="E625" i="12" a="1"/>
  <c r="E625" i="12" s="1"/>
  <c r="D625" i="12" a="1"/>
  <c r="D625" i="12" s="1"/>
  <c r="C625" i="12" a="1"/>
  <c r="C625" i="12" s="1"/>
  <c r="G624" i="12" a="1"/>
  <c r="G624" i="12" s="1"/>
  <c r="F624" i="12" a="1"/>
  <c r="F624" i="12" s="1"/>
  <c r="E624" i="12" a="1"/>
  <c r="E624" i="12" s="1"/>
  <c r="D624" i="12" a="1"/>
  <c r="D624" i="12" s="1"/>
  <c r="C624" i="12" a="1"/>
  <c r="C624" i="12" s="1"/>
  <c r="G623" i="12" a="1"/>
  <c r="G623" i="12" s="1"/>
  <c r="F623" i="12" a="1"/>
  <c r="F623" i="12" s="1"/>
  <c r="E623" i="12" a="1"/>
  <c r="E623" i="12" s="1"/>
  <c r="D623" i="12" a="1"/>
  <c r="D623" i="12" s="1"/>
  <c r="C623" i="12" a="1"/>
  <c r="C623" i="12" s="1"/>
  <c r="G622" i="12" a="1"/>
  <c r="G622" i="12" s="1"/>
  <c r="F622" i="12" a="1"/>
  <c r="F622" i="12" s="1"/>
  <c r="E622" i="12" a="1"/>
  <c r="E622" i="12" s="1"/>
  <c r="D622" i="12" a="1"/>
  <c r="D622" i="12" s="1"/>
  <c r="C622" i="12" a="1"/>
  <c r="C622" i="12" s="1"/>
  <c r="G621" i="12" a="1"/>
  <c r="G621" i="12" s="1"/>
  <c r="F621" i="12" a="1"/>
  <c r="F621" i="12" s="1"/>
  <c r="E621" i="12" a="1"/>
  <c r="E621" i="12" s="1"/>
  <c r="D621" i="12" a="1"/>
  <c r="D621" i="12" s="1"/>
  <c r="C621" i="12" a="1"/>
  <c r="C621" i="12" s="1"/>
  <c r="G619" i="12" a="1"/>
  <c r="G619" i="12" s="1"/>
  <c r="F619" i="12" a="1"/>
  <c r="F619" i="12" s="1"/>
  <c r="E619" i="12" a="1"/>
  <c r="E619" i="12" s="1"/>
  <c r="D619" i="12" a="1"/>
  <c r="D619" i="12" s="1"/>
  <c r="C619" i="12" a="1"/>
  <c r="C619" i="12" s="1"/>
  <c r="G618" i="12" a="1"/>
  <c r="G618" i="12" s="1"/>
  <c r="F618" i="12" a="1"/>
  <c r="F618" i="12" s="1"/>
  <c r="E618" i="12" a="1"/>
  <c r="E618" i="12" s="1"/>
  <c r="D618" i="12" a="1"/>
  <c r="D618" i="12" s="1"/>
  <c r="C618" i="12" a="1"/>
  <c r="C618" i="12" s="1"/>
  <c r="G617" i="12" a="1"/>
  <c r="G617" i="12" s="1"/>
  <c r="F617" i="12" a="1"/>
  <c r="F617" i="12" s="1"/>
  <c r="E617" i="12" a="1"/>
  <c r="E617" i="12" s="1"/>
  <c r="D617" i="12" a="1"/>
  <c r="D617" i="12" s="1"/>
  <c r="C617" i="12" a="1"/>
  <c r="C617" i="12" s="1"/>
  <c r="G616" i="12" a="1"/>
  <c r="G616" i="12" s="1"/>
  <c r="F616" i="12" a="1"/>
  <c r="F616" i="12" s="1"/>
  <c r="E616" i="12" a="1"/>
  <c r="E616" i="12" s="1"/>
  <c r="D616" i="12" a="1"/>
  <c r="D616" i="12" s="1"/>
  <c r="C616" i="12" a="1"/>
  <c r="C616" i="12" s="1"/>
  <c r="G615" i="12" a="1"/>
  <c r="G615" i="12" s="1"/>
  <c r="F615" i="12" a="1"/>
  <c r="F615" i="12" s="1"/>
  <c r="E615" i="12" a="1"/>
  <c r="E615" i="12" s="1"/>
  <c r="D615" i="12" a="1"/>
  <c r="D615" i="12" s="1"/>
  <c r="C615" i="12" a="1"/>
  <c r="C615" i="12" s="1"/>
  <c r="G613" i="12" a="1"/>
  <c r="G613" i="12" s="1"/>
  <c r="F613" i="12" a="1"/>
  <c r="F613" i="12" s="1"/>
  <c r="E613" i="12" a="1"/>
  <c r="E613" i="12" s="1"/>
  <c r="D613" i="12" a="1"/>
  <c r="D613" i="12" s="1"/>
  <c r="C613" i="12" a="1"/>
  <c r="C613" i="12" s="1"/>
  <c r="G612" i="12" a="1"/>
  <c r="G612" i="12" s="1"/>
  <c r="F612" i="12" a="1"/>
  <c r="F612" i="12" s="1"/>
  <c r="E612" i="12" a="1"/>
  <c r="E612" i="12" s="1"/>
  <c r="D612" i="12" a="1"/>
  <c r="D612" i="12" s="1"/>
  <c r="C612" i="12" a="1"/>
  <c r="C612" i="12" s="1"/>
  <c r="G611" i="12" a="1"/>
  <c r="G611" i="12" s="1"/>
  <c r="F611" i="12" a="1"/>
  <c r="F611" i="12" s="1"/>
  <c r="E611" i="12" a="1"/>
  <c r="E611" i="12" s="1"/>
  <c r="D611" i="12" a="1"/>
  <c r="D611" i="12" s="1"/>
  <c r="C611" i="12" a="1"/>
  <c r="C611" i="12" s="1"/>
  <c r="G610" i="12" a="1"/>
  <c r="G610" i="12" s="1"/>
  <c r="F610" i="12" a="1"/>
  <c r="F610" i="12" s="1"/>
  <c r="E610" i="12" a="1"/>
  <c r="E610" i="12" s="1"/>
  <c r="D610" i="12" a="1"/>
  <c r="D610" i="12" s="1"/>
  <c r="C610" i="12" a="1"/>
  <c r="C610" i="12" s="1"/>
  <c r="G609" i="12" a="1"/>
  <c r="G609" i="12" s="1"/>
  <c r="F609" i="12" a="1"/>
  <c r="F609" i="12" s="1"/>
  <c r="E609" i="12" a="1"/>
  <c r="E609" i="12" s="1"/>
  <c r="D609" i="12" a="1"/>
  <c r="D609" i="12" s="1"/>
  <c r="C609" i="12" a="1"/>
  <c r="C609" i="12" s="1"/>
  <c r="G607" i="12"/>
  <c r="G607" i="12" a="1"/>
  <c r="F607" i="12"/>
  <c r="F607" i="12" a="1"/>
  <c r="E607" i="12"/>
  <c r="E607" i="12" a="1"/>
  <c r="D607" i="12"/>
  <c r="D607" i="12" a="1"/>
  <c r="C607" i="12"/>
  <c r="C607" i="12" a="1"/>
  <c r="G604" i="12" a="1"/>
  <c r="G604" i="12" s="1"/>
  <c r="F604" i="12" a="1"/>
  <c r="F604" i="12" s="1"/>
  <c r="E604" i="12" a="1"/>
  <c r="E604" i="12" s="1"/>
  <c r="D604" i="12" a="1"/>
  <c r="D604" i="12" s="1"/>
  <c r="C604" i="12" a="1"/>
  <c r="C604" i="12" s="1"/>
  <c r="G603" i="12" a="1"/>
  <c r="G603" i="12" s="1"/>
  <c r="F603" i="12" a="1"/>
  <c r="F603" i="12" s="1"/>
  <c r="E603" i="12" a="1"/>
  <c r="E603" i="12" s="1"/>
  <c r="D603" i="12" a="1"/>
  <c r="D603" i="12" s="1"/>
  <c r="C603" i="12" a="1"/>
  <c r="C603" i="12" s="1"/>
  <c r="G602" i="12" a="1"/>
  <c r="G602" i="12" s="1"/>
  <c r="F602" i="12" a="1"/>
  <c r="F602" i="12" s="1"/>
  <c r="E602" i="12" a="1"/>
  <c r="E602" i="12" s="1"/>
  <c r="D602" i="12" a="1"/>
  <c r="D602" i="12" s="1"/>
  <c r="C602" i="12" a="1"/>
  <c r="C602" i="12" s="1"/>
  <c r="G601" i="12" a="1"/>
  <c r="G601" i="12" s="1"/>
  <c r="F601" i="12" a="1"/>
  <c r="F601" i="12" s="1"/>
  <c r="E601" i="12" a="1"/>
  <c r="E601" i="12" s="1"/>
  <c r="D601" i="12" a="1"/>
  <c r="D601" i="12" s="1"/>
  <c r="C601" i="12" a="1"/>
  <c r="C601" i="12" s="1"/>
  <c r="G600" i="12" a="1"/>
  <c r="G600" i="12" s="1"/>
  <c r="F600" i="12" a="1"/>
  <c r="F600" i="12" s="1"/>
  <c r="E600" i="12" a="1"/>
  <c r="E600" i="12" s="1"/>
  <c r="D600" i="12" a="1"/>
  <c r="D600" i="12" s="1"/>
  <c r="C600" i="12" a="1"/>
  <c r="C600" i="12" s="1"/>
  <c r="G599" i="12"/>
  <c r="G599" i="12" a="1"/>
  <c r="F599" i="12"/>
  <c r="F599" i="12" a="1"/>
  <c r="E599" i="12"/>
  <c r="E599" i="12" a="1"/>
  <c r="D599" i="12"/>
  <c r="D599" i="12" a="1"/>
  <c r="C599" i="12"/>
  <c r="C599" i="12" a="1"/>
  <c r="G596" i="12" a="1"/>
  <c r="G596" i="12" s="1"/>
  <c r="F596" i="12" a="1"/>
  <c r="F596" i="12" s="1"/>
  <c r="E596" i="12" a="1"/>
  <c r="E596" i="12" s="1"/>
  <c r="D596" i="12" a="1"/>
  <c r="D596" i="12" s="1"/>
  <c r="C596" i="12" a="1"/>
  <c r="C596" i="12" s="1"/>
  <c r="G595" i="12" a="1"/>
  <c r="G595" i="12" s="1"/>
  <c r="F595" i="12" a="1"/>
  <c r="F595" i="12" s="1"/>
  <c r="E595" i="12" a="1"/>
  <c r="E595" i="12" s="1"/>
  <c r="D595" i="12" a="1"/>
  <c r="D595" i="12" s="1"/>
  <c r="C595" i="12" a="1"/>
  <c r="C595" i="12" s="1"/>
  <c r="G594" i="12" a="1"/>
  <c r="G594" i="12" s="1"/>
  <c r="F594" i="12" a="1"/>
  <c r="F594" i="12" s="1"/>
  <c r="E594" i="12" a="1"/>
  <c r="E594" i="12" s="1"/>
  <c r="D594" i="12" a="1"/>
  <c r="D594" i="12" s="1"/>
  <c r="C594" i="12" a="1"/>
  <c r="C594" i="12" s="1"/>
  <c r="G593" i="12" a="1"/>
  <c r="G593" i="12" s="1"/>
  <c r="F593" i="12" a="1"/>
  <c r="F593" i="12" s="1"/>
  <c r="E593" i="12" a="1"/>
  <c r="E593" i="12" s="1"/>
  <c r="D593" i="12" a="1"/>
  <c r="D593" i="12" s="1"/>
  <c r="C593" i="12" a="1"/>
  <c r="C593" i="12" s="1"/>
  <c r="G592" i="12" a="1"/>
  <c r="G592" i="12" s="1"/>
  <c r="F592" i="12" a="1"/>
  <c r="F592" i="12" s="1"/>
  <c r="E592" i="12" a="1"/>
  <c r="E592" i="12" s="1"/>
  <c r="D592" i="12" a="1"/>
  <c r="D592" i="12" s="1"/>
  <c r="C592" i="12" a="1"/>
  <c r="C592" i="12" s="1"/>
  <c r="G591" i="12"/>
  <c r="G591" i="12" a="1"/>
  <c r="F591" i="12"/>
  <c r="F591" i="12" a="1"/>
  <c r="E591" i="12"/>
  <c r="E591" i="12" a="1"/>
  <c r="D591" i="12"/>
  <c r="D591" i="12" a="1"/>
  <c r="C591" i="12"/>
  <c r="C591" i="12" a="1"/>
  <c r="G587" i="12" a="1"/>
  <c r="G587" i="12" s="1"/>
  <c r="F587" i="12" a="1"/>
  <c r="F587" i="12" s="1"/>
  <c r="E587" i="12" a="1"/>
  <c r="E587" i="12" s="1"/>
  <c r="D587" i="12" a="1"/>
  <c r="D587" i="12" s="1"/>
  <c r="C587" i="12" a="1"/>
  <c r="C587" i="12" s="1"/>
  <c r="G586" i="12" a="1"/>
  <c r="G586" i="12" s="1"/>
  <c r="F586" i="12" a="1"/>
  <c r="F586" i="12" s="1"/>
  <c r="E586" i="12" a="1"/>
  <c r="E586" i="12" s="1"/>
  <c r="D586" i="12" a="1"/>
  <c r="D586" i="12" s="1"/>
  <c r="C586" i="12" a="1"/>
  <c r="C586" i="12" s="1"/>
  <c r="G585" i="12" a="1"/>
  <c r="G585" i="12" s="1"/>
  <c r="F585" i="12" a="1"/>
  <c r="F585" i="12" s="1"/>
  <c r="E585" i="12" a="1"/>
  <c r="E585" i="12" s="1"/>
  <c r="D585" i="12" a="1"/>
  <c r="D585" i="12" s="1"/>
  <c r="C585" i="12" a="1"/>
  <c r="C585" i="12" s="1"/>
  <c r="G584" i="12" a="1"/>
  <c r="G584" i="12" s="1"/>
  <c r="F584" i="12" a="1"/>
  <c r="F584" i="12" s="1"/>
  <c r="E584" i="12" a="1"/>
  <c r="E584" i="12" s="1"/>
  <c r="D584" i="12" a="1"/>
  <c r="D584" i="12" s="1"/>
  <c r="C584" i="12" a="1"/>
  <c r="C584" i="12" s="1"/>
  <c r="G583" i="12" a="1"/>
  <c r="G583" i="12" s="1"/>
  <c r="F583" i="12" a="1"/>
  <c r="F583" i="12" s="1"/>
  <c r="E583" i="12" a="1"/>
  <c r="E583" i="12" s="1"/>
  <c r="D583" i="12" a="1"/>
  <c r="D583" i="12" s="1"/>
  <c r="C583" i="12" a="1"/>
  <c r="C583" i="12" s="1"/>
  <c r="G582" i="12"/>
  <c r="G582" i="12" a="1"/>
  <c r="F582" i="12"/>
  <c r="F582" i="12" a="1"/>
  <c r="E582" i="12"/>
  <c r="E582" i="12" a="1"/>
  <c r="D582" i="12"/>
  <c r="D582" i="12" a="1"/>
  <c r="C582" i="12"/>
  <c r="C582" i="12" a="1"/>
  <c r="G579" i="12" a="1"/>
  <c r="G579" i="12" s="1"/>
  <c r="F579" i="12" a="1"/>
  <c r="F579" i="12" s="1"/>
  <c r="E579" i="12" a="1"/>
  <c r="E579" i="12" s="1"/>
  <c r="D579" i="12" a="1"/>
  <c r="D579" i="12" s="1"/>
  <c r="C579" i="12" a="1"/>
  <c r="C579" i="12" s="1"/>
  <c r="G578" i="12" a="1"/>
  <c r="G578" i="12" s="1"/>
  <c r="F578" i="12" a="1"/>
  <c r="F578" i="12" s="1"/>
  <c r="E578" i="12" a="1"/>
  <c r="E578" i="12" s="1"/>
  <c r="D578" i="12" a="1"/>
  <c r="D578" i="12" s="1"/>
  <c r="C578" i="12" a="1"/>
  <c r="C578" i="12" s="1"/>
  <c r="G577" i="12" a="1"/>
  <c r="G577" i="12" s="1"/>
  <c r="F577" i="12" a="1"/>
  <c r="F577" i="12" s="1"/>
  <c r="E577" i="12" a="1"/>
  <c r="E577" i="12" s="1"/>
  <c r="D577" i="12" a="1"/>
  <c r="D577" i="12" s="1"/>
  <c r="C577" i="12" a="1"/>
  <c r="C577" i="12" s="1"/>
  <c r="G576" i="12" a="1"/>
  <c r="G576" i="12" s="1"/>
  <c r="F576" i="12" a="1"/>
  <c r="F576" i="12" s="1"/>
  <c r="E576" i="12" a="1"/>
  <c r="E576" i="12" s="1"/>
  <c r="D576" i="12" a="1"/>
  <c r="D576" i="12" s="1"/>
  <c r="C576" i="12" a="1"/>
  <c r="C576" i="12" s="1"/>
  <c r="G574" i="12" a="1"/>
  <c r="G574" i="12" s="1"/>
  <c r="F574" i="12" a="1"/>
  <c r="F574" i="12" s="1"/>
  <c r="E574" i="12" a="1"/>
  <c r="E574" i="12" s="1"/>
  <c r="D574" i="12" a="1"/>
  <c r="D574" i="12" s="1"/>
  <c r="C574" i="12" a="1"/>
  <c r="C574" i="12" s="1"/>
  <c r="G573" i="12" a="1"/>
  <c r="G573" i="12" s="1"/>
  <c r="F573" i="12" a="1"/>
  <c r="F573" i="12" s="1"/>
  <c r="E573" i="12" a="1"/>
  <c r="E573" i="12" s="1"/>
  <c r="D573" i="12" a="1"/>
  <c r="D573" i="12" s="1"/>
  <c r="C573" i="12" a="1"/>
  <c r="C573" i="12" s="1"/>
  <c r="G572" i="12" a="1"/>
  <c r="G572" i="12" s="1"/>
  <c r="G571" i="12" s="1"/>
  <c r="F572" i="12" a="1"/>
  <c r="F572" i="12" s="1"/>
  <c r="F571" i="12" s="1"/>
  <c r="E572" i="12" a="1"/>
  <c r="E572" i="12" s="1"/>
  <c r="E571" i="12" s="1"/>
  <c r="D572" i="12" a="1"/>
  <c r="D572" i="12" s="1"/>
  <c r="D571" i="12" s="1"/>
  <c r="C572" i="12" a="1"/>
  <c r="C572" i="12" s="1"/>
  <c r="C571" i="12" s="1"/>
  <c r="G570" i="12"/>
  <c r="G570" i="12" a="1"/>
  <c r="F570" i="12"/>
  <c r="F570" i="12" a="1"/>
  <c r="E570" i="12"/>
  <c r="E570" i="12" a="1"/>
  <c r="D570" i="12"/>
  <c r="D570" i="12" a="1"/>
  <c r="C570" i="12"/>
  <c r="C570" i="12" a="1"/>
  <c r="G568" i="12" a="1"/>
  <c r="G568" i="12" s="1"/>
  <c r="F568" i="12" a="1"/>
  <c r="F568" i="12" s="1"/>
  <c r="E568" i="12" a="1"/>
  <c r="E568" i="12" s="1"/>
  <c r="D568" i="12" a="1"/>
  <c r="D568" i="12" s="1"/>
  <c r="C568" i="12" a="1"/>
  <c r="C568" i="12" s="1"/>
  <c r="G567" i="12" a="1"/>
  <c r="G567" i="12" s="1"/>
  <c r="F567" i="12" a="1"/>
  <c r="F567" i="12" s="1"/>
  <c r="E567" i="12" a="1"/>
  <c r="E567" i="12" s="1"/>
  <c r="D567" i="12" a="1"/>
  <c r="D567" i="12" s="1"/>
  <c r="C567" i="12" a="1"/>
  <c r="C567" i="12" s="1"/>
  <c r="G566" i="12" a="1"/>
  <c r="G566" i="12" s="1"/>
  <c r="F566" i="12" a="1"/>
  <c r="F566" i="12" s="1"/>
  <c r="E566" i="12" a="1"/>
  <c r="E566" i="12" s="1"/>
  <c r="D566" i="12" a="1"/>
  <c r="D566" i="12" s="1"/>
  <c r="C566" i="12" a="1"/>
  <c r="C566" i="12" s="1"/>
  <c r="G565" i="12"/>
  <c r="G565" i="12" a="1"/>
  <c r="F565" i="12"/>
  <c r="F565" i="12" a="1"/>
  <c r="E565" i="12"/>
  <c r="E565" i="12" a="1"/>
  <c r="D565" i="12"/>
  <c r="D565" i="12" a="1"/>
  <c r="C565" i="12"/>
  <c r="C565" i="12" a="1"/>
  <c r="G555" i="12"/>
  <c r="G555" i="12" a="1"/>
  <c r="F555" i="12"/>
  <c r="F555" i="12" a="1"/>
  <c r="E555" i="12"/>
  <c r="E555" i="12" a="1"/>
  <c r="D555" i="12"/>
  <c r="D555" i="12" a="1"/>
  <c r="C555" i="12"/>
  <c r="C555" i="12" a="1"/>
  <c r="G545" i="12" a="1"/>
  <c r="G545" i="12" s="1"/>
  <c r="F545" i="12" a="1"/>
  <c r="F545" i="12" s="1"/>
  <c r="E545" i="12" a="1"/>
  <c r="E545" i="12" s="1"/>
  <c r="D545" i="12" a="1"/>
  <c r="D545" i="12" s="1"/>
  <c r="C545" i="12" a="1"/>
  <c r="C545" i="12" s="1"/>
  <c r="G543" i="12" a="1"/>
  <c r="G543" i="12" s="1"/>
  <c r="F543" i="12" a="1"/>
  <c r="F543" i="12" s="1"/>
  <c r="E543" i="12" a="1"/>
  <c r="E543" i="12" s="1"/>
  <c r="D543" i="12" a="1"/>
  <c r="D543" i="12" s="1"/>
  <c r="C543" i="12" a="1"/>
  <c r="C543" i="12" s="1"/>
  <c r="G542" i="12" a="1"/>
  <c r="G542" i="12" s="1"/>
  <c r="F542" i="12" a="1"/>
  <c r="F542" i="12" s="1"/>
  <c r="E542" i="12" a="1"/>
  <c r="E542" i="12" s="1"/>
  <c r="D542" i="12" a="1"/>
  <c r="D542" i="12" s="1"/>
  <c r="C542" i="12" a="1"/>
  <c r="C542" i="12" s="1"/>
  <c r="G540" i="12" a="1"/>
  <c r="G540" i="12" s="1"/>
  <c r="F540" i="12" a="1"/>
  <c r="F540" i="12" s="1"/>
  <c r="E540" i="12" a="1"/>
  <c r="E540" i="12" s="1"/>
  <c r="D540" i="12" a="1"/>
  <c r="D540" i="12" s="1"/>
  <c r="C540" i="12" a="1"/>
  <c r="C540" i="12" s="1"/>
  <c r="G539" i="12"/>
  <c r="G539" i="12" a="1"/>
  <c r="F539" i="12"/>
  <c r="F539" i="12" a="1"/>
  <c r="E539" i="12"/>
  <c r="E539" i="12" a="1"/>
  <c r="D539" i="12"/>
  <c r="D539" i="12" a="1"/>
  <c r="C539" i="12"/>
  <c r="C539" i="12" a="1"/>
  <c r="G537" i="12" a="1"/>
  <c r="G537" i="12" s="1"/>
  <c r="F537" i="12" a="1"/>
  <c r="F537" i="12" s="1"/>
  <c r="E537" i="12" a="1"/>
  <c r="E537" i="12" s="1"/>
  <c r="D537" i="12" a="1"/>
  <c r="D537" i="12" s="1"/>
  <c r="C537" i="12" a="1"/>
  <c r="C537" i="12" s="1"/>
  <c r="G536" i="12" a="1"/>
  <c r="G536" i="12" s="1"/>
  <c r="F536" i="12" a="1"/>
  <c r="F536" i="12" s="1"/>
  <c r="E536" i="12" a="1"/>
  <c r="E536" i="12" s="1"/>
  <c r="D536" i="12" a="1"/>
  <c r="D536" i="12" s="1"/>
  <c r="C536" i="12" a="1"/>
  <c r="C536" i="12" s="1"/>
  <c r="G535" i="12" a="1"/>
  <c r="G535" i="12" s="1"/>
  <c r="F535" i="12" a="1"/>
  <c r="F535" i="12" s="1"/>
  <c r="E535" i="12" a="1"/>
  <c r="E535" i="12" s="1"/>
  <c r="D535" i="12" a="1"/>
  <c r="D535" i="12" s="1"/>
  <c r="C535" i="12" a="1"/>
  <c r="C535" i="12" s="1"/>
  <c r="G534" i="12" a="1"/>
  <c r="G534" i="12" s="1"/>
  <c r="F534" i="12" a="1"/>
  <c r="F534" i="12" s="1"/>
  <c r="E534" i="12" a="1"/>
  <c r="E534" i="12" s="1"/>
  <c r="D534" i="12" a="1"/>
  <c r="D534" i="12" s="1"/>
  <c r="C534" i="12" a="1"/>
  <c r="C534" i="12" s="1"/>
  <c r="G533" i="12" a="1"/>
  <c r="G533" i="12" s="1"/>
  <c r="F533" i="12" a="1"/>
  <c r="F533" i="12" s="1"/>
  <c r="E533" i="12" a="1"/>
  <c r="E533" i="12" s="1"/>
  <c r="D533" i="12" a="1"/>
  <c r="D533" i="12" s="1"/>
  <c r="C533" i="12" a="1"/>
  <c r="C533" i="12" s="1"/>
  <c r="G532" i="12" a="1"/>
  <c r="G532" i="12" s="1"/>
  <c r="F532" i="12" a="1"/>
  <c r="F532" i="12" s="1"/>
  <c r="E532" i="12" a="1"/>
  <c r="E532" i="12" s="1"/>
  <c r="D532" i="12" a="1"/>
  <c r="D532" i="12" s="1"/>
  <c r="C532" i="12" a="1"/>
  <c r="C532" i="12" s="1"/>
  <c r="G531" i="12" a="1"/>
  <c r="G531" i="12" s="1"/>
  <c r="F531" i="12" a="1"/>
  <c r="F531" i="12" s="1"/>
  <c r="E531" i="12" a="1"/>
  <c r="E531" i="12" s="1"/>
  <c r="D531" i="12" a="1"/>
  <c r="D531" i="12" s="1"/>
  <c r="C531" i="12" a="1"/>
  <c r="C531" i="12" s="1"/>
  <c r="G528" i="12" a="1"/>
  <c r="G528" i="12" s="1"/>
  <c r="F528" i="12" a="1"/>
  <c r="F528" i="12" s="1"/>
  <c r="E528" i="12" a="1"/>
  <c r="E528" i="12" s="1"/>
  <c r="D528" i="12" a="1"/>
  <c r="D528" i="12" s="1"/>
  <c r="C528" i="12" a="1"/>
  <c r="C528" i="12" s="1"/>
  <c r="G527" i="12" a="1"/>
  <c r="G527" i="12" s="1"/>
  <c r="F527" i="12" a="1"/>
  <c r="F527" i="12" s="1"/>
  <c r="E527" i="12" a="1"/>
  <c r="E527" i="12" s="1"/>
  <c r="D527" i="12" a="1"/>
  <c r="D527" i="12" s="1"/>
  <c r="C527" i="12" a="1"/>
  <c r="C527" i="12" s="1"/>
  <c r="G526" i="12" a="1"/>
  <c r="G526" i="12" s="1"/>
  <c r="F526" i="12" a="1"/>
  <c r="F526" i="12" s="1"/>
  <c r="E526" i="12" a="1"/>
  <c r="E526" i="12" s="1"/>
  <c r="D526" i="12" a="1"/>
  <c r="D526" i="12" s="1"/>
  <c r="C526" i="12" a="1"/>
  <c r="C526" i="12" s="1"/>
  <c r="G523" i="12" a="1"/>
  <c r="G523" i="12" s="1"/>
  <c r="F523" i="12" a="1"/>
  <c r="F523" i="12" s="1"/>
  <c r="E523" i="12" a="1"/>
  <c r="E523" i="12" s="1"/>
  <c r="D523" i="12" a="1"/>
  <c r="D523" i="12" s="1"/>
  <c r="C523" i="12" a="1"/>
  <c r="C523" i="12" s="1"/>
  <c r="G522" i="12" a="1"/>
  <c r="G522" i="12" s="1"/>
  <c r="F522" i="12" a="1"/>
  <c r="F522" i="12" s="1"/>
  <c r="E522" i="12" a="1"/>
  <c r="E522" i="12" s="1"/>
  <c r="D522" i="12" a="1"/>
  <c r="D522" i="12" s="1"/>
  <c r="C522" i="12" a="1"/>
  <c r="C522" i="12" s="1"/>
  <c r="G521" i="12" a="1"/>
  <c r="G521" i="12" s="1"/>
  <c r="F521" i="12" a="1"/>
  <c r="F521" i="12" s="1"/>
  <c r="E521" i="12" a="1"/>
  <c r="E521" i="12" s="1"/>
  <c r="D521" i="12" a="1"/>
  <c r="D521" i="12" s="1"/>
  <c r="C521" i="12" a="1"/>
  <c r="C521" i="12" s="1"/>
  <c r="G519" i="12" a="1"/>
  <c r="G519" i="12" s="1"/>
  <c r="F519" i="12" a="1"/>
  <c r="F519" i="12" s="1"/>
  <c r="E519" i="12" a="1"/>
  <c r="E519" i="12" s="1"/>
  <c r="D519" i="12" a="1"/>
  <c r="D519" i="12" s="1"/>
  <c r="C519" i="12" a="1"/>
  <c r="C519" i="12" s="1"/>
  <c r="G518" i="12"/>
  <c r="G518" i="12" a="1"/>
  <c r="F518" i="12"/>
  <c r="F518" i="12" a="1"/>
  <c r="E518" i="12"/>
  <c r="E518" i="12" a="1"/>
  <c r="D518" i="12"/>
  <c r="D518" i="12" a="1"/>
  <c r="C518" i="12"/>
  <c r="C518" i="12" a="1"/>
  <c r="G516" i="12" a="1"/>
  <c r="G516" i="12" s="1"/>
  <c r="F516" i="12" a="1"/>
  <c r="F516" i="12" s="1"/>
  <c r="E516" i="12" a="1"/>
  <c r="E516" i="12" s="1"/>
  <c r="D516" i="12" a="1"/>
  <c r="D516" i="12" s="1"/>
  <c r="C516" i="12" a="1"/>
  <c r="C516" i="12" s="1"/>
  <c r="G515" i="12" a="1"/>
  <c r="G515" i="12" s="1"/>
  <c r="F515" i="12" a="1"/>
  <c r="F515" i="12" s="1"/>
  <c r="E515" i="12" a="1"/>
  <c r="E515" i="12" s="1"/>
  <c r="D515" i="12" a="1"/>
  <c r="D515" i="12" s="1"/>
  <c r="C515" i="12" a="1"/>
  <c r="C515" i="12" s="1"/>
  <c r="G514" i="12" a="1"/>
  <c r="G514" i="12" s="1"/>
  <c r="F514" i="12" a="1"/>
  <c r="F514" i="12" s="1"/>
  <c r="E514" i="12" a="1"/>
  <c r="E514" i="12" s="1"/>
  <c r="D514" i="12" a="1"/>
  <c r="D514" i="12" s="1"/>
  <c r="C514" i="12" a="1"/>
  <c r="C514" i="12" s="1"/>
  <c r="G513" i="12" a="1"/>
  <c r="G513" i="12" s="1"/>
  <c r="F513" i="12" a="1"/>
  <c r="F513" i="12" s="1"/>
  <c r="E513" i="12" a="1"/>
  <c r="E513" i="12" s="1"/>
  <c r="D513" i="12" a="1"/>
  <c r="D513" i="12" s="1"/>
  <c r="C513" i="12" a="1"/>
  <c r="C513" i="12" s="1"/>
  <c r="G512" i="12" a="1"/>
  <c r="G512" i="12" s="1"/>
  <c r="F512" i="12" a="1"/>
  <c r="F512" i="12" s="1"/>
  <c r="E512" i="12" a="1"/>
  <c r="E512" i="12" s="1"/>
  <c r="D512" i="12" a="1"/>
  <c r="D512" i="12" s="1"/>
  <c r="C512" i="12" a="1"/>
  <c r="C512" i="12" s="1"/>
  <c r="G511" i="12" a="1"/>
  <c r="G511" i="12" s="1"/>
  <c r="F511" i="12" a="1"/>
  <c r="F511" i="12" s="1"/>
  <c r="E511" i="12" a="1"/>
  <c r="E511" i="12" s="1"/>
  <c r="D511" i="12" a="1"/>
  <c r="D511" i="12" s="1"/>
  <c r="C511" i="12" a="1"/>
  <c r="C511" i="12" s="1"/>
  <c r="G510" i="12" a="1"/>
  <c r="G510" i="12" s="1"/>
  <c r="F510" i="12" a="1"/>
  <c r="F510" i="12" s="1"/>
  <c r="E510" i="12" a="1"/>
  <c r="E510" i="12" s="1"/>
  <c r="D510" i="12" a="1"/>
  <c r="D510" i="12" s="1"/>
  <c r="C510" i="12" a="1"/>
  <c r="C510" i="12" s="1"/>
  <c r="G507" i="12" a="1"/>
  <c r="G507" i="12" s="1"/>
  <c r="F507" i="12" a="1"/>
  <c r="F507" i="12" s="1"/>
  <c r="E507" i="12" a="1"/>
  <c r="E507" i="12" s="1"/>
  <c r="D507" i="12" a="1"/>
  <c r="D507" i="12" s="1"/>
  <c r="C507" i="12" a="1"/>
  <c r="C507" i="12" s="1"/>
  <c r="G506" i="12" a="1"/>
  <c r="G506" i="12" s="1"/>
  <c r="F506" i="12" a="1"/>
  <c r="F506" i="12" s="1"/>
  <c r="E506" i="12" a="1"/>
  <c r="E506" i="12" s="1"/>
  <c r="D506" i="12" a="1"/>
  <c r="D506" i="12" s="1"/>
  <c r="C506" i="12" a="1"/>
  <c r="C506" i="12" s="1"/>
  <c r="G505" i="12" a="1"/>
  <c r="G505" i="12" s="1"/>
  <c r="F505" i="12" a="1"/>
  <c r="F505" i="12" s="1"/>
  <c r="E505" i="12" a="1"/>
  <c r="E505" i="12" s="1"/>
  <c r="D505" i="12" a="1"/>
  <c r="D505" i="12" s="1"/>
  <c r="C505" i="12" a="1"/>
  <c r="C505" i="12" s="1"/>
  <c r="G502" i="12" a="1"/>
  <c r="G502" i="12" s="1"/>
  <c r="F502" i="12" a="1"/>
  <c r="F502" i="12" s="1"/>
  <c r="E502" i="12" a="1"/>
  <c r="E502" i="12" s="1"/>
  <c r="D502" i="12" a="1"/>
  <c r="D502" i="12" s="1"/>
  <c r="C502" i="12" a="1"/>
  <c r="C502" i="12" s="1"/>
  <c r="G501" i="12" a="1"/>
  <c r="G501" i="12" s="1"/>
  <c r="F501" i="12" a="1"/>
  <c r="F501" i="12" s="1"/>
  <c r="E501" i="12" a="1"/>
  <c r="E501" i="12" s="1"/>
  <c r="D501" i="12" a="1"/>
  <c r="D501" i="12" s="1"/>
  <c r="C501" i="12" a="1"/>
  <c r="C501" i="12" s="1"/>
  <c r="G500" i="12" a="1"/>
  <c r="G500" i="12" s="1"/>
  <c r="F500" i="12" a="1"/>
  <c r="F500" i="12" s="1"/>
  <c r="E500" i="12" a="1"/>
  <c r="E500" i="12" s="1"/>
  <c r="D500" i="12" a="1"/>
  <c r="D500" i="12" s="1"/>
  <c r="C500" i="12" a="1"/>
  <c r="C500" i="12" s="1"/>
  <c r="G498" i="12" a="1"/>
  <c r="G498" i="12" s="1"/>
  <c r="F498" i="12" a="1"/>
  <c r="F498" i="12" s="1"/>
  <c r="E498" i="12" a="1"/>
  <c r="E498" i="12" s="1"/>
  <c r="D498" i="12" a="1"/>
  <c r="D498" i="12" s="1"/>
  <c r="C498" i="12" a="1"/>
  <c r="C498" i="12" s="1"/>
  <c r="G497" i="12"/>
  <c r="G497" i="12" a="1"/>
  <c r="F497" i="12"/>
  <c r="F497" i="12" a="1"/>
  <c r="E497" i="12"/>
  <c r="E497" i="12" a="1"/>
  <c r="D497" i="12"/>
  <c r="D497" i="12" a="1"/>
  <c r="C497" i="12"/>
  <c r="C497" i="12" a="1"/>
  <c r="G492" i="12" a="1"/>
  <c r="G492" i="12" s="1"/>
  <c r="F492" i="12" a="1"/>
  <c r="F492" i="12" s="1"/>
  <c r="E492" i="12" a="1"/>
  <c r="E492" i="12" s="1"/>
  <c r="D492" i="12" a="1"/>
  <c r="D492" i="12" s="1"/>
  <c r="C492" i="12" a="1"/>
  <c r="C492" i="12" s="1"/>
  <c r="G489" i="12" a="1"/>
  <c r="G489" i="12" s="1"/>
  <c r="F489" i="12" a="1"/>
  <c r="F489" i="12" s="1"/>
  <c r="E489" i="12" a="1"/>
  <c r="E489" i="12" s="1"/>
  <c r="D489" i="12" a="1"/>
  <c r="D489" i="12" s="1"/>
  <c r="C489" i="12" a="1"/>
  <c r="C489" i="12" s="1"/>
  <c r="G488" i="12" a="1"/>
  <c r="G488" i="12" s="1"/>
  <c r="F488" i="12" a="1"/>
  <c r="F488" i="12" s="1"/>
  <c r="E488" i="12" a="1"/>
  <c r="E488" i="12" s="1"/>
  <c r="D488" i="12" a="1"/>
  <c r="D488" i="12" s="1"/>
  <c r="C488" i="12" a="1"/>
  <c r="C488" i="12" s="1"/>
  <c r="G487" i="12"/>
  <c r="G487" i="12" a="1"/>
  <c r="F487" i="12"/>
  <c r="F487" i="12" a="1"/>
  <c r="E487" i="12"/>
  <c r="E487" i="12" a="1"/>
  <c r="D487" i="12"/>
  <c r="D487" i="12" a="1"/>
  <c r="C487" i="12"/>
  <c r="C487" i="12" a="1"/>
  <c r="G485" i="12" a="1"/>
  <c r="G485" i="12" s="1"/>
  <c r="F485" i="12" a="1"/>
  <c r="F485" i="12" s="1"/>
  <c r="E485" i="12" a="1"/>
  <c r="E485" i="12" s="1"/>
  <c r="D485" i="12" a="1"/>
  <c r="D485" i="12" s="1"/>
  <c r="C485" i="12" a="1"/>
  <c r="C485" i="12" s="1"/>
  <c r="G484" i="12" a="1"/>
  <c r="G484" i="12" s="1"/>
  <c r="F484" i="12" a="1"/>
  <c r="F484" i="12" s="1"/>
  <c r="E484" i="12" a="1"/>
  <c r="E484" i="12" s="1"/>
  <c r="D484" i="12" a="1"/>
  <c r="D484" i="12" s="1"/>
  <c r="C484" i="12" a="1"/>
  <c r="C484" i="12" s="1"/>
  <c r="G483" i="12" a="1"/>
  <c r="G483" i="12" s="1"/>
  <c r="F483" i="12" a="1"/>
  <c r="F483" i="12" s="1"/>
  <c r="E483" i="12" a="1"/>
  <c r="E483" i="12" s="1"/>
  <c r="D483" i="12" a="1"/>
  <c r="D483" i="12" s="1"/>
  <c r="C483" i="12" a="1"/>
  <c r="C483" i="12" s="1"/>
  <c r="G482" i="12"/>
  <c r="G482" i="12" a="1"/>
  <c r="F482" i="12"/>
  <c r="F482" i="12" a="1"/>
  <c r="E482" i="12"/>
  <c r="E482" i="12" a="1"/>
  <c r="D482" i="12"/>
  <c r="D482" i="12" a="1"/>
  <c r="C482" i="12"/>
  <c r="C482" i="12" a="1"/>
  <c r="G480" i="12"/>
  <c r="F480" i="12"/>
  <c r="E480" i="12"/>
  <c r="D480" i="12"/>
  <c r="C480" i="12"/>
  <c r="G479" i="12" a="1"/>
  <c r="G479" i="12" s="1"/>
  <c r="F479" i="12" a="1"/>
  <c r="F479" i="12" s="1"/>
  <c r="E479" i="12" a="1"/>
  <c r="E479" i="12" s="1"/>
  <c r="D479" i="12" a="1"/>
  <c r="D479" i="12" s="1"/>
  <c r="C479" i="12" a="1"/>
  <c r="C479" i="12" s="1"/>
  <c r="G478" i="12" a="1"/>
  <c r="G478" i="12" s="1"/>
  <c r="F478" i="12" a="1"/>
  <c r="F478" i="12" s="1"/>
  <c r="E478" i="12" a="1"/>
  <c r="E478" i="12" s="1"/>
  <c r="D478" i="12" a="1"/>
  <c r="D478" i="12" s="1"/>
  <c r="C478" i="12" a="1"/>
  <c r="C478" i="12" s="1"/>
  <c r="G477" i="12" a="1"/>
  <c r="G477" i="12" s="1"/>
  <c r="F477" i="12" a="1"/>
  <c r="F477" i="12" s="1"/>
  <c r="E477" i="12" a="1"/>
  <c r="E477" i="12" s="1"/>
  <c r="D477" i="12" a="1"/>
  <c r="D477" i="12" s="1"/>
  <c r="C477" i="12" a="1"/>
  <c r="C477" i="12" s="1"/>
  <c r="G476" i="12" a="1"/>
  <c r="G476" i="12" s="1"/>
  <c r="F476" i="12" a="1"/>
  <c r="F476" i="12" s="1"/>
  <c r="E476" i="12" a="1"/>
  <c r="E476" i="12" s="1"/>
  <c r="D476" i="12" a="1"/>
  <c r="D476" i="12" s="1"/>
  <c r="C476" i="12" a="1"/>
  <c r="C476" i="12" s="1"/>
  <c r="G475" i="12" a="1"/>
  <c r="G475" i="12" s="1"/>
  <c r="F475" i="12" a="1"/>
  <c r="F475" i="12" s="1"/>
  <c r="E475" i="12" a="1"/>
  <c r="E475" i="12" s="1"/>
  <c r="D475" i="12" a="1"/>
  <c r="D475" i="12" s="1"/>
  <c r="C475" i="12" a="1"/>
  <c r="C475" i="12" s="1"/>
  <c r="G474" i="12" a="1"/>
  <c r="G474" i="12" s="1"/>
  <c r="F474" i="12" a="1"/>
  <c r="F474" i="12" s="1"/>
  <c r="E474" i="12" a="1"/>
  <c r="E474" i="12" s="1"/>
  <c r="D474" i="12" a="1"/>
  <c r="D474" i="12" s="1"/>
  <c r="C474" i="12" a="1"/>
  <c r="C474" i="12" s="1"/>
  <c r="G473" i="12"/>
  <c r="G473" i="12" a="1"/>
  <c r="F473" i="12"/>
  <c r="F473" i="12" a="1"/>
  <c r="E473" i="12"/>
  <c r="E473" i="12" a="1"/>
  <c r="D473" i="12"/>
  <c r="D473" i="12" a="1"/>
  <c r="C473" i="12"/>
  <c r="C473" i="12" a="1"/>
  <c r="G471" i="12" a="1"/>
  <c r="G471" i="12" s="1"/>
  <c r="F471" i="12" a="1"/>
  <c r="F471" i="12" s="1"/>
  <c r="E471" i="12" a="1"/>
  <c r="E471" i="12" s="1"/>
  <c r="D471" i="12" a="1"/>
  <c r="D471" i="12" s="1"/>
  <c r="C471" i="12" a="1"/>
  <c r="C471" i="12" s="1"/>
  <c r="G470" i="12" a="1"/>
  <c r="G470" i="12" s="1"/>
  <c r="F470" i="12" a="1"/>
  <c r="F470" i="12" s="1"/>
  <c r="E470" i="12" a="1"/>
  <c r="E470" i="12" s="1"/>
  <c r="D470" i="12" a="1"/>
  <c r="D470" i="12" s="1"/>
  <c r="C470" i="12" a="1"/>
  <c r="C470" i="12" s="1"/>
  <c r="G469" i="12" a="1"/>
  <c r="G469" i="12" s="1"/>
  <c r="F469" i="12" a="1"/>
  <c r="F469" i="12" s="1"/>
  <c r="E469" i="12" a="1"/>
  <c r="E469" i="12" s="1"/>
  <c r="D469" i="12" a="1"/>
  <c r="D469" i="12" s="1"/>
  <c r="C469" i="12" a="1"/>
  <c r="C469" i="12" s="1"/>
  <c r="G468" i="12" a="1"/>
  <c r="G468" i="12" s="1"/>
  <c r="F468" i="12" a="1"/>
  <c r="F468" i="12" s="1"/>
  <c r="E468" i="12" a="1"/>
  <c r="E468" i="12" s="1"/>
  <c r="D468" i="12" a="1"/>
  <c r="D468" i="12" s="1"/>
  <c r="C468" i="12" a="1"/>
  <c r="C468" i="12" s="1"/>
  <c r="G467" i="12" a="1"/>
  <c r="G467" i="12" s="1"/>
  <c r="F467" i="12" a="1"/>
  <c r="F467" i="12" s="1"/>
  <c r="E467" i="12" a="1"/>
  <c r="E467" i="12" s="1"/>
  <c r="D467" i="12" a="1"/>
  <c r="D467" i="12" s="1"/>
  <c r="C467" i="12" a="1"/>
  <c r="C467" i="12" s="1"/>
  <c r="G466" i="12"/>
  <c r="G466" i="12" a="1"/>
  <c r="F466" i="12"/>
  <c r="F466" i="12" a="1"/>
  <c r="E466" i="12"/>
  <c r="E466" i="12" a="1"/>
  <c r="D466" i="12"/>
  <c r="D466" i="12" a="1"/>
  <c r="C466" i="12"/>
  <c r="C466" i="12" a="1"/>
  <c r="G464" i="12" a="1"/>
  <c r="G464" i="12" s="1"/>
  <c r="F464" i="12" a="1"/>
  <c r="F464" i="12" s="1"/>
  <c r="E464" i="12" a="1"/>
  <c r="E464" i="12" s="1"/>
  <c r="D464" i="12" a="1"/>
  <c r="D464" i="12" s="1"/>
  <c r="C464" i="12" a="1"/>
  <c r="C464" i="12" s="1"/>
  <c r="G463" i="12" a="1"/>
  <c r="G463" i="12" s="1"/>
  <c r="F463" i="12" a="1"/>
  <c r="F463" i="12" s="1"/>
  <c r="E463" i="12" a="1"/>
  <c r="E463" i="12" s="1"/>
  <c r="D463" i="12" a="1"/>
  <c r="D463" i="12" s="1"/>
  <c r="C463" i="12" a="1"/>
  <c r="C463" i="12" s="1"/>
  <c r="G461" i="12" a="1"/>
  <c r="G461" i="12" s="1"/>
  <c r="F461" i="12" a="1"/>
  <c r="F461" i="12" s="1"/>
  <c r="E461" i="12" a="1"/>
  <c r="E461" i="12" s="1"/>
  <c r="D461" i="12" a="1"/>
  <c r="D461" i="12" s="1"/>
  <c r="C461" i="12" a="1"/>
  <c r="C461" i="12" s="1"/>
  <c r="G460" i="12" a="1"/>
  <c r="G460" i="12" s="1"/>
  <c r="F460" i="12" a="1"/>
  <c r="F460" i="12" s="1"/>
  <c r="E460" i="12" a="1"/>
  <c r="E460" i="12" s="1"/>
  <c r="D460" i="12" a="1"/>
  <c r="D460" i="12" s="1"/>
  <c r="C460" i="12" a="1"/>
  <c r="C460" i="12" s="1"/>
  <c r="G458" i="12"/>
  <c r="G458" i="12" a="1"/>
  <c r="F458" i="12"/>
  <c r="F458" i="12" a="1"/>
  <c r="E458" i="12"/>
  <c r="E458" i="12" a="1"/>
  <c r="D458" i="12"/>
  <c r="D458" i="12" a="1"/>
  <c r="C458" i="12"/>
  <c r="C458" i="12" a="1"/>
  <c r="G407" i="12"/>
  <c r="G407" i="12" a="1"/>
  <c r="F407" i="12"/>
  <c r="F407" i="12" a="1"/>
  <c r="E407" i="12"/>
  <c r="E407" i="12" a="1"/>
  <c r="D407" i="12"/>
  <c r="D407" i="12" a="1"/>
  <c r="C407" i="12"/>
  <c r="C407" i="12" a="1"/>
  <c r="G406" i="12"/>
  <c r="F406" i="12"/>
  <c r="E406" i="12"/>
  <c r="D406" i="12"/>
  <c r="C406" i="12"/>
  <c r="G402" i="12"/>
  <c r="G402" i="12" a="1"/>
  <c r="F402" i="12"/>
  <c r="F402" i="12" a="1"/>
  <c r="E402" i="12"/>
  <c r="E402" i="12" a="1"/>
  <c r="D402" i="12"/>
  <c r="D402" i="12" a="1"/>
  <c r="C402" i="12"/>
  <c r="C402" i="12" a="1"/>
  <c r="G399" i="12" a="1"/>
  <c r="G399" i="12" s="1"/>
  <c r="F399" i="12" a="1"/>
  <c r="F399" i="12" s="1"/>
  <c r="E399" i="12" a="1"/>
  <c r="E399" i="12" s="1"/>
  <c r="D399" i="12" a="1"/>
  <c r="D399" i="12" s="1"/>
  <c r="C399" i="12" a="1"/>
  <c r="C399" i="12" s="1"/>
  <c r="G398" i="12" a="1"/>
  <c r="G398" i="12" s="1"/>
  <c r="F398" i="12" a="1"/>
  <c r="F398" i="12" s="1"/>
  <c r="E398" i="12" a="1"/>
  <c r="E398" i="12" s="1"/>
  <c r="D398" i="12" a="1"/>
  <c r="D398" i="12" s="1"/>
  <c r="C398" i="12" a="1"/>
  <c r="C398" i="12" s="1"/>
  <c r="G397" i="12" a="1"/>
  <c r="G397" i="12" s="1"/>
  <c r="F397" i="12" a="1"/>
  <c r="F397" i="12" s="1"/>
  <c r="E397" i="12" a="1"/>
  <c r="E397" i="12" s="1"/>
  <c r="D397" i="12" a="1"/>
  <c r="D397" i="12" s="1"/>
  <c r="C397" i="12" a="1"/>
  <c r="C397" i="12" s="1"/>
  <c r="G396" i="12" a="1"/>
  <c r="G396" i="12" s="1"/>
  <c r="F396" i="12" a="1"/>
  <c r="F396" i="12" s="1"/>
  <c r="E396" i="12" a="1"/>
  <c r="E396" i="12" s="1"/>
  <c r="D396" i="12" a="1"/>
  <c r="D396" i="12" s="1"/>
  <c r="C396" i="12" a="1"/>
  <c r="C396" i="12" s="1"/>
  <c r="H395" i="12"/>
  <c r="H395" i="12" a="1"/>
  <c r="G395" i="12"/>
  <c r="G395" i="12" a="1"/>
  <c r="F395" i="12"/>
  <c r="F395" i="12" a="1"/>
  <c r="E395" i="12"/>
  <c r="E395" i="12" a="1"/>
  <c r="D395" i="12"/>
  <c r="D395" i="12" a="1"/>
  <c r="C395" i="12"/>
  <c r="C395" i="12" a="1"/>
  <c r="CF388" i="12" a="1"/>
  <c r="CF388" i="12" s="1"/>
  <c r="CE388" i="12" a="1"/>
  <c r="CE388" i="12" s="1"/>
  <c r="CD388" i="12" a="1"/>
  <c r="CD388" i="12" s="1"/>
  <c r="CC388" i="12" a="1"/>
  <c r="CC388" i="12" s="1"/>
  <c r="CB388" i="12" a="1"/>
  <c r="CB388" i="12" s="1"/>
  <c r="CA388" i="12" a="1"/>
  <c r="CA388" i="12" s="1"/>
  <c r="BZ388" i="12" a="1"/>
  <c r="BZ388" i="12" s="1"/>
  <c r="BY388" i="12" a="1"/>
  <c r="BY388" i="12" s="1"/>
  <c r="BX388" i="12" a="1"/>
  <c r="BX388" i="12" s="1"/>
  <c r="BW388" i="12" a="1"/>
  <c r="BW388" i="12" s="1"/>
  <c r="BV388" i="12" a="1"/>
  <c r="BV388" i="12" s="1"/>
  <c r="BU388" i="12" a="1"/>
  <c r="BU388" i="12" s="1"/>
  <c r="BT388" i="12" a="1"/>
  <c r="BT388" i="12" s="1"/>
  <c r="BS388" i="12" a="1"/>
  <c r="BS388" i="12" s="1"/>
  <c r="BR388" i="12" a="1"/>
  <c r="BR388" i="12" s="1"/>
  <c r="BQ388" i="12" a="1"/>
  <c r="BQ388" i="12" s="1"/>
  <c r="BP388" i="12" a="1"/>
  <c r="BP388" i="12" s="1"/>
  <c r="BO388" i="12" a="1"/>
  <c r="BO388" i="12" s="1"/>
  <c r="BN388" i="12" a="1"/>
  <c r="BN388" i="12" s="1"/>
  <c r="BM388" i="12" a="1"/>
  <c r="BM388" i="12" s="1"/>
  <c r="BL388" i="12" a="1"/>
  <c r="BL388" i="12" s="1"/>
  <c r="BK388" i="12" a="1"/>
  <c r="BK388" i="12" s="1"/>
  <c r="BJ388" i="12" a="1"/>
  <c r="BJ388" i="12" s="1"/>
  <c r="BI388" i="12" a="1"/>
  <c r="BI388" i="12" s="1"/>
  <c r="BH388" i="12" a="1"/>
  <c r="BH388" i="12" s="1"/>
  <c r="BG388" i="12" a="1"/>
  <c r="BG388" i="12" s="1"/>
  <c r="BF388" i="12" a="1"/>
  <c r="BF388" i="12" s="1"/>
  <c r="BE388" i="12" a="1"/>
  <c r="BE388" i="12" s="1"/>
  <c r="BD388" i="12" a="1"/>
  <c r="BD388" i="12" s="1"/>
  <c r="BC388" i="12" a="1"/>
  <c r="BC388" i="12" s="1"/>
  <c r="BB388" i="12" a="1"/>
  <c r="BB388" i="12" s="1"/>
  <c r="BA388" i="12" a="1"/>
  <c r="BA388" i="12" s="1"/>
  <c r="AZ388" i="12" a="1"/>
  <c r="AZ388" i="12" s="1"/>
  <c r="AY388" i="12" a="1"/>
  <c r="AY388" i="12" s="1"/>
  <c r="AX388" i="12" a="1"/>
  <c r="AX388" i="12" s="1"/>
  <c r="AW388" i="12" a="1"/>
  <c r="AW388" i="12" s="1"/>
  <c r="AV388" i="12" a="1"/>
  <c r="AV388" i="12" s="1"/>
  <c r="AU388" i="12" a="1"/>
  <c r="AU388" i="12" s="1"/>
  <c r="AT388" i="12" a="1"/>
  <c r="AT388" i="12" s="1"/>
  <c r="AS388" i="12" a="1"/>
  <c r="AS388" i="12" s="1"/>
  <c r="AR388" i="12" a="1"/>
  <c r="AR388" i="12" s="1"/>
  <c r="AQ388" i="12" a="1"/>
  <c r="AQ388" i="12" s="1"/>
  <c r="AP388" i="12" a="1"/>
  <c r="AP388" i="12" s="1"/>
  <c r="AO388" i="12" a="1"/>
  <c r="AO388" i="12" s="1"/>
  <c r="AN388" i="12" a="1"/>
  <c r="AN388" i="12" s="1"/>
  <c r="AM388" i="12" a="1"/>
  <c r="AM388" i="12" s="1"/>
  <c r="AL388" i="12" a="1"/>
  <c r="AL388" i="12" s="1"/>
  <c r="AK388" i="12" a="1"/>
  <c r="AK388" i="12" s="1"/>
  <c r="AJ388" i="12" a="1"/>
  <c r="AJ388" i="12" s="1"/>
  <c r="AI388" i="12" a="1"/>
  <c r="AI388" i="12" s="1"/>
  <c r="AH388" i="12" a="1"/>
  <c r="AH388" i="12" s="1"/>
  <c r="AG388" i="12" a="1"/>
  <c r="AG388" i="12" s="1"/>
  <c r="AF388" i="12" a="1"/>
  <c r="AF388" i="12" s="1"/>
  <c r="AE388" i="12" a="1"/>
  <c r="AE388" i="12" s="1"/>
  <c r="AD388" i="12" a="1"/>
  <c r="AD388" i="12" s="1"/>
  <c r="AC388" i="12" a="1"/>
  <c r="AC388" i="12" s="1"/>
  <c r="AB388" i="12" a="1"/>
  <c r="AB388" i="12" s="1"/>
  <c r="AA388" i="12" a="1"/>
  <c r="AA388" i="12" s="1"/>
  <c r="Z388" i="12" a="1"/>
  <c r="Z388" i="12" s="1"/>
  <c r="Y388" i="12" a="1"/>
  <c r="Y388" i="12" s="1"/>
  <c r="X388" i="12" a="1"/>
  <c r="X388" i="12" s="1"/>
  <c r="W388" i="12" a="1"/>
  <c r="W388" i="12" s="1"/>
  <c r="V388" i="12" a="1"/>
  <c r="V388" i="12" s="1"/>
  <c r="U388" i="12" a="1"/>
  <c r="U388" i="12" s="1"/>
  <c r="T388" i="12" a="1"/>
  <c r="T388" i="12" s="1"/>
  <c r="S388" i="12" a="1"/>
  <c r="S388" i="12" s="1"/>
  <c r="R388" i="12" a="1"/>
  <c r="R388" i="12" s="1"/>
  <c r="Q388" i="12" a="1"/>
  <c r="Q388" i="12" s="1"/>
  <c r="P388" i="12" a="1"/>
  <c r="P388" i="12" s="1"/>
  <c r="O388" i="12" a="1"/>
  <c r="O388" i="12" s="1"/>
  <c r="N388" i="12" a="1"/>
  <c r="N388" i="12" s="1"/>
  <c r="M388" i="12" a="1"/>
  <c r="M388" i="12" s="1"/>
  <c r="L388" i="12" a="1"/>
  <c r="L388" i="12" s="1"/>
  <c r="K388" i="12" a="1"/>
  <c r="K388" i="12" s="1"/>
  <c r="J388" i="12" a="1"/>
  <c r="J388" i="12" s="1"/>
  <c r="I388" i="12" a="1"/>
  <c r="I388" i="12" s="1"/>
  <c r="H388" i="12" a="1"/>
  <c r="H388" i="12" s="1"/>
  <c r="G388" i="12" a="1"/>
  <c r="G388" i="12" s="1"/>
  <c r="F388" i="12" a="1"/>
  <c r="F388" i="12" s="1"/>
  <c r="E388" i="12" a="1"/>
  <c r="E388" i="12" s="1"/>
  <c r="D388" i="12" a="1"/>
  <c r="D388" i="12" s="1"/>
  <c r="C388" i="12" a="1"/>
  <c r="C388" i="12" s="1"/>
  <c r="CF387" i="12" a="1"/>
  <c r="CF387" i="12" s="1"/>
  <c r="CE387" i="12" a="1"/>
  <c r="CE387" i="12" s="1"/>
  <c r="CD387" i="12" a="1"/>
  <c r="CD387" i="12" s="1"/>
  <c r="CC387" i="12" a="1"/>
  <c r="CC387" i="12" s="1"/>
  <c r="CB387" i="12" a="1"/>
  <c r="CB387" i="12" s="1"/>
  <c r="CA387" i="12" a="1"/>
  <c r="CA387" i="12" s="1"/>
  <c r="BZ387" i="12" a="1"/>
  <c r="BZ387" i="12" s="1"/>
  <c r="BY387" i="12" a="1"/>
  <c r="BY387" i="12" s="1"/>
  <c r="BX387" i="12" a="1"/>
  <c r="BX387" i="12" s="1"/>
  <c r="BW387" i="12" a="1"/>
  <c r="BW387" i="12" s="1"/>
  <c r="BV387" i="12" a="1"/>
  <c r="BV387" i="12" s="1"/>
  <c r="BU387" i="12" a="1"/>
  <c r="BU387" i="12" s="1"/>
  <c r="BT387" i="12" a="1"/>
  <c r="BT387" i="12" s="1"/>
  <c r="BS387" i="12" a="1"/>
  <c r="BS387" i="12" s="1"/>
  <c r="BR387" i="12" a="1"/>
  <c r="BR387" i="12" s="1"/>
  <c r="BQ387" i="12" a="1"/>
  <c r="BQ387" i="12" s="1"/>
  <c r="BP387" i="12" a="1"/>
  <c r="BP387" i="12" s="1"/>
  <c r="BO387" i="12" a="1"/>
  <c r="BO387" i="12" s="1"/>
  <c r="BN387" i="12" a="1"/>
  <c r="BN387" i="12" s="1"/>
  <c r="BM387" i="12" a="1"/>
  <c r="BM387" i="12" s="1"/>
  <c r="BL387" i="12" a="1"/>
  <c r="BL387" i="12" s="1"/>
  <c r="BK387" i="12" a="1"/>
  <c r="BK387" i="12" s="1"/>
  <c r="BJ387" i="12" a="1"/>
  <c r="BJ387" i="12" s="1"/>
  <c r="BI387" i="12" a="1"/>
  <c r="BI387" i="12" s="1"/>
  <c r="BH387" i="12" a="1"/>
  <c r="BH387" i="12" s="1"/>
  <c r="BG387" i="12" a="1"/>
  <c r="BG387" i="12" s="1"/>
  <c r="BF387" i="12" a="1"/>
  <c r="BF387" i="12" s="1"/>
  <c r="BE387" i="12" a="1"/>
  <c r="BE387" i="12" s="1"/>
  <c r="BD387" i="12" a="1"/>
  <c r="BD387" i="12" s="1"/>
  <c r="BC387" i="12" a="1"/>
  <c r="BC387" i="12" s="1"/>
  <c r="BB387" i="12" a="1"/>
  <c r="BB387" i="12" s="1"/>
  <c r="BA387" i="12" a="1"/>
  <c r="BA387" i="12" s="1"/>
  <c r="AZ387" i="12" a="1"/>
  <c r="AZ387" i="12" s="1"/>
  <c r="AY387" i="12" a="1"/>
  <c r="AY387" i="12" s="1"/>
  <c r="AX387" i="12" a="1"/>
  <c r="AX387" i="12" s="1"/>
  <c r="AW387" i="12" a="1"/>
  <c r="AW387" i="12" s="1"/>
  <c r="AV387" i="12" a="1"/>
  <c r="AV387" i="12" s="1"/>
  <c r="AU387" i="12" a="1"/>
  <c r="AU387" i="12" s="1"/>
  <c r="AT387" i="12" a="1"/>
  <c r="AT387" i="12" s="1"/>
  <c r="AS387" i="12" a="1"/>
  <c r="AS387" i="12" s="1"/>
  <c r="AR387" i="12" a="1"/>
  <c r="AR387" i="12" s="1"/>
  <c r="AQ387" i="12" a="1"/>
  <c r="AQ387" i="12" s="1"/>
  <c r="AP387" i="12" a="1"/>
  <c r="AP387" i="12" s="1"/>
  <c r="AO387" i="12" a="1"/>
  <c r="AO387" i="12" s="1"/>
  <c r="AN387" i="12" a="1"/>
  <c r="AN387" i="12" s="1"/>
  <c r="AM387" i="12" a="1"/>
  <c r="AM387" i="12" s="1"/>
  <c r="AL387" i="12" a="1"/>
  <c r="AL387" i="12" s="1"/>
  <c r="AK387" i="12" a="1"/>
  <c r="AK387" i="12" s="1"/>
  <c r="AJ387" i="12" a="1"/>
  <c r="AJ387" i="12" s="1"/>
  <c r="AI387" i="12" a="1"/>
  <c r="AI387" i="12" s="1"/>
  <c r="AH387" i="12" a="1"/>
  <c r="AH387" i="12" s="1"/>
  <c r="AG387" i="12" a="1"/>
  <c r="AG387" i="12" s="1"/>
  <c r="AF387" i="12" a="1"/>
  <c r="AF387" i="12" s="1"/>
  <c r="AE387" i="12" a="1"/>
  <c r="AE387" i="12" s="1"/>
  <c r="AD387" i="12" a="1"/>
  <c r="AD387" i="12" s="1"/>
  <c r="AC387" i="12" a="1"/>
  <c r="AC387" i="12" s="1"/>
  <c r="AB387" i="12" a="1"/>
  <c r="AB387" i="12" s="1"/>
  <c r="AA387" i="12" a="1"/>
  <c r="AA387" i="12" s="1"/>
  <c r="Z387" i="12" a="1"/>
  <c r="Z387" i="12" s="1"/>
  <c r="Y387" i="12" a="1"/>
  <c r="Y387" i="12" s="1"/>
  <c r="X387" i="12" a="1"/>
  <c r="X387" i="12" s="1"/>
  <c r="W387" i="12" a="1"/>
  <c r="W387" i="12" s="1"/>
  <c r="V387" i="12" a="1"/>
  <c r="V387" i="12" s="1"/>
  <c r="U387" i="12" a="1"/>
  <c r="U387" i="12" s="1"/>
  <c r="T387" i="12" a="1"/>
  <c r="T387" i="12" s="1"/>
  <c r="S387" i="12" a="1"/>
  <c r="S387" i="12" s="1"/>
  <c r="R387" i="12" a="1"/>
  <c r="R387" i="12" s="1"/>
  <c r="Q387" i="12" a="1"/>
  <c r="Q387" i="12" s="1"/>
  <c r="P387" i="12" a="1"/>
  <c r="P387" i="12" s="1"/>
  <c r="O387" i="12" a="1"/>
  <c r="O387" i="12" s="1"/>
  <c r="N387" i="12" a="1"/>
  <c r="N387" i="12" s="1"/>
  <c r="M387" i="12" a="1"/>
  <c r="M387" i="12" s="1"/>
  <c r="L387" i="12" a="1"/>
  <c r="L387" i="12" s="1"/>
  <c r="K387" i="12" a="1"/>
  <c r="K387" i="12" s="1"/>
  <c r="J387" i="12" a="1"/>
  <c r="J387" i="12" s="1"/>
  <c r="I387" i="12" a="1"/>
  <c r="I387" i="12" s="1"/>
  <c r="H387" i="12" a="1"/>
  <c r="H387" i="12" s="1"/>
  <c r="G387" i="12" a="1"/>
  <c r="G387" i="12" s="1"/>
  <c r="F387" i="12" a="1"/>
  <c r="F387" i="12" s="1"/>
  <c r="E387" i="12" a="1"/>
  <c r="E387" i="12" s="1"/>
  <c r="D387" i="12" a="1"/>
  <c r="D387" i="12" s="1"/>
  <c r="C387" i="12" a="1"/>
  <c r="C387" i="12" s="1"/>
  <c r="G384" i="12" a="1"/>
  <c r="G384" i="12" s="1"/>
  <c r="F384" i="12" a="1"/>
  <c r="F384" i="12" s="1"/>
  <c r="E384" i="12" a="1"/>
  <c r="E384" i="12" s="1"/>
  <c r="D384" i="12" a="1"/>
  <c r="D384" i="12" s="1"/>
  <c r="C384" i="12" a="1"/>
  <c r="C384" i="12" s="1"/>
  <c r="G383" i="12" a="1"/>
  <c r="G383" i="12" s="1"/>
  <c r="F383" i="12" a="1"/>
  <c r="F383" i="12" s="1"/>
  <c r="E383" i="12" a="1"/>
  <c r="E383" i="12" s="1"/>
  <c r="D383" i="12" a="1"/>
  <c r="D383" i="12" s="1"/>
  <c r="C383" i="12" a="1"/>
  <c r="C383" i="12" s="1"/>
  <c r="G382" i="12" a="1"/>
  <c r="G382" i="12" s="1"/>
  <c r="F382" i="12" a="1"/>
  <c r="F382" i="12" s="1"/>
  <c r="E382" i="12" a="1"/>
  <c r="E382" i="12" s="1"/>
  <c r="D382" i="12" a="1"/>
  <c r="D382" i="12" s="1"/>
  <c r="C382" i="12" a="1"/>
  <c r="C382" i="12" s="1"/>
  <c r="G381" i="12" a="1"/>
  <c r="G381" i="12" s="1"/>
  <c r="F381" i="12" a="1"/>
  <c r="F381" i="12" s="1"/>
  <c r="E381" i="12" a="1"/>
  <c r="E381" i="12" s="1"/>
  <c r="D381" i="12" a="1"/>
  <c r="D381" i="12" s="1"/>
  <c r="C381" i="12" a="1"/>
  <c r="C381" i="12" s="1"/>
  <c r="G380" i="12" a="1"/>
  <c r="G380" i="12" s="1"/>
  <c r="F380" i="12" a="1"/>
  <c r="F380" i="12" s="1"/>
  <c r="E380" i="12" a="1"/>
  <c r="E380" i="12" s="1"/>
  <c r="D380" i="12" a="1"/>
  <c r="D380" i="12" s="1"/>
  <c r="C380" i="12" a="1"/>
  <c r="C380" i="12" s="1"/>
  <c r="G379" i="12" a="1"/>
  <c r="G379" i="12" s="1"/>
  <c r="F379" i="12" a="1"/>
  <c r="F379" i="12" s="1"/>
  <c r="E379" i="12" a="1"/>
  <c r="E379" i="12" s="1"/>
  <c r="D379" i="12" a="1"/>
  <c r="D379" i="12" s="1"/>
  <c r="C379" i="12" a="1"/>
  <c r="C379" i="12" s="1"/>
  <c r="G378" i="12" a="1"/>
  <c r="G378" i="12" s="1"/>
  <c r="F378" i="12" a="1"/>
  <c r="F378" i="12" s="1"/>
  <c r="E378" i="12" a="1"/>
  <c r="E378" i="12" s="1"/>
  <c r="D378" i="12" a="1"/>
  <c r="D378" i="12" s="1"/>
  <c r="C378" i="12" a="1"/>
  <c r="C378" i="12" s="1"/>
  <c r="G377" i="12" a="1"/>
  <c r="G377" i="12" s="1"/>
  <c r="F377" i="12" a="1"/>
  <c r="F377" i="12" s="1"/>
  <c r="E377" i="12" a="1"/>
  <c r="E377" i="12" s="1"/>
  <c r="D377" i="12" a="1"/>
  <c r="D377" i="12" s="1"/>
  <c r="C377" i="12" a="1"/>
  <c r="C377" i="12" s="1"/>
  <c r="G376" i="12" a="1"/>
  <c r="G376" i="12" s="1"/>
  <c r="F376" i="12" a="1"/>
  <c r="F376" i="12" s="1"/>
  <c r="E376" i="12" a="1"/>
  <c r="E376" i="12" s="1"/>
  <c r="D376" i="12" a="1"/>
  <c r="D376" i="12" s="1"/>
  <c r="C376" i="12" a="1"/>
  <c r="C376" i="12" s="1"/>
  <c r="T375" i="12" a="1"/>
  <c r="T375" i="12" s="1"/>
  <c r="G375" i="12" a="1"/>
  <c r="G375" i="12" s="1"/>
  <c r="F375" i="12" a="1"/>
  <c r="F375" i="12" s="1"/>
  <c r="E375" i="12" a="1"/>
  <c r="E375" i="12" s="1"/>
  <c r="D375" i="12" a="1"/>
  <c r="D375" i="12" s="1"/>
  <c r="C375" i="12" a="1"/>
  <c r="C375" i="12" s="1"/>
  <c r="T374" i="12" a="1"/>
  <c r="T374" i="12" s="1"/>
  <c r="G374" i="12" a="1"/>
  <c r="G374" i="12" s="1"/>
  <c r="F374" i="12" a="1"/>
  <c r="F374" i="12" s="1"/>
  <c r="E374" i="12" a="1"/>
  <c r="E374" i="12" s="1"/>
  <c r="D374" i="12" a="1"/>
  <c r="D374" i="12" s="1"/>
  <c r="C374" i="12" a="1"/>
  <c r="C374" i="12" s="1"/>
  <c r="T373" i="12" a="1"/>
  <c r="T373" i="12" s="1"/>
  <c r="G373" i="12" a="1"/>
  <c r="G373" i="12" s="1"/>
  <c r="F373" i="12" a="1"/>
  <c r="F373" i="12" s="1"/>
  <c r="E373" i="12" a="1"/>
  <c r="E373" i="12" s="1"/>
  <c r="D373" i="12" a="1"/>
  <c r="D373" i="12" s="1"/>
  <c r="C373" i="12" a="1"/>
  <c r="C373" i="12" s="1"/>
  <c r="H372" i="12"/>
  <c r="H372" i="12" a="1"/>
  <c r="G372" i="12"/>
  <c r="G372" i="12" a="1"/>
  <c r="F372" i="12"/>
  <c r="F372" i="12" a="1"/>
  <c r="E372" i="12"/>
  <c r="E372" i="12" a="1"/>
  <c r="D372" i="12"/>
  <c r="D372" i="12" a="1"/>
  <c r="C372" i="12"/>
  <c r="C372" i="12" a="1"/>
  <c r="G369" i="12" a="1"/>
  <c r="G369" i="12" s="1"/>
  <c r="F369" i="12" a="1"/>
  <c r="F369" i="12" s="1"/>
  <c r="E369" i="12" a="1"/>
  <c r="E369" i="12" s="1"/>
  <c r="D369" i="12" a="1"/>
  <c r="D369" i="12" s="1"/>
  <c r="C369" i="12" a="1"/>
  <c r="C369" i="12" s="1"/>
  <c r="G368" i="12" a="1"/>
  <c r="G368" i="12" s="1"/>
  <c r="F368" i="12" a="1"/>
  <c r="F368" i="12" s="1"/>
  <c r="E368" i="12" a="1"/>
  <c r="E368" i="12" s="1"/>
  <c r="D368" i="12" a="1"/>
  <c r="D368" i="12" s="1"/>
  <c r="C368" i="12" a="1"/>
  <c r="C368" i="12" s="1"/>
  <c r="G367" i="12" a="1"/>
  <c r="G367" i="12" s="1"/>
  <c r="F367" i="12" a="1"/>
  <c r="F367" i="12" s="1"/>
  <c r="E367" i="12" a="1"/>
  <c r="E367" i="12" s="1"/>
  <c r="D367" i="12" a="1"/>
  <c r="D367" i="12" s="1"/>
  <c r="C367" i="12" a="1"/>
  <c r="C367" i="12" s="1"/>
  <c r="G366" i="12" a="1"/>
  <c r="G366" i="12" s="1"/>
  <c r="F366" i="12" a="1"/>
  <c r="F366" i="12" s="1"/>
  <c r="E366" i="12" a="1"/>
  <c r="E366" i="12" s="1"/>
  <c r="D366" i="12" a="1"/>
  <c r="D366" i="12" s="1"/>
  <c r="C366" i="12" a="1"/>
  <c r="C366" i="12" s="1"/>
  <c r="G365" i="12" a="1"/>
  <c r="G365" i="12" s="1"/>
  <c r="F365" i="12" a="1"/>
  <c r="F365" i="12" s="1"/>
  <c r="E365" i="12" a="1"/>
  <c r="E365" i="12" s="1"/>
  <c r="D365" i="12" a="1"/>
  <c r="D365" i="12" s="1"/>
  <c r="C365" i="12" a="1"/>
  <c r="C365" i="12" s="1"/>
  <c r="G364" i="12" a="1"/>
  <c r="G364" i="12" s="1"/>
  <c r="F364" i="12" a="1"/>
  <c r="F364" i="12" s="1"/>
  <c r="E364" i="12" a="1"/>
  <c r="E364" i="12" s="1"/>
  <c r="D364" i="12" a="1"/>
  <c r="D364" i="12" s="1"/>
  <c r="C364" i="12" a="1"/>
  <c r="C364" i="12" s="1"/>
  <c r="G363" i="12" a="1"/>
  <c r="G363" i="12" s="1"/>
  <c r="F363" i="12" a="1"/>
  <c r="F363" i="12" s="1"/>
  <c r="E363" i="12" a="1"/>
  <c r="E363" i="12" s="1"/>
  <c r="D363" i="12" a="1"/>
  <c r="D363" i="12" s="1"/>
  <c r="C363" i="12" a="1"/>
  <c r="C363" i="12" s="1"/>
  <c r="G362" i="12" a="1"/>
  <c r="G362" i="12" s="1"/>
  <c r="F362" i="12" a="1"/>
  <c r="F362" i="12" s="1"/>
  <c r="E362" i="12" a="1"/>
  <c r="E362" i="12" s="1"/>
  <c r="D362" i="12" a="1"/>
  <c r="D362" i="12" s="1"/>
  <c r="C362" i="12" a="1"/>
  <c r="C362" i="12" s="1"/>
  <c r="G361" i="12" a="1"/>
  <c r="G361" i="12" s="1"/>
  <c r="F361" i="12" a="1"/>
  <c r="F361" i="12" s="1"/>
  <c r="E361" i="12" a="1"/>
  <c r="E361" i="12" s="1"/>
  <c r="D361" i="12" a="1"/>
  <c r="D361" i="12" s="1"/>
  <c r="C361" i="12" a="1"/>
  <c r="C361" i="12" s="1"/>
  <c r="G360" i="12" a="1"/>
  <c r="G360" i="12" s="1"/>
  <c r="F360" i="12" a="1"/>
  <c r="F360" i="12" s="1"/>
  <c r="E360" i="12" a="1"/>
  <c r="E360" i="12" s="1"/>
  <c r="D360" i="12" a="1"/>
  <c r="D360" i="12" s="1"/>
  <c r="C360" i="12" a="1"/>
  <c r="C360" i="12" s="1"/>
  <c r="G359" i="12" a="1"/>
  <c r="G359" i="12" s="1"/>
  <c r="F359" i="12" a="1"/>
  <c r="F359" i="12" s="1"/>
  <c r="E359" i="12" a="1"/>
  <c r="E359" i="12" s="1"/>
  <c r="D359" i="12" a="1"/>
  <c r="D359" i="12" s="1"/>
  <c r="C359" i="12" a="1"/>
  <c r="C359" i="12" s="1"/>
  <c r="G358" i="12" a="1"/>
  <c r="G358" i="12" s="1"/>
  <c r="F358" i="12" a="1"/>
  <c r="F358" i="12" s="1"/>
  <c r="E358" i="12" a="1"/>
  <c r="E358" i="12" s="1"/>
  <c r="D358" i="12" a="1"/>
  <c r="D358" i="12" s="1"/>
  <c r="C358" i="12" a="1"/>
  <c r="C358" i="12" s="1"/>
  <c r="G357" i="12" a="1"/>
  <c r="G357" i="12" s="1"/>
  <c r="F357" i="12" a="1"/>
  <c r="F357" i="12" s="1"/>
  <c r="E357" i="12" a="1"/>
  <c r="E357" i="12" s="1"/>
  <c r="D357" i="12" a="1"/>
  <c r="D357" i="12" s="1"/>
  <c r="C357" i="12" a="1"/>
  <c r="C357" i="12" s="1"/>
  <c r="G356" i="12" a="1"/>
  <c r="G356" i="12" s="1"/>
  <c r="F356" i="12" a="1"/>
  <c r="F356" i="12" s="1"/>
  <c r="E356" i="12" a="1"/>
  <c r="E356" i="12" s="1"/>
  <c r="D356" i="12" a="1"/>
  <c r="D356" i="12" s="1"/>
  <c r="C356" i="12" a="1"/>
  <c r="C356" i="12" s="1"/>
  <c r="G355" i="12" a="1"/>
  <c r="G355" i="12" s="1"/>
  <c r="F355" i="12" a="1"/>
  <c r="F355" i="12" s="1"/>
  <c r="E355" i="12" a="1"/>
  <c r="E355" i="12" s="1"/>
  <c r="D355" i="12" a="1"/>
  <c r="D355" i="12" s="1"/>
  <c r="C355" i="12" a="1"/>
  <c r="C355" i="12" s="1"/>
  <c r="G354" i="12" a="1"/>
  <c r="G354" i="12" s="1"/>
  <c r="F354" i="12" a="1"/>
  <c r="F354" i="12" s="1"/>
  <c r="E354" i="12" a="1"/>
  <c r="E354" i="12" s="1"/>
  <c r="D354" i="12" a="1"/>
  <c r="D354" i="12" s="1"/>
  <c r="C354" i="12" a="1"/>
  <c r="C354" i="12" s="1"/>
  <c r="H353" i="12"/>
  <c r="H353" i="12" a="1"/>
  <c r="G353" i="12"/>
  <c r="G353" i="12" a="1"/>
  <c r="F353" i="12"/>
  <c r="F353" i="12" a="1"/>
  <c r="E353" i="12"/>
  <c r="E353" i="12" a="1"/>
  <c r="D353" i="12"/>
  <c r="D353" i="12" a="1"/>
  <c r="C353" i="12"/>
  <c r="C353" i="12" a="1"/>
  <c r="K351" i="12" a="1"/>
  <c r="K351" i="12" s="1"/>
  <c r="I351" i="12" a="1"/>
  <c r="I351" i="12" s="1"/>
  <c r="G351" i="12" a="1"/>
  <c r="G351" i="12" s="1"/>
  <c r="E351" i="12" a="1"/>
  <c r="E351" i="12" s="1"/>
  <c r="C351" i="12" a="1"/>
  <c r="C351" i="12" s="1"/>
  <c r="K350" i="12" a="1"/>
  <c r="K350" i="12" s="1"/>
  <c r="I350" i="12" a="1"/>
  <c r="I350" i="12" s="1"/>
  <c r="G350" i="12" a="1"/>
  <c r="G350" i="12" s="1"/>
  <c r="E350" i="12" a="1"/>
  <c r="E350" i="12" s="1"/>
  <c r="C350" i="12" a="1"/>
  <c r="C350" i="12" s="1"/>
  <c r="K349" i="12" a="1"/>
  <c r="K349" i="12" s="1"/>
  <c r="I349" i="12" a="1"/>
  <c r="I349" i="12" s="1"/>
  <c r="G349" i="12" a="1"/>
  <c r="G349" i="12" s="1"/>
  <c r="E349" i="12" a="1"/>
  <c r="E349" i="12" s="1"/>
  <c r="C349" i="12" a="1"/>
  <c r="C349" i="12" s="1"/>
  <c r="K348" i="12" a="1"/>
  <c r="K348" i="12" s="1"/>
  <c r="I348" i="12" a="1"/>
  <c r="I348" i="12" s="1"/>
  <c r="G348" i="12" a="1"/>
  <c r="G348" i="12" s="1"/>
  <c r="E348" i="12" a="1"/>
  <c r="E348" i="12" s="1"/>
  <c r="C348" i="12" a="1"/>
  <c r="C348" i="12" s="1"/>
  <c r="K347" i="12" a="1"/>
  <c r="K347" i="12" s="1"/>
  <c r="I347" i="12" a="1"/>
  <c r="I347" i="12" s="1"/>
  <c r="G347" i="12" a="1"/>
  <c r="G347" i="12" s="1"/>
  <c r="E347" i="12" a="1"/>
  <c r="E347" i="12" s="1"/>
  <c r="C347" i="12" a="1"/>
  <c r="C347" i="12" s="1"/>
  <c r="K346" i="12" a="1"/>
  <c r="K346" i="12" s="1"/>
  <c r="I346" i="12" a="1"/>
  <c r="I346" i="12" s="1"/>
  <c r="G346" i="12" a="1"/>
  <c r="G346" i="12" s="1"/>
  <c r="E346" i="12" a="1"/>
  <c r="E346" i="12" s="1"/>
  <c r="C346" i="12" a="1"/>
  <c r="C346" i="12" s="1"/>
  <c r="K345" i="12" a="1"/>
  <c r="K345" i="12" s="1"/>
  <c r="I345" i="12" a="1"/>
  <c r="I345" i="12" s="1"/>
  <c r="G345" i="12" a="1"/>
  <c r="G345" i="12" s="1"/>
  <c r="E345" i="12" a="1"/>
  <c r="E345" i="12" s="1"/>
  <c r="C345" i="12" a="1"/>
  <c r="C345" i="12" s="1"/>
  <c r="L344" i="12" a="1"/>
  <c r="L344" i="12" s="1"/>
  <c r="K344" i="12" a="1"/>
  <c r="K344" i="12" s="1"/>
  <c r="J344" i="12" a="1"/>
  <c r="J344" i="12" s="1"/>
  <c r="I344" i="12" a="1"/>
  <c r="I344" i="12" s="1"/>
  <c r="H344" i="12" a="1"/>
  <c r="H344" i="12" s="1"/>
  <c r="G344" i="12" a="1"/>
  <c r="G344" i="12" s="1"/>
  <c r="F344" i="12" a="1"/>
  <c r="F344" i="12" s="1"/>
  <c r="E344" i="12" a="1"/>
  <c r="E344" i="12" s="1"/>
  <c r="D344" i="12" a="1"/>
  <c r="D344" i="12" s="1"/>
  <c r="C344" i="12" a="1"/>
  <c r="C344" i="12" s="1"/>
  <c r="K343" i="12" a="1"/>
  <c r="K343" i="12" s="1"/>
  <c r="I343" i="12" a="1"/>
  <c r="I343" i="12" s="1"/>
  <c r="G343" i="12" a="1"/>
  <c r="G343" i="12" s="1"/>
  <c r="E343" i="12" a="1"/>
  <c r="E343" i="12" s="1"/>
  <c r="C343" i="12" a="1"/>
  <c r="C343" i="12" s="1"/>
  <c r="K342" i="12"/>
  <c r="K342" i="12" a="1"/>
  <c r="I342" i="12"/>
  <c r="I342" i="12" a="1"/>
  <c r="G342" i="12"/>
  <c r="G342" i="12" a="1"/>
  <c r="E342" i="12"/>
  <c r="E342" i="12" a="1"/>
  <c r="C342" i="12"/>
  <c r="C342" i="12" a="1"/>
  <c r="G340" i="12" a="1"/>
  <c r="G340" i="12" s="1"/>
  <c r="F340" i="12" a="1"/>
  <c r="F340" i="12" s="1"/>
  <c r="E340" i="12" a="1"/>
  <c r="E340" i="12" s="1"/>
  <c r="D340" i="12" a="1"/>
  <c r="D340" i="12" s="1"/>
  <c r="C340" i="12" a="1"/>
  <c r="C340" i="12" s="1"/>
  <c r="G339" i="12" a="1"/>
  <c r="G339" i="12" s="1"/>
  <c r="F339" i="12" a="1"/>
  <c r="F339" i="12" s="1"/>
  <c r="E339" i="12" a="1"/>
  <c r="E339" i="12" s="1"/>
  <c r="D339" i="12" a="1"/>
  <c r="D339" i="12" s="1"/>
  <c r="C339" i="12" a="1"/>
  <c r="C339" i="12" s="1"/>
  <c r="G338" i="12" a="1"/>
  <c r="G338" i="12" s="1"/>
  <c r="F338" i="12" a="1"/>
  <c r="F338" i="12" s="1"/>
  <c r="E338" i="12" a="1"/>
  <c r="E338" i="12" s="1"/>
  <c r="D338" i="12" a="1"/>
  <c r="D338" i="12" s="1"/>
  <c r="C338" i="12" a="1"/>
  <c r="C338" i="12" s="1"/>
  <c r="G337" i="12" a="1"/>
  <c r="G337" i="12" s="1"/>
  <c r="F337" i="12" a="1"/>
  <c r="F337" i="12" s="1"/>
  <c r="E337" i="12" a="1"/>
  <c r="E337" i="12" s="1"/>
  <c r="D337" i="12" a="1"/>
  <c r="D337" i="12" s="1"/>
  <c r="C337" i="12" a="1"/>
  <c r="C337" i="12" s="1"/>
  <c r="G336" i="12" a="1"/>
  <c r="G336" i="12" s="1"/>
  <c r="F336" i="12" a="1"/>
  <c r="F336" i="12" s="1"/>
  <c r="E336" i="12" a="1"/>
  <c r="E336" i="12" s="1"/>
  <c r="D336" i="12" a="1"/>
  <c r="D336" i="12" s="1"/>
  <c r="C336" i="12" a="1"/>
  <c r="C336" i="12" s="1"/>
  <c r="G335" i="12"/>
  <c r="G335" i="12" a="1"/>
  <c r="F335" i="12"/>
  <c r="F335" i="12" a="1"/>
  <c r="E335" i="12"/>
  <c r="E335" i="12" a="1"/>
  <c r="D335" i="12"/>
  <c r="D335" i="12" a="1"/>
  <c r="C335" i="12"/>
  <c r="C335" i="12" a="1"/>
  <c r="G333" i="12" a="1"/>
  <c r="G333" i="12" s="1"/>
  <c r="F333" i="12" a="1"/>
  <c r="F333" i="12" s="1"/>
  <c r="E333" i="12" a="1"/>
  <c r="E333" i="12" s="1"/>
  <c r="D333" i="12" a="1"/>
  <c r="D333" i="12" s="1"/>
  <c r="C333" i="12" a="1"/>
  <c r="C333" i="12" s="1"/>
  <c r="G332" i="12" a="1"/>
  <c r="G332" i="12" s="1"/>
  <c r="F332" i="12" a="1"/>
  <c r="F332" i="12" s="1"/>
  <c r="E332" i="12" a="1"/>
  <c r="E332" i="12" s="1"/>
  <c r="D332" i="12" a="1"/>
  <c r="D332" i="12" s="1"/>
  <c r="C332" i="12" a="1"/>
  <c r="C332" i="12" s="1"/>
  <c r="G331" i="12" a="1"/>
  <c r="G331" i="12" s="1"/>
  <c r="F331" i="12" a="1"/>
  <c r="F331" i="12" s="1"/>
  <c r="E331" i="12" a="1"/>
  <c r="E331" i="12" s="1"/>
  <c r="D331" i="12" a="1"/>
  <c r="D331" i="12" s="1"/>
  <c r="C331" i="12" a="1"/>
  <c r="C331" i="12" s="1"/>
  <c r="G330" i="12" a="1"/>
  <c r="G330" i="12" s="1"/>
  <c r="F330" i="12" a="1"/>
  <c r="F330" i="12" s="1"/>
  <c r="E330" i="12" a="1"/>
  <c r="E330" i="12" s="1"/>
  <c r="D330" i="12" a="1"/>
  <c r="D330" i="12" s="1"/>
  <c r="C330" i="12" a="1"/>
  <c r="C330" i="12" s="1"/>
  <c r="G329" i="12" a="1"/>
  <c r="G329" i="12" s="1"/>
  <c r="F329" i="12" a="1"/>
  <c r="F329" i="12" s="1"/>
  <c r="E329" i="12" a="1"/>
  <c r="E329" i="12" s="1"/>
  <c r="D329" i="12" a="1"/>
  <c r="D329" i="12" s="1"/>
  <c r="C329" i="12" a="1"/>
  <c r="C329" i="12" s="1"/>
  <c r="G328" i="12"/>
  <c r="G328" i="12" a="1"/>
  <c r="F328" i="12"/>
  <c r="F328" i="12" a="1"/>
  <c r="E328" i="12"/>
  <c r="E328" i="12" a="1"/>
  <c r="D328" i="12"/>
  <c r="D328" i="12" a="1"/>
  <c r="C328" i="12"/>
  <c r="C328" i="12" a="1"/>
  <c r="L326" i="12" a="1"/>
  <c r="L326" i="12" s="1"/>
  <c r="K326" i="12" a="1"/>
  <c r="K326" i="12" s="1"/>
  <c r="J326" i="12" a="1"/>
  <c r="J326" i="12" s="1"/>
  <c r="I326" i="12" a="1"/>
  <c r="I326" i="12" s="1"/>
  <c r="H326" i="12" a="1"/>
  <c r="H326" i="12" s="1"/>
  <c r="G326" i="12" a="1"/>
  <c r="G326" i="12" s="1"/>
  <c r="F326" i="12" a="1"/>
  <c r="F326" i="12" s="1"/>
  <c r="E326" i="12" a="1"/>
  <c r="E326" i="12" s="1"/>
  <c r="D326" i="12" a="1"/>
  <c r="D326" i="12" s="1"/>
  <c r="C326" i="12" a="1"/>
  <c r="C326" i="12" s="1"/>
  <c r="L325" i="12" a="1"/>
  <c r="L325" i="12" s="1"/>
  <c r="K325" i="12" a="1"/>
  <c r="K325" i="12" s="1"/>
  <c r="J325" i="12" a="1"/>
  <c r="J325" i="12" s="1"/>
  <c r="I325" i="12" a="1"/>
  <c r="I325" i="12" s="1"/>
  <c r="H325" i="12" a="1"/>
  <c r="H325" i="12" s="1"/>
  <c r="G325" i="12" a="1"/>
  <c r="G325" i="12" s="1"/>
  <c r="F325" i="12" a="1"/>
  <c r="F325" i="12" s="1"/>
  <c r="E325" i="12" a="1"/>
  <c r="E325" i="12" s="1"/>
  <c r="D325" i="12" a="1"/>
  <c r="D325" i="12" s="1"/>
  <c r="C325" i="12" a="1"/>
  <c r="C325" i="12" s="1"/>
  <c r="L324" i="12" a="1"/>
  <c r="L324" i="12" s="1"/>
  <c r="K324" i="12" a="1"/>
  <c r="K324" i="12" s="1"/>
  <c r="J324" i="12" a="1"/>
  <c r="J324" i="12" s="1"/>
  <c r="I324" i="12" a="1"/>
  <c r="I324" i="12" s="1"/>
  <c r="H324" i="12" a="1"/>
  <c r="H324" i="12" s="1"/>
  <c r="G324" i="12" a="1"/>
  <c r="G324" i="12" s="1"/>
  <c r="F324" i="12" a="1"/>
  <c r="F324" i="12" s="1"/>
  <c r="E324" i="12" a="1"/>
  <c r="E324" i="12" s="1"/>
  <c r="D324" i="12" a="1"/>
  <c r="D324" i="12" s="1"/>
  <c r="C324" i="12" a="1"/>
  <c r="C324" i="12" s="1"/>
  <c r="L323" i="12" a="1"/>
  <c r="L323" i="12" s="1"/>
  <c r="K323" i="12" a="1"/>
  <c r="K323" i="12" s="1"/>
  <c r="J323" i="12" a="1"/>
  <c r="J323" i="12" s="1"/>
  <c r="I323" i="12" a="1"/>
  <c r="I323" i="12" s="1"/>
  <c r="H323" i="12" a="1"/>
  <c r="H323" i="12" s="1"/>
  <c r="G323" i="12" a="1"/>
  <c r="G323" i="12" s="1"/>
  <c r="F323" i="12" a="1"/>
  <c r="F323" i="12" s="1"/>
  <c r="E323" i="12" a="1"/>
  <c r="E323" i="12" s="1"/>
  <c r="D323" i="12" a="1"/>
  <c r="D323" i="12" s="1"/>
  <c r="C323" i="12" a="1"/>
  <c r="C323" i="12" s="1"/>
  <c r="L322" i="12" a="1"/>
  <c r="L322" i="12" s="1"/>
  <c r="K322" i="12" a="1"/>
  <c r="K322" i="12" s="1"/>
  <c r="J322" i="12" a="1"/>
  <c r="J322" i="12" s="1"/>
  <c r="I322" i="12" a="1"/>
  <c r="I322" i="12" s="1"/>
  <c r="H322" i="12" a="1"/>
  <c r="H322" i="12" s="1"/>
  <c r="G322" i="12" a="1"/>
  <c r="G322" i="12" s="1"/>
  <c r="F322" i="12" a="1"/>
  <c r="F322" i="12" s="1"/>
  <c r="E322" i="12" a="1"/>
  <c r="E322" i="12" s="1"/>
  <c r="D322" i="12" a="1"/>
  <c r="D322" i="12" s="1"/>
  <c r="C322" i="12" a="1"/>
  <c r="C322" i="12" s="1"/>
  <c r="L321" i="12" a="1"/>
  <c r="L321" i="12" s="1"/>
  <c r="K321" i="12" a="1"/>
  <c r="K321" i="12" s="1"/>
  <c r="J321" i="12" a="1"/>
  <c r="J321" i="12" s="1"/>
  <c r="I321" i="12" a="1"/>
  <c r="I321" i="12" s="1"/>
  <c r="H321" i="12" a="1"/>
  <c r="H321" i="12" s="1"/>
  <c r="G321" i="12" a="1"/>
  <c r="G321" i="12" s="1"/>
  <c r="F321" i="12" a="1"/>
  <c r="F321" i="12" s="1"/>
  <c r="E321" i="12" a="1"/>
  <c r="E321" i="12" s="1"/>
  <c r="D321" i="12" a="1"/>
  <c r="D321" i="12" s="1"/>
  <c r="C321" i="12" a="1"/>
  <c r="C321" i="12" s="1"/>
  <c r="L320" i="12" a="1"/>
  <c r="L320" i="12" s="1"/>
  <c r="K320" i="12" a="1"/>
  <c r="K320" i="12" s="1"/>
  <c r="J320" i="12" a="1"/>
  <c r="J320" i="12" s="1"/>
  <c r="I320" i="12" a="1"/>
  <c r="I320" i="12" s="1"/>
  <c r="H320" i="12" a="1"/>
  <c r="H320" i="12" s="1"/>
  <c r="G320" i="12" a="1"/>
  <c r="G320" i="12" s="1"/>
  <c r="F320" i="12" a="1"/>
  <c r="F320" i="12" s="1"/>
  <c r="E320" i="12" a="1"/>
  <c r="E320" i="12" s="1"/>
  <c r="D320" i="12" a="1"/>
  <c r="D320" i="12" s="1"/>
  <c r="C320" i="12" a="1"/>
  <c r="C320" i="12" s="1"/>
  <c r="K319" i="12" a="1"/>
  <c r="K319" i="12" s="1"/>
  <c r="I319" i="12" a="1"/>
  <c r="I319" i="12" s="1"/>
  <c r="G319" i="12" a="1"/>
  <c r="G319" i="12" s="1"/>
  <c r="E319" i="12" a="1"/>
  <c r="E319" i="12" s="1"/>
  <c r="C319" i="12" a="1"/>
  <c r="C319" i="12" s="1"/>
  <c r="K318" i="12" a="1"/>
  <c r="K318" i="12" s="1"/>
  <c r="I318" i="12" a="1"/>
  <c r="I318" i="12" s="1"/>
  <c r="G318" i="12" a="1"/>
  <c r="G318" i="12" s="1"/>
  <c r="E318" i="12" a="1"/>
  <c r="E318" i="12" s="1"/>
  <c r="C318" i="12" a="1"/>
  <c r="C318" i="12" s="1"/>
  <c r="K317" i="12"/>
  <c r="K317" i="12" a="1"/>
  <c r="I317" i="12"/>
  <c r="I317" i="12" a="1"/>
  <c r="G317" i="12"/>
  <c r="G317" i="12" a="1"/>
  <c r="E317" i="12"/>
  <c r="E317" i="12" a="1"/>
  <c r="C317" i="12"/>
  <c r="C317" i="12" a="1"/>
  <c r="D315" i="12" a="1"/>
  <c r="D315" i="12" s="1"/>
  <c r="C315" i="12" a="1"/>
  <c r="C315" i="12" s="1"/>
  <c r="F314" i="12" a="1"/>
  <c r="F314" i="12" s="1"/>
  <c r="E314" i="12" a="1"/>
  <c r="E314" i="12" s="1"/>
  <c r="D314" i="12" a="1"/>
  <c r="D314" i="12" s="1"/>
  <c r="C314" i="12" a="1"/>
  <c r="C314" i="12" s="1"/>
  <c r="F313" i="12" a="1"/>
  <c r="F313" i="12" s="1"/>
  <c r="E313" i="12" a="1"/>
  <c r="E313" i="12" s="1"/>
  <c r="D313" i="12" a="1"/>
  <c r="D313" i="12" s="1"/>
  <c r="C313" i="12" a="1"/>
  <c r="C313" i="12" s="1"/>
  <c r="F312" i="12" a="1"/>
  <c r="F312" i="12" s="1"/>
  <c r="E312" i="12" a="1"/>
  <c r="E312" i="12" s="1"/>
  <c r="D312" i="12" a="1"/>
  <c r="D312" i="12" s="1"/>
  <c r="C312" i="12" a="1"/>
  <c r="C312" i="12" s="1"/>
  <c r="F311" i="12" a="1"/>
  <c r="F311" i="12" s="1"/>
  <c r="E311" i="12" a="1"/>
  <c r="E311" i="12" s="1"/>
  <c r="D311" i="12" a="1"/>
  <c r="D311" i="12" s="1"/>
  <c r="C311" i="12" a="1"/>
  <c r="C311" i="12" s="1"/>
  <c r="F310" i="12" a="1"/>
  <c r="F310" i="12" s="1"/>
  <c r="E310" i="12" a="1"/>
  <c r="E310" i="12" s="1"/>
  <c r="D310" i="12" a="1"/>
  <c r="D310" i="12" s="1"/>
  <c r="C310" i="12" a="1"/>
  <c r="C310" i="12" s="1"/>
  <c r="F309" i="12" a="1"/>
  <c r="F309" i="12" s="1"/>
  <c r="E309" i="12" a="1"/>
  <c r="E309" i="12" s="1"/>
  <c r="D309" i="12" a="1"/>
  <c r="D309" i="12" s="1"/>
  <c r="C309" i="12" a="1"/>
  <c r="C309" i="12" s="1"/>
  <c r="F308" i="12" a="1"/>
  <c r="F308" i="12" s="1"/>
  <c r="E308" i="12" a="1"/>
  <c r="E308" i="12" s="1"/>
  <c r="D308" i="12" a="1"/>
  <c r="D308" i="12" s="1"/>
  <c r="C308" i="12" a="1"/>
  <c r="C308" i="12" s="1"/>
  <c r="F307" i="12" a="1"/>
  <c r="F307" i="12" s="1"/>
  <c r="E307" i="12" a="1"/>
  <c r="E307" i="12" s="1"/>
  <c r="D307" i="12" a="1"/>
  <c r="D307" i="12" s="1"/>
  <c r="C307" i="12" a="1"/>
  <c r="C307" i="12" s="1"/>
  <c r="F306" i="12" a="1"/>
  <c r="F306" i="12" s="1"/>
  <c r="E306" i="12" a="1"/>
  <c r="E306" i="12" s="1"/>
  <c r="D306" i="12" a="1"/>
  <c r="D306" i="12" s="1"/>
  <c r="C306" i="12" a="1"/>
  <c r="C306" i="12" s="1"/>
  <c r="F305" i="12" a="1"/>
  <c r="F305" i="12" s="1"/>
  <c r="E305" i="12" a="1"/>
  <c r="E305" i="12" s="1"/>
  <c r="D305" i="12" a="1"/>
  <c r="D305" i="12" s="1"/>
  <c r="C305" i="12" a="1"/>
  <c r="C305" i="12" s="1"/>
  <c r="F304" i="12" a="1"/>
  <c r="F304" i="12" s="1"/>
  <c r="E304" i="12" a="1"/>
  <c r="E304" i="12" s="1"/>
  <c r="D304" i="12" a="1"/>
  <c r="D304" i="12" s="1"/>
  <c r="C304" i="12" a="1"/>
  <c r="C304" i="12" s="1"/>
  <c r="F303" i="12" a="1"/>
  <c r="F303" i="12" s="1"/>
  <c r="E303" i="12" a="1"/>
  <c r="E303" i="12" s="1"/>
  <c r="D303" i="12" a="1"/>
  <c r="D303" i="12" s="1"/>
  <c r="C303" i="12" a="1"/>
  <c r="C303" i="12" s="1"/>
  <c r="F302" i="12" a="1"/>
  <c r="F302" i="12" s="1"/>
  <c r="E302" i="12" a="1"/>
  <c r="E302" i="12" s="1"/>
  <c r="D302" i="12" a="1"/>
  <c r="D302" i="12" s="1"/>
  <c r="C302" i="12" a="1"/>
  <c r="C302" i="12" s="1"/>
  <c r="F301" i="12" a="1"/>
  <c r="F301" i="12" s="1"/>
  <c r="E301" i="12" a="1"/>
  <c r="E301" i="12" s="1"/>
  <c r="D301" i="12" a="1"/>
  <c r="D301" i="12" s="1"/>
  <c r="C301" i="12" a="1"/>
  <c r="C301" i="12" s="1"/>
  <c r="F300" i="12" a="1"/>
  <c r="F300" i="12" s="1"/>
  <c r="E300" i="12" a="1"/>
  <c r="E300" i="12" s="1"/>
  <c r="D300" i="12" a="1"/>
  <c r="D300" i="12" s="1"/>
  <c r="C300" i="12" a="1"/>
  <c r="C300" i="12" s="1"/>
  <c r="F299" i="12" a="1"/>
  <c r="F299" i="12" s="1"/>
  <c r="E299" i="12" a="1"/>
  <c r="E299" i="12" s="1"/>
  <c r="D299" i="12" a="1"/>
  <c r="D299" i="12" s="1"/>
  <c r="C299" i="12" a="1"/>
  <c r="C299" i="12" s="1"/>
  <c r="F298" i="12" a="1"/>
  <c r="F298" i="12" s="1"/>
  <c r="E298" i="12" a="1"/>
  <c r="E298" i="12" s="1"/>
  <c r="D298" i="12" a="1"/>
  <c r="D298" i="12" s="1"/>
  <c r="C298" i="12" a="1"/>
  <c r="C298" i="12" s="1"/>
  <c r="F297" i="12" a="1"/>
  <c r="F297" i="12" s="1"/>
  <c r="E297" i="12" a="1"/>
  <c r="E297" i="12" s="1"/>
  <c r="D297" i="12" a="1"/>
  <c r="D297" i="12" s="1"/>
  <c r="C297" i="12" a="1"/>
  <c r="C297" i="12" s="1"/>
  <c r="G294" i="12" a="1"/>
  <c r="G294" i="12" s="1"/>
  <c r="F294" i="12" a="1"/>
  <c r="F294" i="12" s="1"/>
  <c r="E294" i="12" a="1"/>
  <c r="E294" i="12" s="1"/>
  <c r="D294" i="12" a="1"/>
  <c r="D294" i="12" s="1"/>
  <c r="C294" i="12" a="1"/>
  <c r="C294" i="12" s="1"/>
  <c r="G293" i="12" a="1"/>
  <c r="G293" i="12" s="1"/>
  <c r="F293" i="12" a="1"/>
  <c r="F293" i="12" s="1"/>
  <c r="E293" i="12" a="1"/>
  <c r="E293" i="12" s="1"/>
  <c r="D293" i="12" a="1"/>
  <c r="D293" i="12" s="1"/>
  <c r="C293" i="12" a="1"/>
  <c r="C293" i="12" s="1"/>
  <c r="G292" i="12" a="1"/>
  <c r="G292" i="12" s="1"/>
  <c r="F292" i="12" a="1"/>
  <c r="F292" i="12" s="1"/>
  <c r="E292" i="12" a="1"/>
  <c r="E292" i="12" s="1"/>
  <c r="D292" i="12" a="1"/>
  <c r="D292" i="12" s="1"/>
  <c r="C292" i="12" a="1"/>
  <c r="C292" i="12" s="1"/>
  <c r="G291" i="12" a="1"/>
  <c r="G291" i="12" s="1"/>
  <c r="F291" i="12" a="1"/>
  <c r="F291" i="12" s="1"/>
  <c r="E291" i="12" a="1"/>
  <c r="E291" i="12" s="1"/>
  <c r="D291" i="12" a="1"/>
  <c r="D291" i="12" s="1"/>
  <c r="C291" i="12" a="1"/>
  <c r="C291" i="12" s="1"/>
  <c r="G290" i="12" a="1"/>
  <c r="G290" i="12" s="1"/>
  <c r="F290" i="12" a="1"/>
  <c r="F290" i="12" s="1"/>
  <c r="E290" i="12" a="1"/>
  <c r="E290" i="12" s="1"/>
  <c r="D290" i="12" a="1"/>
  <c r="D290" i="12" s="1"/>
  <c r="C290" i="12" a="1"/>
  <c r="C290" i="12" s="1"/>
  <c r="G289" i="12" a="1"/>
  <c r="G289" i="12" s="1"/>
  <c r="F289" i="12" a="1"/>
  <c r="F289" i="12" s="1"/>
  <c r="E289" i="12" a="1"/>
  <c r="E289" i="12" s="1"/>
  <c r="D289" i="12" a="1"/>
  <c r="D289" i="12" s="1"/>
  <c r="C289" i="12" a="1"/>
  <c r="C289" i="12" s="1"/>
  <c r="G288" i="12" a="1"/>
  <c r="G288" i="12" s="1"/>
  <c r="F288" i="12" a="1"/>
  <c r="F288" i="12" s="1"/>
  <c r="E288" i="12" a="1"/>
  <c r="E288" i="12" s="1"/>
  <c r="D288" i="12" a="1"/>
  <c r="D288" i="12" s="1"/>
  <c r="C288" i="12" a="1"/>
  <c r="C288" i="12" s="1"/>
  <c r="G287" i="12" a="1"/>
  <c r="G287" i="12" s="1"/>
  <c r="F287" i="12" a="1"/>
  <c r="F287" i="12" s="1"/>
  <c r="E287" i="12" a="1"/>
  <c r="E287" i="12" s="1"/>
  <c r="D287" i="12" a="1"/>
  <c r="D287" i="12" s="1"/>
  <c r="C287" i="12" a="1"/>
  <c r="C287" i="12" s="1"/>
  <c r="G286" i="12" a="1"/>
  <c r="G286" i="12" s="1"/>
  <c r="F286" i="12" a="1"/>
  <c r="F286" i="12" s="1"/>
  <c r="E286" i="12" a="1"/>
  <c r="E286" i="12" s="1"/>
  <c r="D286" i="12" a="1"/>
  <c r="D286" i="12" s="1"/>
  <c r="C286" i="12" a="1"/>
  <c r="C286" i="12" s="1"/>
  <c r="G285" i="12" a="1"/>
  <c r="G285" i="12" s="1"/>
  <c r="F285" i="12" a="1"/>
  <c r="F285" i="12" s="1"/>
  <c r="E285" i="12" a="1"/>
  <c r="E285" i="12" s="1"/>
  <c r="D285" i="12" a="1"/>
  <c r="D285" i="12" s="1"/>
  <c r="C285" i="12" a="1"/>
  <c r="C285" i="12" s="1"/>
  <c r="G284" i="12" a="1"/>
  <c r="G284" i="12" s="1"/>
  <c r="F284" i="12" a="1"/>
  <c r="F284" i="12" s="1"/>
  <c r="E284" i="12" a="1"/>
  <c r="E284" i="12" s="1"/>
  <c r="D284" i="12" a="1"/>
  <c r="D284" i="12" s="1"/>
  <c r="C284" i="12" a="1"/>
  <c r="C284" i="12" s="1"/>
  <c r="G283" i="12"/>
  <c r="G283" i="12" a="1"/>
  <c r="F283" i="12"/>
  <c r="F283" i="12" a="1"/>
  <c r="E283" i="12"/>
  <c r="E283" i="12" a="1"/>
  <c r="D283" i="12"/>
  <c r="D283" i="12" a="1"/>
  <c r="C283" i="12"/>
  <c r="C283" i="12" a="1"/>
  <c r="G281" i="12" a="1"/>
  <c r="G281" i="12" s="1"/>
  <c r="F281" i="12" a="1"/>
  <c r="F281" i="12" s="1"/>
  <c r="E281" i="12" a="1"/>
  <c r="E281" i="12" s="1"/>
  <c r="D281" i="12" a="1"/>
  <c r="D281" i="12" s="1"/>
  <c r="C281" i="12" a="1"/>
  <c r="C281" i="12" s="1"/>
  <c r="G280" i="12"/>
  <c r="G280" i="12" a="1"/>
  <c r="F280" i="12"/>
  <c r="F280" i="12" a="1"/>
  <c r="E280" i="12"/>
  <c r="E280" i="12" a="1"/>
  <c r="D280" i="12"/>
  <c r="D280" i="12" a="1"/>
  <c r="C280" i="12"/>
  <c r="C280" i="12" a="1"/>
  <c r="G278" i="12" a="1"/>
  <c r="G278" i="12" s="1"/>
  <c r="F278" i="12" a="1"/>
  <c r="F278" i="12" s="1"/>
  <c r="E278" i="12" a="1"/>
  <c r="E278" i="12" s="1"/>
  <c r="D278" i="12" a="1"/>
  <c r="D278" i="12" s="1"/>
  <c r="C278" i="12" a="1"/>
  <c r="C278" i="12" s="1"/>
  <c r="G277" i="12" a="1"/>
  <c r="G277" i="12" s="1"/>
  <c r="F277" i="12" a="1"/>
  <c r="F277" i="12" s="1"/>
  <c r="E277" i="12" a="1"/>
  <c r="E277" i="12" s="1"/>
  <c r="D277" i="12" a="1"/>
  <c r="D277" i="12" s="1"/>
  <c r="C277" i="12" a="1"/>
  <c r="C277" i="12" s="1"/>
  <c r="G276" i="12" a="1"/>
  <c r="G276" i="12" s="1"/>
  <c r="F276" i="12" a="1"/>
  <c r="F276" i="12" s="1"/>
  <c r="E276" i="12" a="1"/>
  <c r="E276" i="12" s="1"/>
  <c r="D276" i="12" a="1"/>
  <c r="D276" i="12" s="1"/>
  <c r="C276" i="12" a="1"/>
  <c r="C276" i="12" s="1"/>
  <c r="G275" i="12" a="1"/>
  <c r="G275" i="12" s="1"/>
  <c r="F275" i="12" a="1"/>
  <c r="F275" i="12" s="1"/>
  <c r="E275" i="12" a="1"/>
  <c r="E275" i="12" s="1"/>
  <c r="D275" i="12" a="1"/>
  <c r="D275" i="12" s="1"/>
  <c r="C275" i="12" a="1"/>
  <c r="C275" i="12" s="1"/>
  <c r="G274" i="12" a="1"/>
  <c r="G274" i="12" s="1"/>
  <c r="F274" i="12" a="1"/>
  <c r="F274" i="12" s="1"/>
  <c r="E274" i="12" a="1"/>
  <c r="E274" i="12" s="1"/>
  <c r="D274" i="12" a="1"/>
  <c r="D274" i="12" s="1"/>
  <c r="C274" i="12" a="1"/>
  <c r="C274" i="12" s="1"/>
  <c r="G273" i="12" a="1"/>
  <c r="G273" i="12" s="1"/>
  <c r="F273" i="12" a="1"/>
  <c r="F273" i="12" s="1"/>
  <c r="E273" i="12" a="1"/>
  <c r="E273" i="12" s="1"/>
  <c r="D273" i="12" a="1"/>
  <c r="D273" i="12" s="1"/>
  <c r="C273" i="12" a="1"/>
  <c r="C273" i="12" s="1"/>
  <c r="G272" i="12" a="1"/>
  <c r="G272" i="12" s="1"/>
  <c r="F272" i="12" a="1"/>
  <c r="F272" i="12" s="1"/>
  <c r="E272" i="12" a="1"/>
  <c r="E272" i="12" s="1"/>
  <c r="D272" i="12" a="1"/>
  <c r="D272" i="12" s="1"/>
  <c r="C272" i="12" a="1"/>
  <c r="C272" i="12" s="1"/>
  <c r="G271" i="12" a="1"/>
  <c r="G271" i="12" s="1"/>
  <c r="F271" i="12" a="1"/>
  <c r="F271" i="12" s="1"/>
  <c r="E271" i="12" a="1"/>
  <c r="E271" i="12" s="1"/>
  <c r="D271" i="12" a="1"/>
  <c r="D271" i="12" s="1"/>
  <c r="C271" i="12" a="1"/>
  <c r="C271" i="12" s="1"/>
  <c r="G270" i="12" a="1"/>
  <c r="G270" i="12" s="1"/>
  <c r="F270" i="12" a="1"/>
  <c r="F270" i="12" s="1"/>
  <c r="E270" i="12" a="1"/>
  <c r="E270" i="12" s="1"/>
  <c r="D270" i="12" a="1"/>
  <c r="D270" i="12" s="1"/>
  <c r="C270" i="12" a="1"/>
  <c r="C270" i="12" s="1"/>
  <c r="G269" i="12" a="1"/>
  <c r="G269" i="12" s="1"/>
  <c r="F269" i="12" a="1"/>
  <c r="F269" i="12" s="1"/>
  <c r="E269" i="12" a="1"/>
  <c r="E269" i="12" s="1"/>
  <c r="D269" i="12" a="1"/>
  <c r="D269" i="12" s="1"/>
  <c r="C269" i="12" a="1"/>
  <c r="C269" i="12" s="1"/>
  <c r="G267" i="12"/>
  <c r="G267" i="12" a="1"/>
  <c r="F267" i="12"/>
  <c r="F267" i="12" a="1"/>
  <c r="E267" i="12"/>
  <c r="E267" i="12" a="1"/>
  <c r="D267" i="12"/>
  <c r="D267" i="12" a="1"/>
  <c r="C267" i="12"/>
  <c r="C267" i="12" a="1"/>
  <c r="G265" i="12" a="1"/>
  <c r="G265" i="12" s="1"/>
  <c r="F265" i="12" a="1"/>
  <c r="F265" i="12" s="1"/>
  <c r="E265" i="12" a="1"/>
  <c r="E265" i="12" s="1"/>
  <c r="D265" i="12" a="1"/>
  <c r="D265" i="12" s="1"/>
  <c r="C265" i="12" a="1"/>
  <c r="C265" i="12" s="1"/>
  <c r="G264" i="12" a="1"/>
  <c r="G264" i="12" s="1"/>
  <c r="F264" i="12" a="1"/>
  <c r="F264" i="12" s="1"/>
  <c r="E264" i="12" a="1"/>
  <c r="E264" i="12" s="1"/>
  <c r="D264" i="12" a="1"/>
  <c r="D264" i="12" s="1"/>
  <c r="C264" i="12" a="1"/>
  <c r="C264" i="12" s="1"/>
  <c r="G263" i="12" a="1"/>
  <c r="G263" i="12" s="1"/>
  <c r="F263" i="12" a="1"/>
  <c r="F263" i="12" s="1"/>
  <c r="E263" i="12" a="1"/>
  <c r="E263" i="12" s="1"/>
  <c r="D263" i="12" a="1"/>
  <c r="D263" i="12" s="1"/>
  <c r="C263" i="12" a="1"/>
  <c r="C263" i="12" s="1"/>
  <c r="G262" i="12" a="1"/>
  <c r="G262" i="12" s="1"/>
  <c r="F262" i="12" a="1"/>
  <c r="F262" i="12" s="1"/>
  <c r="E262" i="12" a="1"/>
  <c r="E262" i="12" s="1"/>
  <c r="D262" i="12" a="1"/>
  <c r="D262" i="12" s="1"/>
  <c r="C262" i="12" a="1"/>
  <c r="C262" i="12" s="1"/>
  <c r="G261" i="12" a="1"/>
  <c r="G261" i="12" s="1"/>
  <c r="F261" i="12" a="1"/>
  <c r="F261" i="12" s="1"/>
  <c r="E261" i="12" a="1"/>
  <c r="E261" i="12" s="1"/>
  <c r="D261" i="12" a="1"/>
  <c r="D261" i="12" s="1"/>
  <c r="C261" i="12" a="1"/>
  <c r="C261" i="12" s="1"/>
  <c r="H260" i="12"/>
  <c r="H260" i="12" a="1"/>
  <c r="G260" i="12"/>
  <c r="G260" i="12" a="1"/>
  <c r="F260" i="12"/>
  <c r="F260" i="12" a="1"/>
  <c r="E260" i="12"/>
  <c r="E260" i="12" a="1"/>
  <c r="D260" i="12"/>
  <c r="D260" i="12" a="1"/>
  <c r="C260" i="12"/>
  <c r="C260" i="12" a="1"/>
  <c r="G258" i="12" a="1"/>
  <c r="G258" i="12" s="1"/>
  <c r="F258" i="12" a="1"/>
  <c r="F258" i="12" s="1"/>
  <c r="E258" i="12" a="1"/>
  <c r="E258" i="12" s="1"/>
  <c r="D258" i="12" a="1"/>
  <c r="D258" i="12" s="1"/>
  <c r="C258" i="12" a="1"/>
  <c r="C258" i="12" s="1"/>
  <c r="G257" i="12" a="1"/>
  <c r="G257" i="12" s="1"/>
  <c r="F257" i="12" a="1"/>
  <c r="F257" i="12" s="1"/>
  <c r="E257" i="12" a="1"/>
  <c r="E257" i="12" s="1"/>
  <c r="D257" i="12" a="1"/>
  <c r="D257" i="12" s="1"/>
  <c r="C257" i="12" a="1"/>
  <c r="C257" i="12" s="1"/>
  <c r="G256" i="12" a="1"/>
  <c r="G256" i="12" s="1"/>
  <c r="F256" i="12" a="1"/>
  <c r="F256" i="12" s="1"/>
  <c r="E256" i="12" a="1"/>
  <c r="E256" i="12" s="1"/>
  <c r="D256" i="12" a="1"/>
  <c r="D256" i="12" s="1"/>
  <c r="C256" i="12" a="1"/>
  <c r="C256" i="12" s="1"/>
  <c r="G255" i="12"/>
  <c r="G255" i="12" a="1"/>
  <c r="F255" i="12"/>
  <c r="F255" i="12" a="1"/>
  <c r="E255" i="12"/>
  <c r="E255" i="12" a="1"/>
  <c r="D255" i="12"/>
  <c r="D255" i="12" a="1"/>
  <c r="C255" i="12"/>
  <c r="C255" i="12" a="1"/>
  <c r="G253" i="12" a="1"/>
  <c r="G253" i="12" s="1"/>
  <c r="G268" i="12" s="1"/>
  <c r="F253" i="12" a="1"/>
  <c r="F253" i="12" s="1"/>
  <c r="F268" i="12" s="1"/>
  <c r="E253" i="12" a="1"/>
  <c r="E253" i="12" s="1"/>
  <c r="E268" i="12" s="1"/>
  <c r="D253" i="12" a="1"/>
  <c r="D253" i="12" s="1"/>
  <c r="D268" i="12" s="1"/>
  <c r="C253" i="12" a="1"/>
  <c r="C253" i="12" s="1"/>
  <c r="C268" i="12" s="1"/>
  <c r="G252" i="12" a="1"/>
  <c r="G252" i="12" s="1"/>
  <c r="F252" i="12" a="1"/>
  <c r="F252" i="12" s="1"/>
  <c r="E252" i="12" a="1"/>
  <c r="E252" i="12" s="1"/>
  <c r="D252" i="12" a="1"/>
  <c r="D252" i="12" s="1"/>
  <c r="C252" i="12" a="1"/>
  <c r="C252" i="12" s="1"/>
  <c r="G251" i="12" a="1"/>
  <c r="G251" i="12" s="1"/>
  <c r="F251" i="12" a="1"/>
  <c r="F251" i="12" s="1"/>
  <c r="E251" i="12" a="1"/>
  <c r="E251" i="12" s="1"/>
  <c r="D251" i="12" a="1"/>
  <c r="D251" i="12" s="1"/>
  <c r="C251" i="12" a="1"/>
  <c r="C251" i="12" s="1"/>
  <c r="G250" i="12" a="1"/>
  <c r="G250" i="12" s="1"/>
  <c r="F250" i="12" a="1"/>
  <c r="F250" i="12" s="1"/>
  <c r="E250" i="12" a="1"/>
  <c r="E250" i="12" s="1"/>
  <c r="D250" i="12" a="1"/>
  <c r="D250" i="12" s="1"/>
  <c r="C250" i="12" a="1"/>
  <c r="C250" i="12" s="1"/>
  <c r="G249" i="12" a="1"/>
  <c r="G249" i="12" s="1"/>
  <c r="F249" i="12" a="1"/>
  <c r="F249" i="12" s="1"/>
  <c r="E249" i="12" a="1"/>
  <c r="E249" i="12" s="1"/>
  <c r="D249" i="12" a="1"/>
  <c r="D249" i="12" s="1"/>
  <c r="C249" i="12" a="1"/>
  <c r="C249" i="12" s="1"/>
  <c r="G248" i="12" a="1"/>
  <c r="G248" i="12" s="1"/>
  <c r="F248" i="12" a="1"/>
  <c r="F248" i="12" s="1"/>
  <c r="E248" i="12" a="1"/>
  <c r="E248" i="12" s="1"/>
  <c r="D248" i="12" a="1"/>
  <c r="D248" i="12" s="1"/>
  <c r="C248" i="12" a="1"/>
  <c r="C248" i="12" s="1"/>
  <c r="H247" i="12"/>
  <c r="H247" i="12" a="1"/>
  <c r="G247" i="12"/>
  <c r="G247" i="12" a="1"/>
  <c r="F247" i="12"/>
  <c r="F247" i="12" a="1"/>
  <c r="E247" i="12"/>
  <c r="E247" i="12" a="1"/>
  <c r="D247" i="12"/>
  <c r="D247" i="12" a="1"/>
  <c r="C247" i="12"/>
  <c r="C247" i="12" a="1"/>
  <c r="G245" i="12" a="1"/>
  <c r="G245" i="12" s="1"/>
  <c r="F245" i="12" a="1"/>
  <c r="F245" i="12" s="1"/>
  <c r="E245" i="12" a="1"/>
  <c r="E245" i="12" s="1"/>
  <c r="D245" i="12" a="1"/>
  <c r="D245" i="12" s="1"/>
  <c r="C245" i="12" a="1"/>
  <c r="C245" i="12" s="1"/>
  <c r="G244" i="12" a="1"/>
  <c r="G244" i="12" s="1"/>
  <c r="F244" i="12" a="1"/>
  <c r="F244" i="12" s="1"/>
  <c r="E244" i="12" a="1"/>
  <c r="E244" i="12" s="1"/>
  <c r="D244" i="12" a="1"/>
  <c r="D244" i="12" s="1"/>
  <c r="C244" i="12" a="1"/>
  <c r="C244" i="12" s="1"/>
  <c r="G243" i="12" a="1"/>
  <c r="G243" i="12" s="1"/>
  <c r="F243" i="12" a="1"/>
  <c r="F243" i="12" s="1"/>
  <c r="E243" i="12" a="1"/>
  <c r="E243" i="12" s="1"/>
  <c r="D243" i="12" a="1"/>
  <c r="D243" i="12" s="1"/>
  <c r="C243" i="12" a="1"/>
  <c r="C243" i="12" s="1"/>
  <c r="G242" i="12" a="1"/>
  <c r="G242" i="12" s="1"/>
  <c r="F242" i="12" a="1"/>
  <c r="F242" i="12" s="1"/>
  <c r="E242" i="12" a="1"/>
  <c r="E242" i="12" s="1"/>
  <c r="D242" i="12" a="1"/>
  <c r="D242" i="12" s="1"/>
  <c r="C242" i="12" a="1"/>
  <c r="C242" i="12" s="1"/>
  <c r="G241" i="12" a="1"/>
  <c r="G241" i="12" s="1"/>
  <c r="F241" i="12" a="1"/>
  <c r="F241" i="12" s="1"/>
  <c r="E241" i="12" a="1"/>
  <c r="E241" i="12" s="1"/>
  <c r="D241" i="12" a="1"/>
  <c r="D241" i="12" s="1"/>
  <c r="C241" i="12" a="1"/>
  <c r="C241" i="12" s="1"/>
  <c r="H240" i="12"/>
  <c r="H240" i="12" a="1"/>
  <c r="G240" i="12"/>
  <c r="G240" i="12" a="1"/>
  <c r="F240" i="12"/>
  <c r="F240" i="12" a="1"/>
  <c r="E240" i="12"/>
  <c r="E240" i="12" a="1"/>
  <c r="D240" i="12"/>
  <c r="D240" i="12" a="1"/>
  <c r="C240" i="12"/>
  <c r="C240" i="12" a="1"/>
  <c r="CF222" i="12" a="1"/>
  <c r="CF222" i="12" s="1"/>
  <c r="CE222" i="12" a="1"/>
  <c r="CE222" i="12" s="1"/>
  <c r="CD222" i="12" a="1"/>
  <c r="CD222" i="12" s="1"/>
  <c r="CC222" i="12" a="1"/>
  <c r="CC222" i="12" s="1"/>
  <c r="CB222" i="12" a="1"/>
  <c r="CB222" i="12" s="1"/>
  <c r="CA222" i="12" a="1"/>
  <c r="CA222" i="12" s="1"/>
  <c r="BZ222" i="12" a="1"/>
  <c r="BZ222" i="12" s="1"/>
  <c r="BY222" i="12" a="1"/>
  <c r="BY222" i="12" s="1"/>
  <c r="BX222" i="12" a="1"/>
  <c r="BX222" i="12" s="1"/>
  <c r="BW222" i="12" a="1"/>
  <c r="BW222" i="12" s="1"/>
  <c r="BV222" i="12" a="1"/>
  <c r="BV222" i="12" s="1"/>
  <c r="BU222" i="12" a="1"/>
  <c r="BU222" i="12" s="1"/>
  <c r="BT222" i="12" a="1"/>
  <c r="BT222" i="12" s="1"/>
  <c r="BS222" i="12" a="1"/>
  <c r="BS222" i="12" s="1"/>
  <c r="BR222" i="12" a="1"/>
  <c r="BR222" i="12" s="1"/>
  <c r="BQ222" i="12" a="1"/>
  <c r="BQ222" i="12" s="1"/>
  <c r="BP222" i="12" a="1"/>
  <c r="BP222" i="12" s="1"/>
  <c r="BO222" i="12" a="1"/>
  <c r="BO222" i="12" s="1"/>
  <c r="BN222" i="12" a="1"/>
  <c r="BN222" i="12" s="1"/>
  <c r="BM222" i="12" a="1"/>
  <c r="BM222" i="12" s="1"/>
  <c r="BL222" i="12" a="1"/>
  <c r="BL222" i="12" s="1"/>
  <c r="BK222" i="12" a="1"/>
  <c r="BK222" i="12" s="1"/>
  <c r="BJ222" i="12" a="1"/>
  <c r="BJ222" i="12" s="1"/>
  <c r="BI222" i="12" a="1"/>
  <c r="BI222" i="12" s="1"/>
  <c r="BH222" i="12" a="1"/>
  <c r="BH222" i="12" s="1"/>
  <c r="BG222" i="12" a="1"/>
  <c r="BG222" i="12" s="1"/>
  <c r="BF222" i="12" a="1"/>
  <c r="BF222" i="12" s="1"/>
  <c r="BE222" i="12" a="1"/>
  <c r="BE222" i="12" s="1"/>
  <c r="BD222" i="12" a="1"/>
  <c r="BD222" i="12" s="1"/>
  <c r="BC222" i="12" a="1"/>
  <c r="BC222" i="12" s="1"/>
  <c r="BB222" i="12" a="1"/>
  <c r="BB222" i="12" s="1"/>
  <c r="BA222" i="12" a="1"/>
  <c r="BA222" i="12" s="1"/>
  <c r="AZ222" i="12" a="1"/>
  <c r="AZ222" i="12" s="1"/>
  <c r="AY222" i="12" a="1"/>
  <c r="AY222" i="12" s="1"/>
  <c r="AX222" i="12" a="1"/>
  <c r="AX222" i="12" s="1"/>
  <c r="AW222" i="12" a="1"/>
  <c r="AW222" i="12" s="1"/>
  <c r="AV222" i="12" a="1"/>
  <c r="AV222" i="12" s="1"/>
  <c r="AU222" i="12" a="1"/>
  <c r="AU222" i="12" s="1"/>
  <c r="AT222" i="12" a="1"/>
  <c r="AT222" i="12" s="1"/>
  <c r="AS222" i="12" a="1"/>
  <c r="AS222" i="12" s="1"/>
  <c r="AR222" i="12" a="1"/>
  <c r="AR222" i="12" s="1"/>
  <c r="AQ222" i="12" a="1"/>
  <c r="AQ222" i="12" s="1"/>
  <c r="AP222" i="12" a="1"/>
  <c r="AP222" i="12" s="1"/>
  <c r="AO222" i="12" a="1"/>
  <c r="AO222" i="12" s="1"/>
  <c r="AN222" i="12" a="1"/>
  <c r="AN222" i="12" s="1"/>
  <c r="AM222" i="12" a="1"/>
  <c r="AM222" i="12" s="1"/>
  <c r="AL222" i="12" a="1"/>
  <c r="AL222" i="12" s="1"/>
  <c r="AK222" i="12" a="1"/>
  <c r="AK222" i="12" s="1"/>
  <c r="AJ222" i="12" a="1"/>
  <c r="AJ222" i="12" s="1"/>
  <c r="AI222" i="12" a="1"/>
  <c r="AI222" i="12" s="1"/>
  <c r="AH222" i="12" a="1"/>
  <c r="AH222" i="12" s="1"/>
  <c r="AG222" i="12" a="1"/>
  <c r="AG222" i="12" s="1"/>
  <c r="AF222" i="12" a="1"/>
  <c r="AF222" i="12" s="1"/>
  <c r="AE222" i="12" a="1"/>
  <c r="AE222" i="12" s="1"/>
  <c r="AD222" i="12" a="1"/>
  <c r="AD222" i="12" s="1"/>
  <c r="AC222" i="12" a="1"/>
  <c r="AC222" i="12" s="1"/>
  <c r="AB222" i="12" a="1"/>
  <c r="AB222" i="12" s="1"/>
  <c r="AA222" i="12" a="1"/>
  <c r="AA222" i="12" s="1"/>
  <c r="Z222" i="12" a="1"/>
  <c r="Z222" i="12" s="1"/>
  <c r="Y222" i="12" a="1"/>
  <c r="Y222" i="12" s="1"/>
  <c r="X222" i="12" a="1"/>
  <c r="X222" i="12" s="1"/>
  <c r="W222" i="12" a="1"/>
  <c r="W222" i="12" s="1"/>
  <c r="V222" i="12" a="1"/>
  <c r="V222" i="12" s="1"/>
  <c r="U222" i="12" a="1"/>
  <c r="U222" i="12" s="1"/>
  <c r="T222" i="12" a="1"/>
  <c r="T222" i="12" s="1"/>
  <c r="S222" i="12" a="1"/>
  <c r="S222" i="12" s="1"/>
  <c r="R222" i="12" a="1"/>
  <c r="R222" i="12" s="1"/>
  <c r="Q222" i="12" a="1"/>
  <c r="Q222" i="12" s="1"/>
  <c r="P222" i="12" a="1"/>
  <c r="P222" i="12" s="1"/>
  <c r="O222" i="12" a="1"/>
  <c r="O222" i="12" s="1"/>
  <c r="N222" i="12" a="1"/>
  <c r="N222" i="12" s="1"/>
  <c r="M222" i="12" a="1"/>
  <c r="M222" i="12" s="1"/>
  <c r="L222" i="12" a="1"/>
  <c r="L222" i="12" s="1"/>
  <c r="K222" i="12" a="1"/>
  <c r="K222" i="12" s="1"/>
  <c r="J222" i="12" a="1"/>
  <c r="J222" i="12" s="1"/>
  <c r="I222" i="12" a="1"/>
  <c r="I222" i="12" s="1"/>
  <c r="H222" i="12" a="1"/>
  <c r="H222" i="12" s="1"/>
  <c r="G222" i="12" a="1"/>
  <c r="G222" i="12" s="1"/>
  <c r="F222" i="12" a="1"/>
  <c r="F222" i="12" s="1"/>
  <c r="E222" i="12" a="1"/>
  <c r="E222" i="12" s="1"/>
  <c r="D222" i="12" a="1"/>
  <c r="D222" i="12" s="1"/>
  <c r="C222" i="12" a="1"/>
  <c r="C222" i="12" s="1"/>
  <c r="CF221" i="12" a="1"/>
  <c r="CF221" i="12" s="1"/>
  <c r="CE221" i="12" a="1"/>
  <c r="CE221" i="12" s="1"/>
  <c r="CD221" i="12" a="1"/>
  <c r="CD221" i="12" s="1"/>
  <c r="CC221" i="12" a="1"/>
  <c r="CC221" i="12" s="1"/>
  <c r="CB221" i="12" a="1"/>
  <c r="CB221" i="12" s="1"/>
  <c r="CA221" i="12" a="1"/>
  <c r="CA221" i="12" s="1"/>
  <c r="BZ221" i="12" a="1"/>
  <c r="BZ221" i="12" s="1"/>
  <c r="BY221" i="12" a="1"/>
  <c r="BY221" i="12" s="1"/>
  <c r="BX221" i="12" a="1"/>
  <c r="BX221" i="12" s="1"/>
  <c r="BW221" i="12" a="1"/>
  <c r="BW221" i="12" s="1"/>
  <c r="BV221" i="12" a="1"/>
  <c r="BV221" i="12" s="1"/>
  <c r="BU221" i="12" a="1"/>
  <c r="BU221" i="12" s="1"/>
  <c r="BT221" i="12" a="1"/>
  <c r="BT221" i="12" s="1"/>
  <c r="BS221" i="12" a="1"/>
  <c r="BS221" i="12" s="1"/>
  <c r="BR221" i="12" a="1"/>
  <c r="BR221" i="12" s="1"/>
  <c r="BQ221" i="12" a="1"/>
  <c r="BQ221" i="12" s="1"/>
  <c r="BP221" i="12" a="1"/>
  <c r="BP221" i="12" s="1"/>
  <c r="BO221" i="12" a="1"/>
  <c r="BO221" i="12" s="1"/>
  <c r="BN221" i="12" a="1"/>
  <c r="BN221" i="12" s="1"/>
  <c r="BM221" i="12" a="1"/>
  <c r="BM221" i="12" s="1"/>
  <c r="BL221" i="12" a="1"/>
  <c r="BL221" i="12" s="1"/>
  <c r="BK221" i="12" a="1"/>
  <c r="BK221" i="12" s="1"/>
  <c r="BJ221" i="12" a="1"/>
  <c r="BJ221" i="12" s="1"/>
  <c r="BI221" i="12" a="1"/>
  <c r="BI221" i="12" s="1"/>
  <c r="BH221" i="12" a="1"/>
  <c r="BH221" i="12" s="1"/>
  <c r="BG221" i="12" a="1"/>
  <c r="BG221" i="12" s="1"/>
  <c r="BF221" i="12" a="1"/>
  <c r="BF221" i="12" s="1"/>
  <c r="BE221" i="12" a="1"/>
  <c r="BE221" i="12" s="1"/>
  <c r="BD221" i="12" a="1"/>
  <c r="BD221" i="12" s="1"/>
  <c r="BC221" i="12" a="1"/>
  <c r="BC221" i="12" s="1"/>
  <c r="BB221" i="12" a="1"/>
  <c r="BB221" i="12" s="1"/>
  <c r="BA221" i="12" a="1"/>
  <c r="BA221" i="12" s="1"/>
  <c r="AZ221" i="12" a="1"/>
  <c r="AZ221" i="12" s="1"/>
  <c r="AY221" i="12" a="1"/>
  <c r="AY221" i="12" s="1"/>
  <c r="AX221" i="12" a="1"/>
  <c r="AX221" i="12" s="1"/>
  <c r="AW221" i="12" a="1"/>
  <c r="AW221" i="12" s="1"/>
  <c r="AV221" i="12" a="1"/>
  <c r="AV221" i="12" s="1"/>
  <c r="AU221" i="12" a="1"/>
  <c r="AU221" i="12" s="1"/>
  <c r="AT221" i="12" a="1"/>
  <c r="AT221" i="12" s="1"/>
  <c r="AS221" i="12" a="1"/>
  <c r="AS221" i="12" s="1"/>
  <c r="AR221" i="12" a="1"/>
  <c r="AR221" i="12" s="1"/>
  <c r="AQ221" i="12" a="1"/>
  <c r="AQ221" i="12" s="1"/>
  <c r="AP221" i="12" a="1"/>
  <c r="AP221" i="12" s="1"/>
  <c r="AO221" i="12" a="1"/>
  <c r="AO221" i="12" s="1"/>
  <c r="AN221" i="12" a="1"/>
  <c r="AN221" i="12" s="1"/>
  <c r="AM221" i="12" a="1"/>
  <c r="AM221" i="12" s="1"/>
  <c r="AL221" i="12" a="1"/>
  <c r="AL221" i="12" s="1"/>
  <c r="AK221" i="12" a="1"/>
  <c r="AK221" i="12" s="1"/>
  <c r="AJ221" i="12" a="1"/>
  <c r="AJ221" i="12" s="1"/>
  <c r="AI221" i="12" a="1"/>
  <c r="AI221" i="12" s="1"/>
  <c r="AH221" i="12" a="1"/>
  <c r="AH221" i="12" s="1"/>
  <c r="AG221" i="12" a="1"/>
  <c r="AG221" i="12" s="1"/>
  <c r="AF221" i="12" a="1"/>
  <c r="AF221" i="12" s="1"/>
  <c r="AE221" i="12" a="1"/>
  <c r="AE221" i="12" s="1"/>
  <c r="AD221" i="12" a="1"/>
  <c r="AD221" i="12" s="1"/>
  <c r="AC221" i="12" a="1"/>
  <c r="AC221" i="12" s="1"/>
  <c r="AB221" i="12" a="1"/>
  <c r="AB221" i="12" s="1"/>
  <c r="AA221" i="12" a="1"/>
  <c r="AA221" i="12" s="1"/>
  <c r="Z221" i="12" a="1"/>
  <c r="Z221" i="12" s="1"/>
  <c r="Y221" i="12" a="1"/>
  <c r="Y221" i="12" s="1"/>
  <c r="X221" i="12" a="1"/>
  <c r="X221" i="12" s="1"/>
  <c r="W221" i="12" a="1"/>
  <c r="W221" i="12" s="1"/>
  <c r="V221" i="12" a="1"/>
  <c r="V221" i="12" s="1"/>
  <c r="U221" i="12" a="1"/>
  <c r="U221" i="12" s="1"/>
  <c r="T221" i="12" a="1"/>
  <c r="T221" i="12" s="1"/>
  <c r="S221" i="12" a="1"/>
  <c r="S221" i="12" s="1"/>
  <c r="R221" i="12" a="1"/>
  <c r="R221" i="12" s="1"/>
  <c r="Q221" i="12" a="1"/>
  <c r="Q221" i="12" s="1"/>
  <c r="P221" i="12" a="1"/>
  <c r="P221" i="12" s="1"/>
  <c r="O221" i="12" a="1"/>
  <c r="O221" i="12" s="1"/>
  <c r="N221" i="12" a="1"/>
  <c r="N221" i="12" s="1"/>
  <c r="M221" i="12" a="1"/>
  <c r="M221" i="12" s="1"/>
  <c r="L221" i="12" a="1"/>
  <c r="L221" i="12" s="1"/>
  <c r="K221" i="12" a="1"/>
  <c r="K221" i="12" s="1"/>
  <c r="J221" i="12" a="1"/>
  <c r="J221" i="12" s="1"/>
  <c r="I221" i="12" a="1"/>
  <c r="I221" i="12" s="1"/>
  <c r="H221" i="12" a="1"/>
  <c r="H221" i="12" s="1"/>
  <c r="G221" i="12" a="1"/>
  <c r="G221" i="12" s="1"/>
  <c r="F221" i="12" a="1"/>
  <c r="F221" i="12" s="1"/>
  <c r="E221" i="12" a="1"/>
  <c r="E221" i="12" s="1"/>
  <c r="D221" i="12" a="1"/>
  <c r="D221" i="12" s="1"/>
  <c r="C221" i="12" a="1"/>
  <c r="C221" i="12" s="1"/>
  <c r="CF220" i="12" a="1"/>
  <c r="CF220" i="12" s="1"/>
  <c r="CE220" i="12" a="1"/>
  <c r="CE220" i="12" s="1"/>
  <c r="CD220" i="12" a="1"/>
  <c r="CD220" i="12" s="1"/>
  <c r="CC220" i="12" a="1"/>
  <c r="CC220" i="12" s="1"/>
  <c r="CB220" i="12" a="1"/>
  <c r="CB220" i="12" s="1"/>
  <c r="CA220" i="12" a="1"/>
  <c r="CA220" i="12" s="1"/>
  <c r="BZ220" i="12" a="1"/>
  <c r="BZ220" i="12" s="1"/>
  <c r="BY220" i="12" a="1"/>
  <c r="BY220" i="12" s="1"/>
  <c r="BX220" i="12" a="1"/>
  <c r="BX220" i="12" s="1"/>
  <c r="BW220" i="12" a="1"/>
  <c r="BW220" i="12" s="1"/>
  <c r="BV220" i="12" a="1"/>
  <c r="BV220" i="12" s="1"/>
  <c r="BU220" i="12" a="1"/>
  <c r="BU220" i="12" s="1"/>
  <c r="BT220" i="12" a="1"/>
  <c r="BT220" i="12" s="1"/>
  <c r="BS220" i="12" a="1"/>
  <c r="BS220" i="12" s="1"/>
  <c r="BR220" i="12" a="1"/>
  <c r="BR220" i="12" s="1"/>
  <c r="BQ220" i="12" a="1"/>
  <c r="BQ220" i="12" s="1"/>
  <c r="BP220" i="12" a="1"/>
  <c r="BP220" i="12" s="1"/>
  <c r="BO220" i="12" a="1"/>
  <c r="BO220" i="12" s="1"/>
  <c r="BN220" i="12" a="1"/>
  <c r="BN220" i="12" s="1"/>
  <c r="BM220" i="12" a="1"/>
  <c r="BM220" i="12" s="1"/>
  <c r="BL220" i="12" a="1"/>
  <c r="BL220" i="12" s="1"/>
  <c r="BK220" i="12" a="1"/>
  <c r="BK220" i="12" s="1"/>
  <c r="BJ220" i="12" a="1"/>
  <c r="BJ220" i="12" s="1"/>
  <c r="BI220" i="12" a="1"/>
  <c r="BI220" i="12" s="1"/>
  <c r="BH220" i="12" a="1"/>
  <c r="BH220" i="12" s="1"/>
  <c r="BG220" i="12" a="1"/>
  <c r="BG220" i="12" s="1"/>
  <c r="BF220" i="12" a="1"/>
  <c r="BF220" i="12" s="1"/>
  <c r="BE220" i="12" a="1"/>
  <c r="BE220" i="12" s="1"/>
  <c r="BD220" i="12" a="1"/>
  <c r="BD220" i="12" s="1"/>
  <c r="BC220" i="12" a="1"/>
  <c r="BC220" i="12" s="1"/>
  <c r="BB220" i="12" a="1"/>
  <c r="BB220" i="12" s="1"/>
  <c r="BA220" i="12" a="1"/>
  <c r="BA220" i="12" s="1"/>
  <c r="AZ220" i="12" a="1"/>
  <c r="AZ220" i="12" s="1"/>
  <c r="AY220" i="12" a="1"/>
  <c r="AY220" i="12" s="1"/>
  <c r="AX220" i="12" a="1"/>
  <c r="AX220" i="12" s="1"/>
  <c r="AW220" i="12" a="1"/>
  <c r="AW220" i="12" s="1"/>
  <c r="AV220" i="12" a="1"/>
  <c r="AV220" i="12" s="1"/>
  <c r="AU220" i="12" a="1"/>
  <c r="AU220" i="12" s="1"/>
  <c r="AT220" i="12" a="1"/>
  <c r="AT220" i="12" s="1"/>
  <c r="AS220" i="12" a="1"/>
  <c r="AS220" i="12" s="1"/>
  <c r="AR220" i="12" a="1"/>
  <c r="AR220" i="12" s="1"/>
  <c r="AQ220" i="12" a="1"/>
  <c r="AQ220" i="12" s="1"/>
  <c r="AP220" i="12" a="1"/>
  <c r="AP220" i="12" s="1"/>
  <c r="AO220" i="12" a="1"/>
  <c r="AO220" i="12" s="1"/>
  <c r="AN220" i="12" a="1"/>
  <c r="AN220" i="12" s="1"/>
  <c r="AM220" i="12" a="1"/>
  <c r="AM220" i="12" s="1"/>
  <c r="AL220" i="12" a="1"/>
  <c r="AL220" i="12" s="1"/>
  <c r="AK220" i="12" a="1"/>
  <c r="AK220" i="12" s="1"/>
  <c r="AJ220" i="12" a="1"/>
  <c r="AJ220" i="12" s="1"/>
  <c r="AI220" i="12" a="1"/>
  <c r="AI220" i="12" s="1"/>
  <c r="AH220" i="12" a="1"/>
  <c r="AH220" i="12" s="1"/>
  <c r="AG220" i="12" a="1"/>
  <c r="AG220" i="12" s="1"/>
  <c r="AF220" i="12" a="1"/>
  <c r="AF220" i="12" s="1"/>
  <c r="AE220" i="12" a="1"/>
  <c r="AE220" i="12" s="1"/>
  <c r="AD220" i="12" a="1"/>
  <c r="AD220" i="12" s="1"/>
  <c r="AC220" i="12" a="1"/>
  <c r="AC220" i="12" s="1"/>
  <c r="AB220" i="12" a="1"/>
  <c r="AB220" i="12" s="1"/>
  <c r="AA220" i="12" a="1"/>
  <c r="AA220" i="12" s="1"/>
  <c r="Z220" i="12" a="1"/>
  <c r="Z220" i="12" s="1"/>
  <c r="Y220" i="12" a="1"/>
  <c r="Y220" i="12" s="1"/>
  <c r="X220" i="12" a="1"/>
  <c r="X220" i="12" s="1"/>
  <c r="W220" i="12" a="1"/>
  <c r="W220" i="12" s="1"/>
  <c r="V220" i="12" a="1"/>
  <c r="V220" i="12" s="1"/>
  <c r="U220" i="12" a="1"/>
  <c r="U220" i="12" s="1"/>
  <c r="T220" i="12" a="1"/>
  <c r="T220" i="12" s="1"/>
  <c r="S220" i="12" a="1"/>
  <c r="S220" i="12" s="1"/>
  <c r="R220" i="12" a="1"/>
  <c r="R220" i="12" s="1"/>
  <c r="Q220" i="12" a="1"/>
  <c r="Q220" i="12" s="1"/>
  <c r="P220" i="12" a="1"/>
  <c r="P220" i="12" s="1"/>
  <c r="O220" i="12" a="1"/>
  <c r="O220" i="12" s="1"/>
  <c r="N220" i="12" a="1"/>
  <c r="N220" i="12" s="1"/>
  <c r="M220" i="12" a="1"/>
  <c r="M220" i="12" s="1"/>
  <c r="L220" i="12" a="1"/>
  <c r="L220" i="12" s="1"/>
  <c r="K220" i="12" a="1"/>
  <c r="K220" i="12" s="1"/>
  <c r="J220" i="12" a="1"/>
  <c r="J220" i="12" s="1"/>
  <c r="I220" i="12" a="1"/>
  <c r="I220" i="12" s="1"/>
  <c r="H220" i="12" a="1"/>
  <c r="H220" i="12" s="1"/>
  <c r="G220" i="12" a="1"/>
  <c r="G220" i="12" s="1"/>
  <c r="F220" i="12" a="1"/>
  <c r="F220" i="12" s="1"/>
  <c r="E220" i="12" a="1"/>
  <c r="E220" i="12" s="1"/>
  <c r="D220" i="12" a="1"/>
  <c r="D220" i="12" s="1"/>
  <c r="C220" i="12" a="1"/>
  <c r="C220" i="12" s="1"/>
  <c r="CF219" i="12" a="1"/>
  <c r="CF219" i="12" s="1"/>
  <c r="CE219" i="12" a="1"/>
  <c r="CE219" i="12" s="1"/>
  <c r="CD219" i="12" a="1"/>
  <c r="CD219" i="12" s="1"/>
  <c r="CC219" i="12" a="1"/>
  <c r="CC219" i="12" s="1"/>
  <c r="CB219" i="12" a="1"/>
  <c r="CB219" i="12" s="1"/>
  <c r="CA219" i="12" a="1"/>
  <c r="CA219" i="12" s="1"/>
  <c r="BZ219" i="12" a="1"/>
  <c r="BZ219" i="12" s="1"/>
  <c r="BY219" i="12" a="1"/>
  <c r="BY219" i="12" s="1"/>
  <c r="BX219" i="12" a="1"/>
  <c r="BX219" i="12" s="1"/>
  <c r="BW219" i="12" a="1"/>
  <c r="BW219" i="12" s="1"/>
  <c r="BV219" i="12" a="1"/>
  <c r="BV219" i="12" s="1"/>
  <c r="BU219" i="12" a="1"/>
  <c r="BU219" i="12" s="1"/>
  <c r="BT219" i="12" a="1"/>
  <c r="BT219" i="12" s="1"/>
  <c r="BS219" i="12" a="1"/>
  <c r="BS219" i="12" s="1"/>
  <c r="BR219" i="12" a="1"/>
  <c r="BR219" i="12" s="1"/>
  <c r="BQ219" i="12" a="1"/>
  <c r="BQ219" i="12" s="1"/>
  <c r="BP219" i="12" a="1"/>
  <c r="BP219" i="12" s="1"/>
  <c r="BO219" i="12" a="1"/>
  <c r="BO219" i="12" s="1"/>
  <c r="BN219" i="12" a="1"/>
  <c r="BN219" i="12" s="1"/>
  <c r="BM219" i="12" a="1"/>
  <c r="BM219" i="12" s="1"/>
  <c r="BL219" i="12" a="1"/>
  <c r="BL219" i="12" s="1"/>
  <c r="BK219" i="12" a="1"/>
  <c r="BK219" i="12" s="1"/>
  <c r="BJ219" i="12" a="1"/>
  <c r="BJ219" i="12" s="1"/>
  <c r="BI219" i="12" a="1"/>
  <c r="BI219" i="12" s="1"/>
  <c r="BH219" i="12" a="1"/>
  <c r="BH219" i="12" s="1"/>
  <c r="BG219" i="12" a="1"/>
  <c r="BG219" i="12" s="1"/>
  <c r="BF219" i="12" a="1"/>
  <c r="BF219" i="12" s="1"/>
  <c r="BE219" i="12" a="1"/>
  <c r="BE219" i="12" s="1"/>
  <c r="BD219" i="12" a="1"/>
  <c r="BD219" i="12" s="1"/>
  <c r="BC219" i="12" a="1"/>
  <c r="BC219" i="12" s="1"/>
  <c r="BB219" i="12" a="1"/>
  <c r="BB219" i="12" s="1"/>
  <c r="BA219" i="12" a="1"/>
  <c r="BA219" i="12" s="1"/>
  <c r="AZ219" i="12" a="1"/>
  <c r="AZ219" i="12" s="1"/>
  <c r="AY219" i="12" a="1"/>
  <c r="AY219" i="12" s="1"/>
  <c r="AX219" i="12" a="1"/>
  <c r="AX219" i="12" s="1"/>
  <c r="AW219" i="12" a="1"/>
  <c r="AW219" i="12" s="1"/>
  <c r="AV219" i="12" a="1"/>
  <c r="AV219" i="12" s="1"/>
  <c r="AU219" i="12" a="1"/>
  <c r="AU219" i="12" s="1"/>
  <c r="AT219" i="12" a="1"/>
  <c r="AT219" i="12" s="1"/>
  <c r="AS219" i="12" a="1"/>
  <c r="AS219" i="12" s="1"/>
  <c r="AR219" i="12" a="1"/>
  <c r="AR219" i="12" s="1"/>
  <c r="AQ219" i="12" a="1"/>
  <c r="AQ219" i="12" s="1"/>
  <c r="AP219" i="12" a="1"/>
  <c r="AP219" i="12" s="1"/>
  <c r="AO219" i="12" a="1"/>
  <c r="AO219" i="12" s="1"/>
  <c r="AN219" i="12" a="1"/>
  <c r="AN219" i="12" s="1"/>
  <c r="AM219" i="12" a="1"/>
  <c r="AM219" i="12" s="1"/>
  <c r="AL219" i="12" a="1"/>
  <c r="AL219" i="12" s="1"/>
  <c r="AK219" i="12" a="1"/>
  <c r="AK219" i="12" s="1"/>
  <c r="AJ219" i="12" a="1"/>
  <c r="AJ219" i="12" s="1"/>
  <c r="AI219" i="12" a="1"/>
  <c r="AI219" i="12" s="1"/>
  <c r="AH219" i="12" a="1"/>
  <c r="AH219" i="12" s="1"/>
  <c r="AG219" i="12" a="1"/>
  <c r="AG219" i="12" s="1"/>
  <c r="AF219" i="12" a="1"/>
  <c r="AF219" i="12" s="1"/>
  <c r="AE219" i="12" a="1"/>
  <c r="AE219" i="12" s="1"/>
  <c r="AD219" i="12" a="1"/>
  <c r="AD219" i="12" s="1"/>
  <c r="AC219" i="12" a="1"/>
  <c r="AC219" i="12" s="1"/>
  <c r="AB219" i="12" a="1"/>
  <c r="AB219" i="12" s="1"/>
  <c r="AA219" i="12" a="1"/>
  <c r="AA219" i="12" s="1"/>
  <c r="Z219" i="12" a="1"/>
  <c r="Z219" i="12" s="1"/>
  <c r="Y219" i="12" a="1"/>
  <c r="Y219" i="12" s="1"/>
  <c r="X219" i="12" a="1"/>
  <c r="X219" i="12" s="1"/>
  <c r="W219" i="12" a="1"/>
  <c r="W219" i="12" s="1"/>
  <c r="V219" i="12" a="1"/>
  <c r="V219" i="12" s="1"/>
  <c r="U219" i="12" a="1"/>
  <c r="U219" i="12" s="1"/>
  <c r="T219" i="12" a="1"/>
  <c r="T219" i="12" s="1"/>
  <c r="S219" i="12" a="1"/>
  <c r="S219" i="12" s="1"/>
  <c r="R219" i="12" a="1"/>
  <c r="R219" i="12" s="1"/>
  <c r="Q219" i="12" a="1"/>
  <c r="Q219" i="12" s="1"/>
  <c r="P219" i="12" a="1"/>
  <c r="P219" i="12" s="1"/>
  <c r="O219" i="12" a="1"/>
  <c r="O219" i="12" s="1"/>
  <c r="N219" i="12" a="1"/>
  <c r="N219" i="12" s="1"/>
  <c r="M219" i="12" a="1"/>
  <c r="M219" i="12" s="1"/>
  <c r="L219" i="12" a="1"/>
  <c r="L219" i="12" s="1"/>
  <c r="K219" i="12" a="1"/>
  <c r="K219" i="12" s="1"/>
  <c r="J219" i="12" a="1"/>
  <c r="J219" i="12" s="1"/>
  <c r="I219" i="12" a="1"/>
  <c r="I219" i="12" s="1"/>
  <c r="H219" i="12" a="1"/>
  <c r="H219" i="12" s="1"/>
  <c r="G219" i="12" a="1"/>
  <c r="G219" i="12" s="1"/>
  <c r="F219" i="12" a="1"/>
  <c r="F219" i="12" s="1"/>
  <c r="E219" i="12" a="1"/>
  <c r="E219" i="12" s="1"/>
  <c r="D219" i="12" a="1"/>
  <c r="D219" i="12" s="1"/>
  <c r="C219" i="12" a="1"/>
  <c r="C219" i="12" s="1"/>
  <c r="CF217" i="12" a="1"/>
  <c r="CF217" i="12" s="1"/>
  <c r="CE217" i="12" a="1"/>
  <c r="CE217" i="12" s="1"/>
  <c r="CD217" i="12" a="1"/>
  <c r="CD217" i="12" s="1"/>
  <c r="CC217" i="12" a="1"/>
  <c r="CC217" i="12" s="1"/>
  <c r="CB217" i="12" a="1"/>
  <c r="CB217" i="12" s="1"/>
  <c r="CA217" i="12" a="1"/>
  <c r="CA217" i="12" s="1"/>
  <c r="BZ217" i="12" a="1"/>
  <c r="BZ217" i="12" s="1"/>
  <c r="BY217" i="12" a="1"/>
  <c r="BY217" i="12" s="1"/>
  <c r="BX217" i="12" a="1"/>
  <c r="BX217" i="12" s="1"/>
  <c r="BW217" i="12" a="1"/>
  <c r="BW217" i="12" s="1"/>
  <c r="BV217" i="12" a="1"/>
  <c r="BV217" i="12" s="1"/>
  <c r="BU217" i="12" a="1"/>
  <c r="BU217" i="12" s="1"/>
  <c r="BT217" i="12" a="1"/>
  <c r="BT217" i="12" s="1"/>
  <c r="BS217" i="12" a="1"/>
  <c r="BS217" i="12" s="1"/>
  <c r="BR217" i="12" a="1"/>
  <c r="BR217" i="12" s="1"/>
  <c r="BQ217" i="12" a="1"/>
  <c r="BQ217" i="12" s="1"/>
  <c r="BP217" i="12" a="1"/>
  <c r="BP217" i="12" s="1"/>
  <c r="BO217" i="12" a="1"/>
  <c r="BO217" i="12" s="1"/>
  <c r="BN217" i="12" a="1"/>
  <c r="BN217" i="12" s="1"/>
  <c r="BM217" i="12" a="1"/>
  <c r="BM217" i="12" s="1"/>
  <c r="BL217" i="12" a="1"/>
  <c r="BL217" i="12" s="1"/>
  <c r="BK217" i="12" a="1"/>
  <c r="BK217" i="12" s="1"/>
  <c r="BJ217" i="12" a="1"/>
  <c r="BJ217" i="12" s="1"/>
  <c r="BI217" i="12" a="1"/>
  <c r="BI217" i="12" s="1"/>
  <c r="BH217" i="12" a="1"/>
  <c r="BH217" i="12" s="1"/>
  <c r="BG217" i="12" a="1"/>
  <c r="BG217" i="12" s="1"/>
  <c r="BF217" i="12" a="1"/>
  <c r="BF217" i="12" s="1"/>
  <c r="BE217" i="12" a="1"/>
  <c r="BE217" i="12" s="1"/>
  <c r="BD217" i="12" a="1"/>
  <c r="BD217" i="12" s="1"/>
  <c r="BC217" i="12" a="1"/>
  <c r="BC217" i="12" s="1"/>
  <c r="BB217" i="12" a="1"/>
  <c r="BB217" i="12" s="1"/>
  <c r="BA217" i="12" a="1"/>
  <c r="BA217" i="12" s="1"/>
  <c r="AZ217" i="12" a="1"/>
  <c r="AZ217" i="12" s="1"/>
  <c r="AY217" i="12" a="1"/>
  <c r="AY217" i="12" s="1"/>
  <c r="AX217" i="12" a="1"/>
  <c r="AX217" i="12" s="1"/>
  <c r="AW217" i="12" a="1"/>
  <c r="AW217" i="12" s="1"/>
  <c r="AV217" i="12" a="1"/>
  <c r="AV217" i="12" s="1"/>
  <c r="AU217" i="12" a="1"/>
  <c r="AU217" i="12" s="1"/>
  <c r="AT217" i="12" a="1"/>
  <c r="AT217" i="12" s="1"/>
  <c r="AS217" i="12" a="1"/>
  <c r="AS217" i="12" s="1"/>
  <c r="AR217" i="12" a="1"/>
  <c r="AR217" i="12" s="1"/>
  <c r="AQ217" i="12" a="1"/>
  <c r="AQ217" i="12" s="1"/>
  <c r="AP217" i="12" a="1"/>
  <c r="AP217" i="12" s="1"/>
  <c r="AO217" i="12" a="1"/>
  <c r="AO217" i="12" s="1"/>
  <c r="AN217" i="12" a="1"/>
  <c r="AN217" i="12" s="1"/>
  <c r="AM217" i="12" a="1"/>
  <c r="AM217" i="12" s="1"/>
  <c r="AL217" i="12" a="1"/>
  <c r="AL217" i="12" s="1"/>
  <c r="AK217" i="12" a="1"/>
  <c r="AK217" i="12" s="1"/>
  <c r="AJ217" i="12" a="1"/>
  <c r="AJ217" i="12" s="1"/>
  <c r="AI217" i="12" a="1"/>
  <c r="AI217" i="12" s="1"/>
  <c r="AH217" i="12" a="1"/>
  <c r="AH217" i="12" s="1"/>
  <c r="AG217" i="12" a="1"/>
  <c r="AG217" i="12" s="1"/>
  <c r="AF217" i="12" a="1"/>
  <c r="AF217" i="12" s="1"/>
  <c r="AE217" i="12" a="1"/>
  <c r="AE217" i="12" s="1"/>
  <c r="AD217" i="12" a="1"/>
  <c r="AD217" i="12" s="1"/>
  <c r="AC217" i="12" a="1"/>
  <c r="AC217" i="12" s="1"/>
  <c r="AB217" i="12" a="1"/>
  <c r="AB217" i="12" s="1"/>
  <c r="AA217" i="12" a="1"/>
  <c r="AA217" i="12" s="1"/>
  <c r="Z217" i="12" a="1"/>
  <c r="Z217" i="12" s="1"/>
  <c r="Y217" i="12" a="1"/>
  <c r="Y217" i="12" s="1"/>
  <c r="X217" i="12" a="1"/>
  <c r="X217" i="12" s="1"/>
  <c r="W217" i="12" a="1"/>
  <c r="W217" i="12" s="1"/>
  <c r="V217" i="12" a="1"/>
  <c r="V217" i="12" s="1"/>
  <c r="U217" i="12" a="1"/>
  <c r="U217" i="12" s="1"/>
  <c r="T217" i="12" a="1"/>
  <c r="T217" i="12" s="1"/>
  <c r="S217" i="12" a="1"/>
  <c r="S217" i="12" s="1"/>
  <c r="R217" i="12" a="1"/>
  <c r="R217" i="12" s="1"/>
  <c r="Q217" i="12" a="1"/>
  <c r="Q217" i="12" s="1"/>
  <c r="P217" i="12" a="1"/>
  <c r="P217" i="12" s="1"/>
  <c r="O217" i="12" a="1"/>
  <c r="O217" i="12" s="1"/>
  <c r="N217" i="12" a="1"/>
  <c r="N217" i="12" s="1"/>
  <c r="M217" i="12" a="1"/>
  <c r="M217" i="12" s="1"/>
  <c r="L217" i="12" a="1"/>
  <c r="L217" i="12" s="1"/>
  <c r="K217" i="12" a="1"/>
  <c r="K217" i="12" s="1"/>
  <c r="J217" i="12" a="1"/>
  <c r="J217" i="12" s="1"/>
  <c r="I217" i="12" a="1"/>
  <c r="I217" i="12" s="1"/>
  <c r="H217" i="12" a="1"/>
  <c r="H217" i="12" s="1"/>
  <c r="G217" i="12" a="1"/>
  <c r="G217" i="12" s="1"/>
  <c r="F217" i="12" a="1"/>
  <c r="F217" i="12" s="1"/>
  <c r="E217" i="12" a="1"/>
  <c r="E217" i="12" s="1"/>
  <c r="D217" i="12" a="1"/>
  <c r="D217" i="12" s="1"/>
  <c r="C217" i="12" a="1"/>
  <c r="C217" i="12" s="1"/>
  <c r="CF216" i="12" a="1"/>
  <c r="CF216" i="12" s="1"/>
  <c r="CE216" i="12" a="1"/>
  <c r="CE216" i="12" s="1"/>
  <c r="CD216" i="12" a="1"/>
  <c r="CD216" i="12" s="1"/>
  <c r="CC216" i="12" a="1"/>
  <c r="CC216" i="12" s="1"/>
  <c r="CB216" i="12" a="1"/>
  <c r="CB216" i="12" s="1"/>
  <c r="CA216" i="12" a="1"/>
  <c r="CA216" i="12" s="1"/>
  <c r="BZ216" i="12" a="1"/>
  <c r="BZ216" i="12" s="1"/>
  <c r="BY216" i="12" a="1"/>
  <c r="BY216" i="12" s="1"/>
  <c r="BX216" i="12" a="1"/>
  <c r="BX216" i="12" s="1"/>
  <c r="BW216" i="12" a="1"/>
  <c r="BW216" i="12" s="1"/>
  <c r="BV216" i="12" a="1"/>
  <c r="BV216" i="12" s="1"/>
  <c r="BU216" i="12" a="1"/>
  <c r="BU216" i="12" s="1"/>
  <c r="BT216" i="12" a="1"/>
  <c r="BT216" i="12" s="1"/>
  <c r="BS216" i="12" a="1"/>
  <c r="BS216" i="12" s="1"/>
  <c r="BR216" i="12" a="1"/>
  <c r="BR216" i="12" s="1"/>
  <c r="BQ216" i="12" a="1"/>
  <c r="BQ216" i="12" s="1"/>
  <c r="BP216" i="12" a="1"/>
  <c r="BP216" i="12" s="1"/>
  <c r="BO216" i="12" a="1"/>
  <c r="BO216" i="12" s="1"/>
  <c r="BN216" i="12" a="1"/>
  <c r="BN216" i="12" s="1"/>
  <c r="BM216" i="12" a="1"/>
  <c r="BM216" i="12" s="1"/>
  <c r="BL216" i="12" a="1"/>
  <c r="BL216" i="12" s="1"/>
  <c r="BK216" i="12" a="1"/>
  <c r="BK216" i="12" s="1"/>
  <c r="BJ216" i="12" a="1"/>
  <c r="BJ216" i="12" s="1"/>
  <c r="BI216" i="12" a="1"/>
  <c r="BI216" i="12" s="1"/>
  <c r="BH216" i="12" a="1"/>
  <c r="BH216" i="12" s="1"/>
  <c r="BG216" i="12" a="1"/>
  <c r="BG216" i="12" s="1"/>
  <c r="BF216" i="12" a="1"/>
  <c r="BF216" i="12" s="1"/>
  <c r="BE216" i="12" a="1"/>
  <c r="BE216" i="12" s="1"/>
  <c r="BD216" i="12" a="1"/>
  <c r="BD216" i="12" s="1"/>
  <c r="BC216" i="12" a="1"/>
  <c r="BC216" i="12" s="1"/>
  <c r="BB216" i="12" a="1"/>
  <c r="BB216" i="12" s="1"/>
  <c r="BA216" i="12" a="1"/>
  <c r="BA216" i="12" s="1"/>
  <c r="AZ216" i="12" a="1"/>
  <c r="AZ216" i="12" s="1"/>
  <c r="AY216" i="12" a="1"/>
  <c r="AY216" i="12" s="1"/>
  <c r="AX216" i="12" a="1"/>
  <c r="AX216" i="12" s="1"/>
  <c r="AW216" i="12" a="1"/>
  <c r="AW216" i="12" s="1"/>
  <c r="AV216" i="12" a="1"/>
  <c r="AV216" i="12" s="1"/>
  <c r="AU216" i="12" a="1"/>
  <c r="AU216" i="12" s="1"/>
  <c r="AT216" i="12" a="1"/>
  <c r="AT216" i="12" s="1"/>
  <c r="AS216" i="12" a="1"/>
  <c r="AS216" i="12" s="1"/>
  <c r="AR216" i="12" a="1"/>
  <c r="AR216" i="12" s="1"/>
  <c r="AQ216" i="12" a="1"/>
  <c r="AQ216" i="12" s="1"/>
  <c r="AP216" i="12" a="1"/>
  <c r="AP216" i="12" s="1"/>
  <c r="AO216" i="12" a="1"/>
  <c r="AO216" i="12" s="1"/>
  <c r="AN216" i="12" a="1"/>
  <c r="AN216" i="12" s="1"/>
  <c r="AM216" i="12" a="1"/>
  <c r="AM216" i="12" s="1"/>
  <c r="AL216" i="12" a="1"/>
  <c r="AL216" i="12" s="1"/>
  <c r="AK216" i="12" a="1"/>
  <c r="AK216" i="12" s="1"/>
  <c r="AJ216" i="12" a="1"/>
  <c r="AJ216" i="12" s="1"/>
  <c r="AI216" i="12" a="1"/>
  <c r="AI216" i="12" s="1"/>
  <c r="AH216" i="12" a="1"/>
  <c r="AH216" i="12" s="1"/>
  <c r="AG216" i="12" a="1"/>
  <c r="AG216" i="12" s="1"/>
  <c r="AF216" i="12" a="1"/>
  <c r="AF216" i="12" s="1"/>
  <c r="AE216" i="12" a="1"/>
  <c r="AE216" i="12" s="1"/>
  <c r="AD216" i="12" a="1"/>
  <c r="AD216" i="12" s="1"/>
  <c r="AC216" i="12" a="1"/>
  <c r="AC216" i="12" s="1"/>
  <c r="AB216" i="12" a="1"/>
  <c r="AB216" i="12" s="1"/>
  <c r="AA216" i="12" a="1"/>
  <c r="AA216" i="12" s="1"/>
  <c r="Z216" i="12" a="1"/>
  <c r="Z216" i="12" s="1"/>
  <c r="Y216" i="12" a="1"/>
  <c r="Y216" i="12" s="1"/>
  <c r="X216" i="12" a="1"/>
  <c r="X216" i="12" s="1"/>
  <c r="W216" i="12" a="1"/>
  <c r="W216" i="12" s="1"/>
  <c r="V216" i="12" a="1"/>
  <c r="V216" i="12" s="1"/>
  <c r="U216" i="12" a="1"/>
  <c r="U216" i="12" s="1"/>
  <c r="T216" i="12" a="1"/>
  <c r="T216" i="12" s="1"/>
  <c r="S216" i="12" a="1"/>
  <c r="S216" i="12" s="1"/>
  <c r="R216" i="12" a="1"/>
  <c r="R216" i="12" s="1"/>
  <c r="Q216" i="12" a="1"/>
  <c r="Q216" i="12" s="1"/>
  <c r="P216" i="12" a="1"/>
  <c r="P216" i="12" s="1"/>
  <c r="O216" i="12" a="1"/>
  <c r="O216" i="12" s="1"/>
  <c r="N216" i="12" a="1"/>
  <c r="N216" i="12" s="1"/>
  <c r="M216" i="12" a="1"/>
  <c r="M216" i="12" s="1"/>
  <c r="L216" i="12" a="1"/>
  <c r="L216" i="12" s="1"/>
  <c r="K216" i="12" a="1"/>
  <c r="K216" i="12" s="1"/>
  <c r="J216" i="12" a="1"/>
  <c r="J216" i="12" s="1"/>
  <c r="I216" i="12" a="1"/>
  <c r="I216" i="12" s="1"/>
  <c r="H216" i="12" a="1"/>
  <c r="H216" i="12" s="1"/>
  <c r="G216" i="12" a="1"/>
  <c r="G216" i="12" s="1"/>
  <c r="F216" i="12" a="1"/>
  <c r="F216" i="12" s="1"/>
  <c r="E216" i="12" a="1"/>
  <c r="E216" i="12" s="1"/>
  <c r="D216" i="12" a="1"/>
  <c r="D216" i="12" s="1"/>
  <c r="C216" i="12" a="1"/>
  <c r="C216" i="12" s="1"/>
  <c r="G213" i="12" a="1"/>
  <c r="G213" i="12" s="1"/>
  <c r="F213" i="12" a="1"/>
  <c r="F213" i="12" s="1"/>
  <c r="E213" i="12" a="1"/>
  <c r="E213" i="12" s="1"/>
  <c r="D213" i="12" a="1"/>
  <c r="D213" i="12" s="1"/>
  <c r="C213" i="12" a="1"/>
  <c r="C213" i="12" s="1"/>
  <c r="G212" i="12" a="1"/>
  <c r="G212" i="12" s="1"/>
  <c r="F212" i="12" a="1"/>
  <c r="F212" i="12" s="1"/>
  <c r="E212" i="12" a="1"/>
  <c r="E212" i="12" s="1"/>
  <c r="D212" i="12" a="1"/>
  <c r="D212" i="12" s="1"/>
  <c r="C212" i="12" a="1"/>
  <c r="C212" i="12" s="1"/>
  <c r="G211" i="12" a="1"/>
  <c r="G211" i="12" s="1"/>
  <c r="F211" i="12" a="1"/>
  <c r="F211" i="12" s="1"/>
  <c r="E211" i="12" a="1"/>
  <c r="E211" i="12" s="1"/>
  <c r="D211" i="12" a="1"/>
  <c r="D211" i="12" s="1"/>
  <c r="C211" i="12" a="1"/>
  <c r="C211" i="12" s="1"/>
  <c r="G210" i="12" a="1"/>
  <c r="G210" i="12" s="1"/>
  <c r="F210" i="12" a="1"/>
  <c r="F210" i="12" s="1"/>
  <c r="E210" i="12" a="1"/>
  <c r="E210" i="12" s="1"/>
  <c r="D210" i="12" a="1"/>
  <c r="D210" i="12" s="1"/>
  <c r="C210" i="12" a="1"/>
  <c r="C210" i="12" s="1"/>
  <c r="G209" i="12" a="1"/>
  <c r="G209" i="12" s="1"/>
  <c r="F209" i="12" a="1"/>
  <c r="F209" i="12" s="1"/>
  <c r="E209" i="12" a="1"/>
  <c r="E209" i="12" s="1"/>
  <c r="D209" i="12" a="1"/>
  <c r="D209" i="12" s="1"/>
  <c r="C209" i="12" a="1"/>
  <c r="C209" i="12" s="1"/>
  <c r="G208" i="12" a="1"/>
  <c r="G208" i="12" s="1"/>
  <c r="F208" i="12" a="1"/>
  <c r="F208" i="12" s="1"/>
  <c r="E208" i="12" a="1"/>
  <c r="E208" i="12" s="1"/>
  <c r="D208" i="12" a="1"/>
  <c r="D208" i="12" s="1"/>
  <c r="C208" i="12" a="1"/>
  <c r="C208" i="12" s="1"/>
  <c r="G207" i="12"/>
  <c r="G207" i="12" a="1"/>
  <c r="F207" i="12"/>
  <c r="F207" i="12" a="1"/>
  <c r="E207" i="12"/>
  <c r="E207" i="12" a="1"/>
  <c r="D207" i="12"/>
  <c r="D207" i="12" a="1"/>
  <c r="C207" i="12"/>
  <c r="C207" i="12" a="1"/>
  <c r="L205" i="12" a="1"/>
  <c r="L205" i="12" s="1"/>
  <c r="K205" i="12" a="1"/>
  <c r="K205" i="12" s="1"/>
  <c r="J205" i="12" a="1"/>
  <c r="J205" i="12" s="1"/>
  <c r="I205" i="12" a="1"/>
  <c r="I205" i="12" s="1"/>
  <c r="H205" i="12" a="1"/>
  <c r="H205" i="12" s="1"/>
  <c r="G205" i="12" a="1"/>
  <c r="G205" i="12" s="1"/>
  <c r="F205" i="12" a="1"/>
  <c r="F205" i="12" s="1"/>
  <c r="E205" i="12" a="1"/>
  <c r="E205" i="12" s="1"/>
  <c r="D205" i="12" a="1"/>
  <c r="D205" i="12" s="1"/>
  <c r="C205" i="12" a="1"/>
  <c r="C205" i="12" s="1"/>
  <c r="L204" i="12" a="1"/>
  <c r="L204" i="12" s="1"/>
  <c r="K204" i="12" a="1"/>
  <c r="K204" i="12" s="1"/>
  <c r="J204" i="12" a="1"/>
  <c r="J204" i="12" s="1"/>
  <c r="I204" i="12" a="1"/>
  <c r="I204" i="12" s="1"/>
  <c r="H204" i="12" a="1"/>
  <c r="H204" i="12" s="1"/>
  <c r="G204" i="12" a="1"/>
  <c r="G204" i="12" s="1"/>
  <c r="F204" i="12" a="1"/>
  <c r="F204" i="12" s="1"/>
  <c r="E204" i="12" a="1"/>
  <c r="E204" i="12" s="1"/>
  <c r="D204" i="12" a="1"/>
  <c r="D204" i="12" s="1"/>
  <c r="C204" i="12" a="1"/>
  <c r="C204" i="12" s="1"/>
  <c r="L203" i="12" a="1"/>
  <c r="L203" i="12" s="1"/>
  <c r="K203" i="12" a="1"/>
  <c r="K203" i="12" s="1"/>
  <c r="J203" i="12" a="1"/>
  <c r="J203" i="12" s="1"/>
  <c r="I203" i="12" a="1"/>
  <c r="I203" i="12" s="1"/>
  <c r="H203" i="12" a="1"/>
  <c r="H203" i="12" s="1"/>
  <c r="G203" i="12" a="1"/>
  <c r="G203" i="12" s="1"/>
  <c r="F203" i="12" a="1"/>
  <c r="F203" i="12" s="1"/>
  <c r="E203" i="12" a="1"/>
  <c r="E203" i="12" s="1"/>
  <c r="D203" i="12" a="1"/>
  <c r="D203" i="12" s="1"/>
  <c r="C203" i="12" a="1"/>
  <c r="C203" i="12" s="1"/>
  <c r="L202" i="12" a="1"/>
  <c r="L202" i="12" s="1"/>
  <c r="K202" i="12" a="1"/>
  <c r="K202" i="12" s="1"/>
  <c r="J202" i="12" a="1"/>
  <c r="J202" i="12" s="1"/>
  <c r="I202" i="12" a="1"/>
  <c r="I202" i="12" s="1"/>
  <c r="H202" i="12" a="1"/>
  <c r="H202" i="12" s="1"/>
  <c r="G202" i="12" a="1"/>
  <c r="G202" i="12" s="1"/>
  <c r="F202" i="12" a="1"/>
  <c r="F202" i="12" s="1"/>
  <c r="E202" i="12" a="1"/>
  <c r="E202" i="12" s="1"/>
  <c r="D202" i="12" a="1"/>
  <c r="D202" i="12" s="1"/>
  <c r="C202" i="12" a="1"/>
  <c r="C202" i="12" s="1"/>
  <c r="L201" i="12" a="1"/>
  <c r="L201" i="12" s="1"/>
  <c r="K201" i="12" a="1"/>
  <c r="K201" i="12" s="1"/>
  <c r="J201" i="12" a="1"/>
  <c r="J201" i="12" s="1"/>
  <c r="I201" i="12" a="1"/>
  <c r="I201" i="12" s="1"/>
  <c r="H201" i="12" a="1"/>
  <c r="H201" i="12" s="1"/>
  <c r="G201" i="12" a="1"/>
  <c r="G201" i="12" s="1"/>
  <c r="F201" i="12" a="1"/>
  <c r="F201" i="12" s="1"/>
  <c r="E201" i="12" a="1"/>
  <c r="E201" i="12" s="1"/>
  <c r="D201" i="12" a="1"/>
  <c r="D201" i="12" s="1"/>
  <c r="C201" i="12" a="1"/>
  <c r="C201" i="12" s="1"/>
  <c r="L200" i="12" a="1"/>
  <c r="L200" i="12" s="1"/>
  <c r="K200" i="12" a="1"/>
  <c r="K200" i="12" s="1"/>
  <c r="J200" i="12" a="1"/>
  <c r="J200" i="12" s="1"/>
  <c r="I200" i="12" a="1"/>
  <c r="I200" i="12" s="1"/>
  <c r="H200" i="12" a="1"/>
  <c r="H200" i="12" s="1"/>
  <c r="G200" i="12" a="1"/>
  <c r="G200" i="12" s="1"/>
  <c r="F200" i="12" a="1"/>
  <c r="F200" i="12" s="1"/>
  <c r="E200" i="12" a="1"/>
  <c r="E200" i="12" s="1"/>
  <c r="D200" i="12" a="1"/>
  <c r="D200" i="12" s="1"/>
  <c r="C200" i="12" a="1"/>
  <c r="C200" i="12" s="1"/>
  <c r="L199" i="12" a="1"/>
  <c r="L199" i="12" s="1"/>
  <c r="K199" i="12" a="1"/>
  <c r="K199" i="12" s="1"/>
  <c r="J199" i="12" a="1"/>
  <c r="J199" i="12" s="1"/>
  <c r="I199" i="12" a="1"/>
  <c r="I199" i="12" s="1"/>
  <c r="H199" i="12" a="1"/>
  <c r="H199" i="12" s="1"/>
  <c r="G199" i="12" a="1"/>
  <c r="G199" i="12" s="1"/>
  <c r="F199" i="12" a="1"/>
  <c r="F199" i="12" s="1"/>
  <c r="E199" i="12" a="1"/>
  <c r="E199" i="12" s="1"/>
  <c r="D199" i="12" a="1"/>
  <c r="D199" i="12" s="1"/>
  <c r="C199" i="12" a="1"/>
  <c r="C199" i="12" s="1"/>
  <c r="K198" i="12" a="1"/>
  <c r="K198" i="12" s="1"/>
  <c r="I198" i="12" a="1"/>
  <c r="I198" i="12" s="1"/>
  <c r="G198" i="12" a="1"/>
  <c r="G198" i="12" s="1"/>
  <c r="E198" i="12" a="1"/>
  <c r="E198" i="12" s="1"/>
  <c r="C198" i="12" a="1"/>
  <c r="C198" i="12" s="1"/>
  <c r="K197" i="12" a="1"/>
  <c r="K197" i="12" s="1"/>
  <c r="I197" i="12" a="1"/>
  <c r="I197" i="12" s="1"/>
  <c r="G197" i="12" a="1"/>
  <c r="G197" i="12" s="1"/>
  <c r="E197" i="12" a="1"/>
  <c r="E197" i="12" s="1"/>
  <c r="C197" i="12" a="1"/>
  <c r="C197" i="12" s="1"/>
  <c r="K196" i="12"/>
  <c r="K196" i="12" a="1"/>
  <c r="I196" i="12"/>
  <c r="I196" i="12" a="1"/>
  <c r="G196" i="12"/>
  <c r="G196" i="12" a="1"/>
  <c r="E196" i="12"/>
  <c r="E196" i="12" a="1"/>
  <c r="C196" i="12"/>
  <c r="C196" i="12" a="1"/>
  <c r="L194" i="12" a="1"/>
  <c r="L194" i="12" s="1"/>
  <c r="K194" i="12" a="1"/>
  <c r="K194" i="12" s="1"/>
  <c r="J194" i="12" a="1"/>
  <c r="J194" i="12" s="1"/>
  <c r="I194" i="12" a="1"/>
  <c r="I194" i="12" s="1"/>
  <c r="H194" i="12" a="1"/>
  <c r="H194" i="12" s="1"/>
  <c r="G194" i="12" a="1"/>
  <c r="G194" i="12" s="1"/>
  <c r="F194" i="12" a="1"/>
  <c r="F194" i="12" s="1"/>
  <c r="E194" i="12" a="1"/>
  <c r="E194" i="12" s="1"/>
  <c r="D194" i="12" a="1"/>
  <c r="D194" i="12" s="1"/>
  <c r="C194" i="12" a="1"/>
  <c r="C194" i="12" s="1"/>
  <c r="L193" i="12" a="1"/>
  <c r="L193" i="12" s="1"/>
  <c r="K193" i="12" a="1"/>
  <c r="K193" i="12" s="1"/>
  <c r="J193" i="12" a="1"/>
  <c r="J193" i="12" s="1"/>
  <c r="I193" i="12" a="1"/>
  <c r="I193" i="12" s="1"/>
  <c r="H193" i="12" a="1"/>
  <c r="H193" i="12" s="1"/>
  <c r="G193" i="12" a="1"/>
  <c r="G193" i="12" s="1"/>
  <c r="F193" i="12" a="1"/>
  <c r="F193" i="12" s="1"/>
  <c r="E193" i="12" a="1"/>
  <c r="E193" i="12" s="1"/>
  <c r="D193" i="12" a="1"/>
  <c r="D193" i="12" s="1"/>
  <c r="C193" i="12" a="1"/>
  <c r="C193" i="12" s="1"/>
  <c r="L192" i="12" a="1"/>
  <c r="L192" i="12" s="1"/>
  <c r="K192" i="12" a="1"/>
  <c r="K192" i="12" s="1"/>
  <c r="J192" i="12" a="1"/>
  <c r="J192" i="12" s="1"/>
  <c r="I192" i="12" a="1"/>
  <c r="I192" i="12" s="1"/>
  <c r="H192" i="12" a="1"/>
  <c r="H192" i="12" s="1"/>
  <c r="G192" i="12" a="1"/>
  <c r="G192" i="12" s="1"/>
  <c r="F192" i="12" a="1"/>
  <c r="F192" i="12" s="1"/>
  <c r="E192" i="12" a="1"/>
  <c r="E192" i="12" s="1"/>
  <c r="D192" i="12" a="1"/>
  <c r="D192" i="12" s="1"/>
  <c r="C192" i="12" a="1"/>
  <c r="C192" i="12" s="1"/>
  <c r="L191" i="12" a="1"/>
  <c r="L191" i="12" s="1"/>
  <c r="K191" i="12" a="1"/>
  <c r="K191" i="12" s="1"/>
  <c r="J191" i="12" a="1"/>
  <c r="J191" i="12" s="1"/>
  <c r="I191" i="12" a="1"/>
  <c r="I191" i="12" s="1"/>
  <c r="H191" i="12" a="1"/>
  <c r="H191" i="12" s="1"/>
  <c r="G191" i="12" a="1"/>
  <c r="G191" i="12" s="1"/>
  <c r="F191" i="12" a="1"/>
  <c r="F191" i="12" s="1"/>
  <c r="E191" i="12" a="1"/>
  <c r="E191" i="12" s="1"/>
  <c r="D191" i="12" a="1"/>
  <c r="D191" i="12" s="1"/>
  <c r="C191" i="12" a="1"/>
  <c r="C191" i="12" s="1"/>
  <c r="L190" i="12" a="1"/>
  <c r="L190" i="12" s="1"/>
  <c r="K190" i="12" a="1"/>
  <c r="K190" i="12" s="1"/>
  <c r="J190" i="12" a="1"/>
  <c r="J190" i="12" s="1"/>
  <c r="I190" i="12" a="1"/>
  <c r="I190" i="12" s="1"/>
  <c r="H190" i="12" a="1"/>
  <c r="H190" i="12" s="1"/>
  <c r="G190" i="12" a="1"/>
  <c r="G190" i="12" s="1"/>
  <c r="F190" i="12" a="1"/>
  <c r="F190" i="12" s="1"/>
  <c r="E190" i="12" a="1"/>
  <c r="E190" i="12" s="1"/>
  <c r="D190" i="12" a="1"/>
  <c r="D190" i="12" s="1"/>
  <c r="C190" i="12" a="1"/>
  <c r="C190" i="12" s="1"/>
  <c r="L189" i="12" a="1"/>
  <c r="L189" i="12" s="1"/>
  <c r="K189" i="12" a="1"/>
  <c r="K189" i="12" s="1"/>
  <c r="J189" i="12" a="1"/>
  <c r="J189" i="12" s="1"/>
  <c r="I189" i="12" a="1"/>
  <c r="I189" i="12" s="1"/>
  <c r="H189" i="12" a="1"/>
  <c r="H189" i="12" s="1"/>
  <c r="G189" i="12" a="1"/>
  <c r="G189" i="12" s="1"/>
  <c r="F189" i="12" a="1"/>
  <c r="F189" i="12" s="1"/>
  <c r="E189" i="12" a="1"/>
  <c r="E189" i="12" s="1"/>
  <c r="D189" i="12" a="1"/>
  <c r="D189" i="12" s="1"/>
  <c r="C189" i="12" a="1"/>
  <c r="C189" i="12" s="1"/>
  <c r="L188" i="12" a="1"/>
  <c r="L188" i="12" s="1"/>
  <c r="K188" i="12" a="1"/>
  <c r="K188" i="12" s="1"/>
  <c r="J188" i="12" a="1"/>
  <c r="J188" i="12" s="1"/>
  <c r="I188" i="12" a="1"/>
  <c r="I188" i="12" s="1"/>
  <c r="H188" i="12" a="1"/>
  <c r="H188" i="12" s="1"/>
  <c r="G188" i="12" a="1"/>
  <c r="G188" i="12" s="1"/>
  <c r="F188" i="12" a="1"/>
  <c r="F188" i="12" s="1"/>
  <c r="E188" i="12" a="1"/>
  <c r="E188" i="12" s="1"/>
  <c r="D188" i="12" a="1"/>
  <c r="D188" i="12" s="1"/>
  <c r="C188" i="12" a="1"/>
  <c r="C188" i="12" s="1"/>
  <c r="K187" i="12" a="1"/>
  <c r="K187" i="12" s="1"/>
  <c r="I187" i="12" a="1"/>
  <c r="I187" i="12" s="1"/>
  <c r="G187" i="12" a="1"/>
  <c r="G187" i="12" s="1"/>
  <c r="E187" i="12" a="1"/>
  <c r="E187" i="12" s="1"/>
  <c r="C187" i="12" a="1"/>
  <c r="C187" i="12" s="1"/>
  <c r="K186" i="12" a="1"/>
  <c r="K186" i="12" s="1"/>
  <c r="I186" i="12" a="1"/>
  <c r="I186" i="12" s="1"/>
  <c r="G186" i="12" a="1"/>
  <c r="G186" i="12" s="1"/>
  <c r="E186" i="12" a="1"/>
  <c r="E186" i="12" s="1"/>
  <c r="C186" i="12" a="1"/>
  <c r="C186" i="12" s="1"/>
  <c r="K185" i="12"/>
  <c r="K185" i="12" a="1"/>
  <c r="I185" i="12"/>
  <c r="I185" i="12" a="1"/>
  <c r="G185" i="12"/>
  <c r="G185" i="12" a="1"/>
  <c r="E185" i="12"/>
  <c r="E185" i="12" a="1"/>
  <c r="C185" i="12"/>
  <c r="C185" i="12" a="1"/>
  <c r="G174" i="12" a="1"/>
  <c r="G174" i="12" s="1"/>
  <c r="F174" i="12" a="1"/>
  <c r="F174" i="12" s="1"/>
  <c r="E174" i="12" a="1"/>
  <c r="E174" i="12" s="1"/>
  <c r="D174" i="12" a="1"/>
  <c r="D174" i="12" s="1"/>
  <c r="C174" i="12" a="1"/>
  <c r="C174" i="12" s="1"/>
  <c r="G172" i="12"/>
  <c r="G172" i="12" a="1"/>
  <c r="F172" i="12"/>
  <c r="F172" i="12" a="1"/>
  <c r="E172" i="12"/>
  <c r="E172" i="12" a="1"/>
  <c r="D172" i="12"/>
  <c r="D172" i="12" a="1"/>
  <c r="C172" i="12"/>
  <c r="C172" i="12" a="1"/>
  <c r="H170" i="12" a="1"/>
  <c r="H170" i="12" s="1"/>
  <c r="G170" i="12" a="1"/>
  <c r="G170" i="12" s="1"/>
  <c r="G173" i="12" s="1"/>
  <c r="F170" i="12" a="1"/>
  <c r="F170" i="12" s="1"/>
  <c r="F173" i="12" s="1"/>
  <c r="E170" i="12" a="1"/>
  <c r="E170" i="12" s="1"/>
  <c r="E173" i="12" s="1"/>
  <c r="D170" i="12" a="1"/>
  <c r="D170" i="12" s="1"/>
  <c r="D173" i="12" s="1"/>
  <c r="C170" i="12" a="1"/>
  <c r="C170" i="12" s="1"/>
  <c r="C173" i="12" s="1"/>
  <c r="H169" i="12" a="1"/>
  <c r="H169" i="12" s="1"/>
  <c r="G169" i="12" a="1"/>
  <c r="G169" i="12" s="1"/>
  <c r="F169" i="12" a="1"/>
  <c r="F169" i="12" s="1"/>
  <c r="E169" i="12" a="1"/>
  <c r="E169" i="12" s="1"/>
  <c r="D169" i="12" a="1"/>
  <c r="D169" i="12" s="1"/>
  <c r="C169" i="12" a="1"/>
  <c r="C169" i="12" s="1"/>
  <c r="H168" i="12" a="1"/>
  <c r="H168" i="12" s="1"/>
  <c r="G168" i="12" a="1"/>
  <c r="G168" i="12" s="1"/>
  <c r="F168" i="12" a="1"/>
  <c r="F168" i="12" s="1"/>
  <c r="E168" i="12" a="1"/>
  <c r="E168" i="12" s="1"/>
  <c r="D168" i="12" a="1"/>
  <c r="D168" i="12" s="1"/>
  <c r="C168" i="12" a="1"/>
  <c r="C168" i="12" s="1"/>
  <c r="H167" i="12"/>
  <c r="H167" i="12" a="1"/>
  <c r="G167" i="12"/>
  <c r="G167" i="12" a="1"/>
  <c r="F167" i="12"/>
  <c r="F167" i="12" a="1"/>
  <c r="E167" i="12"/>
  <c r="E167" i="12" a="1"/>
  <c r="D167" i="12"/>
  <c r="D167" i="12" a="1"/>
  <c r="C167" i="12"/>
  <c r="C167" i="12" a="1"/>
  <c r="H164" i="12" a="1"/>
  <c r="H164" i="12" s="1"/>
  <c r="G164" i="12" a="1"/>
  <c r="G164" i="12" s="1"/>
  <c r="F164" i="12" a="1"/>
  <c r="F164" i="12" s="1"/>
  <c r="E164" i="12" a="1"/>
  <c r="E164" i="12" s="1"/>
  <c r="D164" i="12" a="1"/>
  <c r="D164" i="12" s="1"/>
  <c r="C164" i="12" a="1"/>
  <c r="C164" i="12" s="1"/>
  <c r="H163" i="12" a="1"/>
  <c r="H163" i="12" s="1"/>
  <c r="G163" i="12" a="1"/>
  <c r="G163" i="12" s="1"/>
  <c r="F163" i="12" a="1"/>
  <c r="F163" i="12" s="1"/>
  <c r="E163" i="12" a="1"/>
  <c r="E163" i="12" s="1"/>
  <c r="D163" i="12" a="1"/>
  <c r="D163" i="12" s="1"/>
  <c r="C163" i="12" a="1"/>
  <c r="C163" i="12" s="1"/>
  <c r="G162" i="12" a="1"/>
  <c r="G162" i="12" s="1"/>
  <c r="F162" i="12" a="1"/>
  <c r="F162" i="12" s="1"/>
  <c r="E162" i="12" a="1"/>
  <c r="E162" i="12" s="1"/>
  <c r="D162" i="12" a="1"/>
  <c r="D162" i="12" s="1"/>
  <c r="C162" i="12" a="1"/>
  <c r="C162" i="12" s="1"/>
  <c r="G161" i="12" a="1"/>
  <c r="G161" i="12" s="1"/>
  <c r="F161" i="12" a="1"/>
  <c r="F161" i="12" s="1"/>
  <c r="E161" i="12" a="1"/>
  <c r="E161" i="12" s="1"/>
  <c r="D161" i="12" a="1"/>
  <c r="D161" i="12" s="1"/>
  <c r="C161" i="12" a="1"/>
  <c r="C161" i="12" s="1"/>
  <c r="H160" i="12" a="1"/>
  <c r="H160" i="12" s="1"/>
  <c r="G160" i="12" a="1"/>
  <c r="G160" i="12" s="1"/>
  <c r="F160" i="12" a="1"/>
  <c r="F160" i="12" s="1"/>
  <c r="E160" i="12" a="1"/>
  <c r="E160" i="12" s="1"/>
  <c r="D160" i="12" a="1"/>
  <c r="D160" i="12" s="1"/>
  <c r="C160" i="12" a="1"/>
  <c r="C160" i="12" s="1"/>
  <c r="H159" i="12"/>
  <c r="H159" i="12" a="1"/>
  <c r="G159" i="12"/>
  <c r="G159" i="12" a="1"/>
  <c r="F159" i="12"/>
  <c r="F159" i="12" a="1"/>
  <c r="E159" i="12"/>
  <c r="E159" i="12" a="1"/>
  <c r="D159" i="12"/>
  <c r="D159" i="12" a="1"/>
  <c r="C159" i="12"/>
  <c r="C159" i="12" a="1"/>
  <c r="G157" i="12" a="1"/>
  <c r="G157" i="12" s="1"/>
  <c r="F157" i="12" a="1"/>
  <c r="F157" i="12" s="1"/>
  <c r="E157" i="12" a="1"/>
  <c r="E157" i="12" s="1"/>
  <c r="D157" i="12" a="1"/>
  <c r="D157" i="12" s="1"/>
  <c r="C157" i="12" a="1"/>
  <c r="C157" i="12" s="1"/>
  <c r="G155" i="12" a="1"/>
  <c r="G155" i="12" s="1"/>
  <c r="G156" i="12" s="1" a="1"/>
  <c r="G156" i="12" s="1"/>
  <c r="F155" i="12" a="1"/>
  <c r="F155" i="12" s="1"/>
  <c r="F156" i="12" s="1" a="1"/>
  <c r="F156" i="12" s="1"/>
  <c r="E155" i="12" a="1"/>
  <c r="E155" i="12" s="1"/>
  <c r="E156" i="12" s="1" a="1"/>
  <c r="E156" i="12" s="1"/>
  <c r="D155" i="12" a="1"/>
  <c r="D155" i="12" s="1"/>
  <c r="D156" i="12" s="1" a="1"/>
  <c r="D156" i="12" s="1"/>
  <c r="C155" i="12" a="1"/>
  <c r="C155" i="12" s="1"/>
  <c r="C156" i="12" s="1" a="1"/>
  <c r="C156" i="12" s="1"/>
  <c r="G154" i="12"/>
  <c r="G154" i="12" a="1"/>
  <c r="F154" i="12"/>
  <c r="F154" i="12" a="1"/>
  <c r="E154" i="12"/>
  <c r="E154" i="12" a="1"/>
  <c r="D154" i="12"/>
  <c r="D154" i="12" a="1"/>
  <c r="C154" i="12"/>
  <c r="C154" i="12" a="1"/>
  <c r="N150" i="12"/>
  <c r="N150" i="12" a="1"/>
  <c r="M150" i="12"/>
  <c r="M150" i="12" a="1"/>
  <c r="L150" i="12"/>
  <c r="L150" i="12" a="1"/>
  <c r="N126" i="12" a="1"/>
  <c r="N126" i="12" s="1"/>
  <c r="M126" i="12" a="1"/>
  <c r="M126" i="12" s="1"/>
  <c r="L126" i="12" a="1"/>
  <c r="L126" i="12" s="1"/>
  <c r="K126" i="12" a="1"/>
  <c r="K126" i="12" s="1"/>
  <c r="J126" i="12" a="1"/>
  <c r="J126" i="12" s="1"/>
  <c r="I126" i="12" a="1"/>
  <c r="I126" i="12" s="1"/>
  <c r="H126" i="12" a="1"/>
  <c r="H126" i="12" s="1"/>
  <c r="G126" i="12" a="1"/>
  <c r="G126" i="12" s="1"/>
  <c r="F126" i="12" a="1"/>
  <c r="F126" i="12" s="1"/>
  <c r="E126" i="12" a="1"/>
  <c r="E126" i="12" s="1"/>
  <c r="D126" i="12" a="1"/>
  <c r="D126" i="12" s="1"/>
  <c r="C126" i="12" a="1"/>
  <c r="C126" i="12" s="1"/>
  <c r="N125" i="12" a="1"/>
  <c r="N125" i="12" s="1"/>
  <c r="M125" i="12" a="1"/>
  <c r="M125" i="12" s="1"/>
  <c r="L125" i="12" a="1"/>
  <c r="L125" i="12" s="1"/>
  <c r="K125" i="12" a="1"/>
  <c r="K125" i="12" s="1"/>
  <c r="J125" i="12" a="1"/>
  <c r="J125" i="12" s="1"/>
  <c r="I125" i="12" a="1"/>
  <c r="I125" i="12" s="1"/>
  <c r="H125" i="12" a="1"/>
  <c r="H125" i="12" s="1"/>
  <c r="G125" i="12" a="1"/>
  <c r="G125" i="12" s="1"/>
  <c r="F125" i="12" a="1"/>
  <c r="F125" i="12" s="1"/>
  <c r="E125" i="12" a="1"/>
  <c r="E125" i="12" s="1"/>
  <c r="D125" i="12" a="1"/>
  <c r="D125" i="12" s="1"/>
  <c r="C125" i="12" a="1"/>
  <c r="C125" i="12" s="1"/>
  <c r="N124" i="12"/>
  <c r="N124" i="12" a="1"/>
  <c r="M124" i="12"/>
  <c r="M124" i="12" a="1"/>
  <c r="L124" i="12"/>
  <c r="L124" i="12" a="1"/>
  <c r="G122" i="12" a="1"/>
  <c r="G122" i="12" s="1"/>
  <c r="F122" i="12" a="1"/>
  <c r="F122" i="12" s="1"/>
  <c r="E122" i="12" a="1"/>
  <c r="E122" i="12" s="1"/>
  <c r="D122" i="12" a="1"/>
  <c r="D122" i="12" s="1"/>
  <c r="C122" i="12" a="1"/>
  <c r="C122" i="12" s="1"/>
  <c r="G121" i="12" a="1"/>
  <c r="G121" i="12" s="1"/>
  <c r="F121" i="12" a="1"/>
  <c r="F121" i="12" s="1"/>
  <c r="E121" i="12" a="1"/>
  <c r="E121" i="12" s="1"/>
  <c r="D121" i="12" a="1"/>
  <c r="D121" i="12" s="1"/>
  <c r="C121" i="12" a="1"/>
  <c r="C121" i="12" s="1"/>
  <c r="G120" i="12" a="1"/>
  <c r="G120" i="12" s="1"/>
  <c r="F120" i="12" a="1"/>
  <c r="F120" i="12" s="1"/>
  <c r="E120" i="12" a="1"/>
  <c r="E120" i="12" s="1"/>
  <c r="D120" i="12" a="1"/>
  <c r="D120" i="12" s="1"/>
  <c r="C120" i="12" a="1"/>
  <c r="C120" i="12" s="1"/>
  <c r="G119" i="12" a="1"/>
  <c r="G119" i="12" s="1"/>
  <c r="F119" i="12" a="1"/>
  <c r="F119" i="12" s="1"/>
  <c r="E119" i="12" a="1"/>
  <c r="E119" i="12" s="1"/>
  <c r="D119" i="12" a="1"/>
  <c r="D119" i="12" s="1"/>
  <c r="C119" i="12" a="1"/>
  <c r="C119" i="12" s="1"/>
  <c r="G118" i="12"/>
  <c r="G118" i="12" a="1"/>
  <c r="F118" i="12"/>
  <c r="F118" i="12" a="1"/>
  <c r="E118" i="12"/>
  <c r="E118" i="12" a="1"/>
  <c r="D118" i="12"/>
  <c r="D118" i="12" a="1"/>
  <c r="C118" i="12"/>
  <c r="C118" i="12" a="1"/>
  <c r="G113" i="12" a="1"/>
  <c r="G113" i="12" s="1"/>
  <c r="F113" i="12" a="1"/>
  <c r="F113" i="12" s="1"/>
  <c r="E113" i="12" a="1"/>
  <c r="E113" i="12" s="1"/>
  <c r="D113" i="12" a="1"/>
  <c r="D113" i="12" s="1"/>
  <c r="C113" i="12" a="1"/>
  <c r="C113" i="12" s="1"/>
  <c r="G112" i="12" a="1"/>
  <c r="G112" i="12" s="1"/>
  <c r="F112" i="12" a="1"/>
  <c r="F112" i="12" s="1"/>
  <c r="E112" i="12" a="1"/>
  <c r="E112" i="12" s="1"/>
  <c r="D112" i="12" a="1"/>
  <c r="D112" i="12" s="1"/>
  <c r="C112" i="12" a="1"/>
  <c r="C112" i="12" s="1"/>
  <c r="G111" i="12" a="1"/>
  <c r="G111" i="12" s="1"/>
  <c r="F111" i="12" a="1"/>
  <c r="F111" i="12" s="1"/>
  <c r="E111" i="12" a="1"/>
  <c r="E111" i="12" s="1"/>
  <c r="D111" i="12" a="1"/>
  <c r="D111" i="12" s="1"/>
  <c r="C111" i="12" a="1"/>
  <c r="C111" i="12" s="1"/>
  <c r="G110" i="12" a="1"/>
  <c r="G110" i="12" s="1"/>
  <c r="F110" i="12" a="1"/>
  <c r="F110" i="12" s="1"/>
  <c r="E110" i="12" a="1"/>
  <c r="E110" i="12" s="1"/>
  <c r="D110" i="12" a="1"/>
  <c r="D110" i="12" s="1"/>
  <c r="C110" i="12" a="1"/>
  <c r="C110" i="12" s="1"/>
  <c r="G109" i="12" a="1"/>
  <c r="G109" i="12" s="1"/>
  <c r="F109" i="12" a="1"/>
  <c r="F109" i="12" s="1"/>
  <c r="E109" i="12" a="1"/>
  <c r="E109" i="12" s="1"/>
  <c r="D109" i="12" a="1"/>
  <c r="D109" i="12" s="1"/>
  <c r="C109" i="12" a="1"/>
  <c r="C109" i="12" s="1"/>
  <c r="G108" i="12" a="1"/>
  <c r="G108" i="12" s="1"/>
  <c r="F108" i="12" a="1"/>
  <c r="F108" i="12" s="1"/>
  <c r="E108" i="12" a="1"/>
  <c r="E108" i="12" s="1"/>
  <c r="D108" i="12" a="1"/>
  <c r="D108" i="12" s="1"/>
  <c r="C108" i="12" a="1"/>
  <c r="C108" i="12" s="1"/>
  <c r="G107" i="12"/>
  <c r="G107" i="12" a="1"/>
  <c r="F107" i="12"/>
  <c r="F107" i="12" a="1"/>
  <c r="E107" i="12"/>
  <c r="E107" i="12" a="1"/>
  <c r="D107" i="12"/>
  <c r="D107" i="12" a="1"/>
  <c r="C107" i="12"/>
  <c r="C107" i="12" a="1"/>
  <c r="G105" i="12" a="1"/>
  <c r="G105" i="12" s="1"/>
  <c r="F105" i="12" a="1"/>
  <c r="F105" i="12" s="1"/>
  <c r="E105" i="12" a="1"/>
  <c r="E105" i="12" s="1"/>
  <c r="D105" i="12" a="1"/>
  <c r="D105" i="12" s="1"/>
  <c r="C105" i="12" a="1"/>
  <c r="C105" i="12" s="1"/>
  <c r="G104" i="12" a="1"/>
  <c r="G104" i="12" s="1"/>
  <c r="F104" i="12" a="1"/>
  <c r="F104" i="12" s="1"/>
  <c r="E104" i="12" a="1"/>
  <c r="E104" i="12" s="1"/>
  <c r="D104" i="12" a="1"/>
  <c r="D104" i="12" s="1"/>
  <c r="C104" i="12" a="1"/>
  <c r="C104" i="12" s="1"/>
  <c r="G103" i="12" a="1"/>
  <c r="G103" i="12" s="1"/>
  <c r="F103" i="12" a="1"/>
  <c r="F103" i="12" s="1"/>
  <c r="E103" i="12" a="1"/>
  <c r="E103" i="12" s="1"/>
  <c r="D103" i="12" a="1"/>
  <c r="D103" i="12" s="1"/>
  <c r="C103" i="12" a="1"/>
  <c r="C103" i="12" s="1"/>
  <c r="G102" i="12" a="1"/>
  <c r="G102" i="12" s="1"/>
  <c r="F102" i="12" a="1"/>
  <c r="F102" i="12" s="1"/>
  <c r="E102" i="12" a="1"/>
  <c r="E102" i="12" s="1"/>
  <c r="D102" i="12" a="1"/>
  <c r="D102" i="12" s="1"/>
  <c r="C102" i="12" a="1"/>
  <c r="C102" i="12" s="1"/>
  <c r="G101" i="12"/>
  <c r="G101" i="12" a="1"/>
  <c r="F101" i="12"/>
  <c r="F101" i="12" a="1"/>
  <c r="E101" i="12"/>
  <c r="E101" i="12" a="1"/>
  <c r="D101" i="12"/>
  <c r="D101" i="12" a="1"/>
  <c r="C101" i="12"/>
  <c r="C101" i="12" a="1"/>
  <c r="G99" i="12" a="1"/>
  <c r="G99" i="12" s="1"/>
  <c r="F99" i="12" a="1"/>
  <c r="F99" i="12" s="1"/>
  <c r="E99" i="12" a="1"/>
  <c r="E99" i="12" s="1"/>
  <c r="D99" i="12" a="1"/>
  <c r="D99" i="12" s="1"/>
  <c r="C99" i="12" a="1"/>
  <c r="C99" i="12" s="1"/>
  <c r="G98" i="12" a="1"/>
  <c r="G98" i="12" s="1"/>
  <c r="F98" i="12" a="1"/>
  <c r="F98" i="12" s="1"/>
  <c r="E98" i="12" a="1"/>
  <c r="E98" i="12" s="1"/>
  <c r="D98" i="12" a="1"/>
  <c r="D98" i="12" s="1"/>
  <c r="C98" i="12" a="1"/>
  <c r="C98" i="12" s="1"/>
  <c r="G97" i="12" a="1"/>
  <c r="G97" i="12" s="1"/>
  <c r="F97" i="12" a="1"/>
  <c r="F97" i="12" s="1"/>
  <c r="E97" i="12" a="1"/>
  <c r="E97" i="12" s="1"/>
  <c r="D97" i="12" a="1"/>
  <c r="D97" i="12" s="1"/>
  <c r="C97" i="12" a="1"/>
  <c r="C97" i="12" s="1"/>
  <c r="G96" i="12"/>
  <c r="G96" i="12" a="1"/>
  <c r="F96" i="12"/>
  <c r="F96" i="12" a="1"/>
  <c r="E96" i="12"/>
  <c r="E96" i="12" a="1"/>
  <c r="D96" i="12"/>
  <c r="D96" i="12" a="1"/>
  <c r="C96" i="12"/>
  <c r="C96" i="12" a="1"/>
  <c r="G94" i="12" a="1"/>
  <c r="G94" i="12" s="1"/>
  <c r="F94" i="12" a="1"/>
  <c r="F94" i="12" s="1"/>
  <c r="E94" i="12" a="1"/>
  <c r="E94" i="12" s="1"/>
  <c r="D94" i="12" a="1"/>
  <c r="D94" i="12" s="1"/>
  <c r="C94" i="12" a="1"/>
  <c r="C94" i="12" s="1"/>
  <c r="G93" i="12" a="1"/>
  <c r="G93" i="12" s="1"/>
  <c r="F93" i="12" a="1"/>
  <c r="F93" i="12" s="1"/>
  <c r="E93" i="12" a="1"/>
  <c r="E93" i="12" s="1"/>
  <c r="D93" i="12" a="1"/>
  <c r="D93" i="12" s="1"/>
  <c r="C93" i="12" a="1"/>
  <c r="C93" i="12" s="1"/>
  <c r="G92" i="12" a="1"/>
  <c r="G92" i="12" s="1"/>
  <c r="F92" i="12" a="1"/>
  <c r="F92" i="12" s="1"/>
  <c r="E92" i="12" a="1"/>
  <c r="E92" i="12" s="1"/>
  <c r="D92" i="12" a="1"/>
  <c r="D92" i="12" s="1"/>
  <c r="C92" i="12" a="1"/>
  <c r="C92" i="12" s="1"/>
  <c r="G91" i="12" a="1"/>
  <c r="G91" i="12" s="1"/>
  <c r="F91" i="12" a="1"/>
  <c r="F91" i="12" s="1"/>
  <c r="E91" i="12" a="1"/>
  <c r="E91" i="12" s="1"/>
  <c r="D91" i="12" a="1"/>
  <c r="D91" i="12" s="1"/>
  <c r="C91" i="12" a="1"/>
  <c r="C91" i="12" s="1"/>
  <c r="G89" i="12" a="1"/>
  <c r="G89" i="12" s="1"/>
  <c r="G90" i="12" s="1"/>
  <c r="F89" i="12" a="1"/>
  <c r="F89" i="12" s="1"/>
  <c r="F90" i="12" s="1"/>
  <c r="E89" i="12" a="1"/>
  <c r="E89" i="12" s="1"/>
  <c r="E90" i="12" s="1"/>
  <c r="D89" i="12" a="1"/>
  <c r="D89" i="12" s="1"/>
  <c r="D90" i="12" s="1"/>
  <c r="C89" i="12" a="1"/>
  <c r="C89" i="12" s="1"/>
  <c r="C90" i="12" s="1"/>
  <c r="G88" i="12" a="1"/>
  <c r="G88" i="12" s="1"/>
  <c r="F88" i="12" a="1"/>
  <c r="F88" i="12" s="1"/>
  <c r="E88" i="12" a="1"/>
  <c r="E88" i="12" s="1"/>
  <c r="D88" i="12" a="1"/>
  <c r="D88" i="12" s="1"/>
  <c r="C88" i="12" a="1"/>
  <c r="C88" i="12" s="1"/>
  <c r="G87" i="12" a="1"/>
  <c r="G87" i="12" s="1"/>
  <c r="F87" i="12" a="1"/>
  <c r="F87" i="12" s="1"/>
  <c r="E87" i="12" a="1"/>
  <c r="E87" i="12" s="1"/>
  <c r="D87" i="12" a="1"/>
  <c r="D87" i="12" s="1"/>
  <c r="C87" i="12" a="1"/>
  <c r="C87" i="12" s="1"/>
  <c r="G86" i="12" a="1"/>
  <c r="G86" i="12" s="1"/>
  <c r="F86" i="12" a="1"/>
  <c r="F86" i="12" s="1"/>
  <c r="E86" i="12" a="1"/>
  <c r="E86" i="12" s="1"/>
  <c r="D86" i="12" a="1"/>
  <c r="D86" i="12" s="1"/>
  <c r="C86" i="12" a="1"/>
  <c r="C86" i="12" s="1"/>
  <c r="G85" i="12" a="1"/>
  <c r="G85" i="12" s="1"/>
  <c r="F85" i="12" a="1"/>
  <c r="F85" i="12" s="1"/>
  <c r="E85" i="12" a="1"/>
  <c r="E85" i="12" s="1"/>
  <c r="D85" i="12" a="1"/>
  <c r="D85" i="12" s="1"/>
  <c r="C85" i="12" a="1"/>
  <c r="C85" i="12" s="1"/>
  <c r="G84" i="12"/>
  <c r="G84" i="12" a="1"/>
  <c r="F84" i="12"/>
  <c r="F84" i="12" a="1"/>
  <c r="E84" i="12"/>
  <c r="E84" i="12" a="1"/>
  <c r="D84" i="12"/>
  <c r="D84" i="12" a="1"/>
  <c r="C84" i="12"/>
  <c r="C84" i="12" a="1"/>
  <c r="G82" i="12" a="1"/>
  <c r="G82" i="12" s="1"/>
  <c r="F82" i="12" a="1"/>
  <c r="F82" i="12" s="1"/>
  <c r="E82" i="12" a="1"/>
  <c r="E82" i="12" s="1"/>
  <c r="D82" i="12" a="1"/>
  <c r="D82" i="12" s="1"/>
  <c r="C82" i="12" a="1"/>
  <c r="C82" i="12" s="1"/>
  <c r="G81" i="12" a="1"/>
  <c r="G81" i="12" s="1"/>
  <c r="F81" i="12" a="1"/>
  <c r="F81" i="12" s="1"/>
  <c r="E81" i="12" a="1"/>
  <c r="E81" i="12" s="1"/>
  <c r="D81" i="12" a="1"/>
  <c r="D81" i="12" s="1"/>
  <c r="C81" i="12" a="1"/>
  <c r="C81" i="12" s="1"/>
  <c r="G80" i="12" a="1"/>
  <c r="G80" i="12" s="1"/>
  <c r="F80" i="12" a="1"/>
  <c r="F80" i="12" s="1"/>
  <c r="E80" i="12" a="1"/>
  <c r="E80" i="12" s="1"/>
  <c r="D80" i="12" a="1"/>
  <c r="D80" i="12" s="1"/>
  <c r="C80" i="12" a="1"/>
  <c r="C80" i="12" s="1"/>
  <c r="G79" i="12" a="1"/>
  <c r="G79" i="12" s="1"/>
  <c r="F79" i="12" a="1"/>
  <c r="F79" i="12" s="1"/>
  <c r="E79" i="12" a="1"/>
  <c r="E79" i="12" s="1"/>
  <c r="D79" i="12" a="1"/>
  <c r="D79" i="12" s="1"/>
  <c r="C79" i="12" a="1"/>
  <c r="C79" i="12" s="1"/>
  <c r="G78" i="12" a="1"/>
  <c r="G78" i="12" s="1"/>
  <c r="F78" i="12" a="1"/>
  <c r="F78" i="12" s="1"/>
  <c r="E78" i="12" a="1"/>
  <c r="E78" i="12" s="1"/>
  <c r="D78" i="12" a="1"/>
  <c r="D78" i="12" s="1"/>
  <c r="C78" i="12" a="1"/>
  <c r="C78" i="12" s="1"/>
  <c r="G77" i="12"/>
  <c r="G77" i="12" a="1"/>
  <c r="F77" i="12"/>
  <c r="F77" i="12" a="1"/>
  <c r="E77" i="12"/>
  <c r="E77" i="12" a="1"/>
  <c r="D77" i="12"/>
  <c r="D77" i="12" a="1"/>
  <c r="C77" i="12"/>
  <c r="C77" i="12" a="1"/>
  <c r="G27" i="12" a="1"/>
  <c r="G27" i="12" s="1"/>
  <c r="F27" i="12" a="1"/>
  <c r="F27" i="12" s="1"/>
  <c r="E27" i="12" a="1"/>
  <c r="E27" i="12" s="1"/>
  <c r="D27" i="12" a="1"/>
  <c r="D27" i="12" s="1"/>
  <c r="C27" i="12" a="1"/>
  <c r="C27" i="12" s="1"/>
  <c r="G26" i="12"/>
  <c r="F26" i="12"/>
  <c r="E26" i="12"/>
  <c r="D26" i="12"/>
  <c r="C26" i="12"/>
  <c r="G23" i="12"/>
  <c r="G23" i="12" a="1"/>
  <c r="F23" i="12"/>
  <c r="F23" i="12" a="1"/>
  <c r="E23" i="12"/>
  <c r="E23" i="12" a="1"/>
  <c r="D23" i="12"/>
  <c r="D23" i="12" a="1"/>
  <c r="C23" i="12"/>
  <c r="C23" i="12" a="1"/>
  <c r="G20" i="12" a="1"/>
  <c r="G20" i="12" s="1"/>
  <c r="F20" i="12" a="1"/>
  <c r="F20" i="12" s="1"/>
  <c r="E20" i="12" a="1"/>
  <c r="E20" i="12" s="1"/>
  <c r="D20" i="12" a="1"/>
  <c r="D20" i="12" s="1"/>
  <c r="C20" i="12" a="1"/>
  <c r="C20" i="12" s="1"/>
  <c r="G19" i="12" a="1"/>
  <c r="G19" i="12" s="1"/>
  <c r="F19" i="12" a="1"/>
  <c r="F19" i="12" s="1"/>
  <c r="E19" i="12" a="1"/>
  <c r="E19" i="12" s="1"/>
  <c r="D19" i="12" a="1"/>
  <c r="D19" i="12" s="1"/>
  <c r="C19" i="12" a="1"/>
  <c r="C19" i="12" s="1"/>
  <c r="G18" i="12" a="1"/>
  <c r="G18" i="12" s="1"/>
  <c r="F18" i="12" a="1"/>
  <c r="F18" i="12" s="1"/>
  <c r="E18" i="12" a="1"/>
  <c r="E18" i="12" s="1"/>
  <c r="D18" i="12" a="1"/>
  <c r="D18" i="12" s="1"/>
  <c r="C18" i="12" a="1"/>
  <c r="C18" i="12" s="1"/>
  <c r="G17" i="12" a="1"/>
  <c r="G17" i="12" s="1"/>
  <c r="F17" i="12" a="1"/>
  <c r="F17" i="12" s="1"/>
  <c r="E17" i="12" a="1"/>
  <c r="E17" i="12" s="1"/>
  <c r="D17" i="12" a="1"/>
  <c r="D17" i="12" s="1"/>
  <c r="C17" i="12" a="1"/>
  <c r="C17" i="12" s="1"/>
  <c r="H15" i="12"/>
  <c r="H15" i="12" a="1"/>
  <c r="G15" i="12"/>
  <c r="G15" i="12" a="1"/>
  <c r="F15" i="12"/>
  <c r="F15" i="12" a="1"/>
  <c r="E15" i="12"/>
  <c r="E15" i="12" a="1"/>
  <c r="D15" i="12"/>
  <c r="D15" i="12" a="1"/>
  <c r="C15" i="12"/>
  <c r="C15" i="12" a="1"/>
  <c r="G11" i="12" a="1"/>
  <c r="G11" i="12" s="1"/>
  <c r="F11" i="12" a="1"/>
  <c r="F11" i="12" s="1"/>
  <c r="E11" i="12" a="1"/>
  <c r="E11" i="12" s="1"/>
  <c r="D11" i="12" a="1"/>
  <c r="D11" i="12" s="1"/>
  <c r="C11" i="12" a="1"/>
  <c r="C11" i="12" s="1"/>
  <c r="G10" i="12" a="1"/>
  <c r="G10" i="12" s="1"/>
  <c r="F10" i="12" a="1"/>
  <c r="F10" i="12" s="1"/>
  <c r="E10" i="12" a="1"/>
  <c r="E10" i="12" s="1"/>
  <c r="D10" i="12" a="1"/>
  <c r="D10" i="12" s="1"/>
  <c r="C10" i="12" a="1"/>
  <c r="C10" i="12" s="1"/>
  <c r="G9" i="12" a="1"/>
  <c r="G9" i="12" s="1"/>
  <c r="F9" i="12" a="1"/>
  <c r="F9" i="12" s="1"/>
  <c r="E9" i="12" a="1"/>
  <c r="E9" i="12" s="1"/>
  <c r="D9" i="12" a="1"/>
  <c r="D9" i="12" s="1"/>
  <c r="C9" i="12" a="1"/>
  <c r="C9" i="12" s="1"/>
  <c r="G8" i="12" a="1"/>
  <c r="G8" i="12" s="1"/>
  <c r="F8" i="12" a="1"/>
  <c r="F8" i="12" s="1"/>
  <c r="E8" i="12" a="1"/>
  <c r="E8" i="12" s="1"/>
  <c r="D8" i="12" a="1"/>
  <c r="D8" i="12" s="1"/>
  <c r="C8" i="12" a="1"/>
  <c r="C8" i="12" s="1"/>
  <c r="G7" i="12" a="1"/>
  <c r="G7" i="12" s="1"/>
  <c r="F7" i="12" a="1"/>
  <c r="F7" i="12" s="1"/>
  <c r="E7" i="12" a="1"/>
  <c r="E7" i="12" s="1"/>
  <c r="D7" i="12" a="1"/>
  <c r="D7" i="12" s="1"/>
  <c r="C7" i="12" a="1"/>
  <c r="C7" i="12" s="1"/>
  <c r="H6" i="12"/>
  <c r="H6" i="12" a="1"/>
  <c r="G6" i="12"/>
  <c r="G6" i="12" a="1"/>
  <c r="F6" i="12"/>
  <c r="F6" i="12" a="1"/>
  <c r="E6" i="12"/>
  <c r="E6" i="12" a="1"/>
  <c r="D6" i="12"/>
  <c r="D6" i="12" a="1"/>
  <c r="C6" i="12"/>
  <c r="C6" i="12" a="1"/>
  <c r="O63" i="26"/>
  <c r="N63" i="26"/>
  <c r="M63" i="26"/>
  <c r="L63" i="26"/>
  <c r="K63" i="26"/>
  <c r="J63" i="26"/>
  <c r="I63" i="26"/>
  <c r="H63" i="26"/>
  <c r="G63" i="26"/>
  <c r="F63" i="26"/>
  <c r="E63" i="26"/>
  <c r="D63" i="26"/>
  <c r="C63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G41" i="26" a="1"/>
  <c r="G41" i="26" s="1"/>
  <c r="F41" i="26" a="1"/>
  <c r="F41" i="26" s="1"/>
  <c r="E41" i="26" a="1"/>
  <c r="E41" i="26" s="1"/>
  <c r="D41" i="26" a="1"/>
  <c r="D41" i="26" s="1"/>
  <c r="C41" i="26" a="1"/>
  <c r="C41" i="26" s="1"/>
  <c r="G40" i="26" a="1"/>
  <c r="G40" i="26" s="1"/>
  <c r="F40" i="26" a="1"/>
  <c r="F40" i="26" s="1"/>
  <c r="E40" i="26" a="1"/>
  <c r="E40" i="26" s="1"/>
  <c r="D40" i="26" a="1"/>
  <c r="D40" i="26" s="1"/>
  <c r="C40" i="26" a="1"/>
  <c r="C40" i="26" s="1"/>
  <c r="G39" i="26" a="1"/>
  <c r="G39" i="26" s="1"/>
  <c r="F39" i="26" a="1"/>
  <c r="F39" i="26" s="1"/>
  <c r="E39" i="26" a="1"/>
  <c r="E39" i="26" s="1"/>
  <c r="D39" i="26" a="1"/>
  <c r="D39" i="26" s="1"/>
  <c r="C39" i="26" a="1"/>
  <c r="C39" i="26" s="1"/>
  <c r="G38" i="26" a="1"/>
  <c r="G38" i="26" s="1"/>
  <c r="F38" i="26" a="1"/>
  <c r="F38" i="26" s="1"/>
  <c r="E38" i="26" a="1"/>
  <c r="E38" i="26" s="1"/>
  <c r="D38" i="26" a="1"/>
  <c r="D38" i="26" s="1"/>
  <c r="C38" i="26" a="1"/>
  <c r="C38" i="26" s="1"/>
  <c r="G37" i="26" a="1"/>
  <c r="G37" i="26" s="1"/>
  <c r="F37" i="26" a="1"/>
  <c r="F37" i="26" s="1"/>
  <c r="E37" i="26" a="1"/>
  <c r="E37" i="26" s="1"/>
  <c r="D37" i="26" a="1"/>
  <c r="D37" i="26" s="1"/>
  <c r="C37" i="26" a="1"/>
  <c r="C37" i="26" s="1"/>
  <c r="G34" i="26" a="1"/>
  <c r="G34" i="26" s="1"/>
  <c r="F34" i="26" a="1"/>
  <c r="F34" i="26" s="1"/>
  <c r="E34" i="26" a="1"/>
  <c r="E34" i="26" s="1"/>
  <c r="D34" i="26" a="1"/>
  <c r="D34" i="26" s="1"/>
  <c r="C34" i="26" a="1"/>
  <c r="C34" i="26" s="1"/>
  <c r="G33" i="26" a="1"/>
  <c r="G33" i="26" s="1"/>
  <c r="F33" i="26" a="1"/>
  <c r="F33" i="26" s="1"/>
  <c r="E33" i="26" a="1"/>
  <c r="E33" i="26" s="1"/>
  <c r="D33" i="26" a="1"/>
  <c r="D33" i="26" s="1"/>
  <c r="C33" i="26" a="1"/>
  <c r="C33" i="26" s="1"/>
  <c r="G32" i="26" a="1"/>
  <c r="G32" i="26" s="1"/>
  <c r="F32" i="26" a="1"/>
  <c r="F32" i="26" s="1"/>
  <c r="E32" i="26" a="1"/>
  <c r="E32" i="26" s="1"/>
  <c r="D32" i="26" a="1"/>
  <c r="D32" i="26" s="1"/>
  <c r="C32" i="26" a="1"/>
  <c r="C32" i="26" s="1"/>
  <c r="G31" i="26" a="1"/>
  <c r="G31" i="26" s="1"/>
  <c r="F31" i="26" a="1"/>
  <c r="F31" i="26" s="1"/>
  <c r="E31" i="26" a="1"/>
  <c r="E31" i="26" s="1"/>
  <c r="D31" i="26" a="1"/>
  <c r="D31" i="26" s="1"/>
  <c r="C31" i="26" a="1"/>
  <c r="C31" i="26" s="1"/>
  <c r="G30" i="26" a="1"/>
  <c r="G30" i="26" s="1"/>
  <c r="F30" i="26" a="1"/>
  <c r="F30" i="26" s="1"/>
  <c r="E30" i="26" a="1"/>
  <c r="E30" i="26" s="1"/>
  <c r="D30" i="26" a="1"/>
  <c r="D30" i="26" s="1"/>
  <c r="C30" i="26" a="1"/>
  <c r="C30" i="26" s="1"/>
  <c r="G29" i="26" a="1"/>
  <c r="G29" i="26" s="1"/>
  <c r="F29" i="26" a="1"/>
  <c r="F29" i="26" s="1"/>
  <c r="E29" i="26" a="1"/>
  <c r="E29" i="26" s="1"/>
  <c r="D29" i="26" a="1"/>
  <c r="D29" i="26" s="1"/>
  <c r="C29" i="26" a="1"/>
  <c r="C29" i="26" s="1"/>
  <c r="G28" i="26" a="1"/>
  <c r="G28" i="26" s="1"/>
  <c r="F28" i="26" a="1"/>
  <c r="F28" i="26" s="1"/>
  <c r="E28" i="26" a="1"/>
  <c r="E28" i="26" s="1"/>
  <c r="D28" i="26" a="1"/>
  <c r="D28" i="26" s="1"/>
  <c r="C28" i="26" a="1"/>
  <c r="C28" i="26" s="1"/>
  <c r="G27" i="26" a="1"/>
  <c r="G27" i="26" s="1"/>
  <c r="F27" i="26" a="1"/>
  <c r="F27" i="26" s="1"/>
  <c r="E27" i="26" a="1"/>
  <c r="E27" i="26" s="1"/>
  <c r="D27" i="26" a="1"/>
  <c r="D27" i="26" s="1"/>
  <c r="C27" i="26" a="1"/>
  <c r="C27" i="26" s="1"/>
  <c r="G26" i="26" a="1"/>
  <c r="G26" i="26" s="1"/>
  <c r="F26" i="26" a="1"/>
  <c r="F26" i="26" s="1"/>
  <c r="E26" i="26" a="1"/>
  <c r="E26" i="26" s="1"/>
  <c r="D26" i="26" a="1"/>
  <c r="D26" i="26" s="1"/>
  <c r="C26" i="26" a="1"/>
  <c r="C26" i="26" s="1"/>
  <c r="G25" i="26" a="1"/>
  <c r="G25" i="26" s="1"/>
  <c r="F25" i="26" a="1"/>
  <c r="F25" i="26" s="1"/>
  <c r="E25" i="26" a="1"/>
  <c r="E25" i="26" s="1"/>
  <c r="D25" i="26" a="1"/>
  <c r="D25" i="26" s="1"/>
  <c r="C25" i="26" a="1"/>
  <c r="C25" i="26" s="1"/>
  <c r="G24" i="26" a="1"/>
  <c r="G24" i="26" s="1"/>
  <c r="F24" i="26" a="1"/>
  <c r="F24" i="26" s="1"/>
  <c r="E24" i="26" a="1"/>
  <c r="E24" i="26" s="1"/>
  <c r="D24" i="26" a="1"/>
  <c r="D24" i="26" s="1"/>
  <c r="C24" i="26" a="1"/>
  <c r="C24" i="26" s="1"/>
  <c r="G23" i="26" a="1"/>
  <c r="G23" i="26" s="1"/>
  <c r="F23" i="26" a="1"/>
  <c r="F23" i="26" s="1"/>
  <c r="E23" i="26" a="1"/>
  <c r="E23" i="26" s="1"/>
  <c r="D23" i="26" a="1"/>
  <c r="D23" i="26" s="1"/>
  <c r="C23" i="26" a="1"/>
  <c r="C23" i="26" s="1"/>
  <c r="G22" i="26" a="1"/>
  <c r="G22" i="26" s="1"/>
  <c r="F22" i="26" a="1"/>
  <c r="F22" i="26" s="1"/>
  <c r="E22" i="26" a="1"/>
  <c r="E22" i="26" s="1"/>
  <c r="D22" i="26" a="1"/>
  <c r="D22" i="26" s="1"/>
  <c r="C22" i="26" a="1"/>
  <c r="C22" i="26" s="1"/>
  <c r="G21" i="26" a="1"/>
  <c r="G21" i="26" s="1"/>
  <c r="F21" i="26" a="1"/>
  <c r="F21" i="26" s="1"/>
  <c r="E21" i="26" a="1"/>
  <c r="E21" i="26" s="1"/>
  <c r="D21" i="26" a="1"/>
  <c r="D21" i="26" s="1"/>
  <c r="C21" i="26" a="1"/>
  <c r="C21" i="26" s="1"/>
  <c r="G20" i="26" a="1"/>
  <c r="G20" i="26" s="1"/>
  <c r="F20" i="26" a="1"/>
  <c r="F20" i="26" s="1"/>
  <c r="E20" i="26" a="1"/>
  <c r="E20" i="26" s="1"/>
  <c r="D20" i="26" a="1"/>
  <c r="D20" i="26" s="1"/>
  <c r="C20" i="26" a="1"/>
  <c r="C20" i="26" s="1"/>
  <c r="G19" i="26" a="1"/>
  <c r="G19" i="26" s="1"/>
  <c r="F19" i="26" a="1"/>
  <c r="F19" i="26" s="1"/>
  <c r="E19" i="26" a="1"/>
  <c r="E19" i="26" s="1"/>
  <c r="D19" i="26" a="1"/>
  <c r="D19" i="26" s="1"/>
  <c r="C19" i="26" a="1"/>
  <c r="C19" i="26" s="1"/>
  <c r="G18" i="26" a="1"/>
  <c r="G18" i="26" s="1"/>
  <c r="F18" i="26" a="1"/>
  <c r="F18" i="26" s="1"/>
  <c r="E18" i="26" a="1"/>
  <c r="E18" i="26" s="1"/>
  <c r="D18" i="26" a="1"/>
  <c r="D18" i="26" s="1"/>
  <c r="C18" i="26" a="1"/>
  <c r="C18" i="26" s="1"/>
  <c r="G17" i="26"/>
  <c r="G17" i="26" a="1"/>
  <c r="F17" i="26"/>
  <c r="F17" i="26" a="1"/>
  <c r="E17" i="26"/>
  <c r="E17" i="26" a="1"/>
  <c r="D17" i="26"/>
  <c r="D17" i="26" a="1"/>
  <c r="C17" i="26"/>
  <c r="C17" i="26" a="1"/>
  <c r="E9" i="2"/>
  <c r="D9" i="2"/>
  <c r="C9" i="2"/>
  <c r="B9" i="2"/>
  <c r="A9" i="2"/>
  <c r="B6" i="2"/>
  <c r="C12" i="16" l="1" a="1"/>
  <c r="C12" i="16" s="1"/>
  <c r="D62" i="19"/>
  <c r="E62" i="19"/>
  <c r="F62" i="19"/>
  <c r="C63" i="19"/>
  <c r="H77" i="22"/>
  <c r="D58" i="25"/>
  <c r="H13" i="25"/>
  <c r="H103" i="22"/>
  <c r="H34" i="22"/>
  <c r="H6" i="25"/>
  <c r="D78" i="25"/>
  <c r="G74" i="25"/>
  <c r="E61" i="25"/>
  <c r="H43" i="22"/>
  <c r="H72" i="22"/>
  <c r="H94" i="22"/>
  <c r="H30" i="22"/>
  <c r="H12" i="22"/>
  <c r="H23" i="22"/>
  <c r="H21" i="25"/>
  <c r="H7" i="25"/>
  <c r="E78" i="25"/>
  <c r="H25" i="22"/>
  <c r="F69" i="22"/>
  <c r="F60" i="25"/>
  <c r="H8" i="22"/>
  <c r="H85" i="22"/>
  <c r="C59" i="25"/>
  <c r="H19" i="25"/>
  <c r="H23" i="25"/>
  <c r="H92" i="22"/>
  <c r="H41" i="22"/>
  <c r="H8" i="25"/>
  <c r="H73" i="22"/>
  <c r="H11" i="22"/>
  <c r="H31" i="22"/>
  <c r="H35" i="22"/>
  <c r="H37" i="22"/>
  <c r="H97" i="22"/>
  <c r="H95" i="22"/>
  <c r="H18" i="25"/>
  <c r="H26" i="25"/>
  <c r="D74" i="25"/>
  <c r="H17" i="22"/>
  <c r="H86" i="25"/>
  <c r="H47" i="22"/>
  <c r="H89" i="22"/>
  <c r="H72" i="25"/>
  <c r="E69" i="22"/>
  <c r="E74" i="25"/>
  <c r="H16" i="22"/>
  <c r="H21" i="22"/>
  <c r="H80" i="22"/>
  <c r="H90" i="22"/>
  <c r="C78" i="25"/>
  <c r="H32" i="22"/>
  <c r="H99" i="22"/>
  <c r="H101" i="22"/>
  <c r="H75" i="25"/>
  <c r="H79" i="22"/>
  <c r="C69" i="22"/>
  <c r="H98" i="22"/>
  <c r="C84" i="25"/>
  <c r="H82" i="25"/>
  <c r="H36" i="22"/>
  <c r="H96" i="22"/>
  <c r="H104" i="22"/>
  <c r="H10" i="25"/>
  <c r="H5" i="25"/>
  <c r="H20" i="22"/>
  <c r="H29" i="22"/>
  <c r="H74" i="22"/>
  <c r="H81" i="22"/>
  <c r="H87" i="22"/>
  <c r="H5" i="22"/>
  <c r="H38" i="22"/>
  <c r="H102" i="22"/>
  <c r="H17" i="25"/>
  <c r="H25" i="25"/>
  <c r="E84" i="25"/>
  <c r="H85" i="25"/>
  <c r="H7" i="22"/>
  <c r="H45" i="22"/>
  <c r="F59" i="25"/>
  <c r="C74" i="25"/>
  <c r="H87" i="25"/>
  <c r="H19" i="22"/>
  <c r="H68" i="22"/>
  <c r="H20" i="25"/>
  <c r="H27" i="25"/>
  <c r="H76" i="25"/>
  <c r="H9" i="22"/>
  <c r="H50" i="22"/>
  <c r="D69" i="22"/>
  <c r="H78" i="22"/>
  <c r="H88" i="22"/>
  <c r="C57" i="25"/>
  <c r="C64" i="25"/>
  <c r="C65" i="25" s="1"/>
  <c r="G63" i="25"/>
  <c r="D64" i="25"/>
  <c r="D65" i="25" s="1"/>
  <c r="D57" i="25"/>
  <c r="G61" i="25"/>
  <c r="H16" i="25"/>
  <c r="H9" i="25"/>
  <c r="F57" i="25"/>
  <c r="F64" i="25"/>
  <c r="F65" i="25" s="1"/>
  <c r="G57" i="25"/>
  <c r="G64" i="25"/>
  <c r="G65" i="25" s="1"/>
  <c r="H11" i="25"/>
  <c r="C63" i="25"/>
  <c r="E58" i="25"/>
  <c r="D60" i="25"/>
  <c r="E62" i="25"/>
  <c r="H49" i="22"/>
  <c r="H67" i="22"/>
  <c r="G69" i="22"/>
  <c r="E57" i="25"/>
  <c r="E64" i="25"/>
  <c r="E65" i="25" s="1"/>
  <c r="E60" i="25"/>
  <c r="F61" i="25"/>
  <c r="F62" i="25"/>
  <c r="F84" i="25"/>
  <c r="H10" i="22"/>
  <c r="H15" i="22"/>
  <c r="H46" i="22"/>
  <c r="D63" i="25"/>
  <c r="H81" i="25"/>
  <c r="G84" i="25"/>
  <c r="H51" i="22"/>
  <c r="G58" i="25"/>
  <c r="D59" i="25"/>
  <c r="G60" i="25"/>
  <c r="E63" i="25"/>
  <c r="H22" i="22"/>
  <c r="G62" i="25"/>
  <c r="H12" i="25"/>
  <c r="H15" i="25"/>
  <c r="H33" i="22"/>
  <c r="H40" i="22"/>
  <c r="H48" i="22"/>
  <c r="E59" i="25"/>
  <c r="F63" i="25"/>
  <c r="H22" i="25"/>
  <c r="H28" i="25"/>
  <c r="H83" i="25"/>
  <c r="H14" i="22"/>
  <c r="H76" i="22"/>
  <c r="H91" i="22"/>
  <c r="C61" i="25"/>
  <c r="F74" i="25"/>
  <c r="H71" i="25"/>
  <c r="H24" i="22"/>
  <c r="H28" i="22"/>
  <c r="H42" i="22"/>
  <c r="H55" i="22"/>
  <c r="L58" i="22"/>
  <c r="H100" i="22"/>
  <c r="F58" i="25"/>
  <c r="C58" i="25"/>
  <c r="H6" i="22"/>
  <c r="H86" i="22"/>
  <c r="H93" i="22"/>
  <c r="D61" i="25"/>
  <c r="H14" i="25"/>
  <c r="G59" i="25"/>
  <c r="C62" i="25"/>
  <c r="H77" i="25"/>
  <c r="D84" i="25"/>
  <c r="H39" i="22"/>
  <c r="H44" i="22"/>
  <c r="H57" i="22"/>
  <c r="O56" i="22"/>
  <c r="M55" i="22"/>
  <c r="H75" i="22"/>
  <c r="C60" i="25"/>
  <c r="D62" i="25"/>
  <c r="H73" i="25"/>
  <c r="H13" i="22"/>
  <c r="H18" i="22"/>
  <c r="H52" i="22"/>
  <c r="O59" i="22"/>
  <c r="M58" i="22"/>
  <c r="H62" i="22"/>
  <c r="H56" i="22"/>
  <c r="H82" i="22"/>
  <c r="H133" i="19"/>
  <c r="H30" i="19"/>
  <c r="H119" i="19"/>
  <c r="H33" i="19"/>
  <c r="H199" i="19"/>
  <c r="H46" i="19"/>
  <c r="H167" i="19"/>
  <c r="H9" i="19"/>
  <c r="H134" i="19"/>
  <c r="H200" i="19"/>
  <c r="H24" i="19"/>
  <c r="H74" i="19"/>
  <c r="C50" i="19"/>
  <c r="C52" i="19" s="1"/>
  <c r="H14" i="19"/>
  <c r="H39" i="19"/>
  <c r="H158" i="19"/>
  <c r="H160" i="19"/>
  <c r="H139" i="19"/>
  <c r="H25" i="19"/>
  <c r="H90" i="19"/>
  <c r="H88" i="19"/>
  <c r="H81" i="19"/>
  <c r="H188" i="19"/>
  <c r="H6" i="19"/>
  <c r="H8" i="19"/>
  <c r="H175" i="19"/>
  <c r="H55" i="19"/>
  <c r="H205" i="19"/>
  <c r="H147" i="19"/>
  <c r="H32" i="19"/>
  <c r="H169" i="19"/>
  <c r="H181" i="19"/>
  <c r="H118" i="19"/>
  <c r="D83" i="19"/>
  <c r="H153" i="19"/>
  <c r="H40" i="19"/>
  <c r="H49" i="19"/>
  <c r="F76" i="19"/>
  <c r="F69" i="19" s="1"/>
  <c r="C83" i="19"/>
  <c r="E83" i="19"/>
  <c r="H159" i="19"/>
  <c r="H31" i="19"/>
  <c r="D76" i="19"/>
  <c r="D69" i="19" s="1"/>
  <c r="F83" i="19"/>
  <c r="H16" i="19"/>
  <c r="H82" i="19"/>
  <c r="H140" i="19"/>
  <c r="H168" i="19"/>
  <c r="H174" i="19"/>
  <c r="H180" i="19"/>
  <c r="H198" i="19"/>
  <c r="H22" i="19"/>
  <c r="G52" i="19"/>
  <c r="H125" i="19"/>
  <c r="H131" i="19"/>
  <c r="H152" i="19"/>
  <c r="H161" i="19"/>
  <c r="H213" i="19"/>
  <c r="H38" i="19"/>
  <c r="H15" i="19"/>
  <c r="H182" i="19"/>
  <c r="H47" i="19"/>
  <c r="H48" i="19"/>
  <c r="H124" i="19"/>
  <c r="H197" i="19"/>
  <c r="E192" i="19"/>
  <c r="D192" i="19"/>
  <c r="H41" i="19"/>
  <c r="H130" i="19"/>
  <c r="H189" i="19"/>
  <c r="H17" i="19"/>
  <c r="H23" i="19"/>
  <c r="I106" i="19"/>
  <c r="H106" i="19"/>
  <c r="I108" i="19"/>
  <c r="H108" i="19"/>
  <c r="I110" i="19"/>
  <c r="H110" i="19"/>
  <c r="I112" i="19"/>
  <c r="H112" i="19"/>
  <c r="H141" i="19"/>
  <c r="H132" i="19"/>
  <c r="H166" i="19"/>
  <c r="H191" i="19"/>
  <c r="I96" i="19"/>
  <c r="H96" i="19"/>
  <c r="I98" i="19"/>
  <c r="H98" i="19"/>
  <c r="I100" i="19"/>
  <c r="H100" i="19"/>
  <c r="G192" i="19"/>
  <c r="H186" i="19"/>
  <c r="C76" i="19"/>
  <c r="C69" i="19" s="1"/>
  <c r="H207" i="19"/>
  <c r="H7" i="19"/>
  <c r="F50" i="19"/>
  <c r="H50" i="19" s="1"/>
  <c r="D57" i="19"/>
  <c r="D63" i="19"/>
  <c r="G76" i="19"/>
  <c r="H75" i="19"/>
  <c r="H146" i="19"/>
  <c r="C57" i="19"/>
  <c r="C62" i="19"/>
  <c r="E63" i="19"/>
  <c r="E57" i="19"/>
  <c r="F192" i="19"/>
  <c r="F63" i="19"/>
  <c r="F57" i="19"/>
  <c r="E76" i="19"/>
  <c r="E69" i="19" s="1"/>
  <c r="I105" i="19"/>
  <c r="H105" i="19"/>
  <c r="I107" i="19"/>
  <c r="H107" i="19"/>
  <c r="I109" i="19"/>
  <c r="H109" i="19"/>
  <c r="I111" i="19"/>
  <c r="H111" i="19"/>
  <c r="H56" i="19"/>
  <c r="G63" i="19"/>
  <c r="H89" i="19"/>
  <c r="I113" i="19"/>
  <c r="H113" i="19"/>
  <c r="H190" i="19"/>
  <c r="H206" i="19"/>
  <c r="I95" i="19"/>
  <c r="H95" i="19"/>
  <c r="I97" i="19"/>
  <c r="H97" i="19"/>
  <c r="I99" i="19"/>
  <c r="H99" i="19"/>
  <c r="C192" i="19"/>
  <c r="H187" i="19"/>
  <c r="H212" i="19"/>
  <c r="H214" i="19"/>
  <c r="G57" i="19"/>
  <c r="G83" i="19"/>
  <c r="D50" i="19"/>
  <c r="D52" i="19" s="1"/>
  <c r="E50" i="19"/>
  <c r="E52" i="19" s="1"/>
  <c r="G62" i="19"/>
  <c r="H218" i="19"/>
  <c r="N12" i="16" a="1"/>
  <c r="N12" i="16" s="1"/>
  <c r="O12" i="16" a="1"/>
  <c r="O12" i="16" s="1"/>
  <c r="D10" i="16" a="1"/>
  <c r="D10" i="16" s="1"/>
  <c r="E10" i="16" a="1"/>
  <c r="E10" i="16" s="1"/>
  <c r="C10" i="16" a="1"/>
  <c r="C10" i="16" s="1"/>
  <c r="M12" i="16" a="1"/>
  <c r="M12" i="16" s="1"/>
  <c r="M10" i="16" a="1"/>
  <c r="M10" i="16" s="1"/>
  <c r="O10" i="16" a="1"/>
  <c r="O10" i="16" s="1"/>
  <c r="C11" i="16" a="1"/>
  <c r="C11" i="16" s="1"/>
  <c r="D11" i="16" a="1"/>
  <c r="D11" i="16" s="1"/>
  <c r="L11" i="16" a="1"/>
  <c r="L11" i="16" s="1"/>
  <c r="N11" i="16" a="1"/>
  <c r="N11" i="16" s="1"/>
  <c r="O11" i="16" a="1"/>
  <c r="O11" i="16" s="1"/>
  <c r="K12" i="16" a="1"/>
  <c r="K12" i="16" s="1"/>
  <c r="F10" i="16" a="1"/>
  <c r="F10" i="16" s="1"/>
  <c r="E11" i="16" a="1"/>
  <c r="E11" i="16" s="1"/>
  <c r="D12" i="16" a="1"/>
  <c r="D12" i="16" s="1"/>
  <c r="G10" i="16" a="1"/>
  <c r="G10" i="16" s="1"/>
  <c r="F11" i="16" a="1"/>
  <c r="F11" i="16" s="1"/>
  <c r="E12" i="16" a="1"/>
  <c r="E12" i="16" s="1"/>
  <c r="H10" i="16" a="1"/>
  <c r="H10" i="16" s="1"/>
  <c r="G11" i="16" a="1"/>
  <c r="G11" i="16" s="1"/>
  <c r="F12" i="16" a="1"/>
  <c r="F12" i="16" s="1"/>
  <c r="I10" i="16" a="1"/>
  <c r="I10" i="16" s="1"/>
  <c r="H11" i="16" a="1"/>
  <c r="H11" i="16" s="1"/>
  <c r="G12" i="16" a="1"/>
  <c r="G12" i="16" s="1"/>
  <c r="J10" i="16" a="1"/>
  <c r="J10" i="16" s="1"/>
  <c r="I11" i="16" a="1"/>
  <c r="I11" i="16" s="1"/>
  <c r="H12" i="16" a="1"/>
  <c r="H12" i="16" s="1"/>
  <c r="K10" i="16" a="1"/>
  <c r="K10" i="16" s="1"/>
  <c r="J11" i="16" a="1"/>
  <c r="J11" i="16" s="1"/>
  <c r="I12" i="16" a="1"/>
  <c r="I12" i="16" s="1"/>
  <c r="L10" i="16" a="1"/>
  <c r="L10" i="16" s="1"/>
  <c r="K11" i="16" a="1"/>
  <c r="K11" i="16" s="1"/>
  <c r="J12" i="16" a="1"/>
  <c r="J12" i="16" s="1"/>
  <c r="N10" i="16" a="1"/>
  <c r="N10" i="16" s="1"/>
  <c r="M11" i="16" a="1"/>
  <c r="M11" i="16" s="1"/>
  <c r="H143" i="11"/>
  <c r="H46" i="11"/>
  <c r="H65" i="11"/>
  <c r="H108" i="11"/>
  <c r="H66" i="11"/>
  <c r="H142" i="11"/>
  <c r="C29" i="11"/>
  <c r="E29" i="11"/>
  <c r="H67" i="11"/>
  <c r="E94" i="11"/>
  <c r="H106" i="11"/>
  <c r="E90" i="11"/>
  <c r="F90" i="11"/>
  <c r="H162" i="11"/>
  <c r="F94" i="11"/>
  <c r="H78" i="11"/>
  <c r="H152" i="11"/>
  <c r="H166" i="11"/>
  <c r="G99" i="11"/>
  <c r="H22" i="11"/>
  <c r="D98" i="11"/>
  <c r="G93" i="11"/>
  <c r="H127" i="11"/>
  <c r="H120" i="11"/>
  <c r="D29" i="11"/>
  <c r="G89" i="11"/>
  <c r="E97" i="11"/>
  <c r="H139" i="11"/>
  <c r="F29" i="11"/>
  <c r="H63" i="11"/>
  <c r="H51" i="11"/>
  <c r="C96" i="11"/>
  <c r="H133" i="11"/>
  <c r="H163" i="11"/>
  <c r="D96" i="11"/>
  <c r="C98" i="11"/>
  <c r="C41" i="11"/>
  <c r="E96" i="11"/>
  <c r="H107" i="11"/>
  <c r="H113" i="11"/>
  <c r="H126" i="11"/>
  <c r="H151" i="11"/>
  <c r="G90" i="11"/>
  <c r="C24" i="11"/>
  <c r="H68" i="11"/>
  <c r="H80" i="11"/>
  <c r="H111" i="11"/>
  <c r="H134" i="11"/>
  <c r="E24" i="11"/>
  <c r="H28" i="11"/>
  <c r="H50" i="11"/>
  <c r="H54" i="11"/>
  <c r="C93" i="11"/>
  <c r="H141" i="11"/>
  <c r="H171" i="11"/>
  <c r="D90" i="11"/>
  <c r="D86" i="11"/>
  <c r="D6" i="11" s="1"/>
  <c r="H105" i="11"/>
  <c r="H124" i="11"/>
  <c r="F96" i="11"/>
  <c r="C115" i="11"/>
  <c r="H153" i="11"/>
  <c r="H52" i="11"/>
  <c r="C56" i="11"/>
  <c r="C15" i="11" s="1"/>
  <c r="G56" i="11"/>
  <c r="G14" i="11" s="1"/>
  <c r="C91" i="11"/>
  <c r="H140" i="11"/>
  <c r="H167" i="11"/>
  <c r="E56" i="11"/>
  <c r="E57" i="11" s="1"/>
  <c r="C71" i="11"/>
  <c r="C8" i="11" s="1"/>
  <c r="C11" i="11" s="1"/>
  <c r="H76" i="11"/>
  <c r="H169" i="11"/>
  <c r="D24" i="11"/>
  <c r="H61" i="11"/>
  <c r="H83" i="11"/>
  <c r="H164" i="11"/>
  <c r="H64" i="11"/>
  <c r="H69" i="11"/>
  <c r="C90" i="11"/>
  <c r="H137" i="11"/>
  <c r="H155" i="11"/>
  <c r="C197" i="11"/>
  <c r="H122" i="11"/>
  <c r="D197" i="11"/>
  <c r="H19" i="11"/>
  <c r="H9" i="11"/>
  <c r="F92" i="11"/>
  <c r="H77" i="11"/>
  <c r="H123" i="11"/>
  <c r="H146" i="11"/>
  <c r="H149" i="11"/>
  <c r="H168" i="11"/>
  <c r="H170" i="11"/>
  <c r="D184" i="11"/>
  <c r="H154" i="11"/>
  <c r="H157" i="11"/>
  <c r="H161" i="11"/>
  <c r="H45" i="11"/>
  <c r="F93" i="11"/>
  <c r="E129" i="11"/>
  <c r="C99" i="11"/>
  <c r="E41" i="11"/>
  <c r="D92" i="11"/>
  <c r="D95" i="11"/>
  <c r="E98" i="11"/>
  <c r="G98" i="11"/>
  <c r="H70" i="11"/>
  <c r="F98" i="11"/>
  <c r="H114" i="11"/>
  <c r="H156" i="11"/>
  <c r="H34" i="11"/>
  <c r="E92" i="11"/>
  <c r="C94" i="11"/>
  <c r="F95" i="11"/>
  <c r="D97" i="11"/>
  <c r="H119" i="11"/>
  <c r="C129" i="11"/>
  <c r="G29" i="11"/>
  <c r="H27" i="11"/>
  <c r="F91" i="11"/>
  <c r="H118" i="11"/>
  <c r="G129" i="11"/>
  <c r="H53" i="11"/>
  <c r="D93" i="11"/>
  <c r="F99" i="11"/>
  <c r="H47" i="11"/>
  <c r="H62" i="11"/>
  <c r="C92" i="11"/>
  <c r="E93" i="11"/>
  <c r="C95" i="11"/>
  <c r="H85" i="11"/>
  <c r="H109" i="11"/>
  <c r="H147" i="11"/>
  <c r="H40" i="11"/>
  <c r="H15" i="29"/>
  <c r="H55" i="11"/>
  <c r="C89" i="11"/>
  <c r="C86" i="11"/>
  <c r="H79" i="11"/>
  <c r="G96" i="11"/>
  <c r="H82" i="11"/>
  <c r="G91" i="11"/>
  <c r="H125" i="11"/>
  <c r="F24" i="11"/>
  <c r="H49" i="11"/>
  <c r="D89" i="11"/>
  <c r="E95" i="11"/>
  <c r="C97" i="11"/>
  <c r="H128" i="11"/>
  <c r="H136" i="11"/>
  <c r="C184" i="11"/>
  <c r="D56" i="11"/>
  <c r="E89" i="11"/>
  <c r="E86" i="11"/>
  <c r="G24" i="11"/>
  <c r="H21" i="11"/>
  <c r="H35" i="11"/>
  <c r="D71" i="11"/>
  <c r="F89" i="11"/>
  <c r="F86" i="11"/>
  <c r="D94" i="11"/>
  <c r="H81" i="11"/>
  <c r="D115" i="11"/>
  <c r="D129" i="11"/>
  <c r="H18" i="11"/>
  <c r="H32" i="11"/>
  <c r="G41" i="11"/>
  <c r="H9" i="29"/>
  <c r="H39" i="11"/>
  <c r="E71" i="11"/>
  <c r="G95" i="11"/>
  <c r="E115" i="11"/>
  <c r="H110" i="11"/>
  <c r="H138" i="11"/>
  <c r="H148" i="11"/>
  <c r="D41" i="11"/>
  <c r="F56" i="11"/>
  <c r="H56" i="11" s="1"/>
  <c r="G86" i="11"/>
  <c r="H75" i="11"/>
  <c r="F97" i="11"/>
  <c r="F115" i="11"/>
  <c r="H48" i="11"/>
  <c r="F71" i="11"/>
  <c r="D91" i="11"/>
  <c r="D99" i="11"/>
  <c r="G97" i="11"/>
  <c r="H104" i="11"/>
  <c r="G115" i="11"/>
  <c r="H121" i="11"/>
  <c r="H132" i="11"/>
  <c r="H160" i="11"/>
  <c r="H165" i="11"/>
  <c r="H20" i="11"/>
  <c r="H23" i="11"/>
  <c r="F41" i="11"/>
  <c r="G71" i="11"/>
  <c r="H60" i="11"/>
  <c r="E91" i="11"/>
  <c r="E99" i="11"/>
  <c r="H112" i="11"/>
  <c r="F129" i="11"/>
  <c r="H135" i="11"/>
  <c r="H150" i="11"/>
  <c r="H38" i="11"/>
  <c r="H84" i="11"/>
  <c r="G92" i="11"/>
  <c r="G94" i="11"/>
  <c r="H33" i="11"/>
  <c r="D47" i="1"/>
  <c r="D46" i="1" s="1"/>
  <c r="H159" i="1"/>
  <c r="F47" i="1"/>
  <c r="H22" i="1"/>
  <c r="H162" i="1"/>
  <c r="C47" i="1"/>
  <c r="C46" i="1" s="1"/>
  <c r="H163" i="1"/>
  <c r="F46" i="1"/>
  <c r="H161" i="1"/>
  <c r="H36" i="1"/>
  <c r="H169" i="1"/>
  <c r="H168" i="1"/>
  <c r="H160" i="1"/>
  <c r="BG218" i="12"/>
  <c r="J696" i="12"/>
  <c r="V696" i="12"/>
  <c r="AH696" i="12"/>
  <c r="AT696" i="12"/>
  <c r="BF696" i="12"/>
  <c r="BR696" i="12"/>
  <c r="CD696" i="12"/>
  <c r="F696" i="12"/>
  <c r="AT218" i="12"/>
  <c r="BF218" i="12"/>
  <c r="BR218" i="12"/>
  <c r="G35" i="26"/>
  <c r="Y218" i="12"/>
  <c r="BJ218" i="12"/>
  <c r="M218" i="12"/>
  <c r="AK218" i="12"/>
  <c r="BO218" i="12"/>
  <c r="CA218" i="12"/>
  <c r="AI696" i="12"/>
  <c r="AU696" i="12"/>
  <c r="BS696" i="12"/>
  <c r="O696" i="12"/>
  <c r="AM696" i="12"/>
  <c r="AY696" i="12"/>
  <c r="BK696" i="12"/>
  <c r="BW696" i="12"/>
  <c r="M696" i="12"/>
  <c r="Y696" i="12"/>
  <c r="AK696" i="12"/>
  <c r="AW696" i="12"/>
  <c r="H250" i="12"/>
  <c r="C218" i="12"/>
  <c r="BW218" i="12"/>
  <c r="X218" i="12"/>
  <c r="AJ218" i="12"/>
  <c r="CF218" i="12"/>
  <c r="BD696" i="12"/>
  <c r="AP218" i="12"/>
  <c r="U696" i="12"/>
  <c r="AG696" i="12"/>
  <c r="AS696" i="12"/>
  <c r="BE696" i="12"/>
  <c r="BQ696" i="12"/>
  <c r="CC696" i="12"/>
  <c r="BE218" i="12"/>
  <c r="BQ218" i="12"/>
  <c r="D696" i="12"/>
  <c r="BD218" i="12"/>
  <c r="BO696" i="12"/>
  <c r="CA696" i="12"/>
  <c r="AH218" i="12"/>
  <c r="F35" i="26"/>
  <c r="H516" i="12"/>
  <c r="E403" i="12"/>
  <c r="H152" i="1"/>
  <c r="H26" i="1"/>
  <c r="H148" i="1"/>
  <c r="H28" i="1"/>
  <c r="H170" i="1"/>
  <c r="K270" i="1"/>
  <c r="H24" i="1"/>
  <c r="H38" i="1"/>
  <c r="H157" i="1"/>
  <c r="H150" i="1"/>
  <c r="H23" i="1"/>
  <c r="H33" i="1"/>
  <c r="H41" i="1"/>
  <c r="D272" i="1"/>
  <c r="E47" i="1"/>
  <c r="E46" i="1" s="1"/>
  <c r="K258" i="1"/>
  <c r="H45" i="1"/>
  <c r="H164" i="1"/>
  <c r="H20" i="1"/>
  <c r="J262" i="1"/>
  <c r="H158" i="1"/>
  <c r="G42" i="1"/>
  <c r="H19" i="1"/>
  <c r="G29" i="1"/>
  <c r="E272" i="1"/>
  <c r="K271" i="1"/>
  <c r="F42" i="1"/>
  <c r="F29" i="1"/>
  <c r="H153" i="1"/>
  <c r="H167" i="1"/>
  <c r="H21" i="1"/>
  <c r="K256" i="1"/>
  <c r="C262" i="1"/>
  <c r="F272" i="1"/>
  <c r="D262" i="1"/>
  <c r="G272" i="1"/>
  <c r="E262" i="1"/>
  <c r="H272" i="1"/>
  <c r="K268" i="1"/>
  <c r="K269" i="1"/>
  <c r="F262" i="1"/>
  <c r="I272" i="1"/>
  <c r="H25" i="1"/>
  <c r="H39" i="1"/>
  <c r="H149" i="1"/>
  <c r="G262" i="1"/>
  <c r="H156" i="1"/>
  <c r="H262" i="1"/>
  <c r="J272" i="1"/>
  <c r="K267" i="1"/>
  <c r="C29" i="1"/>
  <c r="C42" i="1"/>
  <c r="I262" i="1"/>
  <c r="K260" i="1"/>
  <c r="K266" i="1"/>
  <c r="D29" i="1"/>
  <c r="D42" i="1"/>
  <c r="H27" i="1"/>
  <c r="H32" i="1"/>
  <c r="H151" i="1"/>
  <c r="C253" i="1"/>
  <c r="L253" i="1" s="1"/>
  <c r="L252" i="1"/>
  <c r="K259" i="1"/>
  <c r="K261" i="1"/>
  <c r="E42" i="1"/>
  <c r="E29" i="1"/>
  <c r="K257" i="1"/>
  <c r="K265" i="1"/>
  <c r="C272" i="1"/>
  <c r="H34" i="1"/>
  <c r="H35" i="1"/>
  <c r="H40" i="1"/>
  <c r="G47" i="1"/>
  <c r="H37" i="1"/>
  <c r="AV696" i="12"/>
  <c r="AL696" i="12"/>
  <c r="BV696" i="12"/>
  <c r="BH696" i="12"/>
  <c r="X696" i="12"/>
  <c r="AQ218" i="12"/>
  <c r="H263" i="12"/>
  <c r="E462" i="12"/>
  <c r="AG218" i="12"/>
  <c r="AS218" i="12"/>
  <c r="Q696" i="12"/>
  <c r="AC696" i="12"/>
  <c r="AO696" i="12"/>
  <c r="BA696" i="12"/>
  <c r="P218" i="12"/>
  <c r="H469" i="12"/>
  <c r="H617" i="12"/>
  <c r="H346" i="12"/>
  <c r="H507" i="12"/>
  <c r="H521" i="12"/>
  <c r="H613" i="12"/>
  <c r="BN696" i="12"/>
  <c r="H488" i="12"/>
  <c r="F558" i="12"/>
  <c r="E620" i="12"/>
  <c r="BZ696" i="12"/>
  <c r="J351" i="12"/>
  <c r="H484" i="12"/>
  <c r="C544" i="12"/>
  <c r="H731" i="12"/>
  <c r="AL218" i="12"/>
  <c r="H265" i="12"/>
  <c r="H624" i="12"/>
  <c r="AZ218" i="12"/>
  <c r="BU218" i="12"/>
  <c r="CE218" i="12"/>
  <c r="H264" i="12"/>
  <c r="C557" i="12"/>
  <c r="AW218" i="12"/>
  <c r="H350" i="12"/>
  <c r="H478" i="12"/>
  <c r="F559" i="12"/>
  <c r="G563" i="12"/>
  <c r="N696" i="12"/>
  <c r="D614" i="12"/>
  <c r="F347" i="12"/>
  <c r="G218" i="12"/>
  <c r="S218" i="12"/>
  <c r="BL218" i="12"/>
  <c r="H249" i="12"/>
  <c r="C403" i="12"/>
  <c r="H623" i="12"/>
  <c r="P696" i="12"/>
  <c r="E563" i="12"/>
  <c r="AB696" i="12"/>
  <c r="AN696" i="12"/>
  <c r="BL696" i="12"/>
  <c r="E696" i="12"/>
  <c r="D348" i="12"/>
  <c r="H258" i="12"/>
  <c r="C561" i="12"/>
  <c r="D589" i="12"/>
  <c r="E608" i="12"/>
  <c r="H528" i="12"/>
  <c r="N218" i="12"/>
  <c r="D559" i="12"/>
  <c r="AU218" i="12"/>
  <c r="D347" i="12"/>
  <c r="G608" i="12"/>
  <c r="H616" i="12"/>
  <c r="T696" i="12"/>
  <c r="AE696" i="12"/>
  <c r="AP696" i="12"/>
  <c r="H18" i="12"/>
  <c r="Z218" i="12"/>
  <c r="L350" i="12"/>
  <c r="F561" i="12"/>
  <c r="H531" i="12"/>
  <c r="H535" i="12"/>
  <c r="AF696" i="12"/>
  <c r="H725" i="12"/>
  <c r="H257" i="12"/>
  <c r="C404" i="12"/>
  <c r="H470" i="12"/>
  <c r="E575" i="12"/>
  <c r="BM696" i="12"/>
  <c r="H707" i="12"/>
  <c r="Q218" i="12"/>
  <c r="H339" i="12"/>
  <c r="C504" i="12"/>
  <c r="H514" i="12"/>
  <c r="D544" i="12"/>
  <c r="D620" i="12"/>
  <c r="H709" i="12"/>
  <c r="C25" i="12"/>
  <c r="D25" i="12"/>
  <c r="BZ218" i="12"/>
  <c r="F349" i="12"/>
  <c r="BU696" i="12"/>
  <c r="H331" i="12"/>
  <c r="D351" i="12"/>
  <c r="C558" i="12"/>
  <c r="AN218" i="12"/>
  <c r="T218" i="12"/>
  <c r="F462" i="12"/>
  <c r="H610" i="12"/>
  <c r="F614" i="12"/>
  <c r="AE218" i="12"/>
  <c r="BT218" i="12"/>
  <c r="BH218" i="12"/>
  <c r="H256" i="12"/>
  <c r="H471" i="12"/>
  <c r="H477" i="12"/>
  <c r="H712" i="12"/>
  <c r="BA218" i="12"/>
  <c r="D403" i="12"/>
  <c r="G597" i="12"/>
  <c r="E503" i="12"/>
  <c r="H723" i="12"/>
  <c r="BY218" i="12"/>
  <c r="K218" i="12"/>
  <c r="BS218" i="12"/>
  <c r="F503" i="12"/>
  <c r="F562" i="12"/>
  <c r="L218" i="12"/>
  <c r="BC218" i="12"/>
  <c r="CB218" i="12"/>
  <c r="H336" i="12"/>
  <c r="H511" i="12"/>
  <c r="H522" i="12"/>
  <c r="E614" i="12"/>
  <c r="U218" i="12"/>
  <c r="AD218" i="12"/>
  <c r="AM218" i="12"/>
  <c r="H332" i="12"/>
  <c r="H515" i="12"/>
  <c r="G509" i="12"/>
  <c r="BK218" i="12"/>
  <c r="F165" i="12"/>
  <c r="W218" i="12"/>
  <c r="J347" i="12"/>
  <c r="AF218" i="12"/>
  <c r="BM218" i="12"/>
  <c r="E508" i="12"/>
  <c r="AA218" i="12"/>
  <c r="E218" i="12"/>
  <c r="BN218" i="12"/>
  <c r="F563" i="12"/>
  <c r="H523" i="12"/>
  <c r="R218" i="12"/>
  <c r="F218" i="12"/>
  <c r="AX218" i="12"/>
  <c r="E25" i="12"/>
  <c r="AY218" i="12"/>
  <c r="H383" i="12"/>
  <c r="I696" i="12"/>
  <c r="H218" i="12"/>
  <c r="BX218" i="12"/>
  <c r="H374" i="12"/>
  <c r="H475" i="12"/>
  <c r="H722" i="12"/>
  <c r="H242" i="12"/>
  <c r="H244" i="12"/>
  <c r="H329" i="12"/>
  <c r="D346" i="12"/>
  <c r="L347" i="12"/>
  <c r="J350" i="12"/>
  <c r="E562" i="12"/>
  <c r="H338" i="12"/>
  <c r="F346" i="12"/>
  <c r="H349" i="12"/>
  <c r="H468" i="12"/>
  <c r="D558" i="12"/>
  <c r="G504" i="12"/>
  <c r="D508" i="12"/>
  <c r="H532" i="12"/>
  <c r="C575" i="12"/>
  <c r="H483" i="12"/>
  <c r="C508" i="12"/>
  <c r="H527" i="12"/>
  <c r="G575" i="12"/>
  <c r="BT696" i="12"/>
  <c r="CE696" i="12"/>
  <c r="H467" i="12"/>
  <c r="E529" i="12"/>
  <c r="E530" i="12" s="1"/>
  <c r="H625" i="12"/>
  <c r="AD696" i="12"/>
  <c r="BC696" i="12"/>
  <c r="F348" i="12"/>
  <c r="E561" i="12"/>
  <c r="H537" i="12"/>
  <c r="C580" i="12"/>
  <c r="H618" i="12"/>
  <c r="C620" i="12"/>
  <c r="W696" i="12"/>
  <c r="AX696" i="12"/>
  <c r="C696" i="12"/>
  <c r="D350" i="12"/>
  <c r="L346" i="12"/>
  <c r="H348" i="12"/>
  <c r="H474" i="12"/>
  <c r="C520" i="12"/>
  <c r="D541" i="12"/>
  <c r="F608" i="12"/>
  <c r="H622" i="12"/>
  <c r="D706" i="12"/>
  <c r="F351" i="12"/>
  <c r="G405" i="12"/>
  <c r="H513" i="12"/>
  <c r="D520" i="12"/>
  <c r="H611" i="12"/>
  <c r="BG696" i="12"/>
  <c r="BX696" i="12"/>
  <c r="H262" i="12"/>
  <c r="H337" i="12"/>
  <c r="F345" i="12"/>
  <c r="H485" i="12"/>
  <c r="F524" i="12"/>
  <c r="F525" i="12" s="1"/>
  <c r="E544" i="12"/>
  <c r="F620" i="12"/>
  <c r="BY696" i="12"/>
  <c r="F706" i="12"/>
  <c r="H245" i="12"/>
  <c r="H330" i="12"/>
  <c r="H345" i="12"/>
  <c r="L348" i="12"/>
  <c r="F350" i="12"/>
  <c r="C597" i="12"/>
  <c r="H536" i="12"/>
  <c r="D575" i="12"/>
  <c r="F589" i="12"/>
  <c r="G696" i="12"/>
  <c r="H711" i="12"/>
  <c r="H721" i="12"/>
  <c r="H476" i="12"/>
  <c r="G544" i="12"/>
  <c r="H696" i="12"/>
  <c r="G16" i="12"/>
  <c r="H17" i="12"/>
  <c r="G24" i="12"/>
  <c r="F25" i="12"/>
  <c r="G165" i="12"/>
  <c r="H162" i="12"/>
  <c r="F175" i="12"/>
  <c r="H8" i="12"/>
  <c r="H10" i="12"/>
  <c r="G175" i="12"/>
  <c r="O125" i="12"/>
  <c r="C151" i="12"/>
  <c r="D151" i="12" s="1"/>
  <c r="E151" i="12" s="1"/>
  <c r="F151" i="12" s="1"/>
  <c r="G151" i="12" s="1"/>
  <c r="H151" i="12" s="1"/>
  <c r="I151" i="12" s="1"/>
  <c r="J151" i="12" s="1"/>
  <c r="K151" i="12" s="1"/>
  <c r="L151" i="12" s="1"/>
  <c r="M151" i="12" s="1"/>
  <c r="N151" i="12" s="1"/>
  <c r="H19" i="12"/>
  <c r="G25" i="12"/>
  <c r="C165" i="12"/>
  <c r="H161" i="12"/>
  <c r="O126" i="12"/>
  <c r="C152" i="12"/>
  <c r="D152" i="12" s="1"/>
  <c r="E152" i="12" s="1"/>
  <c r="F152" i="12" s="1"/>
  <c r="G152" i="12" s="1"/>
  <c r="H152" i="12" s="1"/>
  <c r="I152" i="12" s="1"/>
  <c r="J152" i="12" s="1"/>
  <c r="K152" i="12" s="1"/>
  <c r="L152" i="12" s="1"/>
  <c r="M152" i="12" s="1"/>
  <c r="N152" i="12" s="1"/>
  <c r="D165" i="12"/>
  <c r="E165" i="12"/>
  <c r="F16" i="12"/>
  <c r="F24" i="12"/>
  <c r="H9" i="12"/>
  <c r="H11" i="12"/>
  <c r="F78" i="25"/>
  <c r="F21" i="12"/>
  <c r="C175" i="12"/>
  <c r="D175" i="12"/>
  <c r="G78" i="25"/>
  <c r="G21" i="12"/>
  <c r="H20" i="12"/>
  <c r="D24" i="12"/>
  <c r="D16" i="12"/>
  <c r="C24" i="12"/>
  <c r="C16" i="12"/>
  <c r="E16" i="12"/>
  <c r="E24" i="12"/>
  <c r="E175" i="12"/>
  <c r="O218" i="12"/>
  <c r="BI218" i="12"/>
  <c r="H252" i="12"/>
  <c r="J349" i="12"/>
  <c r="D370" i="12"/>
  <c r="BB218" i="12"/>
  <c r="I218" i="12"/>
  <c r="J218" i="12"/>
  <c r="AV218" i="12"/>
  <c r="E509" i="12"/>
  <c r="E499" i="12"/>
  <c r="E504" i="12"/>
  <c r="CC218" i="12"/>
  <c r="H373" i="12"/>
  <c r="H377" i="12"/>
  <c r="E315" i="12"/>
  <c r="AO218" i="12"/>
  <c r="CD218" i="12"/>
  <c r="H243" i="12"/>
  <c r="H251" i="12"/>
  <c r="AI218" i="12"/>
  <c r="J345" i="12"/>
  <c r="E21" i="12"/>
  <c r="D21" i="12"/>
  <c r="BV218" i="12"/>
  <c r="AB218" i="12"/>
  <c r="AR218" i="12"/>
  <c r="D218" i="12"/>
  <c r="V218" i="12"/>
  <c r="AC218" i="12"/>
  <c r="BP218" i="12"/>
  <c r="H381" i="12"/>
  <c r="L351" i="12"/>
  <c r="D88" i="25"/>
  <c r="D597" i="12"/>
  <c r="D490" i="12"/>
  <c r="D605" i="12"/>
  <c r="D400" i="12"/>
  <c r="L345" i="12"/>
  <c r="J348" i="12"/>
  <c r="L349" i="12"/>
  <c r="H379" i="12"/>
  <c r="H333" i="12"/>
  <c r="C370" i="12"/>
  <c r="C459" i="12"/>
  <c r="C405" i="12"/>
  <c r="E88" i="25"/>
  <c r="E605" i="12"/>
  <c r="E490" i="12"/>
  <c r="E400" i="12"/>
  <c r="E597" i="12"/>
  <c r="E404" i="12"/>
  <c r="CF696" i="12"/>
  <c r="H347" i="12"/>
  <c r="F88" i="25"/>
  <c r="F597" i="12"/>
  <c r="F490" i="12"/>
  <c r="F605" i="12"/>
  <c r="F520" i="12"/>
  <c r="F403" i="12"/>
  <c r="F400" i="12"/>
  <c r="E559" i="12"/>
  <c r="H376" i="12"/>
  <c r="H384" i="12"/>
  <c r="G403" i="12"/>
  <c r="H396" i="12"/>
  <c r="D588" i="12"/>
  <c r="D405" i="12"/>
  <c r="D459" i="12"/>
  <c r="H534" i="12"/>
  <c r="G529" i="12"/>
  <c r="D349" i="12"/>
  <c r="E370" i="12"/>
  <c r="E588" i="12"/>
  <c r="E459" i="12"/>
  <c r="E405" i="12"/>
  <c r="D404" i="12"/>
  <c r="H502" i="12"/>
  <c r="G559" i="12"/>
  <c r="H340" i="12"/>
  <c r="D345" i="12"/>
  <c r="F404" i="12"/>
  <c r="F541" i="12"/>
  <c r="C588" i="12"/>
  <c r="F315" i="12"/>
  <c r="H351" i="12"/>
  <c r="F370" i="12"/>
  <c r="H378" i="12"/>
  <c r="D462" i="12"/>
  <c r="G524" i="12"/>
  <c r="H526" i="12"/>
  <c r="F580" i="12"/>
  <c r="H615" i="12"/>
  <c r="G614" i="12"/>
  <c r="J346" i="12"/>
  <c r="G370" i="12"/>
  <c r="H365" i="12" s="1"/>
  <c r="H506" i="12"/>
  <c r="D509" i="12"/>
  <c r="D499" i="12"/>
  <c r="G589" i="12"/>
  <c r="G503" i="12"/>
  <c r="D561" i="12"/>
  <c r="H533" i="12"/>
  <c r="H382" i="12"/>
  <c r="F499" i="12"/>
  <c r="F509" i="12"/>
  <c r="F504" i="12"/>
  <c r="H505" i="12"/>
  <c r="H512" i="12"/>
  <c r="E524" i="12"/>
  <c r="E525" i="12" s="1"/>
  <c r="F575" i="12"/>
  <c r="H489" i="12"/>
  <c r="G499" i="12"/>
  <c r="H498" i="12"/>
  <c r="E558" i="12"/>
  <c r="D504" i="12"/>
  <c r="E520" i="12"/>
  <c r="F588" i="12"/>
  <c r="F405" i="12"/>
  <c r="G88" i="25"/>
  <c r="G605" i="12"/>
  <c r="G490" i="12"/>
  <c r="G400" i="12"/>
  <c r="H399" i="12"/>
  <c r="C524" i="12"/>
  <c r="C525" i="12" s="1"/>
  <c r="F544" i="12"/>
  <c r="H375" i="12"/>
  <c r="G588" i="12"/>
  <c r="H501" i="12"/>
  <c r="G558" i="12"/>
  <c r="C563" i="12"/>
  <c r="D524" i="12"/>
  <c r="D525" i="12" s="1"/>
  <c r="C529" i="12"/>
  <c r="C530" i="12" s="1"/>
  <c r="G541" i="12"/>
  <c r="H398" i="12"/>
  <c r="C462" i="12"/>
  <c r="C559" i="12"/>
  <c r="F508" i="12"/>
  <c r="D563" i="12"/>
  <c r="AJ696" i="12"/>
  <c r="H380" i="12"/>
  <c r="D557" i="12"/>
  <c r="H510" i="12"/>
  <c r="G508" i="12"/>
  <c r="C562" i="12"/>
  <c r="D580" i="12"/>
  <c r="C88" i="25"/>
  <c r="C605" i="12"/>
  <c r="C490" i="12"/>
  <c r="F459" i="12"/>
  <c r="E557" i="12"/>
  <c r="D503" i="12"/>
  <c r="E580" i="12"/>
  <c r="H397" i="12"/>
  <c r="G462" i="12"/>
  <c r="G404" i="12"/>
  <c r="G459" i="12"/>
  <c r="H479" i="12"/>
  <c r="C509" i="12"/>
  <c r="C499" i="12"/>
  <c r="F557" i="12"/>
  <c r="G520" i="12"/>
  <c r="D562" i="12"/>
  <c r="E589" i="12"/>
  <c r="H609" i="12"/>
  <c r="C608" i="12"/>
  <c r="D529" i="12"/>
  <c r="D530" i="12" s="1"/>
  <c r="C541" i="12"/>
  <c r="H612" i="12"/>
  <c r="C614" i="12"/>
  <c r="G561" i="12"/>
  <c r="G580" i="12"/>
  <c r="F529" i="12"/>
  <c r="F530" i="12" s="1"/>
  <c r="AZ696" i="12"/>
  <c r="BI696" i="12"/>
  <c r="C503" i="12"/>
  <c r="G562" i="12"/>
  <c r="E541" i="12"/>
  <c r="H621" i="12"/>
  <c r="G620" i="12"/>
  <c r="AA696" i="12"/>
  <c r="AQ696" i="12"/>
  <c r="G557" i="12"/>
  <c r="H519" i="12"/>
  <c r="D608" i="12"/>
  <c r="K696" i="12"/>
  <c r="S696" i="12"/>
  <c r="AR696" i="12"/>
  <c r="BJ696" i="12"/>
  <c r="H500" i="12"/>
  <c r="C589" i="12"/>
  <c r="L696" i="12"/>
  <c r="H619" i="12"/>
  <c r="R696" i="12"/>
  <c r="Z696" i="12"/>
  <c r="CB696" i="12"/>
  <c r="BB696" i="12"/>
  <c r="BP696" i="12"/>
  <c r="E706" i="12"/>
  <c r="G720" i="12"/>
  <c r="G706" i="12"/>
  <c r="H714" i="12"/>
  <c r="H730" i="12"/>
  <c r="H708" i="12"/>
  <c r="H713" i="12"/>
  <c r="H724" i="12"/>
  <c r="H710" i="12"/>
  <c r="E64" i="19" l="1"/>
  <c r="D64" i="19"/>
  <c r="F64" i="19"/>
  <c r="C64" i="19"/>
  <c r="H94" i="11"/>
  <c r="H69" i="22"/>
  <c r="H74" i="25"/>
  <c r="H84" i="25"/>
  <c r="H63" i="19"/>
  <c r="H83" i="19"/>
  <c r="F52" i="19"/>
  <c r="H62" i="19"/>
  <c r="G64" i="19"/>
  <c r="H57" i="19"/>
  <c r="H192" i="19"/>
  <c r="G69" i="19"/>
  <c r="H69" i="19" s="1"/>
  <c r="H76" i="19"/>
  <c r="H99" i="11"/>
  <c r="H93" i="11"/>
  <c r="H96" i="11"/>
  <c r="H90" i="11"/>
  <c r="H97" i="11"/>
  <c r="G57" i="11"/>
  <c r="G5" i="11"/>
  <c r="G10" i="11" s="1"/>
  <c r="B19" i="29"/>
  <c r="H95" i="11"/>
  <c r="G15" i="11"/>
  <c r="E5" i="11"/>
  <c r="E10" i="11" s="1"/>
  <c r="E15" i="11"/>
  <c r="H89" i="11"/>
  <c r="H98" i="11"/>
  <c r="H24" i="11"/>
  <c r="C72" i="11"/>
  <c r="D100" i="11"/>
  <c r="H91" i="11"/>
  <c r="H29" i="11"/>
  <c r="E14" i="11"/>
  <c r="C5" i="11"/>
  <c r="C10" i="11" s="1"/>
  <c r="H92" i="11"/>
  <c r="C57" i="11"/>
  <c r="C14" i="11"/>
  <c r="H129" i="11"/>
  <c r="H17" i="29"/>
  <c r="H41" i="11"/>
  <c r="G6" i="11"/>
  <c r="H86" i="11"/>
  <c r="G100" i="11"/>
  <c r="F5" i="11"/>
  <c r="F10" i="11" s="1"/>
  <c r="F14" i="11"/>
  <c r="H14" i="11" s="1"/>
  <c r="F57" i="11"/>
  <c r="F15" i="11"/>
  <c r="H115" i="11"/>
  <c r="E100" i="11"/>
  <c r="E6" i="11"/>
  <c r="C100" i="11"/>
  <c r="C6" i="11"/>
  <c r="G8" i="11"/>
  <c r="H71" i="11"/>
  <c r="D15" i="29"/>
  <c r="F19" i="29" s="1"/>
  <c r="G72" i="11"/>
  <c r="F72" i="11"/>
  <c r="F8" i="11"/>
  <c r="F11" i="11" s="1"/>
  <c r="E72" i="11"/>
  <c r="E8" i="11"/>
  <c r="E11" i="11" s="1"/>
  <c r="F6" i="11"/>
  <c r="F100" i="11"/>
  <c r="D8" i="11"/>
  <c r="D11" i="11" s="1"/>
  <c r="D72" i="11"/>
  <c r="D14" i="11"/>
  <c r="D15" i="11"/>
  <c r="D57" i="11"/>
  <c r="D5" i="11"/>
  <c r="D10" i="11" s="1"/>
  <c r="H354" i="12"/>
  <c r="H504" i="12"/>
  <c r="H614" i="12"/>
  <c r="K262" i="1"/>
  <c r="K272" i="1"/>
  <c r="H29" i="1"/>
  <c r="H42" i="1"/>
  <c r="G46" i="1"/>
  <c r="H46" i="1" s="1"/>
  <c r="H47" i="1"/>
  <c r="H509" i="12"/>
  <c r="H608" i="12"/>
  <c r="H520" i="12"/>
  <c r="H503" i="12"/>
  <c r="H165" i="12"/>
  <c r="H508" i="12"/>
  <c r="H369" i="12"/>
  <c r="H499" i="12"/>
  <c r="H359" i="12"/>
  <c r="H361" i="12"/>
  <c r="H366" i="12"/>
  <c r="H367" i="12"/>
  <c r="H620" i="12"/>
  <c r="H368" i="12"/>
  <c r="H356" i="12"/>
  <c r="H357" i="12"/>
  <c r="H363" i="12"/>
  <c r="H355" i="12"/>
  <c r="H364" i="12"/>
  <c r="H358" i="12"/>
  <c r="H360" i="12"/>
  <c r="H529" i="12"/>
  <c r="G530" i="12"/>
  <c r="H530" i="12" s="1"/>
  <c r="H490" i="12"/>
  <c r="G525" i="12"/>
  <c r="H525" i="12" s="1"/>
  <c r="H524" i="12"/>
  <c r="H362" i="12"/>
  <c r="H64" i="19" l="1"/>
  <c r="E7" i="11"/>
  <c r="H15" i="11"/>
  <c r="C7" i="11"/>
  <c r="H10" i="11"/>
  <c r="F7" i="11"/>
  <c r="H5" i="11"/>
  <c r="H100" i="11"/>
  <c r="D7" i="11"/>
  <c r="H8" i="11"/>
  <c r="G11" i="11"/>
  <c r="H11" i="11" s="1"/>
  <c r="G7" i="11"/>
  <c r="H7" i="11" s="1"/>
  <c r="H6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187E02-0B05-4051-8254-D4D854D83353}" keepAlive="1" name="ModelConnection_DonnéesExternes_24" description="Modèle de données" type="5" refreshedVersion="8" minRefreshableVersion="5" saveData="1">
    <dbPr connection="Data Model Connection" command="inc_02_nationa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27A832F-FD0A-412A-A5A3-53EF1243E5B2}" keepAlive="1" name="ModelConnection_DonnéesExternes_26" description="Modèle de données" type="5" refreshedVersion="8" minRefreshableVersion="5" saveData="1">
    <dbPr connection="Data Model Connection" command="inc_02_hix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9AB1819-0D63-4744-B2BB-2BA10FEC49D9}" keepAlive="1" name="ModelConnection_DonnéesExternes_58" description="Modèle de données" type="5" refreshedVersion="8" minRefreshableVersion="5" saveData="1">
    <dbPr connection="Data Model Connection" command="pat_tech_poste_07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4236727-9443-446A-878E-F51CCBAF3525}" keepAlive="1" name="ModelConnection_DonnéesExternes_61" description="Modèle de données" type="5" refreshedVersion="8" minRefreshableVersion="5" saveData="1">
    <dbPr connection="Data Model Connection" command="pat_tech_transfo_07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629A2E9-94F9-44FB-A271-FBE66CB144F1}" keepAlive="1" name="ModelConnection_DonnéesExternes_66" description="Modèle de données" type="5" refreshedVersion="8" minRefreshableVersion="5" saveData="1">
    <dbPr connection="Data Model Connection" command="pat_tech_hta_0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5D01870-2B0E-41A8-A171-8CDC9215AFE8}" keepAlive="1" name="Query - inc_02_crac" description="Connection to the 'inc_02_crac' query in the workbook." type="5" refreshedVersion="8" background="1" saveData="1">
    <dbPr connection="Provider=Microsoft.Mashup.OleDb.1;Data Source=$Workbook$;Location=inc_02_crac;Extended Properties=&quot;&quot;" command="SELECT * FROM [inc_02_crac]"/>
  </connection>
  <connection id="7" xr16:uid="{EFAF0273-2CF9-4921-B12B-1A3AB2918EF9}" keepAlive="1" name="Query - inc_08_crac" description="Connection to the 'inc_08_crac' query in the workbook." type="5" refreshedVersion="8" background="1" saveData="1">
    <dbPr connection="Provider=Microsoft.Mashup.OleDb.1;Data Source=$Workbook$;Location=inc_08_crac;Extended Properties=&quot;&quot;" command="SELECT * FROM [inc_08_crac]"/>
  </connection>
  <connection id="8" xr16:uid="{16B97BFC-4A0A-43F9-BAB7-F51B5ABB992F}" keepAlive="1" name="Query - inc_08_trv_crac" description="Connection to the 'inc_08_trv_crac' query in the workbook." type="5" refreshedVersion="8" background="1" saveData="1">
    <dbPr connection="Provider=Microsoft.Mashup.OleDb.1;Data Source=$Workbook$;Location=inc_08_trv_crac;Extended Properties=&quot;&quot;" command="SELECT * FROM [inc_08_trv_crac]"/>
  </connection>
  <connection id="9" xr16:uid="{9625D63D-F1A7-4E1E-BAB9-C065C1529F32}" keepAlive="1" name="Query - pat_tech_branch_02" description="Connection to the 'pat_tech_branch_02' query in the workbook." type="5" refreshedVersion="8" background="1" saveData="1">
    <dbPr connection="Provider=Microsoft.Mashup.OleDb.1;Data Source=$Workbook$;Location=pat_tech_branch_02;Extended Properties=&quot;&quot;" command="SELECT * FROM [pat_tech_branch_02]"/>
  </connection>
  <connection id="10" xr16:uid="{F209EFAB-3A80-4CD5-AB14-8CB73913915F}" keepAlive="1" name="Query - pat_tech_bt_01_nat" description="Connection to the 'pat_tech_bt_01_nat' query in the workbook." type="5" refreshedVersion="8" background="1" saveData="1">
    <dbPr connection="Provider=Microsoft.Mashup.OleDb.1;Data Source=$Workbook$;Location=pat_tech_bt_01_nat;Extended Properties=&quot;&quot;" command="SELECT * FROM [pat_tech_bt_01_nat]"/>
  </connection>
  <connection id="11" xr16:uid="{9F9D3839-7E69-4FC4-B4DF-9E700EF4E1BA}" keepAlive="1" name="Query - pat_tech_bt_11" description="Connection to the 'pat_tech_bt_11' query in the workbook." type="5" refreshedVersion="8" background="1" saveData="1">
    <dbPr connection="Provider=Microsoft.Mashup.OleDb.1;Data Source=$Workbook$;Location=pat_tech_bt_11;Extended Properties=&quot;&quot;" command="SELECT * FROM [pat_tech_bt_11]"/>
  </connection>
  <connection id="12" xr16:uid="{C9C928FF-60EB-4629-9137-FC5E5E0B2696}" keepAlive="1" name="Query - pat_tech_hta_01_nat" description="Connection to the 'pat_tech_hta_01_nat' query in the workbook." type="5" refreshedVersion="8" background="1" saveData="1">
    <dbPr connection="Provider=Microsoft.Mashup.OleDb.1;Data Source=$Workbook$;Location=pat_tech_hta_01_nat;Extended Properties=&quot;&quot;" command="SELECT * FROM [pat_tech_hta_01_nat]"/>
  </connection>
  <connection id="13" xr16:uid="{B9529FB5-28AF-4E2A-BE5B-660DAB15BED2}" keepAlive="1" name="Query - pat_tech_hta_16" description="Connection to the 'pat_tech_hta_16' query in the workbook." type="5" refreshedVersion="8" background="1" saveData="1">
    <dbPr connection="Provider=Microsoft.Mashup.OleDb.1;Data Source=$Workbook$;Location=pat_tech_hta_16;Extended Properties=&quot;&quot;" command="SELECT * FROM [pat_tech_hta_16]"/>
  </connection>
  <connection id="14" xr16:uid="{F32ADEE5-D26D-4825-BBAD-B0A11C3DFC59}" keepAlive="1" name="Query - pat_tech_hta_rnvl_crac" description="Connection to the 'pat_tech_hta_rnvl_crac' query in the workbook." type="5" refreshedVersion="8" background="1" saveData="1">
    <dbPr connection="Provider=Microsoft.Mashup.OleDb.1;Data Source=$Workbook$;Location=pat_tech_hta_rnvl_crac;Extended Properties=&quot;&quot;" command="SELECT * FROM [pat_tech_hta_rnvl_crac]"/>
  </connection>
  <connection id="15" xr16:uid="{00FE2DC9-1FF0-4A3F-B04E-0689A28041CD}" keepAlive="1" name="Requête - cex_01" description="Connexion à la requête « cex_01 » dans le classeur." type="5" refreshedVersion="8" background="1" saveData="1">
    <dbPr connection="Provider=Microsoft.Mashup.OleDb.1;Data Source=$Workbook$;Location=cex_01;Extended Properties=&quot;&quot;" command="SELECT * FROM [cex_01]"/>
  </connection>
  <connection id="16" xr16:uid="{931BCFF5-D63E-4FDC-A118-808BD1D256FD}" keepAlive="1" name="Requête - cex_02" description="Connexion à la requête « cex_02 » dans le classeur." type="5" refreshedVersion="8" background="1" saveData="1">
    <dbPr connection="Provider=Microsoft.Mashup.OleDb.1;Data Source=$Workbook$;Location=cex_02;Extended Properties=&quot;&quot;" command="SELECT * FROM [cex_02]"/>
  </connection>
  <connection id="17" xr16:uid="{943010E0-4844-4821-B6C0-FBBC07542973}" keepAlive="1" name="Requête - cex_03" description="Connexion à la requête « cex_03 » dans le classeur." type="5" refreshedVersion="8" background="1" saveData="1">
    <dbPr connection="Provider=Microsoft.Mashup.OleDb.1;Data Source=$Workbook$;Location=cex_03;Extended Properties=&quot;&quot;" command="SELECT * FROM [cex_03]"/>
  </connection>
  <connection id="18" xr16:uid="{8A260B42-2776-4423-8FC5-7993C8F5DFC6}" keepAlive="1" name="Requête - cex_04" description="Connexion à la requête « cex_04 » dans le classeur." type="5" refreshedVersion="8" background="1" saveData="1">
    <dbPr connection="Provider=Microsoft.Mashup.OleDb.1;Data Source=$Workbook$;Location=cex_04;Extended Properties=&quot;&quot;" command="SELECT * FROM [cex_04]"/>
  </connection>
  <connection id="19" xr16:uid="{2D19F1DB-45B8-4413-99F5-52CE406884F0}" keepAlive="1" name="Requête - cex_05" description="Connexion à la requête « cex_05 » dans le classeur." type="5" refreshedVersion="8" background="1" saveData="1">
    <dbPr connection="Provider=Microsoft.Mashup.OleDb.1;Data Source=$Workbook$;Location=cex_05;Extended Properties=&quot;&quot;" command="SELECT * FROM [cex_05]"/>
  </connection>
  <connection id="20" xr16:uid="{473ED7DF-4AD8-45D7-9358-442B1440C139}" keepAlive="1" name="Requête - cex_06" description="Connexion à la requête « cex_06 » dans le classeur." type="5" refreshedVersion="8" background="1" saveData="1">
    <dbPr connection="Provider=Microsoft.Mashup.OleDb.1;Data Source=$Workbook$;Location=cex_06;Extended Properties=&quot;&quot;" command="SELECT * FROM [cex_06]"/>
  </connection>
  <connection id="21" xr16:uid="{2B858542-71F3-4DF9-A91A-4A42A6984EBC}" keepAlive="1" name="Requête - cex_07" description="Connexion à la requête « cex_07 » dans le classeur." type="5" refreshedVersion="8" background="1" saveData="1">
    <dbPr connection="Provider=Microsoft.Mashup.OleDb.1;Data Source=$Workbook$;Location=cex_07;Extended Properties=&quot;&quot;" command="SELECT * FROM [cex_07]"/>
  </connection>
  <connection id="22" xr16:uid="{794E8540-68DB-4EBB-975E-B128B6C40779}" keepAlive="1" name="Requête - cex_08" description="Connexion à la requête « cex_08 » dans le classeur." type="5" refreshedVersion="8" background="1" saveData="1">
    <dbPr connection="Provider=Microsoft.Mashup.OleDb.1;Data Source=$Workbook$;Location=cex_08;Extended Properties=&quot;&quot;" command="SELECT * FROM [cex_08]"/>
  </connection>
  <connection id="23" xr16:uid="{E2319D61-CC2D-469B-A40A-372A609F7EB3}" keepAlive="1" name="Requête - cex_09" description="Connexion à la requête « cex_09 » dans le classeur." type="5" refreshedVersion="8" background="1" saveData="1">
    <dbPr connection="Provider=Microsoft.Mashup.OleDb.1;Data Source=$Workbook$;Location=cex_09;Extended Properties=&quot;&quot;" command="SELECT * FROM [cex_09]"/>
  </connection>
  <connection id="24" xr16:uid="{39C67AB6-734F-4937-8E93-BEA1EF2B34EF}" keepAlive="1" name="Requête - cex_10" description="Connexion à la requête « cex_10 » dans le classeur." type="5" refreshedVersion="8" background="1" saveData="1">
    <dbPr connection="Provider=Microsoft.Mashup.OleDb.1;Data Source=$Workbook$;Location=cex_10;Extended Properties=&quot;&quot;" command="SELECT * FROM [cex_10]"/>
  </connection>
  <connection id="25" xr16:uid="{B39ECA59-5F4F-4536-B20F-07BC83200178}" keepAlive="1" name="Requête - cex_11" description="Connexion à la requête « cex_11 » dans le classeur." type="5" refreshedVersion="8" background="1" saveData="1">
    <dbPr connection="Provider=Microsoft.Mashup.OleDb.1;Data Source=$Workbook$;Location=cex_11;Extended Properties=&quot;&quot;" command="SELECT * FROM [cex_11]"/>
  </connection>
  <connection id="26" xr16:uid="{BE00501A-84D5-4D58-A458-A420C3932F1B}" keepAlive="1" name="Requête - cex_12" description="Connexion à la requête « cex_12 » dans le classeur." type="5" refreshedVersion="8" background="1" saveData="1">
    <dbPr connection="Provider=Microsoft.Mashup.OleDb.1;Data Source=$Workbook$;Location=cex_12;Extended Properties=&quot;&quot;" command="SELECT * FROM [cex_12]"/>
  </connection>
  <connection id="27" xr16:uid="{F03CD18D-1CB2-48D2-A743-4049FE104A30}" keepAlive="1" name="Requête - cli_01" description="Connexion à la requête « cli_01 » dans le classeur." type="5" refreshedVersion="8" background="1" saveData="1">
    <dbPr connection="Provider=Microsoft.Mashup.OleDb.1;Data Source=$Workbook$;Location=cli_01;Extended Properties=&quot;&quot;" command="SELECT * FROM [cli_01]"/>
  </connection>
  <connection id="28" xr16:uid="{44500C5F-BC1A-4994-918D-9B14B0699261}" keepAlive="1" name="Requête - cli_02" description="Connexion à la requête « cli_02 » dans le classeur." type="5" refreshedVersion="8" background="1" saveData="1">
    <dbPr connection="Provider=Microsoft.Mashup.OleDb.1;Data Source=$Workbook$;Location=cli_02;Extended Properties=&quot;&quot;" command="SELECT * FROM [cli_02]"/>
  </connection>
  <connection id="29" xr16:uid="{65D9A191-39B3-4891-9FEF-9E45B5249B35}" keepAlive="1" name="Requête - cli_03" description="Connexion à la requête « cli_03 » dans le classeur." type="5" refreshedVersion="8" background="1" saveData="1">
    <dbPr connection="Provider=Microsoft.Mashup.OleDb.1;Data Source=$Workbook$;Location=cli_03;Extended Properties=&quot;&quot;" command="SELECT * FROM [cli_03]"/>
  </connection>
  <connection id="30" xr16:uid="{A3099AA7-629E-43BA-8CCD-5BC2169423F7}" keepAlive="1" name="Requête - cli_04" description="Connexion à la requête « cli_04 » dans le classeur." type="5" refreshedVersion="8" background="1" saveData="1">
    <dbPr connection="Provider=Microsoft.Mashup.OleDb.1;Data Source=$Workbook$;Location=cli_04;Extended Properties=&quot;&quot;" command="SELECT * FROM [cli_04]"/>
  </connection>
  <connection id="31" xr16:uid="{DA8D7863-D0C7-429B-A057-EB1C320C6949}" keepAlive="1" name="Requête - cli_05" description="Connexion à la requête « cli_05 » dans le classeur." type="5" refreshedVersion="8" background="1" saveData="1">
    <dbPr connection="Provider=Microsoft.Mashup.OleDb.1;Data Source=$Workbook$;Location=cli_05;Extended Properties=&quot;&quot;" command="SELECT * FROM [cli_05]"/>
  </connection>
  <connection id="32" xr16:uid="{59D35C7A-E813-4AE5-9446-626FC2F93867}" keepAlive="1" name="Requête - cli_06" description="Connexion à la requête « cli_06 » dans le classeur." type="5" refreshedVersion="8" background="1" saveData="1">
    <dbPr connection="Provider=Microsoft.Mashup.OleDb.1;Data Source=$Workbook$;Location=cli_06;Extended Properties=&quot;&quot;" command="SELECT * FROM [cli_06]"/>
  </connection>
  <connection id="33" xr16:uid="{A480E590-7A74-4294-BF7C-F06E8B258BEC}" keepAlive="1" name="Requête - cli_07" description="Connexion à la requête « cli_07 » dans le classeur." type="5" refreshedVersion="8" background="1" saveData="1">
    <dbPr connection="Provider=Microsoft.Mashup.OleDb.1;Data Source=$Workbook$;Location=cli_07;Extended Properties=&quot;&quot;" command="SELECT * FROM [cli_07]"/>
  </connection>
  <connection id="34" xr16:uid="{E1A1129D-0AAC-42D7-9152-8F4DE4CB1D56}" keepAlive="1" name="Requête - cli_08" description="Connexion à la requête « cli_08 » dans le classeur." type="5" refreshedVersion="8" background="1" saveData="1">
    <dbPr connection="Provider=Microsoft.Mashup.OleDb.1;Data Source=$Workbook$;Location=cli_08;Extended Properties=&quot;&quot;" command="SELECT * FROM [cli_08]"/>
  </connection>
  <connection id="35" xr16:uid="{A9BDA6E6-DED6-4812-84BB-A4A0AE36C133}" keepAlive="1" name="Requête - cli_09" description="Connexion à la requête « cli_09 » dans le classeur." type="5" refreshedVersion="8" background="1" saveData="1">
    <dbPr connection="Provider=Microsoft.Mashup.OleDb.1;Data Source=$Workbook$;Location=cli_09;Extended Properties=&quot;&quot;" command="SELECT * FROM [cli_09]"/>
  </connection>
  <connection id="36" xr16:uid="{F971CABE-27F8-46D9-B734-CC31DFF8DD5B}" keepAlive="1" name="Requête - cli_10" description="Connexion à la requête « cli_10 » dans le classeur." type="5" refreshedVersion="8" background="1" saveData="1">
    <dbPr connection="Provider=Microsoft.Mashup.OleDb.1;Data Source=$Workbook$;Location=cli_10;Extended Properties=&quot;&quot;" command="SELECT * FROM [cli_10]"/>
  </connection>
  <connection id="37" xr16:uid="{C4D2B118-5750-4E55-B81C-E7A4C7CCD60E}" keepAlive="1" name="Requête - cli_11" description="Connexion à la requête « cli_11 » dans le classeur." type="5" refreshedVersion="8" background="1" saveData="1">
    <dbPr connection="Provider=Microsoft.Mashup.OleDb.1;Data Source=$Workbook$;Location=cli_11;Extended Properties=&quot;&quot;" command="SELECT * FROM [cli_11]"/>
  </connection>
  <connection id="38" xr16:uid="{C68D07AF-7EBA-44F3-B006-99F5C7421F3B}" keepAlive="1" name="Requête - cli_13" description="Connexion à la requête « cli_13 » dans le classeur." type="5" refreshedVersion="8" background="1" saveData="1">
    <dbPr connection="Provider=Microsoft.Mashup.OleDb.1;Data Source=$Workbook$;Location=cli_13;Extended Properties=&quot;&quot;" command="SELECT * FROM [cli_13]"/>
  </connection>
  <connection id="39" xr16:uid="{466C12BD-C827-42D8-9773-3D7AA34252B8}" keepAlive="1" name="Requête - cli_14" description="Connexion à la requête « cli_14 » dans le classeur." type="5" refreshedVersion="8" background="1" saveData="1">
    <dbPr connection="Provider=Microsoft.Mashup.OleDb.1;Data Source=$Workbook$;Location=cli_14;Extended Properties=&quot;&quot;" command="SELECT * FROM [cli_14]"/>
  </connection>
  <connection id="40" xr16:uid="{0A175B67-45A8-49D3-9C79-D1532A8296B3}" keepAlive="1" name="Requête - cli_15" description="Connexion à la requête « cli_15 » dans le classeur." type="5" refreshedVersion="8" background="1" saveData="1">
    <dbPr connection="Provider=Microsoft.Mashup.OleDb.1;Data Source=$Workbook$;Location=cli_15;Extended Properties=&quot;&quot;" command="SELECT * FROM [cli_15]"/>
  </connection>
  <connection id="41" xr16:uid="{038177C3-24E7-47F0-89B9-723436FE0703}" keepAlive="1" name="Requête - cli_16" description="Connexion à la requête « cli_16 » dans le classeur." type="5" refreshedVersion="8" background="1" saveData="1">
    <dbPr connection="Provider=Microsoft.Mashup.OleDb.1;Data Source=$Workbook$;Location=cli_16;Extended Properties=&quot;&quot;" command="SELECT * FROM [cli_16]"/>
  </connection>
  <connection id="42" xr16:uid="{6B0BBD20-61E4-4D9E-A82A-5E04BB159619}" keepAlive="1" name="Requête - cli_17" description="Connexion à la requête « cli_17 » dans le classeur." type="5" refreshedVersion="8" background="1" saveData="1">
    <dbPr connection="Provider=Microsoft.Mashup.OleDb.1;Data Source=$Workbook$;Location=cli_17;Extended Properties=&quot;&quot;" command="SELECT * FROM [cli_17]"/>
  </connection>
  <connection id="43" xr16:uid="{4D4D6816-D518-49E7-8B24-D70892966481}" keepAlive="1" name="Requête - cli_19" description="Connexion à la requête « cli_19 » dans le classeur." type="5" refreshedVersion="8" background="1" saveData="1">
    <dbPr connection="Provider=Microsoft.Mashup.OleDb.1;Data Source=$Workbook$;Location=cli_19;Extended Properties=&quot;&quot;" command="SELECT * FROM [cli_19]"/>
  </connection>
  <connection id="44" xr16:uid="{C905856A-CB7E-482C-B8C6-7E24063DC26A}" keepAlive="1" name="Requête - cli_20" description="Connexion à la requête « cli_20 » dans le classeur." type="5" refreshedVersion="8" background="1" saveData="1">
    <dbPr connection="Provider=Microsoft.Mashup.OleDb.1;Data Source=$Workbook$;Location=cli_20;Extended Properties=&quot;&quot;" command="SELECT * FROM [cli_20]"/>
  </connection>
  <connection id="45" xr16:uid="{6EFCF85F-3756-487F-89A4-3A3218536E56}" keepAlive="1" name="Requête - cli_21" description="Connexion à la requête « cli_21 » dans le classeur." type="5" refreshedVersion="8" background="1" saveData="1">
    <dbPr connection="Provider=Microsoft.Mashup.OleDb.1;Data Source=$Workbook$;Location=cli_21;Extended Properties=&quot;&quot;" command="SELECT * FROM [cli_21]"/>
  </connection>
  <connection id="46" xr16:uid="{AE70596F-441B-4609-82A3-82714C570F70}" keepAlive="1" name="Requête - cli_22" description="Connexion à la requête « cli_22 » dans le classeur." type="5" refreshedVersion="8" background="1" saveData="1">
    <dbPr connection="Provider=Microsoft.Mashup.OleDb.1;Data Source=$Workbook$;Location=cli_22;Extended Properties=&quot;&quot;" command="SELECT * FROM [cli_22]"/>
  </connection>
  <connection id="47" xr16:uid="{D33BB2BC-B75F-4BD3-B6F2-34BE9C056494}" keepAlive="1" name="Requête - cli_23" description="Connexion à la requête « cli_23 » dans le classeur." type="5" refreshedVersion="8" background="1" saveData="1">
    <dbPr connection="Provider=Microsoft.Mashup.OleDb.1;Data Source=$Workbook$;Location=cli_23;Extended Properties=&quot;&quot;" command="SELECT * FROM [cli_23]"/>
  </connection>
  <connection id="48" xr16:uid="{0C410CDD-2585-4A2B-8978-04A3F335F318}" keepAlive="1" name="Requête - cli_24" description="Connexion à la requête « cli_24 » dans le classeur." type="5" refreshedVersion="8" background="1" saveData="1">
    <dbPr connection="Provider=Microsoft.Mashup.OleDb.1;Data Source=$Workbook$;Location=cli_24;Extended Properties=&quot;&quot;" command="SELECT * FROM [cli_24]"/>
  </connection>
  <connection id="49" xr16:uid="{5F77C210-F4E8-469A-902A-583B6ACD6873}" keepAlive="1" name="Requête - cli_25" description="Connexion à la requête « cli_25 » dans le classeur." type="5" refreshedVersion="8" background="1" saveData="1">
    <dbPr connection="Provider=Microsoft.Mashup.OleDb.1;Data Source=$Workbook$;Location=cli_25;Extended Properties=&quot;&quot;" command="SELECT * FROM [cli_25]"/>
  </connection>
  <connection id="50" xr16:uid="{67F163FD-370A-4719-B882-76322ED1DD63}" keepAlive="1" name="Requête - cli_26" description="Connexion à la requête « cli_26 » dans le classeur." type="5" refreshedVersion="8" background="1" saveData="1">
    <dbPr connection="Provider=Microsoft.Mashup.OleDb.1;Data Source=$Workbook$;Location=cli_26;Extended Properties=&quot;&quot;" command="SELECT * FROM [cli_26]"/>
  </connection>
  <connection id="51" xr16:uid="{225DEDFE-E58A-4B0B-90E1-08B62EBB675D}" keepAlive="1" name="Requête - cli_27" description="Connexion à la requête « cli_27 » dans le classeur." type="5" refreshedVersion="8" background="1" saveData="1">
    <dbPr connection="Provider=Microsoft.Mashup.OleDb.1;Data Source=$Workbook$;Location=cli_27;Extended Properties=&quot;&quot;" command="SELECT * FROM [cli_27]"/>
  </connection>
  <connection id="52" xr16:uid="{461EC907-720C-4F18-9F56-1BAC56B075C5}" keepAlive="1" name="Requête - cli_28" description="Connexion à la requête « cli_28 » dans le classeur." type="5" refreshedVersion="8" background="1" saveData="1">
    <dbPr connection="Provider=Microsoft.Mashup.OleDb.1;Data Source=$Workbook$;Location=cli_28;Extended Properties=&quot;&quot;" command="SELECT * FROM [cli_28]"/>
  </connection>
  <connection id="53" xr16:uid="{8B899D14-8F80-4D91-9969-A3EC45834347}" keepAlive="1" name="Requête - cli_29" description="Connexion à la requête « cli_29 » dans le classeur." type="5" refreshedVersion="8" background="1" saveData="1">
    <dbPr connection="Provider=Microsoft.Mashup.OleDb.1;Data Source=$Workbook$;Location=cli_29;Extended Properties=&quot;&quot;" command="SELECT * FROM [cli_29]"/>
  </connection>
  <connection id="54" xr16:uid="{A42D3A0C-FE33-4AF7-94E4-1891A0AC23E2}" keepAlive="1" name="Requête - cli_30" description="Connexion à la requête « cli_30 » dans le classeur." type="5" refreshedVersion="8" background="1" saveData="1">
    <dbPr connection="Provider=Microsoft.Mashup.OleDb.1;Data Source=$Workbook$;Location=cli_30;Extended Properties=&quot;&quot;" command="SELECT * FROM [cli_30]"/>
  </connection>
  <connection id="55" xr16:uid="{6370BA68-A91C-4A64-A98E-DC81C64998A2}" keepAlive="1" name="Requête - cli_34" description="Connexion à la requête « cli_34 » dans le classeur." type="5" refreshedVersion="8" background="1" saveData="1">
    <dbPr connection="Provider=Microsoft.Mashup.OleDb.1;Data Source=$Workbook$;Location=cli_34;Extended Properties=&quot;&quot;" command="SELECT * FROM [cli_34]"/>
  </connection>
  <connection id="56" xr16:uid="{D07E997B-75FA-4EA5-AF50-EFEB54C566B7}" keepAlive="1" name="Requête - coherence_inventaire_synthese_01" description="Connexion à la requête « coherence_inventaire_synthese_01 » dans le classeur." type="5" refreshedVersion="8" background="1" saveData="1">
    <dbPr connection="Provider=Microsoft.Mashup.OleDb.1;Data Source=$Workbook$;Location=coherence_inventaire_synthese_01;Extended Properties=&quot;&quot;" command="SELECT * FROM [coherence_inventaire_synthese_01]"/>
  </connection>
  <connection id="57" xr16:uid="{4549A087-1A72-4D19-AE9C-C4588348F46C}" keepAlive="1" name="Requête - coherence_inventaire_synthese_02" description="Connexion à la requête « coherence_inventaire_synthese_02 » dans le classeur." type="5" refreshedVersion="8" background="1" saveData="1">
    <dbPr connection="Provider=Microsoft.Mashup.OleDb.1;Data Source=$Workbook$;Location=coherence_inventaire_synthese_02;Extended Properties=&quot;&quot;" command="SELECT * FROM [coherence_inventaire_synthese_02]"/>
  </connection>
  <connection id="58" xr16:uid="{6A5DA721-D73B-405B-9214-F611788BC264}" keepAlive="1" name="Requête - coherence_inventaire_synthese_03" description="Connexion à la requête « coherence_inventaire_synthese_03 » dans le classeur." type="5" refreshedVersion="8" background="1" saveData="1">
    <dbPr connection="Provider=Microsoft.Mashup.OleDb.1;Data Source=$Workbook$;Location=coherence_inventaire_synthese_03;Extended Properties=&quot;&quot;" command="SELECT * FROM [coherence_inventaire_synthese_03]"/>
  </connection>
  <connection id="59" xr16:uid="{9188C197-E186-4576-AB98-32F3B45268C9}" keepAlive="1" name="Requête - coherence_inventaire_synthese_04" description="Connexion à la requête « coherence_inventaire_synthese_04 » dans le classeur." type="5" refreshedVersion="8" background="1" saveData="1">
    <dbPr connection="Provider=Microsoft.Mashup.OleDb.1;Data Source=$Workbook$;Location=coherence_inventaire_synthese_04;Extended Properties=&quot;&quot;" command="SELECT * FROM [coherence_inventaire_synthese_04]"/>
  </connection>
  <connection id="60" xr16:uid="{9B8540F1-6CE3-41E1-B548-B3DDFE0B71CF}" keepAlive="1" name="Requête - coherence_inventaire_synthese_05" description="Connexion à la requête « coherence_inventaire_synthese_05 » dans le classeur." type="5" refreshedVersion="8" background="1" saveData="1">
    <dbPr connection="Provider=Microsoft.Mashup.OleDb.1;Data Source=$Workbook$;Location=coherence_inventaire_synthese_05;Extended Properties=&quot;&quot;" command="SELECT * FROM [coherence_inventaire_synthese_05]"/>
  </connection>
  <connection id="61" xr16:uid="{9D29B48A-1289-4838-B93E-5710EA379BA8}" keepAlive="1" name="Requête - coherence_inventaire_synthese_06" description="Connexion à la requête « coherence_inventaire_synthese_06 » dans le classeur." type="5" refreshedVersion="8" background="1" saveData="1">
    <dbPr connection="Provider=Microsoft.Mashup.OleDb.1;Data Source=$Workbook$;Location=coherence_inventaire_synthese_06;Extended Properties=&quot;&quot;" command="SELECT * FROM [coherence_inventaire_synthese_06]"/>
  </connection>
  <connection id="62" xr16:uid="{DDBC40A5-296E-497F-872E-80FC336E8BF6}" keepAlive="1" name="Requête - donnees_crac" description="Connexion à la requête « donnees_crac » dans le classeur." type="5" refreshedVersion="8" background="1" saveData="1">
    <dbPr connection="Provider=Microsoft.Mashup.OleDb.1;Data Source=$Workbook$;Location=donnees_crac;Extended Properties=&quot;&quot;" command="SELECT * FROM [donnees_crac]"/>
  </connection>
  <connection id="63" xr16:uid="{55C718BA-7D3C-4550-931F-B1D8315CD1A6}" keepAlive="1" name="Requête - evolution_bt_par_materiaux" description="Connexion à la requête « evolution_bt_par_materiaux » dans le classeur." type="5" refreshedVersion="8" background="1" saveData="1">
    <dbPr connection="Provider=Microsoft.Mashup.OleDb.1;Data Source=$Workbook$;Location=evolution_bt_par_materiaux;Extended Properties=&quot;&quot;" command="SELECT * FROM [evolution_bt_par_materiaux]"/>
  </connection>
  <connection id="64" xr16:uid="{FF1B3BC0-F338-4446-B71E-F388FD06DA59}" keepAlive="1" name="Requête - evolution_bt_par_typologie" description="Connexion à la requête « evolution_bt_par_typologie » dans le classeur." type="5" refreshedVersion="8" background="1" saveData="1">
    <dbPr connection="Provider=Microsoft.Mashup.OleDb.1;Data Source=$Workbook$;Location=evolution_bt_par_typologie;Extended Properties=&quot;&quot;" command="SELECT * FROM [evolution_bt_par_typologie]"/>
  </connection>
  <connection id="65" xr16:uid="{233F7B4B-2989-4282-BB2F-5DA640C0C374}" keepAlive="1" name="Requête - evolution_hta_par_materiaux" description="Connexion à la requête « evolution_hta_par_materiaux » dans le classeur." type="5" refreshedVersion="8" background="1" saveData="1">
    <dbPr connection="Provider=Microsoft.Mashup.OleDb.1;Data Source=$Workbook$;Location=evolution_hta_par_materiaux;Extended Properties=&quot;&quot;" command="SELECT * FROM [evolution_hta_par_materiaux]"/>
  </connection>
  <connection id="66" xr16:uid="{C9CA190F-6A6F-4CC0-9311-4FCFC5380E0E}" keepAlive="1" name="Requête - evolution_hta_par_typologie" description="Connexion à la requête « evolution_hta_par_typologie » dans le classeur." type="5" refreshedVersion="8" background="1" saveData="1">
    <dbPr connection="Provider=Microsoft.Mashup.OleDb.1;Data Source=$Workbook$;Location=evolution_hta_par_typologie;Extended Properties=&quot;&quot;" command="SELECT * FROM [evolution_hta_par_typologie]"/>
  </connection>
  <connection id="67" xr16:uid="{C7487606-E5A2-47FC-94A8-D5E9C337B879}" keepAlive="1" name="Requête - evolution_postes_par_typologie" description="Connexion à la requête « evolution_postes_par_typologie » dans le classeur." type="5" refreshedVersion="8" background="1" saveData="1">
    <dbPr connection="Provider=Microsoft.Mashup.OleDb.1;Data Source=$Workbook$;Location=evolution_postes_par_typologie;Extended Properties=&quot;&quot;" command="SELECT * FROM [evolution_postes_par_typologie]"/>
  </connection>
  <connection id="68" xr16:uid="{48567D53-B22E-464F-A531-51ADD25AA178}" keepAlive="1" name="Requête - evolution_transfos" description="Connexion à la requête « evolution_transfos » dans le classeur." type="5" refreshedVersion="8" background="1" saveData="1">
    <dbPr connection="Provider=Microsoft.Mashup.OleDb.1;Data Source=$Workbook$;Location=evolution_transfos;Extended Properties=&quot;&quot;" command="SELECT * FROM [evolution_transfos]"/>
  </connection>
  <connection id="69" xr16:uid="{815D8545-4C6F-4A03-80A4-330AC7F55F71}" keepAlive="1" name="Requête - inc_01" description="Connexion à la requête « inc_01 » dans le classeur." type="5" refreshedVersion="8" background="1" saveData="1">
    <dbPr connection="Provider=Microsoft.Mashup.OleDb.1;Data Source=$Workbook$;Location=inc_01;Extended Properties=&quot;&quot;" command="SELECT * FROM [inc_01]"/>
  </connection>
  <connection id="70" xr16:uid="{9C084A8A-C1C1-4526-B0A6-E55DCED9C78A}" name="Requête - inc_02_hix" description="Connexion à la requête « inc_02_hix » dans le classeur." type="100" refreshedVersion="8" minRefreshableVersion="5">
    <extLst>
      <ext xmlns:x15="http://schemas.microsoft.com/office/spreadsheetml/2010/11/main" uri="{DE250136-89BD-433C-8126-D09CA5730AF9}">
        <x15:connection id="d4a94a64-5eef-4ced-ba6e-ce58e5459511"/>
      </ext>
    </extLst>
  </connection>
  <connection id="71" xr16:uid="{5E679D67-9C19-4941-B47B-686C6F3A7F71}" name="Requête - inc_02_nationale" description="Connexion à la requête « inc_02_nationale » dans le classeur." type="100" refreshedVersion="8" minRefreshableVersion="5">
    <extLst>
      <ext xmlns:x15="http://schemas.microsoft.com/office/spreadsheetml/2010/11/main" uri="{DE250136-89BD-433C-8126-D09CA5730AF9}">
        <x15:connection id="13eece7a-9bc4-483f-8c5b-42225d1f8081"/>
      </ext>
    </extLst>
  </connection>
  <connection id="72" xr16:uid="{874ECC81-54AA-4AAB-AC66-4ED50FB841CC}" keepAlive="1" name="Requête - inc_02_tcc" description="Connexion à la requête « inc_02_tcc » dans le classeur." type="5" refreshedVersion="8" background="1" saveData="1">
    <dbPr connection="Provider=Microsoft.Mashup.OleDb.1;Data Source=$Workbook$;Location=inc_02_tcc;Extended Properties=&quot;&quot;" command="SELECT * FROM [inc_02_tcc]"/>
  </connection>
  <connection id="73" xr16:uid="{F762ADAA-D7AB-41E9-A9B6-C082ECDD8D7F}" keepAlive="1" name="Requête - inc_03" description="Connexion à la requête « inc_03 » dans le classeur." type="5" refreshedVersion="8" background="1" saveData="1">
    <dbPr connection="Provider=Microsoft.Mashup.OleDb.1;Data Source=$Workbook$;Location=inc_03;Extended Properties=&quot;&quot;" command="SELECT * FROM [inc_03]"/>
  </connection>
  <connection id="74" xr16:uid="{BC3128C6-7A50-4FDF-BB0A-85D26F78FD14}" keepAlive="1" name="Requête - inc_03_face" description="Connexion à la requête « inc_03_face » dans le classeur." type="5" refreshedVersion="8" background="1" saveData="1">
    <dbPr connection="Provider=Microsoft.Mashup.OleDb.1;Data Source=$Workbook$;Location=inc_03_face;Extended Properties=&quot;&quot;" command="SELECT * FROM [inc_03_face]"/>
  </connection>
  <connection id="75" xr16:uid="{5E0A5C45-D87F-4797-8A42-643A9520771D}" keepAlive="1" name="Requête - inc_03_face_bt" description="Connexion à la requête « inc_03_face_bt » dans le classeur." type="5" refreshedVersion="8" background="1" saveData="1">
    <dbPr connection="Provider=Microsoft.Mashup.OleDb.1;Data Source=$Workbook$;Location=inc_03_face_bt;Extended Properties=&quot;&quot;" command="SELECT * FROM [inc_03_face_bt]"/>
  </connection>
  <connection id="76" xr16:uid="{8731DBD7-A0D8-4B61-8EDC-541621289955}" keepAlive="1" name="Requête - inc_04" description="Connexion à la requête « inc_04 » dans le classeur." type="5" refreshedVersion="8" background="1" saveData="1">
    <dbPr connection="Provider=Microsoft.Mashup.OleDb.1;Data Source=$Workbook$;Location=inc_04;Extended Properties=&quot;&quot;" command="SELECT * FROM [inc_04]"/>
  </connection>
  <connection id="77" xr16:uid="{64EC6940-9400-4490-83C8-1A6030C822B6}" keepAlive="1" name="Requête - inc_05" description="Connexion à la requête « inc_05 » dans le classeur." type="5" refreshedVersion="6" background="1" saveData="1">
    <dbPr connection="Provider=Microsoft.Mashup.OleDb.1;Data Source=$Workbook$;Location=inc_05;Extended Properties=&quot;&quot;" command="SELECT * FROM [inc_05]"/>
  </connection>
  <connection id="78" xr16:uid="{85B5A4C6-02FA-4EA2-9BDB-83BE3D3EAF87}" keepAlive="1" name="Requête - inc_05_amont" description="Connexion à la requête « inc_05_amont » dans le classeur." type="5" refreshedVersion="8" background="1" saveData="1">
    <dbPr connection="Provider=Microsoft.Mashup.OleDb.1;Data Source=$Workbook$;Location=inc_05_amont;Extended Properties=&quot;&quot;" command="SELECT * FROM [inc_05_amont]"/>
  </connection>
  <connection id="79" xr16:uid="{559BC9FA-5396-4F3D-9716-45E8CFD11D9E}" keepAlive="1" name="Requête - inc_05_bt" description="Connexion à la requête « inc_05_bt » dans le classeur." type="5" refreshedVersion="8" background="1" saveData="1">
    <dbPr connection="Provider=Microsoft.Mashup.OleDb.1;Data Source=$Workbook$;Location=inc_05_bt;Extended Properties=&quot;&quot;" command="SELECT * FROM [inc_05_bt]"/>
  </connection>
  <connection id="80" xr16:uid="{5A03A1D2-832D-4B0D-A734-1A116BD02ED3}" keepAlive="1" name="Requête - inc_05_hta" description="Connexion à la requête « inc_05_hta » dans le classeur." type="5" refreshedVersion="8" background="1" saveData="1">
    <dbPr connection="Provider=Microsoft.Mashup.OleDb.1;Data Source=$Workbook$;Location=inc_05_hta;Extended Properties=&quot;&quot;" command="SELECT * FROM [inc_05_hta]"/>
  </connection>
  <connection id="81" xr16:uid="{9D839FDF-D154-4145-B3C0-9C443DC8CC3B}" keepAlive="1" name="Requête - inc_06" description="Connexion à la requête « inc_06 » dans le classeur." type="5" refreshedVersion="8" background="1" saveData="1">
    <dbPr connection="Provider=Microsoft.Mashup.OleDb.1;Data Source=$Workbook$;Location=inc_06;Extended Properties=&quot;&quot;" command="SELECT * FROM [inc_06]"/>
  </connection>
  <connection id="82" xr16:uid="{D09E2F01-6D04-4DF7-BED7-FC37FA4F4531}" keepAlive="1" name="Requête - inc_07" description="Connexion à la requête « inc_07 » dans le classeur." type="5" refreshedVersion="8" background="1" saveData="1">
    <dbPr connection="Provider=Microsoft.Mashup.OleDb.1;Data Source=$Workbook$;Location=inc_07;Extended Properties=&quot;&quot;" command="SELECT * FROM [inc_07]"/>
  </connection>
  <connection id="83" xr16:uid="{7976CD89-36E1-41C6-B1FD-AFEA762F4EA1}" keepAlive="1" name="Requête - inc_08" description="Connexion à la requête « inc_08 » dans le classeur." type="5" refreshedVersion="8" background="1" saveData="1">
    <dbPr connection="Provider=Microsoft.Mashup.OleDb.1;Data Source=$Workbook$;Location=inc_08;Extended Properties=&quot;&quot;" command="SELECT * FROM [inc_08]"/>
  </connection>
  <connection id="84" xr16:uid="{106021AA-1FE3-4DB6-8674-FC607F442E00}" keepAlive="1" name="Requête - inc_09" description="Connexion à la requête « inc_09 » dans le classeur." type="5" refreshedVersion="8" background="1" saveData="1">
    <dbPr connection="Provider=Microsoft.Mashup.OleDb.1;Data Source=$Workbook$;Location=inc_09;Extended Properties=&quot;&quot;" command="SELECT * FROM [inc_09]"/>
  </connection>
  <connection id="85" xr16:uid="{B8A96805-6549-4CB8-A089-4C8DE557F6C0}" keepAlive="1" name="Requête - inc_10" description="Connexion à la requête « inc_10 » dans le classeur." type="5" refreshedVersion="8" background="1" saveData="1">
    <dbPr connection="Provider=Microsoft.Mashup.OleDb.1;Data Source=$Workbook$;Location=inc_10;Extended Properties=&quot;&quot;" command="SELECT * FROM [inc_10]"/>
  </connection>
  <connection id="86" xr16:uid="{A93A22D7-3C62-452C-9A80-1CCCE67794EB}" keepAlive="1" name="Requête - inc_12" description="Connexion à la requête « inc_12 » dans le classeur." type="5" refreshedVersion="8" background="1" saveData="1">
    <dbPr connection="Provider=Microsoft.Mashup.OleDb.1;Data Source=$Workbook$;Location=inc_12;Extended Properties=&quot;&quot;" command="SELECT * FROM [inc_12]"/>
  </connection>
  <connection id="87" xr16:uid="{2CC2BD08-84F8-4A74-AB2E-40AEE3E56EC7}" keepAlive="1" name="Requête - inc_12_elagage" description="Connexion à la requête « inc_12_elagage » dans le classeur." type="5" refreshedVersion="8" background="1" saveData="1">
    <dbPr connection="Provider=Microsoft.Mashup.OleDb.1;Data Source=$Workbook$;Location=inc_12_elagage;Extended Properties=&quot;&quot;" command="SELECT * FROM [inc_12_elagage]"/>
  </connection>
  <connection id="88" xr16:uid="{76F1AE48-E745-4C18-BCAD-99E233E43856}" keepAlive="1" name="Requête - inc_12_face" description="Connexion à la requête « inc_12_face » dans le classeur." type="5" refreshedVersion="8" background="1" saveData="1">
    <dbPr connection="Provider=Microsoft.Mashup.OleDb.1;Data Source=$Workbook$;Location=inc_12_face;Extended Properties=&quot;&quot;" command="SELECT * FROM [inc_12_face]"/>
  </connection>
  <connection id="89" xr16:uid="{89458FC7-9382-496B-9D20-3541A6FE4494}" keepAlive="1" name="Requête - inc_13_inc" description="Connexion à la requête « inc_13_inc » dans le classeur." type="5" refreshedVersion="8" background="1" saveData="1">
    <dbPr connection="Provider=Microsoft.Mashup.OleDb.1;Data Source=$Workbook$;Location=inc_13_inc;Extended Properties=&quot;&quot;" command="SELECT * FROM [inc_13_inc]"/>
  </connection>
  <connection id="90" xr16:uid="{556B2B51-0E6F-42CF-BB54-FE2937BDDA69}" keepAlive="1" name="Requête - inc_13_trv" description="Connexion à la requête « inc_13_trv » dans le classeur." type="5" refreshedVersion="8" background="1" saveData="1">
    <dbPr connection="Provider=Microsoft.Mashup.OleDb.1;Data Source=$Workbook$;Location=inc_13_trv;Extended Properties=&quot;&quot;" command="SELECT * FROM [inc_13_trv]"/>
  </connection>
  <connection id="91" xr16:uid="{299B91FD-9D6D-443B-BF11-A7725F2613DD}" keepAlive="1" name="Requête - pat_fin_01" description="Connexion à la requête « pat_fin_01 » dans le classeur." type="5" refreshedVersion="8" background="1" saveData="1">
    <dbPr connection="Provider=Microsoft.Mashup.OleDb.1;Data Source=$Workbook$;Location=pat_fin_01;Extended Properties=&quot;&quot;" command="SELECT * FROM [pat_fin_01]"/>
  </connection>
  <connection id="92" xr16:uid="{2A9904FD-05DE-4501-947C-B8964492B69D}" keepAlive="1" name="Requête - pat_fin_02" description="Connexion à la requête « pat_fin_02 » dans le classeur." type="5" refreshedVersion="8" background="1" saveData="1">
    <dbPr connection="Provider=Microsoft.Mashup.OleDb.1;Data Source=$Workbook$;Location=pat_fin_02;Extended Properties=&quot;&quot;" command="SELECT * FROM [pat_fin_02]"/>
  </connection>
  <connection id="93" xr16:uid="{A7E09D04-6A6E-495B-8F41-9494841E9906}" keepAlive="1" name="Requête - pat_fin_03" description="Connexion à la requête « pat_fin_03 » dans le classeur." type="5" refreshedVersion="8" background="1" saveData="1">
    <dbPr connection="Provider=Microsoft.Mashup.OleDb.1;Data Source=$Workbook$;Location=pat_fin_03;Extended Properties=&quot;&quot;" command="SELECT * FROM [pat_fin_03]"/>
  </connection>
  <connection id="94" xr16:uid="{0972D972-F6C7-4535-B11E-875EA2769393}" keepAlive="1" name="Requête - pat_fin_04" description="Connexion à la requête « pat_fin_04 » dans le classeur." type="5" refreshedVersion="8" background="1" saveData="1">
    <dbPr connection="Provider=Microsoft.Mashup.OleDb.1;Data Source=$Workbook$;Location=pat_fin_04;Extended Properties=&quot;&quot;" command="SELECT * FROM [pat_fin_04]"/>
  </connection>
  <connection id="95" xr16:uid="{D05CA580-1F13-4892-AF9B-253718A7F499}" keepAlive="1" name="Requête - pat_fin_05" description="Connexion à la requête « pat_fin_05 » dans le classeur." type="5" refreshedVersion="8" background="1" saveData="1">
    <dbPr connection="Provider=Microsoft.Mashup.OleDb.1;Data Source=$Workbook$;Location=pat_fin_05;Extended Properties=&quot;&quot;" command="SELECT * FROM [pat_fin_05]"/>
  </connection>
  <connection id="96" xr16:uid="{C03EB87A-8668-4F09-BF60-4A6F2A349457}" keepAlive="1" name="Requête - pat_fin_06" description="Connexion à la requête « pat_fin_06 » dans le classeur." type="5" refreshedVersion="8" background="1" saveData="1">
    <dbPr connection="Provider=Microsoft.Mashup.OleDb.1;Data Source=$Workbook$;Location=pat_fin_06;Extended Properties=&quot;&quot;" command="SELECT * FROM [pat_fin_06]"/>
  </connection>
  <connection id="97" xr16:uid="{E80F936D-161D-405A-9652-E0DE60294B2C}" keepAlive="1" name="Requête - pat_fin_07" description="Connexion à la requête « pat_fin_07 » dans le classeur." type="5" refreshedVersion="8" background="1" saveData="1">
    <dbPr connection="Provider=Microsoft.Mashup.OleDb.1;Data Source=$Workbook$;Location=pat_fin_07;Extended Properties=&quot;&quot;" command="SELECT * FROM [pat_fin_07]"/>
  </connection>
  <connection id="98" xr16:uid="{9D9D70BD-035A-4BFA-B6F7-BF9556830B70}" keepAlive="1" name="Requête - pat_fin_08" description="Connexion à la requête « pat_fin_08 » dans le classeur." type="5" refreshedVersion="8" background="1" saveData="1">
    <dbPr connection="Provider=Microsoft.Mashup.OleDb.1;Data Source=$Workbook$;Location=pat_fin_08;Extended Properties=&quot;&quot;" command="SELECT * FROM [pat_fin_08]"/>
  </connection>
  <connection id="99" xr16:uid="{9083BB63-CC2F-4A55-AC1B-DEE435F17C94}" keepAlive="1" name="Requête - pat_fin_09" description="Connexion à la requête « pat_fin_09 » dans le classeur." type="5" refreshedVersion="8" background="1" saveData="1">
    <dbPr connection="Provider=Microsoft.Mashup.OleDb.1;Data Source=$Workbook$;Location=pat_fin_09;Extended Properties=&quot;&quot;" command="SELECT * FROM [pat_fin_09]"/>
  </connection>
  <connection id="100" xr16:uid="{5C16408F-DB24-4CF0-8641-16566D647570}" keepAlive="1" name="Requête - pat_fin_10" description="Connexion à la requête « pat_fin_10 » dans le classeur." type="5" refreshedVersion="8" background="1" saveData="1">
    <dbPr connection="Provider=Microsoft.Mashup.OleDb.1;Data Source=$Workbook$;Location=pat_fin_10;Extended Properties=&quot;&quot;" command="SELECT * FROM [pat_fin_10]"/>
  </connection>
  <connection id="101" xr16:uid="{95F1C43C-EAF8-43BE-BF7C-8405D3971CAB}" keepAlive="1" name="Requête - pat_fin_11" description="Connexion à la requête « pat_fin_11 » dans le classeur." type="5" refreshedVersion="8" background="1" saveData="1">
    <dbPr connection="Provider=Microsoft.Mashup.OleDb.1;Data Source=$Workbook$;Location=pat_fin_11;Extended Properties=&quot;&quot;" command="SELECT * FROM [pat_fin_11]"/>
  </connection>
  <connection id="102" xr16:uid="{4CEE3786-CB19-4FC7-810C-426935AF9DE7}" keepAlive="1" name="Requête - pat_fin_12" description="Connexion à la requête « pat_fin_12 » dans le classeur." type="5" refreshedVersion="8" background="1" saveData="1">
    <dbPr connection="Provider=Microsoft.Mashup.OleDb.1;Data Source=$Workbook$;Location=pat_fin_12;Extended Properties=&quot;&quot;" command="SELECT * FROM [pat_fin_12]"/>
  </connection>
  <connection id="103" xr16:uid="{6A043D6A-5CA8-40A7-B4EC-452FC6FBFA73}" keepAlive="1" name="Requête - pat_fin_12a" description="Connexion à la requête « pat_fin_12a » dans le classeur." type="5" refreshedVersion="8" background="1" saveData="1">
    <dbPr connection="Provider=Microsoft.Mashup.OleDb.1;Data Source=$Workbook$;Location=pat_fin_12a;Extended Properties=&quot;&quot;" command="SELECT * FROM [pat_fin_12a]"/>
  </connection>
  <connection id="104" xr16:uid="{2DB0ECE2-2E09-4AF5-BE57-907C658148DC}" keepAlive="1" name="Requête - pat_fin_13" description="Connexion à la requête « pat_fin_13 » dans le classeur." type="5" refreshedVersion="8" background="1" saveData="1">
    <dbPr connection="Provider=Microsoft.Mashup.OleDb.1;Data Source=$Workbook$;Location=pat_fin_13;Extended Properties=&quot;&quot;" command="SELECT * FROM [pat_fin_13]"/>
  </connection>
  <connection id="105" xr16:uid="{5311AFCD-4E34-4B7F-83C6-5781DB80CB96}" keepAlive="1" name="Requête - pat_sites_isoles" description="Connexion à la requête « pat_sites_isoles » dans le classeur." type="5" refreshedVersion="8" background="1" saveData="1">
    <dbPr connection="Provider=Microsoft.Mashup.OleDb.1;Data Source=$Workbook$;Location=pat_sites_isoles;Extended Properties=&quot;&quot;" command="SELECT * FROM [pat_sites_isoles]"/>
  </connection>
  <connection id="106" xr16:uid="{43029660-05BA-43E4-B802-254038480E2B}" keepAlive="1" name="Requête - pat_tech_branch_01" description="Connexion à la requête « pat_tech_branch_01 » dans le classeur." type="5" refreshedVersion="8" background="1" saveData="1">
    <dbPr connection="Provider=Microsoft.Mashup.OleDb.1;Data Source=$Workbook$;Location=pat_tech_branch_01;Extended Properties=&quot;&quot;" command="SELECT * FROM [pat_tech_branch_01]"/>
  </connection>
  <connection id="107" xr16:uid="{97520BA6-A9D1-4FF3-A88F-D88B88463238}" keepAlive="1" name="Requête - pat_tech_bt_01" description="Connexion à la requête « pat_tech_bt_01 » dans le classeur." type="5" refreshedVersion="8" background="1" saveData="1">
    <dbPr connection="Provider=Microsoft.Mashup.OleDb.1;Data Source=$Workbook$;Location=pat_tech_bt_01;Extended Properties=&quot;&quot;" command="SELECT * FROM [pat_tech_bt_01]"/>
  </connection>
  <connection id="108" xr16:uid="{ACBFD83D-BDA0-4671-B338-4A09A01E299A}" keepAlive="1" name="Requête - pat_tech_bt_01_face" description="Connexion à la requête « pat_tech_bt_01_face » dans le classeur." type="5" refreshedVersion="8" background="1" saveData="1">
    <dbPr connection="Provider=Microsoft.Mashup.OleDb.1;Data Source=$Workbook$;Location=pat_tech_bt_01_face;Extended Properties=&quot;&quot;" command="SELECT * FROM [pat_tech_bt_01_face]"/>
  </connection>
  <connection id="109" xr16:uid="{599D5C1D-5A57-47A8-999F-47E33E141587}" keepAlive="1" name="Requête - pat_tech_bt_02" description="Connexion à la requête « pat_tech_bt_02 » dans le classeur." type="5" refreshedVersion="8" background="1" saveData="1">
    <dbPr connection="Provider=Microsoft.Mashup.OleDb.1;Data Source=$Workbook$;Location=pat_tech_bt_02;Extended Properties=&quot;&quot;" command="SELECT * FROM [pat_tech_bt_02]"/>
  </connection>
  <connection id="110" xr16:uid="{B09917B0-63BF-4412-87A2-A54E2F2ACB0D}" keepAlive="1" name="Requête - pat_tech_bt_02_face" description="Connexion à la requête « pat_tech_bt_02_face » dans le classeur." type="5" refreshedVersion="8" background="1" saveData="1">
    <dbPr connection="Provider=Microsoft.Mashup.OleDb.1;Data Source=$Workbook$;Location=pat_tech_bt_02_face;Extended Properties=&quot;&quot;" command="SELECT * FROM [pat_tech_bt_02_face]"/>
  </connection>
  <connection id="111" xr16:uid="{DD22BB66-284C-420E-9427-59F9985851F3}" keepAlive="1" name="Requête - pat_tech_bt_03" description="Connexion à la requête « pat_tech_bt_03 » dans le classeur." type="5" refreshedVersion="8" background="1" saveData="1">
    <dbPr connection="Provider=Microsoft.Mashup.OleDb.1;Data Source=$Workbook$;Location=pat_tech_bt_03;Extended Properties=&quot;&quot;" command="SELECT * FROM [pat_tech_bt_03]"/>
  </connection>
  <connection id="112" xr16:uid="{CB4BD759-CE6E-468D-91EB-D9A6B8B14E7F}" keepAlive="1" name="Requête - pat_tech_bt_03_face" description="Connexion à la requête « pat_tech_bt_03_face » dans le classeur." type="5" refreshedVersion="8" background="1" saveData="1">
    <dbPr connection="Provider=Microsoft.Mashup.OleDb.1;Data Source=$Workbook$;Location=pat_tech_bt_03_face;Extended Properties=&quot;&quot;" command="SELECT * FROM [pat_tech_bt_03_face]"/>
  </connection>
  <connection id="113" xr16:uid="{AEE34ADE-825B-40F9-B859-CB51DD9DD21B}" keepAlive="1" name="Requête - pat_tech_bt_04" description="Connexion à la requête « pat_tech_bt_04 » dans le classeur." type="5" refreshedVersion="8" background="1" saveData="1">
    <dbPr connection="Provider=Microsoft.Mashup.OleDb.1;Data Source=$Workbook$;Location=pat_tech_bt_04;Extended Properties=&quot;&quot;" command="SELECT * FROM [pat_tech_bt_04]"/>
  </connection>
  <connection id="114" xr16:uid="{39CC29A9-A756-4B6B-82D4-B4983ED5DD88}" keepAlive="1" name="Requête - pat_tech_bt_04_ene" description="Connexion à la requête « pat_tech_bt_04_ene » dans le classeur." type="5" refreshedVersion="8" background="1" saveData="1">
    <dbPr connection="Provider=Microsoft.Mashup.OleDb.1;Data Source=$Workbook$;Location=pat_tech_bt_04_ene;Extended Properties=&quot;&quot;" command="SELECT * FROM [pat_tech_bt_04_ene]"/>
  </connection>
  <connection id="115" xr16:uid="{372DACC1-B38F-4C33-838D-B2614A09A605}" keepAlive="1" name="Requête - pat_tech_bt_04_ene_face" description="Connexion à la requête « pat_tech_bt_04_ene_face » dans le classeur." type="5" refreshedVersion="8" background="1" saveData="1">
    <dbPr connection="Provider=Microsoft.Mashup.OleDb.1;Data Source=$Workbook$;Location=pat_tech_bt_04_ene_face;Extended Properties=&quot;&quot;" command="SELECT * FROM [pat_tech_bt_04_ene_face]"/>
  </connection>
  <connection id="116" xr16:uid="{F4F56664-79B7-4D91-B80E-CE15AC974DC4}" keepAlive="1" name="Requête - pat_tech_bt_04_face" description="Connexion à la requête « pat_tech_bt_04_face » dans le classeur." type="5" refreshedVersion="8" background="1" saveData="1">
    <dbPr connection="Provider=Microsoft.Mashup.OleDb.1;Data Source=$Workbook$;Location=pat_tech_bt_04_face;Extended Properties=&quot;&quot;" command="SELECT * FROM [pat_tech_bt_04_face]"/>
  </connection>
  <connection id="117" xr16:uid="{FBB2951A-79D3-40A3-B2FB-D6A06925EACE}" keepAlive="1" name="Requête - pat_tech_bt_04_nat" description="Connexion à la requête « pat_tech_bt_04_nat » dans le classeur." type="5" refreshedVersion="8" background="1" saveData="1">
    <dbPr connection="Provider=Microsoft.Mashup.OleDb.1;Data Source=$Workbook$;Location=pat_tech_bt_04_nat;Extended Properties=&quot;&quot;" command="SELECT * FROM [pat_tech_bt_04_nat]"/>
  </connection>
  <connection id="118" xr16:uid="{DF73875B-1D9E-4A34-BB15-61927473640A}" keepAlive="1" name="Requête - pat_tech_bt_04b" description="Connexion à la requête « pat_tech_bt_04b » dans le classeur." type="5" refreshedVersion="8" background="1" saveData="1">
    <dbPr connection="Provider=Microsoft.Mashup.OleDb.1;Data Source=$Workbook$;Location=pat_tech_bt_04b;Extended Properties=&quot;&quot;" command="SELECT * FROM [pat_tech_bt_04b]"/>
  </connection>
  <connection id="119" xr16:uid="{EAA37151-675A-4198-9688-A6C808F18989}" keepAlive="1" name="Requête - pat_tech_bt_05" description="Connexion à la requête « pat_tech_bt_05 » dans le classeur." type="5" refreshedVersion="8" background="1" saveData="1">
    <dbPr connection="Provider=Microsoft.Mashup.OleDb.1;Data Source=$Workbook$;Location=pat_tech_bt_05;Extended Properties=&quot;&quot;" command="SELECT * FROM [pat_tech_bt_05]"/>
  </connection>
  <connection id="120" xr16:uid="{F8A894DD-0D30-4689-81E0-E7A99882CEC1}" keepAlive="1" name="Requête - pat_tech_bt_05_face" description="Connexion à la requête « pat_tech_bt_05_face » dans le classeur." type="5" refreshedVersion="8" background="1" saveData="1">
    <dbPr connection="Provider=Microsoft.Mashup.OleDb.1;Data Source=$Workbook$;Location=pat_tech_bt_05_face;Extended Properties=&quot;&quot;" command="SELECT * FROM [pat_tech_bt_05_face]"/>
  </connection>
  <connection id="121" xr16:uid="{95F16A12-E43D-42BC-BA36-9DC6A4AB1973}" keepAlive="1" name="Requête - pat_tech_bt_06" description="Connexion à la requête « pat_tech_bt_06 » dans le classeur." type="5" refreshedVersion="8" background="1" saveData="1">
    <dbPr connection="Provider=Microsoft.Mashup.OleDb.1;Data Source=$Workbook$;Location=pat_tech_bt_06;Extended Properties=&quot;&quot;" command="SELECT * FROM [pat_tech_bt_06]"/>
  </connection>
  <connection id="122" xr16:uid="{70B1B637-91E3-4661-A9E2-6172A7EE3BB2}" keepAlive="1" name="Requête - pat_tech_bt_06_face" description="Connexion à la requête « pat_tech_bt_06_face » dans le classeur." type="5" refreshedVersion="8" background="1" saveData="1">
    <dbPr connection="Provider=Microsoft.Mashup.OleDb.1;Data Source=$Workbook$;Location=pat_tech_bt_06_face;Extended Properties=&quot;&quot;" command="SELECT * FROM [pat_tech_bt_06_face]"/>
  </connection>
  <connection id="123" xr16:uid="{604136BE-36D3-4A73-9EAA-F685C1B8D92E}" keepAlive="1" name="Requête - pat_tech_bt_07" description="Connexion à la requête « pat_tech_bt_07 » dans le classeur." type="5" refreshedVersion="8" background="1" saveData="1">
    <dbPr connection="Provider=Microsoft.Mashup.OleDb.1;Data Source=$Workbook$;Location=pat_tech_bt_07;Extended Properties=&quot;&quot;" command="SELECT * FROM [pat_tech_bt_07]"/>
  </connection>
  <connection id="124" xr16:uid="{89CBD729-46D8-4737-8F22-4F14F8324308}" keepAlive="1" name="Requête - pat_tech_bt_07_face" description="Connexion à la requête « pat_tech_bt_07_face » dans le classeur." type="5" refreshedVersion="8" background="1" saveData="1">
    <dbPr connection="Provider=Microsoft.Mashup.OleDb.1;Data Source=$Workbook$;Location=pat_tech_bt_07_face;Extended Properties=&quot;&quot;" command="SELECT * FROM [pat_tech_bt_07_face]"/>
  </connection>
  <connection id="125" xr16:uid="{E7695A98-9CE8-4B87-8CEC-384FABCA3D97}" keepAlive="1" name="Requête - pat_tech_bt_08" description="Connexion à la requête « pat_tech_bt_08 » dans le classeur." type="5" refreshedVersion="8" background="1" saveData="1">
    <dbPr connection="Provider=Microsoft.Mashup.OleDb.1;Data Source=$Workbook$;Location=pat_tech_bt_08;Extended Properties=&quot;&quot;" command="SELECT * FROM [pat_tech_bt_08]"/>
  </connection>
  <connection id="126" xr16:uid="{96A80F09-B9E7-4B4C-B15B-38E5326944AB}" keepAlive="1" name="Requête - pat_tech_bt_08_face" description="Connexion à la requête « pat_tech_bt_08_face » dans le classeur." type="5" refreshedVersion="8" background="1" saveData="1">
    <dbPr connection="Provider=Microsoft.Mashup.OleDb.1;Data Source=$Workbook$;Location=pat_tech_bt_08_face;Extended Properties=&quot;&quot;" command="SELECT * FROM [pat_tech_bt_08_face]"/>
  </connection>
  <connection id="127" xr16:uid="{340888F0-F19E-4A69-84DE-9A7653A25351}" keepAlive="1" name="Requête - pat_tech_bt_09" description="Connexion à la requête « pat_tech_bt_09 » dans le classeur." type="5" refreshedVersion="8" background="1" saveData="1">
    <dbPr connection="Provider=Microsoft.Mashup.OleDb.1;Data Source=$Workbook$;Location=pat_tech_bt_09;Extended Properties=&quot;&quot;" command="SELECT * FROM [pat_tech_bt_09]"/>
  </connection>
  <connection id="128" xr16:uid="{C554EB06-BEFE-42B0-B8B1-8387821299D8}" keepAlive="1" name="Requête - pat_tech_bt_09_face" description="Connexion à la requête « pat_tech_bt_09_face » dans le classeur." type="5" refreshedVersion="8" background="1" saveData="1">
    <dbPr connection="Provider=Microsoft.Mashup.OleDb.1;Data Source=$Workbook$;Location=pat_tech_bt_09_face;Extended Properties=&quot;&quot;" command="SELECT * FROM [pat_tech_bt_09_face]"/>
  </connection>
  <connection id="129" xr16:uid="{F7714F1A-4889-4E5C-B1D6-580B14268903}" keepAlive="1" name="Requête - pat_tech_bt_10" description="Connexion à la requête « pat_tech_bt_10 » dans le classeur." type="5" refreshedVersion="8" background="1" saveData="1">
    <dbPr connection="Provider=Microsoft.Mashup.OleDb.1;Data Source=$Workbook$;Location=pat_tech_bt_10;Extended Properties=&quot;&quot;" command="SELECT * FROM [pat_tech_bt_10]"/>
  </connection>
  <connection id="130" xr16:uid="{E60662C8-7ADC-4F16-81DC-1B2C8989F632}" keepAlive="1" name="Requête - pat_tech_bt_10_face" description="Connexion à la requête « pat_tech_bt_10_face » dans le classeur." type="5" refreshedVersion="8" background="1" saveData="1">
    <dbPr connection="Provider=Microsoft.Mashup.OleDb.1;Data Source=$Workbook$;Location=pat_tech_bt_10_face;Extended Properties=&quot;&quot;" command="SELECT * FROM [pat_tech_bt_10_face]"/>
  </connection>
  <connection id="131" xr16:uid="{3D6CCF5E-144C-4ACC-8359-7392711EA0C7}" keepAlive="1" name="Requête - pat_tech_bt_12" description="Connexion à la requête « pat_tech_bt_12 » dans le classeur." type="5" refreshedVersion="8" background="1" saveData="1">
    <dbPr connection="Provider=Microsoft.Mashup.OleDb.1;Data Source=$Workbook$;Location=pat_tech_bt_12;Extended Properties=&quot;&quot;" command="SELECT * FROM [pat_tech_bt_12]"/>
  </connection>
  <connection id="132" xr16:uid="{400BE692-5BD8-4833-AC7C-4ADA1043CB71}" keepAlive="1" name="Requête - pat_tech_hta_01" description="Connexion à la requête « pat_tech_hta_01 » dans le classeur." type="5" refreshedVersion="8" background="1" saveData="1">
    <dbPr connection="Provider=Microsoft.Mashup.OleDb.1;Data Source=$Workbook$;Location=pat_tech_hta_01;Extended Properties=&quot;&quot;" command="SELECT * FROM [pat_tech_hta_01]"/>
  </connection>
  <connection id="133" xr16:uid="{2189783A-50D5-4E03-84D5-19DE5DCD67B9}" keepAlive="1" name="Requête - pat_tech_hta_02" description="Connexion à la requête « pat_tech_hta_02 » dans le classeur." type="5" refreshedVersion="8" background="1" saveData="1">
    <dbPr connection="Provider=Microsoft.Mashup.OleDb.1;Data Source=$Workbook$;Location=pat_tech_hta_02;Extended Properties=&quot;&quot;" command="SELECT * FROM [pat_tech_hta_02]"/>
  </connection>
  <connection id="134" xr16:uid="{5E54B71C-BACC-4AF9-9420-0D6716625983}" name="Requête - pat_tech_hta_03" description="Connexion à la requête « pat_tech_hta_03 » dans le classeur." type="100" refreshedVersion="8" minRefreshableVersion="5">
    <extLst>
      <ext xmlns:x15="http://schemas.microsoft.com/office/spreadsheetml/2010/11/main" uri="{DE250136-89BD-433C-8126-D09CA5730AF9}">
        <x15:connection id="e25bc906-ce89-4dec-87dd-024603a5b359"/>
      </ext>
    </extLst>
  </connection>
  <connection id="135" xr16:uid="{0E41D5E6-E1FA-47F1-AF85-B36832716625}" keepAlive="1" name="Requête - pat_tech_hta_04" description="Connexion à la requête « pat_tech_hta_04 » dans le classeur." type="5" refreshedVersion="8" background="1" saveData="1">
    <dbPr connection="Provider=Microsoft.Mashup.OleDb.1;Data Source=$Workbook$;Location=pat_tech_hta_04;Extended Properties=&quot;&quot;" command="SELECT * FROM [pat_tech_hta_04]"/>
  </connection>
  <connection id="136" xr16:uid="{EB89B0FF-0E4D-479B-8292-4F4987978A23}" keepAlive="1" name="Requête - pat_tech_hta_05" description="Connexion à la requête « pat_tech_hta_05 » dans le classeur." type="5" refreshedVersion="8" background="1" saveData="1">
    <dbPr connection="Provider=Microsoft.Mashup.OleDb.1;Data Source=$Workbook$;Location=pat_tech_hta_05;Extended Properties=&quot;&quot;" command="SELECT * FROM [pat_tech_hta_05]"/>
  </connection>
  <connection id="137" xr16:uid="{D92FFF61-CB8C-4AC6-AC4A-9041FE74A9DB}" keepAlive="1" name="Requête - pat_tech_hta_06" description="Connexion à la requête « pat_tech_hta_06 » dans le classeur." type="5" refreshedVersion="8" background="1" saveData="1">
    <dbPr connection="Provider=Microsoft.Mashup.OleDb.1;Data Source=$Workbook$;Location=pat_tech_hta_06;Extended Properties=&quot;&quot;" command="SELECT * FROM [pat_tech_hta_06]"/>
  </connection>
  <connection id="138" xr16:uid="{D397666B-2F73-4740-B367-4A877E87CB5C}" keepAlive="1" name="Requête - pat_tech_hta_07" description="Connexion à la requête « pat_tech_hta_07 » dans le classeur." type="5" refreshedVersion="8" background="1" saveData="1">
    <dbPr connection="Provider=Microsoft.Mashup.OleDb.1;Data Source=$Workbook$;Location=pat_tech_hta_07;Extended Properties=&quot;&quot;" command="SELECT * FROM [pat_tech_hta_07]"/>
  </connection>
  <connection id="139" xr16:uid="{40A72B38-D768-47DA-97F3-564CC1C65FA8}" keepAlive="1" name="Requête - pat_tech_hta_08" description="Connexion à la requête « pat_tech_hta_08 » dans le classeur." type="5" refreshedVersion="8" background="1" saveData="1">
    <dbPr connection="Provider=Microsoft.Mashup.OleDb.1;Data Source=$Workbook$;Location=pat_tech_hta_08;Extended Properties=&quot;&quot;" command="SELECT * FROM [pat_tech_hta_08]"/>
  </connection>
  <connection id="140" xr16:uid="{5AA3897B-C35B-4432-9199-17D79A5FD5EB}" keepAlive="1" name="Requête - pat_tech_hta_09" description="Connexion à la requête « pat_tech_hta_09 » dans le classeur." type="5" refreshedVersion="8" background="1" saveData="1">
    <dbPr connection="Provider=Microsoft.Mashup.OleDb.1;Data Source=$Workbook$;Location=pat_tech_hta_09;Extended Properties=&quot;&quot;" command="SELECT * FROM [pat_tech_hta_09]"/>
  </connection>
  <connection id="141" xr16:uid="{79432440-037D-4BFA-A18A-1F4072289487}" keepAlive="1" name="Requête - pat_tech_hta_10" description="Connexion à la requête « pat_tech_hta_10 » dans le classeur." type="5" refreshedVersion="8" background="1" saveData="1">
    <dbPr connection="Provider=Microsoft.Mashup.OleDb.1;Data Source=$Workbook$;Location=pat_tech_hta_10;Extended Properties=&quot;&quot;" command="SELECT * FROM [pat_tech_hta_10]"/>
  </connection>
  <connection id="142" xr16:uid="{E1A1F78B-E4A6-4A98-8267-AD79D716548F}" keepAlive="1" name="Requête - pat_tech_hta_11" description="Connexion à la requête « pat_tech_hta_11 » dans le classeur." type="5" refreshedVersion="8" background="1" saveData="1">
    <dbPr connection="Provider=Microsoft.Mashup.OleDb.1;Data Source=$Workbook$;Location=pat_tech_hta_11;Extended Properties=&quot;&quot;" command="SELECT * FROM [pat_tech_hta_11]"/>
  </connection>
  <connection id="143" xr16:uid="{F7897D46-7B2C-472A-AE23-9F7866979D9A}" keepAlive="1" name="Requête - pat_tech_hta_14" description="Connexion à la requête « pat_tech_hta_14 » dans le classeur." type="5" refreshedVersion="8" background="1" saveData="1">
    <dbPr connection="Provider=Microsoft.Mashup.OleDb.1;Data Source=$Workbook$;Location=pat_tech_hta_14;Extended Properties=&quot;&quot;" command="SELECT * FROM [pat_tech_hta_14]"/>
  </connection>
  <connection id="144" xr16:uid="{9DE162B5-A18F-4B9C-99AB-CC9F8F31BB1E}" keepAlive="1" name="Requête - pat_tech_hta_15" description="Connexion à la requête « pat_tech_hta_15 » dans le classeur." type="5" refreshedVersion="8" background="1" saveData="1">
    <dbPr connection="Provider=Microsoft.Mashup.OleDb.1;Data Source=$Workbook$;Location=pat_tech_hta_15;Extended Properties=&quot;&quot;" command="SELECT * FROM [pat_tech_hta_15]"/>
  </connection>
  <connection id="145" xr16:uid="{8E0D798F-3FA1-423E-9895-7971935E9B6C}" keepAlive="1" name="Requête - pat_tech_hta_17" description="Connexion à la requête « pat_tech_hta_17 » dans le classeur." type="5" refreshedVersion="8" background="1" saveData="1">
    <dbPr connection="Provider=Microsoft.Mashup.OleDb.1;Data Source=$Workbook$;Location=pat_tech_hta_17;Extended Properties=&quot;&quot;" command="SELECT * FROM [pat_tech_hta_17]"/>
  </connection>
  <connection id="146" xr16:uid="{CCD18696-9B9B-48D0-A9A5-6C9FBBA8D600}" keepAlive="1" name="Requête - pat_tech_poste_01" description="Connexion à la requête « pat_tech_poste_01 » dans le classeur." type="5" refreshedVersion="8" background="1" saveData="1">
    <dbPr connection="Provider=Microsoft.Mashup.OleDb.1;Data Source=$Workbook$;Location=pat_tech_poste_01;Extended Properties=&quot;&quot;" command="SELECT * FROM [pat_tech_poste_01]"/>
  </connection>
  <connection id="147" xr16:uid="{6F1EE3C2-F221-4F16-BD3C-2D4F617D5989}" keepAlive="1" name="Requête - pat_tech_poste_02" description="Connexion à la requête « pat_tech_poste_02 » dans le classeur." type="5" refreshedVersion="8" background="1" saveData="1">
    <dbPr connection="Provider=Microsoft.Mashup.OleDb.1;Data Source=$Workbook$;Location=pat_tech_poste_02;Extended Properties=&quot;&quot;" command="SELECT * FROM [pat_tech_poste_02]"/>
  </connection>
  <connection id="148" xr16:uid="{285CB5E0-4AD6-468B-9DCE-1D5E217D807F}" keepAlive="1" name="Requête - pat_tech_poste_03" description="Connexion à la requête « pat_tech_poste_03 » dans le classeur." type="5" refreshedVersion="8" background="1" saveData="1">
    <dbPr connection="Provider=Microsoft.Mashup.OleDb.1;Data Source=$Workbook$;Location=pat_tech_poste_03;Extended Properties=&quot;&quot;" command="SELECT * FROM [pat_tech_poste_03]"/>
  </connection>
  <connection id="149" xr16:uid="{2AE3BC3B-5882-4A89-B74C-4D4F7B430713}" keepAlive="1" name="Requête - pat_tech_poste_04" description="Connexion à la requête « pat_tech_poste_04 » dans le classeur." type="5" refreshedVersion="8" background="1" saveData="1">
    <dbPr connection="Provider=Microsoft.Mashup.OleDb.1;Data Source=$Workbook$;Location=pat_tech_poste_04;Extended Properties=&quot;&quot;" command="SELECT * FROM [pat_tech_poste_04]"/>
  </connection>
  <connection id="150" xr16:uid="{7AD13A48-7BBA-4366-8EAA-9A0F7AA98E77}" keepAlive="1" name="Requête - pat_tech_poste_05" description="Connexion à la requête « pat_tech_poste_05 » dans le classeur." type="5" refreshedVersion="8" background="1" saveData="1">
    <dbPr connection="Provider=Microsoft.Mashup.OleDb.1;Data Source=$Workbook$;Location=pat_tech_poste_05;Extended Properties=&quot;&quot;" command="SELECT * FROM [pat_tech_poste_05]"/>
  </connection>
  <connection id="151" xr16:uid="{5915269E-3460-4333-928A-F1CBEA00AB1E}" keepAlive="1" name="Requête - pat_tech_poste_06" description="Connexion à la requête « pat_tech_poste_06 » dans le classeur." type="5" refreshedVersion="8" background="1" saveData="1">
    <dbPr connection="Provider=Microsoft.Mashup.OleDb.1;Data Source=$Workbook$;Location=pat_tech_poste_06;Extended Properties=&quot;&quot;" command="SELECT * FROM [pat_tech_poste_06]"/>
  </connection>
  <connection id="152" xr16:uid="{1B39F9A7-3551-41E8-83A0-0D2764BB59DA}" name="Requête - pat_tech_poste_07" description="Connexion à la requête « pat_tech_poste_07 » dans le classeur." type="100" refreshedVersion="8" minRefreshableVersion="5">
    <extLst>
      <ext xmlns:x15="http://schemas.microsoft.com/office/spreadsheetml/2010/11/main" uri="{DE250136-89BD-433C-8126-D09CA5730AF9}">
        <x15:connection id="a8c074ef-e0f7-4da5-bd4d-558fa27dd60f"/>
      </ext>
    </extLst>
  </connection>
  <connection id="153" xr16:uid="{C895E4F9-DF0C-4294-85BA-0440D3967D17}" keepAlive="1" name="Requête - pat_tech_poste_08" description="Connexion à la requête « pat_tech_poste_08 » dans le classeur." type="5" refreshedVersion="8" background="1" saveData="1">
    <dbPr connection="Provider=Microsoft.Mashup.OleDb.1;Data Source=$Workbook$;Location=pat_tech_poste_08;Extended Properties=&quot;&quot;" command="SELECT * FROM [pat_tech_poste_08]"/>
  </connection>
  <connection id="154" xr16:uid="{DDE6FD01-D54F-4D13-84D3-400DD054DACE}" keepAlive="1" name="Requête - pat_tech_transfo_01" description="Connexion à la requête « pat_tech_transfo_01 » dans le classeur." type="5" refreshedVersion="8" background="1" saveData="1">
    <dbPr connection="Provider=Microsoft.Mashup.OleDb.1;Data Source=$Workbook$;Location=pat_tech_transfo_01;Extended Properties=&quot;&quot;" command="SELECT * FROM [pat_tech_transfo_01]"/>
  </connection>
  <connection id="155" xr16:uid="{71297EDD-F6A9-40B9-8682-45D3F529D861}" keepAlive="1" name="Requête - pat_tech_transfo_02" description="Connexion à la requête « pat_tech_transfo_02 » dans le classeur." type="5" refreshedVersion="8" background="1" saveData="1">
    <dbPr connection="Provider=Microsoft.Mashup.OleDb.1;Data Source=$Workbook$;Location=pat_tech_transfo_02;Extended Properties=&quot;&quot;" command="SELECT * FROM [pat_tech_transfo_02]"/>
  </connection>
  <connection id="156" xr16:uid="{6AFCB80F-8BB5-464D-A776-C684C08FB1FA}" keepAlive="1" name="Requête - pat_tech_transfo_03" description="Connexion à la requête « pat_tech_transfo_03 » dans le classeur." type="5" refreshedVersion="8" background="1" saveData="1">
    <dbPr connection="Provider=Microsoft.Mashup.OleDb.1;Data Source=$Workbook$;Location=pat_tech_transfo_03;Extended Properties=&quot;&quot;" command="SELECT * FROM [pat_tech_transfo_03]"/>
  </connection>
  <connection id="157" xr16:uid="{413D54B8-232C-436D-8D26-A2179BAF29D5}" keepAlive="1" name="Requête - pat_tech_transfo_04" description="Connexion à la requête « pat_tech_transfo_04 » dans le classeur." type="5" refreshedVersion="8" background="1" saveData="1">
    <dbPr connection="Provider=Microsoft.Mashup.OleDb.1;Data Source=$Workbook$;Location=pat_tech_transfo_04;Extended Properties=&quot;&quot;" command="SELECT * FROM [pat_tech_transfo_04]"/>
  </connection>
  <connection id="158" xr16:uid="{1E465B76-DC6F-4CBB-A687-8FF7B4A24317}" keepAlive="1" name="Requête - pat_tech_transfo_06" description="Connexion à la requête « pat_tech_transfo_06 » dans le classeur." type="5" refreshedVersion="8" background="1" saveData="1">
    <dbPr connection="Provider=Microsoft.Mashup.OleDb.1;Data Source=$Workbook$;Location=pat_tech_transfo_06;Extended Properties=&quot;&quot;" command="SELECT * FROM [pat_tech_transfo_06]"/>
  </connection>
  <connection id="159" xr16:uid="{28F1EC9B-D204-473A-9304-EE97AECB1D7C}" name="Requête - pat_tech_transfo_07" description="Connexion à la requête « pat_tech_transfo_07 » dans le classeur." type="100" refreshedVersion="8" minRefreshableVersion="5">
    <extLst>
      <ext xmlns:x15="http://schemas.microsoft.com/office/spreadsheetml/2010/11/main" uri="{DE250136-89BD-433C-8126-D09CA5730AF9}">
        <x15:connection id="62b10576-9aa4-42ff-8928-1e40ac1e5b29"/>
      </ext>
    </extLst>
  </connection>
  <connection id="160" xr16:uid="{3A90C17C-742C-457B-919D-9FDC55BD1726}" keepAlive="1" name="Requête - synthese_generale" description="Connexion à la requête « synthese_generale » dans le classeur." type="5" refreshedVersion="8" background="1" saveData="1">
    <dbPr connection="Provider=Microsoft.Mashup.OleDb.1;Data Source=$Workbook$;Location=synthese_generale;Extended Properties=&quot;&quot;" command="SELECT * FROM [synthese_generale]"/>
  </connection>
  <connection id="161" xr16:uid="{06E99825-B411-4BBB-BB5E-0BB35314E198}" keepAlive="1" name="Requête - tens_01" description="Connexion à la requête « tens_01 » dans le classeur." type="5" refreshedVersion="8" background="1" saveData="1">
    <dbPr connection="Provider=Microsoft.Mashup.OleDb.1;Data Source=$Workbook$;Location=tens_01;Extended Properties=&quot;&quot;" command="SELECT * FROM [tens_01]"/>
  </connection>
  <connection id="162" xr16:uid="{C5AD486F-C134-4C2C-80C3-A7C54B3D11C6}" keepAlive="1" name="Requête - tens_03" description="Connexion à la requête « tens_03 » dans le classeur." type="5" refreshedVersion="8" background="1" saveData="1">
    <dbPr connection="Provider=Microsoft.Mashup.OleDb.1;Data Source=$Workbook$;Location=tens_03;Extended Properties=&quot;&quot;" command="SELECT * FROM [tens_03]"/>
  </connection>
  <connection id="163" xr16:uid="{339F3495-42EB-454A-B938-050215981BCF}" keepAlive="1" name="Requête - tens_06" description="Connexion à la requête « tens_06 » dans le classeur." type="5" refreshedVersion="8" background="1" saveData="1">
    <dbPr connection="Provider=Microsoft.Mashup.OleDb.1;Data Source=$Workbook$;Location=tens_06;Extended Properties=&quot;&quot;" command="SELECT * FROM [tens_06]"/>
  </connection>
  <connection id="164" xr16:uid="{81068B5A-1497-4EC3-9A16-1F3364029ECA}" keepAlive="1" name="Requête - tens_07" description="Connexion à la requête « tens_07 » dans le classeur." type="5" refreshedVersion="8" background="1" saveData="1">
    <dbPr connection="Provider=Microsoft.Mashup.OleDb.1;Data Source=$Workbook$;Location=tens_07;Extended Properties=&quot;&quot;" command="SELECT * FROM [tens_07]"/>
  </connection>
  <connection id="165" xr16:uid="{603D3BBD-CC07-44FE-BAAC-38A7F59E0278}" keepAlive="1" name="Requête - tens_08" description="Connexion à la requête « tens_08 » dans le classeur." type="5" refreshedVersion="8" background="1" saveData="1">
    <dbPr connection="Provider=Microsoft.Mashup.OleDb.1;Data Source=$Workbook$;Location=tens_08;Extended Properties=&quot;&quot;" command="SELECT * FROM [tens_08]"/>
  </connection>
  <connection id="166" xr16:uid="{C4B603A9-EBED-4483-8528-F142CE456BF1}" keepAlive="1" name="Requête - tx_enf_densite_pop" description="Connexion à la requête « tx_enf_densite_pop » dans le classeur." type="5" refreshedVersion="8" background="1" saveData="1">
    <dbPr connection="Provider=Microsoft.Mashup.OleDb.1;Data Source=$Workbook$;Location=tx_enf_densite_pop;Extended Properties=&quot;&quot;" command="SELECT * FROM [tx_enf_densite_pop]"/>
  </connection>
  <connection id="167" xr16:uid="{07EE7DF9-27C6-4489-838A-F66BB9D839B4}" keepAlive="1" name="Requête - tx_enf_par_annee" description="Connexion à la requête « tx_enf_par_annee » dans le classeur." type="5" refreshedVersion="8" background="1" saveData="1">
    <dbPr connection="Provider=Microsoft.Mashup.OleDb.1;Data Source=$Workbook$;Location=tx_enf_par_annee;Extended Properties=&quot;&quot;" command="SELECT * FROM [tx_enf_par_annee]"/>
  </connection>
  <connection id="168" xr16:uid="{0AA4066A-9D74-48F2-B2BE-26D409CF8AC4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<sst xmlns="http://schemas.openxmlformats.org/spreadsheetml/2006/main" count="26669" uniqueCount="5324">
  <si>
    <t>Input</t>
  </si>
  <si>
    <t>syndicat_etude</t>
  </si>
  <si>
    <t>année_étude</t>
  </si>
  <si>
    <t>Date de MAJ</t>
  </si>
  <si>
    <t>Exercice N</t>
  </si>
  <si>
    <t>Exercice N-1</t>
  </si>
  <si>
    <t>Exercice N-2</t>
  </si>
  <si>
    <t>Exercice N-3</t>
  </si>
  <si>
    <t>Exercice N-4</t>
  </si>
  <si>
    <t>XX.XX</t>
  </si>
  <si>
    <r>
      <t xml:space="preserve">A mettre dans le rapport avec indication du </t>
    </r>
    <r>
      <rPr>
        <sz val="11"/>
        <color theme="4"/>
        <rFont val="Calibri"/>
        <family val="2"/>
        <scheme val="minor"/>
      </rPr>
      <t>Numéro de page</t>
    </r>
    <r>
      <rPr>
        <sz val="11"/>
        <color theme="1"/>
        <rFont val="Calibri"/>
        <family val="2"/>
        <scheme val="minor"/>
      </rPr>
      <t xml:space="preserve"> / </t>
    </r>
    <r>
      <rPr>
        <sz val="11"/>
        <color theme="4"/>
        <rFont val="Calibri"/>
        <family val="2"/>
        <scheme val="minor"/>
      </rPr>
      <t>Ordre d'apparition</t>
    </r>
  </si>
  <si>
    <t>Requête à créer</t>
  </si>
  <si>
    <t>Requête à modifier</t>
  </si>
  <si>
    <t>A saisir manuellement</t>
  </si>
  <si>
    <t>Synthèse du service public : pages 1 à 2</t>
  </si>
  <si>
    <t>01.1</t>
  </si>
  <si>
    <t>Contrat administratif</t>
  </si>
  <si>
    <t>Nature du contrat</t>
  </si>
  <si>
    <t>Concession de services, article L322-1 du Code de l'énergie</t>
  </si>
  <si>
    <t>Cadre juridique</t>
  </si>
  <si>
    <t>Droits exclusifs conférés par les articles L111-52 et L334-3 du Code de l'énergie</t>
  </si>
  <si>
    <t>Autorité organisatrice</t>
  </si>
  <si>
    <t>Syndicat départemental Energies et Environnement de la Gironde</t>
  </si>
  <si>
    <t>Opérateur économique dédié au développement et à l'exploitation du réseau public de distribution d'électricité</t>
  </si>
  <si>
    <t>Enedis, articles L111-52 et L121-4 du Code de l'énergie</t>
  </si>
  <si>
    <t>Opérateur économique dédié à la fourniture d'énergie électrique aux tarifs réglementés de vente (TRV)</t>
  </si>
  <si>
    <t>EDF, articles L111-52 et L121-5 du Code de l'énergie</t>
  </si>
  <si>
    <t>Modèle national associé</t>
  </si>
  <si>
    <t>FNCCR, France Urbaine, Enedis et EDF dans sa version de décembre 2017</t>
  </si>
  <si>
    <t>Date de prise d'effet</t>
  </si>
  <si>
    <t>Durée</t>
  </si>
  <si>
    <t>Nombre d'avenants au contrat</t>
  </si>
  <si>
    <t>A indiquer</t>
  </si>
  <si>
    <t>Présence d'un diagnostic partagé (date mise à jour)</t>
  </si>
  <si>
    <t>Oui, version de [mois] [année]</t>
  </si>
  <si>
    <t>Maîtrise d'ouvrage de l'autorité organisatrice</t>
  </si>
  <si>
    <t>Oui, notamment en zones rurales conformément à l'article 5 de l'Annexe 1</t>
  </si>
  <si>
    <t>01.2</t>
  </si>
  <si>
    <t>Principales caractéristiques du service</t>
  </si>
  <si>
    <r>
      <t>Nombre de communes du département</t>
    </r>
    <r>
      <rPr>
        <vertAlign val="superscript"/>
        <sz val="9"/>
        <color theme="1"/>
        <rFont val="Arial"/>
        <family val="2"/>
      </rPr>
      <t xml:space="preserve"> (1)</t>
    </r>
  </si>
  <si>
    <r>
      <t>Nombre de communes du territoire concédé</t>
    </r>
    <r>
      <rPr>
        <vertAlign val="superscript"/>
        <sz val="9"/>
        <color theme="1"/>
        <rFont val="Arial"/>
        <family val="2"/>
      </rPr>
      <t xml:space="preserve"> (2)</t>
    </r>
  </si>
  <si>
    <t>Dont en zone Régime Urbain</t>
  </si>
  <si>
    <t>Dont en zone Electrification Rurale</t>
  </si>
  <si>
    <r>
      <t xml:space="preserve">Population du territoire concédé </t>
    </r>
    <r>
      <rPr>
        <vertAlign val="superscript"/>
        <sz val="9"/>
        <color theme="1"/>
        <rFont val="Arial"/>
        <family val="2"/>
      </rPr>
      <t>(3)</t>
    </r>
  </si>
  <si>
    <t>Dont en zone Régime Rural</t>
  </si>
  <si>
    <t>Nombre de consommateurs finals HTA et BT</t>
  </si>
  <si>
    <t>A partir du CRAC</t>
  </si>
  <si>
    <t>Nombre de consommateurs BT aux TRV</t>
  </si>
  <si>
    <t>A partir du générateur EDF : BT résidentiel et non résidentiem</t>
  </si>
  <si>
    <t>Nombre de productions d'électricité raccordées</t>
  </si>
  <si>
    <t>A partir du fichier des producteurs</t>
  </si>
  <si>
    <t>Nombre de postes sources HTB/HTA sur le territoire concédé</t>
  </si>
  <si>
    <t>Puissance installée associée (MVA)</t>
  </si>
  <si>
    <t>Longueur du réseau en moyenne tension HTA (km)</t>
  </si>
  <si>
    <t>Nombre de postes HTA/BT de distribution publique (u)</t>
  </si>
  <si>
    <t>Nombre de transformateurs HTA/BT associés (u)</t>
  </si>
  <si>
    <t>A partir de l'inventaire technique associé</t>
  </si>
  <si>
    <t>Longueur du réseau en basse tension BT (km)</t>
  </si>
  <si>
    <t>Nombre d'ouvrages collectifs de branchements (u)</t>
  </si>
  <si>
    <t>A créer</t>
  </si>
  <si>
    <t>A partir de l'inventaire comptable</t>
  </si>
  <si>
    <t>Nombre de branchements individuels (u)</t>
  </si>
  <si>
    <t>N.C.</t>
  </si>
  <si>
    <t>Part du linéaire de réseau concédé par rapport à la maille nationale Enedis (%)</t>
  </si>
  <si>
    <t>Valeur brute des ouvrages concédés (M€)</t>
  </si>
  <si>
    <t>A partir de l'inventaire comptable : somme colonne T</t>
  </si>
  <si>
    <t>Taux d'amortissement des ouvrages concédés (%)</t>
  </si>
  <si>
    <t>A partir de l'inventaire comptable : somme colonne V / somme colonne T</t>
  </si>
  <si>
    <t>Recettes d'acheminement, raccordements et prestations (M€)</t>
  </si>
  <si>
    <t>Redevance de concession versée - parts R1 et R2 (M€)</t>
  </si>
  <si>
    <t>Participation au titre de l'article 8 versée pour les travaux destinés à l'amélioration esthétique des ouvrages existants</t>
  </si>
  <si>
    <r>
      <t>(1)</t>
    </r>
    <r>
      <rPr>
        <i/>
        <sz val="9"/>
        <rFont val="Arial"/>
        <family val="2"/>
      </rPr>
      <t xml:space="preserve"> Selon les limites territoriales en vigueur au 1er janvier de l'année N, source INSEE</t>
    </r>
  </si>
  <si>
    <t>A automatiser selon le nombre de communes déclarées chaque année par l'INSEE</t>
  </si>
  <si>
    <r>
      <rPr>
        <i/>
        <vertAlign val="superscript"/>
        <sz val="9"/>
        <rFont val="Arial"/>
        <family val="2"/>
      </rPr>
      <t xml:space="preserve">(2) </t>
    </r>
    <r>
      <rPr>
        <i/>
        <sz val="9"/>
        <rFont val="Arial"/>
        <family val="2"/>
      </rPr>
      <t>Au sens du système d'information (SI) du concessionnaire</t>
    </r>
  </si>
  <si>
    <r>
      <rPr>
        <i/>
        <vertAlign val="superscript"/>
        <sz val="9"/>
        <rFont val="Arial"/>
        <family val="2"/>
      </rPr>
      <t xml:space="preserve">(3) </t>
    </r>
    <r>
      <rPr>
        <i/>
        <sz val="9"/>
        <rFont val="Arial"/>
        <family val="2"/>
      </rPr>
      <t>Populations légales des communes en vigueur au 1er janvier de l'année N+1 (population municipale), source INSEE</t>
    </r>
  </si>
  <si>
    <t>02.1</t>
  </si>
  <si>
    <t>Carte des départs HTA par poste source (avec maille communale en fond)</t>
  </si>
  <si>
    <t>Prévoir une taille de symbole des PS qui soit proportionnelle à la puissance installée</t>
  </si>
  <si>
    <t>02.2</t>
  </si>
  <si>
    <t>Carte du nombre de points de livraison par commune (PDL)</t>
  </si>
  <si>
    <t>Distinguer les communes en régime urbain des communes en régime rural</t>
  </si>
  <si>
    <r>
      <t xml:space="preserve">Réseau de distribution publique d'électricité - Maille nationale Enedis
</t>
    </r>
    <r>
      <rPr>
        <i/>
        <sz val="9"/>
        <color rgb="FFFFFFFF"/>
        <rFont val="Arial"/>
        <family val="2"/>
      </rPr>
      <t>- Open data -</t>
    </r>
  </si>
  <si>
    <t>Réseau HTA total</t>
  </si>
  <si>
    <t>% HTA souterrain</t>
  </si>
  <si>
    <t>Dont aérien nu</t>
  </si>
  <si>
    <t>Dont aérien torsadé</t>
  </si>
  <si>
    <t>Dont souterrain</t>
  </si>
  <si>
    <t>Postes HTA/BT</t>
  </si>
  <si>
    <t>Réseau BT total</t>
  </si>
  <si>
    <t>% BT souterrain</t>
  </si>
  <si>
    <t>% BT sécurisé</t>
  </si>
  <si>
    <t>Réseau de distribution publique</t>
  </si>
  <si>
    <t>% Ouvrages avec faible taux d'incidents</t>
  </si>
  <si>
    <t xml:space="preserve">https://www.data.gouv.fr/fr/datasets/donnees-relatives-aux-lignes-et-aux-postes/#/resources </t>
  </si>
  <si>
    <t>Caractéristiques techniques des ouvrages affectés au service</t>
  </si>
  <si>
    <t>Postes sources HTB/HTA : page 3</t>
  </si>
  <si>
    <t>03.1</t>
  </si>
  <si>
    <t>Postes source alimentant la concession</t>
  </si>
  <si>
    <t>Pat_tech_poste_08</t>
  </si>
  <si>
    <t>Nombre de postes sources alimentant la concession</t>
  </si>
  <si>
    <t>Onglet Données 1, somme des lignes</t>
  </si>
  <si>
    <t>Dont situés sur le territoire concédé</t>
  </si>
  <si>
    <t>Onglet Données 1, somme des lignes dont colonne PS situés sur la concession égale à Oui (colonne E)</t>
  </si>
  <si>
    <t>Puissance installée HTB/HTA (MVA)</t>
  </si>
  <si>
    <t>Onglet Données 1, somme de la colonne F</t>
  </si>
  <si>
    <t>Dont puissance installée utilisant l'ancien palier de tension 15 kV</t>
  </si>
  <si>
    <t>Onglet Données 2, somme de la colonne F des transformateurs fonctionnant en 15 Kv</t>
  </si>
  <si>
    <t>Taux théorique d'utilisation Ptmb / Pinstallée</t>
  </si>
  <si>
    <t>Onglet Données 2, égal à Somme colonne I / Somme colonne H divisée par 1000</t>
  </si>
  <si>
    <t>Réseau HTA : pages 3 à 7</t>
  </si>
  <si>
    <t>Pat_tech_HTA_01</t>
  </si>
  <si>
    <r>
      <t xml:space="preserve">Typologie des réseaux HTA (km)
</t>
    </r>
    <r>
      <rPr>
        <i/>
        <sz val="9"/>
        <color theme="0"/>
        <rFont val="Arial"/>
        <family val="2"/>
      </rPr>
      <t>- Inventaire technique -</t>
    </r>
  </si>
  <si>
    <t>Aérien (nu + torsadé)</t>
  </si>
  <si>
    <t>Aérien nu</t>
  </si>
  <si>
    <t>Aérien torsadé</t>
  </si>
  <si>
    <t>Souterrain</t>
  </si>
  <si>
    <t>Linéaire total</t>
  </si>
  <si>
    <t>Evolution n/n-1</t>
  </si>
  <si>
    <r>
      <t xml:space="preserve">Typologie des réseaux HTA (%)
</t>
    </r>
    <r>
      <rPr>
        <i/>
        <sz val="9"/>
        <color theme="0"/>
        <rFont val="Arial"/>
        <family val="2"/>
      </rPr>
      <t>- Inventaire technique -</t>
    </r>
  </si>
  <si>
    <t>Taux réseau HTA aérien</t>
  </si>
  <si>
    <t>Taux réseau HTA souterrain</t>
  </si>
  <si>
    <t>Moy. nationale taux HTA souterrain</t>
  </si>
  <si>
    <t>Source open data Enedis</t>
  </si>
  <si>
    <t>Moy. nationale à densité population similaire</t>
  </si>
  <si>
    <t>03.2</t>
  </si>
  <si>
    <t>03.3</t>
  </si>
  <si>
    <t>03.4</t>
  </si>
  <si>
    <t>03.5</t>
  </si>
  <si>
    <t>03.6</t>
  </si>
  <si>
    <r>
      <t xml:space="preserve">Focus réseaux HTA anciens (km et %)
</t>
    </r>
    <r>
      <rPr>
        <i/>
        <sz val="9"/>
        <color theme="0"/>
        <rFont val="Arial"/>
        <family val="2"/>
      </rPr>
      <t>- Inventaire technique -</t>
    </r>
  </si>
  <si>
    <t>Pat_tech_HTA_02</t>
  </si>
  <si>
    <t>Linéaire total HTA ≥ 40 ans</t>
  </si>
  <si>
    <t>% linéaire HTA ≥ 40 ans  - concession</t>
  </si>
  <si>
    <t>ok</t>
  </si>
  <si>
    <t>% linéaire HTA ≥ 40 ans  - national</t>
  </si>
  <si>
    <t>Source CRACs moyenne pondérée</t>
  </si>
  <si>
    <t>Linéaire total HTA ≥ 50 ans</t>
  </si>
  <si>
    <t>Linéaire total HTA ≥ 60 ans</t>
  </si>
  <si>
    <t>04.1</t>
  </si>
  <si>
    <r>
      <t xml:space="preserve">Caractéristiques des départs HTA
</t>
    </r>
    <r>
      <rPr>
        <i/>
        <sz val="9"/>
        <color theme="0"/>
        <rFont val="Arial"/>
        <family val="2"/>
      </rPr>
      <t>- Inventaire technique -</t>
    </r>
  </si>
  <si>
    <t>Pat_tech_HTA_06</t>
  </si>
  <si>
    <t>Nombre de départs HTA</t>
  </si>
  <si>
    <t>Départs HTA entre 50 et 70 km</t>
  </si>
  <si>
    <t>Départs HTA entre 70 et 100 km</t>
  </si>
  <si>
    <t>Départs HTA ≥ 100 km</t>
  </si>
  <si>
    <t>Longueur départ HTA le plus long (km)</t>
  </si>
  <si>
    <t>Nom départ HTA le plus long</t>
  </si>
  <si>
    <t>Longueur moy. des départs HTA (km)</t>
  </si>
  <si>
    <t xml:space="preserve">Longueur moyenne des 10% des départs les plus longs </t>
  </si>
  <si>
    <t>Nombre moyen d'OMT par départ HTA aérien - concession</t>
  </si>
  <si>
    <t>Nombre moyen d'OMT par départ HTA aérien - national</t>
  </si>
  <si>
    <t>Source CRACs</t>
  </si>
  <si>
    <t>04.2</t>
  </si>
  <si>
    <r>
      <t xml:space="preserve">Niveaux de tension des départs HTA entre phases
</t>
    </r>
    <r>
      <rPr>
        <i/>
        <sz val="9"/>
        <color theme="0"/>
        <rFont val="Arial"/>
        <family val="2"/>
      </rPr>
      <t>- Inventaire technique -</t>
    </r>
  </si>
  <si>
    <t>Pat_tech_HTA_14</t>
  </si>
  <si>
    <t>Nombre de départs HTA en 20 kV</t>
  </si>
  <si>
    <t>Nombre de départs HTA en 15 kV (ancien palier)</t>
  </si>
  <si>
    <t>Nombre de départs HTA avec d'autres niveaux de tension</t>
  </si>
  <si>
    <t>04.3</t>
  </si>
  <si>
    <r>
      <t xml:space="preserve">Taux de renouvellement des réseaux HTA
</t>
    </r>
    <r>
      <rPr>
        <i/>
        <sz val="9"/>
        <color theme="0"/>
        <rFont val="Arial"/>
        <family val="2"/>
      </rPr>
      <t>- CRAC -</t>
    </r>
  </si>
  <si>
    <t>Longueur renouvelée (km)</t>
  </si>
  <si>
    <t>Longueur renforcée (km)</t>
  </si>
  <si>
    <t>Taux de renouvellement concession (%)</t>
  </si>
  <si>
    <t>Taux de renouvellement - cible théorique (%)</t>
  </si>
  <si>
    <r>
      <t xml:space="preserve">Taux de renouvellement des réseaux HTA - Maille nationale (%)
</t>
    </r>
    <r>
      <rPr>
        <i/>
        <sz val="9"/>
        <color theme="0"/>
        <rFont val="Arial"/>
        <family val="2"/>
      </rPr>
      <t>- CRAC -</t>
    </r>
  </si>
  <si>
    <t>Pat_tech_HTA_17</t>
  </si>
  <si>
    <t>Moyenne nationale concessions départementales</t>
  </si>
  <si>
    <t>Valeur minimale</t>
  </si>
  <si>
    <t>Valeur maximale</t>
  </si>
  <si>
    <t>Moyenne nationale concessions urbaines</t>
  </si>
  <si>
    <t>04.4</t>
  </si>
  <si>
    <t>Graphique zones et valeur du taux de renouvellement HTA de l'exercice N à partir des valeurs individuelles de chaque concessions similaires (histogramme boîte à moustache)</t>
  </si>
  <si>
    <t>Valeurs individuelles du taux de renouvellement HTA par concession à indiquer dans onglet spécifique</t>
  </si>
  <si>
    <t>04.5</t>
  </si>
  <si>
    <r>
      <t xml:space="preserve">Réseaux HTA aériens à risques avérés PAC (km)
</t>
    </r>
    <r>
      <rPr>
        <i/>
        <sz val="9"/>
        <color theme="0"/>
        <rFont val="Arial"/>
        <family val="2"/>
      </rPr>
      <t>- CRAC -</t>
    </r>
  </si>
  <si>
    <t>Pat_tech_HTA_16</t>
  </si>
  <si>
    <t>Longueur tous risques avérés Plan Aléas Climatiques (HTA RA PAC)</t>
  </si>
  <si>
    <t>Dont risque bois</t>
  </si>
  <si>
    <t>Dont risque neige et givre</t>
  </si>
  <si>
    <t>Dont risque vent</t>
  </si>
  <si>
    <t>Pat_tech_HTA_10</t>
  </si>
  <si>
    <r>
      <t xml:space="preserve">Maintenance lourde des réseaux HTA aériens : rénovation programmée et prolongement de durée de vie (km)
</t>
    </r>
    <r>
      <rPr>
        <i/>
        <sz val="9"/>
        <color theme="0"/>
        <rFont val="Arial"/>
        <family val="2"/>
      </rPr>
      <t xml:space="preserve">- Inventaire technique - </t>
    </r>
  </si>
  <si>
    <t>Total</t>
  </si>
  <si>
    <t>Réseaux traités (valeur annuelle)</t>
  </si>
  <si>
    <t>Réseaux fiabilisés (valeur annuelle)</t>
  </si>
  <si>
    <t>N.B : Un tronçon ayant fait l’objet d’une opération de PDV est dit traité lorsqu’une intervention humaine a eu lieu pour remplacer des accessoires et du matériel et fiabilisé lorsqu’aucune intervention humaine n’a été nécessaire.</t>
  </si>
  <si>
    <t>05.1</t>
  </si>
  <si>
    <t>05.2</t>
  </si>
  <si>
    <t>05.3</t>
  </si>
  <si>
    <t>Carte du taux de réseau HTA aérien traité par RP-PDV depuis 2012</t>
  </si>
  <si>
    <r>
      <t xml:space="preserve">Maintenance lourde des réseaux HTA aériens : rénovation programmée et prolongement de durée de vie (km cumulés)
</t>
    </r>
    <r>
      <rPr>
        <i/>
        <sz val="9"/>
        <color theme="0"/>
        <rFont val="Arial"/>
        <family val="2"/>
      </rPr>
      <t xml:space="preserve">- Inventaire technique - </t>
    </r>
  </si>
  <si>
    <t>Réseaux traités (cumul)</t>
  </si>
  <si>
    <t>Réseaux fiabilisés (cumul)</t>
  </si>
  <si>
    <t>06.1</t>
  </si>
  <si>
    <r>
      <t xml:space="preserve">Focus câbles HTA aérien : technologies incidentogènes (km)
</t>
    </r>
    <r>
      <rPr>
        <i/>
        <sz val="9"/>
        <color theme="0"/>
        <rFont val="Arial"/>
        <family val="2"/>
      </rPr>
      <t>- Inventaire technique -</t>
    </r>
  </si>
  <si>
    <t>Pat_tech_HTA_03</t>
  </si>
  <si>
    <t>Linéaire aérien nu de faibles sections</t>
  </si>
  <si>
    <t>Linéaire aérien nu de sections réduites ≤ 50 mm² hors FS</t>
  </si>
  <si>
    <t>A créer à partir de l'inventaire technique ATTENTION FS INCLUS</t>
  </si>
  <si>
    <t>% aérien nu FS / aérien</t>
  </si>
  <si>
    <t>Pat_tech_HTA_04</t>
  </si>
  <si>
    <r>
      <t xml:space="preserve">Focus matériaux conducteurs des câbles HTA (km)
</t>
    </r>
    <r>
      <rPr>
        <i/>
        <sz val="9"/>
        <color theme="0"/>
        <rFont val="Arial"/>
        <family val="2"/>
      </rPr>
      <t>- Inventaire technique -</t>
    </r>
  </si>
  <si>
    <t>Acier aluminium (AA)</t>
  </si>
  <si>
    <t>Aluminium (AL)</t>
  </si>
  <si>
    <t>Almélec (AM)</t>
  </si>
  <si>
    <t>Almélec acier (LA)</t>
  </si>
  <si>
    <t>Cuivre (CU)</t>
  </si>
  <si>
    <t>Pat_tech_HTA_05</t>
  </si>
  <si>
    <r>
      <t xml:space="preserve">Focus isolation des câbles HTA (km)
</t>
    </r>
    <r>
      <rPr>
        <i/>
        <sz val="9"/>
        <color theme="0"/>
        <rFont val="Arial"/>
        <family val="2"/>
      </rPr>
      <t>- Inventaire technique -</t>
    </r>
  </si>
  <si>
    <t>Sans isolant</t>
  </si>
  <si>
    <t>Isolant synthétique</t>
  </si>
  <si>
    <t>Isolant papier imprégné d'huile CPI</t>
  </si>
  <si>
    <t>06.2</t>
  </si>
  <si>
    <r>
      <t xml:space="preserve">Focus câbles HTA souterrain : technologies incidentogènes (km)
</t>
    </r>
    <r>
      <rPr>
        <i/>
        <sz val="9"/>
        <color theme="0"/>
        <rFont val="Arial"/>
        <family val="2"/>
      </rPr>
      <t>- Inventaire technique -</t>
    </r>
  </si>
  <si>
    <t>Linéaire HTA avec CPI</t>
  </si>
  <si>
    <t>Linéaire HTA avec synthétique de 1ère génération (estimation)</t>
  </si>
  <si>
    <t>% souterrain CPI-S1 / souterrain total</t>
  </si>
  <si>
    <t>06.3</t>
  </si>
  <si>
    <t>Carte tracé réseau HTA aérien en zones boisées</t>
  </si>
  <si>
    <t>06.4</t>
  </si>
  <si>
    <t>Carte longueur de réseau HTA souterrain CPI par commune</t>
  </si>
  <si>
    <t>07.1</t>
  </si>
  <si>
    <t>Carte tracé réseau HTA aérien par catégorie d'âge (0-25 ; 25-40 ; &gt;40)</t>
  </si>
  <si>
    <t>07.2</t>
  </si>
  <si>
    <t>Carte taux d'enfouissement HTA par commune</t>
  </si>
  <si>
    <t>Pat_tech_HTA_07</t>
  </si>
  <si>
    <r>
      <t xml:space="preserve">Âge des réseaux HTA
</t>
    </r>
    <r>
      <rPr>
        <i/>
        <sz val="9"/>
        <color theme="0"/>
        <rFont val="Arial"/>
        <family val="2"/>
      </rPr>
      <t>- Inventaire technique -</t>
    </r>
  </si>
  <si>
    <t>Longueur totale (km)</t>
  </si>
  <si>
    <t>Age moyen (ans)</t>
  </si>
  <si>
    <t>&lt; 10 ans</t>
  </si>
  <si>
    <t>de 10 à 20 ans</t>
  </si>
  <si>
    <t>de 20 à 30 ans</t>
  </si>
  <si>
    <t>de 30 à 40 ans</t>
  </si>
  <si>
    <t>de 40 à 50 ans</t>
  </si>
  <si>
    <t>de 50 à 60 ans</t>
  </si>
  <si>
    <t>≥ 60 ans</t>
  </si>
  <si>
    <t>Pat_tech_HTA_08</t>
  </si>
  <si>
    <r>
      <t xml:space="preserve">Âge des réseaux HTA
</t>
    </r>
    <r>
      <rPr>
        <i/>
        <sz val="9"/>
        <color theme="0"/>
        <rFont val="Arial"/>
        <family val="2"/>
      </rPr>
      <t>- Inventaire comptable -</t>
    </r>
  </si>
  <si>
    <t>Pat_tech_HTA_09</t>
  </si>
  <si>
    <r>
      <t xml:space="preserve">Age des réseaux HTA (ans)
</t>
    </r>
    <r>
      <rPr>
        <i/>
        <sz val="9"/>
        <color theme="0"/>
        <rFont val="Arial"/>
        <family val="2"/>
      </rPr>
      <t>- Inventaire technique -</t>
    </r>
  </si>
  <si>
    <t xml:space="preserve">Aérien nu </t>
  </si>
  <si>
    <t>Dont aérien nu faibles sections</t>
  </si>
  <si>
    <t>Dont souterrain CPI</t>
  </si>
  <si>
    <t>Pat_tech_HTA_15</t>
  </si>
  <si>
    <r>
      <t xml:space="preserve">Linéaires HTA mis en service par année (km)
</t>
    </r>
    <r>
      <rPr>
        <i/>
        <sz val="9"/>
        <color theme="0"/>
        <rFont val="Arial"/>
        <family val="2"/>
      </rPr>
      <t xml:space="preserve">- Inventaire technique - </t>
    </r>
  </si>
  <si>
    <t>Souterrain CPI</t>
  </si>
  <si>
    <t>Souterrain hors CPI</t>
  </si>
  <si>
    <t>Aérien nu faibles sections</t>
  </si>
  <si>
    <t>Aérien nu hors faibles sections</t>
  </si>
  <si>
    <t>Postes et transformateurs HTA/BT : pages 8 à 9</t>
  </si>
  <si>
    <t>08.1</t>
  </si>
  <si>
    <t>08.2</t>
  </si>
  <si>
    <t>Pat_tech_poste_01</t>
  </si>
  <si>
    <r>
      <t xml:space="preserve">Typologie des postes HTA/BT de distribution publique
</t>
    </r>
    <r>
      <rPr>
        <i/>
        <sz val="9"/>
        <color theme="0"/>
        <rFont val="Arial"/>
        <family val="2"/>
      </rPr>
      <t>- Inventaire technique -</t>
    </r>
  </si>
  <si>
    <t>Nombre de postes HTA DP</t>
  </si>
  <si>
    <t>Postes sur poteau</t>
  </si>
  <si>
    <t>Postes maçonnés</t>
  </si>
  <si>
    <t>Postes préfabriqués</t>
  </si>
  <si>
    <t>Autres</t>
  </si>
  <si>
    <r>
      <t xml:space="preserve">Postes HTA de distribution publique
</t>
    </r>
    <r>
      <rPr>
        <i/>
        <sz val="9"/>
        <color theme="0"/>
        <rFont val="Arial"/>
        <family val="2"/>
      </rPr>
      <t xml:space="preserve">- Inventaire technique - </t>
    </r>
  </si>
  <si>
    <t>OK</t>
  </si>
  <si>
    <t>DP BT</t>
  </si>
  <si>
    <t>A ajouter à partir du fichier Postes DP par année de construction : libellé fonction Distribution Publique</t>
  </si>
  <si>
    <t>DP-Prod BT</t>
  </si>
  <si>
    <t>A ajouter à partir du fichier Postes DP par année de construction : libellé fonction DP - Production</t>
  </si>
  <si>
    <t>Mixte HTA et DP BT</t>
  </si>
  <si>
    <t>A ajouter à partir du fichier Postes DP par année de construction : libellé fonction Mixte</t>
  </si>
  <si>
    <t>Mixte HTA et DP-Prod BT</t>
  </si>
  <si>
    <t>A ajouter à partir du fichier Postes DP par année de construction : libellé fonction Mixte - Production</t>
  </si>
  <si>
    <t>Nombre d'usagers consommateurs raccordés</t>
  </si>
  <si>
    <t>A ajouter à partir du fichier Postes DP par année de construction : somme colonnes M et O</t>
  </si>
  <si>
    <t>08.3</t>
  </si>
  <si>
    <r>
      <t xml:space="preserve">Niveaux de tension des postes HTA/BT entre phases
</t>
    </r>
    <r>
      <rPr>
        <i/>
        <sz val="9"/>
        <color theme="0"/>
        <rFont val="Arial"/>
        <family val="2"/>
      </rPr>
      <t>- Inventaire technique -</t>
    </r>
  </si>
  <si>
    <t>Evolution (%)</t>
  </si>
  <si>
    <t>Nombre de postes en 20 kV</t>
  </si>
  <si>
    <t>Nombre de postes en 15 kV (ancien palier)</t>
  </si>
  <si>
    <t>Nombre de postes avec autre niveau de tension</t>
  </si>
  <si>
    <t>08.4</t>
  </si>
  <si>
    <r>
      <t xml:space="preserve">Focus postes HTA/BT mis en service ou modifiés dans l'année
</t>
    </r>
    <r>
      <rPr>
        <i/>
        <sz val="9"/>
        <color theme="0"/>
        <rFont val="Arial"/>
        <family val="2"/>
      </rPr>
      <t>- Inventaire technique -</t>
    </r>
  </si>
  <si>
    <t>Pat_tech_poste_05</t>
  </si>
  <si>
    <t>Nombre de postes mis en service</t>
  </si>
  <si>
    <t>Dont postes sur poteau</t>
  </si>
  <si>
    <t>Dont postes maçonnés</t>
  </si>
  <si>
    <t>Dont postes préfabriqués</t>
  </si>
  <si>
    <t>Nombre de postes dont la puissance a été modifée dans l'année</t>
  </si>
  <si>
    <t>A ajouter à partir du fichier Postes DP par année de construction</t>
  </si>
  <si>
    <t>08.5</t>
  </si>
  <si>
    <r>
      <t xml:space="preserve">Focus producteurs HTA et BT raccordés aux postes HTA
</t>
    </r>
    <r>
      <rPr>
        <i/>
        <sz val="9"/>
        <color theme="0"/>
        <rFont val="Arial"/>
        <family val="2"/>
      </rPr>
      <t xml:space="preserve">- Inventaire technique - </t>
    </r>
  </si>
  <si>
    <t>Pat_tech_poste_07</t>
  </si>
  <si>
    <t>Nombre d'usagers consommateurs raccordés aux postes HTA</t>
  </si>
  <si>
    <t>Nombre de producteurs raccordés aux postes HTA</t>
  </si>
  <si>
    <t>A ajouter à partir du fichier Postes DP par année de construction : somme colonnes N et P</t>
  </si>
  <si>
    <t>Nombre de postes HTA dont au moins 1 production est raccordée</t>
  </si>
  <si>
    <t>A ajouter à partir du fichier Postes DP par année de construction : Nombre de lignes pour lesquelles la somme des colonnes N et P est non nulle</t>
  </si>
  <si>
    <t>Dont productions Photovoltaïque</t>
  </si>
  <si>
    <t>Somme des 2 lignes suivantes</t>
  </si>
  <si>
    <t>HTA</t>
  </si>
  <si>
    <t>A ajouter à partir du fichier Nb producteurs HTA et BT par poste : Onglet Données 1, nombre de lignes ayant une production photovoltaïque &gt; 0 (colonne I)</t>
  </si>
  <si>
    <t>BT</t>
  </si>
  <si>
    <t>A ajouter à partir du fichier Nb producteurs HTA et BT par poste : Onglet Données 2, nombre de lignes ayant une production photovoltaïque &gt; 0 (à partir de la somme des colonnes O et P)</t>
  </si>
  <si>
    <t>Dont productions Eolien</t>
  </si>
  <si>
    <t>A ajouter à partir du fichier Nb producteurs HTA et BT par poste : Onglet Données 1, nombre de lignes ayant une production éolien &gt; 0 (colonne I)</t>
  </si>
  <si>
    <t>A ajouter à partir du fichier Nb producteurs HTA et BT par poste : Onglet Données 2, nombre de lignes ayant une production éolien &gt; 0 (à partir de la somme des colonnes K et L)</t>
  </si>
  <si>
    <t>Dont productions Hydraulique</t>
  </si>
  <si>
    <t>A ajouter à partir du fichier Nb producteurs HTA et BT par poste : Onglet Données 1, nombre de lignes ayant une production hydraulique &gt; 0 (colonne I) + Onglet Données 2, nombre de lignes ayant une production hydraulique &gt; 0 (à partir de la somme des colonnes M et N)</t>
  </si>
  <si>
    <t>Dont productions Autres</t>
  </si>
  <si>
    <t>A ajouter à partir du fichier Nb producteurs HTA et BT par poste : Onglet Données 1, nombre de lignes ayant une production autres &gt; 0 (colonne I) + Onglet Données 2, nombre de lignes ayant une production hydraulique &gt; 0 (à partir de la somme des colonnes I et J)</t>
  </si>
  <si>
    <r>
      <t xml:space="preserve">Focus postes HTA/BT de type cabine haute
</t>
    </r>
    <r>
      <rPr>
        <i/>
        <sz val="9"/>
        <color theme="0"/>
        <rFont val="Arial"/>
        <family val="2"/>
      </rPr>
      <t xml:space="preserve">- Inventaire technique - </t>
    </r>
  </si>
  <si>
    <t>% total</t>
  </si>
  <si>
    <t>08.6</t>
  </si>
  <si>
    <r>
      <t xml:space="preserve">Focus postes HTA/BT anciens
</t>
    </r>
    <r>
      <rPr>
        <i/>
        <sz val="9"/>
        <color theme="0"/>
        <rFont val="Arial"/>
        <family val="2"/>
      </rPr>
      <t>- CRACs et inventaire technique -</t>
    </r>
  </si>
  <si>
    <t>Pat_tech_poste_02</t>
  </si>
  <si>
    <t>Nombre de postes de type cabine haute (ou "poste-tour")</t>
  </si>
  <si>
    <t>Pat_tech_poste_03</t>
  </si>
  <si>
    <t>Nombre de postes ≥ 40 ans - concession</t>
  </si>
  <si>
    <t>Dont nombre postes sur poteau H61</t>
  </si>
  <si>
    <t>Dont postes en immeuble</t>
  </si>
  <si>
    <t>Dont cabines hautes</t>
  </si>
  <si>
    <t>Dont cabines basses</t>
  </si>
  <si>
    <t>Taux de postes ≥ 40 ans - concession</t>
  </si>
  <si>
    <t>Taux de postes ≥ 40 ans - national</t>
  </si>
  <si>
    <r>
      <t xml:space="preserve">Nombre de postes </t>
    </r>
    <r>
      <rPr>
        <sz val="9"/>
        <rFont val="Aptos Narrow"/>
        <family val="2"/>
      </rPr>
      <t>≥</t>
    </r>
    <r>
      <rPr>
        <sz val="9"/>
        <rFont val="Arial"/>
        <family val="2"/>
      </rPr>
      <t xml:space="preserve"> 50 ans</t>
    </r>
  </si>
  <si>
    <t>Nombre de postes ≥ 60 ans</t>
  </si>
  <si>
    <t>Pat_tech_poste_04</t>
  </si>
  <si>
    <r>
      <t xml:space="preserve">Âge des postes HTA/BT exploités au 31/12 de l'exercice
</t>
    </r>
    <r>
      <rPr>
        <i/>
        <sz val="9"/>
        <color theme="0"/>
        <rFont val="Arial"/>
        <family val="2"/>
      </rPr>
      <t>- Inventaire technique -</t>
    </r>
  </si>
  <si>
    <t>Nombre de postes</t>
  </si>
  <si>
    <t>Âge moyen (ans)</t>
  </si>
  <si>
    <t>Nb ≥ 40 ans hors 1946</t>
  </si>
  <si>
    <t>Nb ≥ 40 ans
non daté "1946"</t>
  </si>
  <si>
    <t>H61</t>
  </si>
  <si>
    <t>Urbain portable</t>
  </si>
  <si>
    <t>En immeuble</t>
  </si>
  <si>
    <t>Cabine basse</t>
  </si>
  <si>
    <t>Rural compact</t>
  </si>
  <si>
    <t>Poste au sol type A</t>
  </si>
  <si>
    <t>Urbain compact</t>
  </si>
  <si>
    <t>Rural socle</t>
  </si>
  <si>
    <t>Autre au sol type B</t>
  </si>
  <si>
    <t>Cabine haute</t>
  </si>
  <si>
    <t>Sur poteau (non H61)</t>
  </si>
  <si>
    <t>Poste rural compact simplifié</t>
  </si>
  <si>
    <t>Poste urbain intégré à son environnement</t>
  </si>
  <si>
    <t>Cabine de chantier</t>
  </si>
  <si>
    <t>Enterre</t>
  </si>
  <si>
    <t>Cabine chantier</t>
  </si>
  <si>
    <t>DI - Divers</t>
  </si>
  <si>
    <t>Non renseigné</t>
  </si>
  <si>
    <t>Pat_tech_poste_06</t>
  </si>
  <si>
    <r>
      <t xml:space="preserve">Âge des postes HTA/BT exploités
</t>
    </r>
    <r>
      <rPr>
        <i/>
        <sz val="9"/>
        <color theme="0"/>
        <rFont val="Arial"/>
        <family val="2"/>
      </rPr>
      <t>- Inventaire technique -</t>
    </r>
  </si>
  <si>
    <t>Nombre total de postes (u)</t>
  </si>
  <si>
    <r>
      <t>Age moyen</t>
    </r>
    <r>
      <rPr>
        <sz val="9"/>
        <color rgb="FFC00000"/>
        <rFont val="Arial"/>
        <family val="2"/>
      </rPr>
      <t xml:space="preserve"> </t>
    </r>
    <r>
      <rPr>
        <sz val="9"/>
        <rFont val="Arial"/>
        <family val="2"/>
      </rPr>
      <t>(ans)</t>
    </r>
  </si>
  <si>
    <t>09.1</t>
  </si>
  <si>
    <r>
      <t xml:space="preserve">Transformateurs HTA/BT en service (u)
</t>
    </r>
    <r>
      <rPr>
        <i/>
        <sz val="9"/>
        <color theme="0"/>
        <rFont val="Arial"/>
        <family val="2"/>
      </rPr>
      <t>- Inventaire technique -</t>
    </r>
  </si>
  <si>
    <t>Pat_tech_transfo_03</t>
  </si>
  <si>
    <t>Nombre de transformateurs HTA/BT en service</t>
  </si>
  <si>
    <t>Dont transformateurs 410V</t>
  </si>
  <si>
    <t>Dont ancienne génération 400V</t>
  </si>
  <si>
    <t>Dont transformateurs utilisant l'ancien palier 15 kV</t>
  </si>
  <si>
    <t>A ajouter à partir de l'inventaire technique des transfos en service : nombre de ligne avec 15 kV en colonne G</t>
  </si>
  <si>
    <t>Puissance assignée des transformateurs HTA/BT (MVA)</t>
  </si>
  <si>
    <t>A ajouter à partir de l'inventaire technique des transfos en service : somme colonne I / 1000</t>
  </si>
  <si>
    <t>09.2</t>
  </si>
  <si>
    <r>
      <t xml:space="preserve">Âge des transformateurs HTA/BT en service
</t>
    </r>
    <r>
      <rPr>
        <i/>
        <sz val="9"/>
        <color theme="0"/>
        <rFont val="Arial"/>
        <family val="2"/>
      </rPr>
      <t>- Inventaire technique -</t>
    </r>
  </si>
  <si>
    <t>Pat_tech_transfo_02</t>
  </si>
  <si>
    <t>Age moyen des transformateurs (ans)</t>
  </si>
  <si>
    <t>Nombre transformateurs ≥ 40 ans</t>
  </si>
  <si>
    <t>Dont nombre transformateurs ≥ 50 ans</t>
  </si>
  <si>
    <t>Dont nombre transformateurs ≥ 60 ans</t>
  </si>
  <si>
    <t>09.3</t>
  </si>
  <si>
    <t>A ajouter à partir du fichier Transformateurs HTA-BT en service</t>
  </si>
  <si>
    <t>Pat_tech_transfo_07</t>
  </si>
  <si>
    <t>Somme des lignes du fichier</t>
  </si>
  <si>
    <t>Pat_tech_transfo_01</t>
  </si>
  <si>
    <r>
      <t xml:space="preserve">Puissance des transformateurs HTA/BT en service (kVA)
</t>
    </r>
    <r>
      <rPr>
        <i/>
        <sz val="9"/>
        <color theme="0"/>
        <rFont val="Arial"/>
        <family val="2"/>
      </rPr>
      <t>- Inventaire technique -</t>
    </r>
  </si>
  <si>
    <t>09.4</t>
  </si>
  <si>
    <t>Taux de charge des transformateurs HTA/BT</t>
  </si>
  <si>
    <t>Pat_tech_transfo_04</t>
  </si>
  <si>
    <t>0 à 10 %</t>
  </si>
  <si>
    <t>10 à 20%</t>
  </si>
  <si>
    <t>20 à 30%</t>
  </si>
  <si>
    <t>30 à 40%</t>
  </si>
  <si>
    <t>40 à 50%</t>
  </si>
  <si>
    <t>50 à 60%</t>
  </si>
  <si>
    <t>60 à 70%</t>
  </si>
  <si>
    <t>70 à 80%</t>
  </si>
  <si>
    <t>80 à 90%</t>
  </si>
  <si>
    <t>90 à 100%</t>
  </si>
  <si>
    <t>&gt; 100%</t>
  </si>
  <si>
    <t>Dont &gt; 120%</t>
  </si>
  <si>
    <t>Pat_tech_transfo_06</t>
  </si>
  <si>
    <r>
      <rPr>
        <b/>
        <sz val="9"/>
        <color theme="0"/>
        <rFont val="Arial"/>
        <family val="2"/>
      </rPr>
      <t xml:space="preserve">Transformateurs HTA/BT DP mis en service par année
</t>
    </r>
    <r>
      <rPr>
        <i/>
        <sz val="9"/>
        <color theme="0"/>
        <rFont val="Arial"/>
        <family val="2"/>
      </rPr>
      <t xml:space="preserve">- Inventaire technique - </t>
    </r>
  </si>
  <si>
    <t>Transformateur 410V</t>
  </si>
  <si>
    <t>Ancienne génération 400V</t>
  </si>
  <si>
    <t>09.5</t>
  </si>
  <si>
    <t>Carte postes HTA/BT en zones inondables PPRI</t>
  </si>
  <si>
    <t>Réseaux BT : pages 10 à 14</t>
  </si>
  <si>
    <t>Pat_tech_bt_01</t>
  </si>
  <si>
    <r>
      <t xml:space="preserve">Typologie des réseaux BT (km)
</t>
    </r>
    <r>
      <rPr>
        <i/>
        <sz val="9"/>
        <color theme="0"/>
        <rFont val="Arial"/>
        <family val="2"/>
      </rPr>
      <t>- Inventaire technique -</t>
    </r>
  </si>
  <si>
    <r>
      <t xml:space="preserve">Typologie des réseaux BT (%)
</t>
    </r>
    <r>
      <rPr>
        <i/>
        <sz val="9"/>
        <color theme="0"/>
        <rFont val="Arial"/>
        <family val="2"/>
      </rPr>
      <t>- Inventaire technique -</t>
    </r>
  </si>
  <si>
    <t>Taux réseau BT aérien nu</t>
  </si>
  <si>
    <t>Taux réseau BT aérien torsadé</t>
  </si>
  <si>
    <t>Taux réseau BT souterrain</t>
  </si>
  <si>
    <t>Moy. nationale taux BT souterrain</t>
  </si>
  <si>
    <t>10.1</t>
  </si>
  <si>
    <t>10.2</t>
  </si>
  <si>
    <t>10.3</t>
  </si>
  <si>
    <t>Graphique taux d'enfouissement BT en fonction de la densité de population</t>
  </si>
  <si>
    <t>10.4</t>
  </si>
  <si>
    <t>Pour y parvenir, ajouter à l'onget D_enf les taux d'enfouissement BT par département (seuls les taux de sécurisation figurent)</t>
  </si>
  <si>
    <t>10.5</t>
  </si>
  <si>
    <t>Pat_tech_bt_01_nat</t>
  </si>
  <si>
    <t>Taux de réseau BT souterrain - concession</t>
  </si>
  <si>
    <t>Moy. nationale taux de réseau BT souterrain</t>
  </si>
  <si>
    <t>Moy. nationale selon densité de population similaire</t>
  </si>
  <si>
    <t>Taux de réseau BT sécurisé - concession</t>
  </si>
  <si>
    <t>Moy. nationale taux réseau BT sécurisé</t>
  </si>
  <si>
    <t>Moy. nationale selon densité de population</t>
  </si>
  <si>
    <t>10.6</t>
  </si>
  <si>
    <r>
      <t xml:space="preserve">Focus réseaux BT anciens (km et %)
</t>
    </r>
    <r>
      <rPr>
        <i/>
        <sz val="9"/>
        <color theme="0"/>
        <rFont val="Arial"/>
        <family val="2"/>
      </rPr>
      <t>- Inventaire technique -</t>
    </r>
  </si>
  <si>
    <t>Pat_tech_bt_03</t>
  </si>
  <si>
    <t>Linéaire total BT ≥ 40 ans</t>
  </si>
  <si>
    <t>% linéaire BT ≥ 40 ans - concession</t>
  </si>
  <si>
    <t>% linéaire BT ≥ 40 ans - national</t>
  </si>
  <si>
    <t>Linéaire total BT ≥ 50 ans</t>
  </si>
  <si>
    <t>Linéaire total BT ≥ 60 ans</t>
  </si>
  <si>
    <t>11.1</t>
  </si>
  <si>
    <r>
      <t xml:space="preserve">Caractéristiques des départs BT
</t>
    </r>
    <r>
      <rPr>
        <i/>
        <sz val="9"/>
        <color theme="0"/>
        <rFont val="Arial"/>
        <family val="2"/>
      </rPr>
      <t>- Inventaire technique -</t>
    </r>
  </si>
  <si>
    <t>Pat_tech_bt_07</t>
  </si>
  <si>
    <t>Nb départs BT</t>
  </si>
  <si>
    <t>Longueur moy. des départs BT (m.)</t>
  </si>
  <si>
    <t>Nb départs BT &gt; moy. nat. (425 m.)</t>
  </si>
  <si>
    <t>Nb départs BT &gt; 1500 m.</t>
  </si>
  <si>
    <t>Nb départs BT &gt; 2500 m.</t>
  </si>
  <si>
    <t>Longueur départ BT le plus long (m.)</t>
  </si>
  <si>
    <t>Commune du départ BT le plus long</t>
  </si>
  <si>
    <t>11.2</t>
  </si>
  <si>
    <r>
      <t xml:space="preserve">Niveaux de tension des départs BT entre phases
</t>
    </r>
    <r>
      <rPr>
        <i/>
        <sz val="9"/>
        <color theme="0"/>
        <rFont val="Arial"/>
        <family val="2"/>
      </rPr>
      <t>- Inventaire technique -</t>
    </r>
  </si>
  <si>
    <t>Nombre de départs BT en 20 kV</t>
  </si>
  <si>
    <t>Nombre de départs BT en 15 kV (ancien palier)</t>
  </si>
  <si>
    <t>Nombre de départs BT avec autre niveau de tension</t>
  </si>
  <si>
    <t>11.3</t>
  </si>
  <si>
    <r>
      <t xml:space="preserve">Taux de renouvellement des réseaux BT
</t>
    </r>
    <r>
      <rPr>
        <i/>
        <sz val="9"/>
        <color theme="0"/>
        <rFont val="Arial"/>
        <family val="2"/>
      </rPr>
      <t>- CRAC -</t>
    </r>
  </si>
  <si>
    <t>2 à 2,5%</t>
  </si>
  <si>
    <t>pat_tech_bt_12</t>
  </si>
  <si>
    <t>Taux de renouvellement - moyenne nationale (%)</t>
  </si>
  <si>
    <t>11.4</t>
  </si>
  <si>
    <t>Graphique zones et valeur du taux de renouvellement BT de l'exercice N à partir des valeurs individuelles de chaque concessions similaires (histogramme boîte à moustache)</t>
  </si>
  <si>
    <t>12.1</t>
  </si>
  <si>
    <r>
      <t xml:space="preserve">Typologie des réseaux BT - Régime Urbain (km) 
</t>
    </r>
    <r>
      <rPr>
        <i/>
        <sz val="9"/>
        <color theme="0"/>
        <rFont val="Arial"/>
        <family val="2"/>
      </rPr>
      <t>- Inventaire technique -</t>
    </r>
  </si>
  <si>
    <t>Pat_tech_bt_01_FACE</t>
  </si>
  <si>
    <t>Linéaire en Régime Urbain</t>
  </si>
  <si>
    <t>Part des linéaires urbain / linéaire BT total (%)</t>
  </si>
  <si>
    <t>Focus linéaires anciens</t>
  </si>
  <si>
    <t>Seuils définis selon les durées d'amortissement des ouvrages</t>
  </si>
  <si>
    <t>Part des linéaires anciens / linéaire BT urbain (%)</t>
  </si>
  <si>
    <t>Pat_tech_bt_02_FACE</t>
  </si>
  <si>
    <t>Dont aérien nu ≥ 40 ans</t>
  </si>
  <si>
    <t>Dont aérien torsadé ≥ 50 ans</t>
  </si>
  <si>
    <t>Dont souterrain ≥ 40 ans</t>
  </si>
  <si>
    <t>Focus technologies incidentogènes</t>
  </si>
  <si>
    <t>Part des linéaires à techn. incidentogènes / linéaire BT urbain (%)</t>
  </si>
  <si>
    <t>Faibles sections</t>
  </si>
  <si>
    <t>Part de l'aérien nu par rapport au linéaire BT aérien (%)</t>
  </si>
  <si>
    <t>Pat_tech_bt_04b</t>
  </si>
  <si>
    <t>Dont souterrain câble à isolation papier imprégné (CPI)</t>
  </si>
  <si>
    <t>Dont souterrain câble à isolation neutre périphérique (NP)</t>
  </si>
  <si>
    <t>Dont souterrain câble potentiellement CPI-NP (non datés "1946")</t>
  </si>
  <si>
    <t>Part du CPI-NP par rapport au linéaire BT souterrain (%)</t>
  </si>
  <si>
    <t>12.2</t>
  </si>
  <si>
    <r>
      <t xml:space="preserve">Typologie des réseaux BT - Régime Rural (km) 
</t>
    </r>
    <r>
      <rPr>
        <i/>
        <sz val="9"/>
        <color theme="0"/>
        <rFont val="Arial"/>
        <family val="2"/>
      </rPr>
      <t>- Inventaire technique -</t>
    </r>
  </si>
  <si>
    <t>Linéaire en Régime Rural</t>
  </si>
  <si>
    <t>Part des linéaires rural / linéaire BT total (%)</t>
  </si>
  <si>
    <t>Part des linéaires anciens / linéaire BT rural (%)</t>
  </si>
  <si>
    <t>Part des linéaires à techn. incidentogènes / linéaire BT rural (%)</t>
  </si>
  <si>
    <t>12.3</t>
  </si>
  <si>
    <r>
      <t xml:space="preserve">Focus BT aérien nu (km)
</t>
    </r>
    <r>
      <rPr>
        <i/>
        <sz val="9"/>
        <color theme="0"/>
        <rFont val="Arial"/>
        <family val="2"/>
      </rPr>
      <t>- Inventaire technique -</t>
    </r>
  </si>
  <si>
    <t>Taux aérien nu / total</t>
  </si>
  <si>
    <t>Pat_tech_bt_04_nat</t>
  </si>
  <si>
    <t>Moy. nationale taux réseau BT aérien nu</t>
  </si>
  <si>
    <t>Dont fils nus faibles sections</t>
  </si>
  <si>
    <t>Taux fils nus faibles sections / aérien nu</t>
  </si>
  <si>
    <t>Moy. nationale taux réseau fils nus faibles sections / BT aérien nu</t>
  </si>
  <si>
    <t>13.1</t>
  </si>
  <si>
    <t>Carte tracé réseau BT aérien nu en zones boisées</t>
  </si>
  <si>
    <t>13.2</t>
  </si>
  <si>
    <t>Carte taux de réseau BT souterrain par commune</t>
  </si>
  <si>
    <t>14.1</t>
  </si>
  <si>
    <t>Carte taux de réseau BT sécurisé par commune</t>
  </si>
  <si>
    <t>14.2</t>
  </si>
  <si>
    <t>Carte âge moyen du réseau BT par commune (inventaire technique)</t>
  </si>
  <si>
    <r>
      <t xml:space="preserve">Typologie des réseaux BT (%) 
</t>
    </r>
    <r>
      <rPr>
        <i/>
        <sz val="9"/>
        <color theme="0"/>
        <rFont val="Arial"/>
        <family val="2"/>
      </rPr>
      <t>- Inventaire technique -</t>
    </r>
  </si>
  <si>
    <t>Régime urbain</t>
  </si>
  <si>
    <t>Régime rural</t>
  </si>
  <si>
    <t>Pat_tech_bt_02</t>
  </si>
  <si>
    <r>
      <t xml:space="preserve">Focus réseaux BT anciens (km)
</t>
    </r>
    <r>
      <rPr>
        <i/>
        <sz val="9"/>
        <color theme="0"/>
        <rFont val="Arial"/>
        <family val="2"/>
      </rPr>
      <t>- Inventaire technique -</t>
    </r>
  </si>
  <si>
    <t>Aérien nu ≥ 40 ans</t>
  </si>
  <si>
    <t>Aérien torsadé ≥ 50 ans</t>
  </si>
  <si>
    <t>Souterrain ≥ 40 ans</t>
  </si>
  <si>
    <r>
      <t xml:space="preserve">Focus technologies BT incidentogènes (km)
</t>
    </r>
    <r>
      <rPr>
        <i/>
        <sz val="9"/>
        <color theme="0"/>
        <rFont val="Arial"/>
        <family val="2"/>
      </rPr>
      <t>- Inventaire technique -</t>
    </r>
  </si>
  <si>
    <t>Sur le réseau aérien</t>
  </si>
  <si>
    <t>Dont faibles sections</t>
  </si>
  <si>
    <t>% aérien nu / aérien</t>
  </si>
  <si>
    <t>Sur le réseau souterrain</t>
  </si>
  <si>
    <t>Câble à papier imprégné (CPI)</t>
  </si>
  <si>
    <t>Neutre périphérique (NP)</t>
  </si>
  <si>
    <t>Potentiellement CPI-NP (non datés "1946")</t>
  </si>
  <si>
    <t>% lignes CPI-NP / souterrain</t>
  </si>
  <si>
    <t>Pat_tech_bt_04_ENE</t>
  </si>
  <si>
    <r>
      <t xml:space="preserve">Focus isolation câbles BT : technologies incidentogènes (km)
</t>
    </r>
    <r>
      <rPr>
        <i/>
        <sz val="9"/>
        <color theme="0"/>
        <rFont val="Arial"/>
        <family val="2"/>
      </rPr>
      <t>- Inventaire technique (estimation Enedis) -</t>
    </r>
  </si>
  <si>
    <t>Typologie câbles cuivre non datés "1946" Cu</t>
  </si>
  <si>
    <t>Typologie câbles aluminium non datés "1946" Al</t>
  </si>
  <si>
    <t>Typologie papier imprégné d'huile câble cuivre CPI Cu</t>
  </si>
  <si>
    <t>Typologie papier imprégné d'huile câble aluminium CPI Al</t>
  </si>
  <si>
    <t>Typologie neutre périphérique NP</t>
  </si>
  <si>
    <t>% technologies incidentogènes / souterrain total</t>
  </si>
  <si>
    <t xml:space="preserve">Total </t>
  </si>
  <si>
    <r>
      <t xml:space="preserve">Focus isolation câbles BT : technologies incidentogènes - Urbain (km)
</t>
    </r>
    <r>
      <rPr>
        <i/>
        <sz val="9"/>
        <color theme="0"/>
        <rFont val="Arial"/>
        <family val="2"/>
      </rPr>
      <t>- Inventaire technique (estimation Enedis) -</t>
    </r>
  </si>
  <si>
    <t>% technologies incidentogènes / total</t>
  </si>
  <si>
    <r>
      <t xml:space="preserve">Focus isolation câbles BT : technologies incidentogènes - Rural (km)
</t>
    </r>
    <r>
      <rPr>
        <i/>
        <sz val="9"/>
        <color theme="0"/>
        <rFont val="Arial"/>
        <family val="2"/>
      </rPr>
      <t>- Inventaire technique (estimation Enedis) -</t>
    </r>
  </si>
  <si>
    <t>Pat_tech_bt_06</t>
  </si>
  <si>
    <r>
      <t xml:space="preserve">Focus matériaux conducteurs BT (km)
</t>
    </r>
    <r>
      <rPr>
        <i/>
        <sz val="9"/>
        <color theme="0"/>
        <rFont val="Arial"/>
        <family val="2"/>
      </rPr>
      <t>- Inventaire technique -</t>
    </r>
  </si>
  <si>
    <t>Total concession</t>
  </si>
  <si>
    <t>Pat_tech_bt_06_FACE</t>
  </si>
  <si>
    <t>Régime Urbain</t>
  </si>
  <si>
    <t>Régime Rural</t>
  </si>
  <si>
    <t>Pat_tech_bt_07_FACE</t>
  </si>
  <si>
    <r>
      <t xml:space="preserve">Caractéristiques des départs BT - Régime Urbain
</t>
    </r>
    <r>
      <rPr>
        <i/>
        <sz val="9"/>
        <color theme="0"/>
        <rFont val="Arial"/>
        <family val="2"/>
      </rPr>
      <t>- Inventaire technique -</t>
    </r>
  </si>
  <si>
    <t>Nombre départs BT</t>
  </si>
  <si>
    <r>
      <t xml:space="preserve">Caractéristiques des départs BT - Régime Rural
</t>
    </r>
    <r>
      <rPr>
        <i/>
        <sz val="9"/>
        <color theme="0"/>
        <rFont val="Arial"/>
        <family val="2"/>
      </rPr>
      <t>- Inventaire technique -</t>
    </r>
  </si>
  <si>
    <t>Nombre départs BT &gt; moy. nat. (425 m.)</t>
  </si>
  <si>
    <t>Nombre départs BT &gt; 1500 m.</t>
  </si>
  <si>
    <t>Nombre départs BT &gt; 2500 m.</t>
  </si>
  <si>
    <t>Pat_tech_bt_08</t>
  </si>
  <si>
    <r>
      <t xml:space="preserve">Âge des réseaux BT (ans)
</t>
    </r>
    <r>
      <rPr>
        <i/>
        <sz val="9"/>
        <color theme="0"/>
        <rFont val="Arial"/>
        <family val="2"/>
      </rPr>
      <t>- Inventaire technique -</t>
    </r>
  </si>
  <si>
    <t>Linéaire total (km)</t>
  </si>
  <si>
    <t>Dont linéaire non daté "1946" dans l'inventaire (km)</t>
  </si>
  <si>
    <t>Age moyen des linéaires datés (ans)</t>
  </si>
  <si>
    <t>N.B : Dans l'inventaire technique, les réseaux non datés ont comme année de mise en service 1946</t>
  </si>
  <si>
    <t>Pat_tech_bt_08_FACE</t>
  </si>
  <si>
    <r>
      <t xml:space="preserve">Âge des réseaux BT - Régime Urbain (km)
</t>
    </r>
    <r>
      <rPr>
        <i/>
        <sz val="9"/>
        <color theme="0"/>
        <rFont val="Arial"/>
        <family val="2"/>
      </rPr>
      <t>- Inventaire technique -</t>
    </r>
  </si>
  <si>
    <r>
      <t xml:space="preserve">Âge des réseaux BT - Régime Rural (km)
</t>
    </r>
    <r>
      <rPr>
        <i/>
        <sz val="9"/>
        <color theme="0"/>
        <rFont val="Arial"/>
        <family val="2"/>
      </rPr>
      <t>- Inventaire technique -</t>
    </r>
  </si>
  <si>
    <t>Longueur totale</t>
  </si>
  <si>
    <t>Pat_tech_bt_10</t>
  </si>
  <si>
    <r>
      <t xml:space="preserve">Age moyen des réseaux BT (ans)
</t>
    </r>
    <r>
      <rPr>
        <i/>
        <sz val="9"/>
        <color theme="0"/>
        <rFont val="Arial"/>
        <family val="2"/>
      </rPr>
      <t>- Inventaire technique -</t>
    </r>
  </si>
  <si>
    <t>Dont aérien nu faibles sections - inventaire technique</t>
  </si>
  <si>
    <r>
      <t xml:space="preserve">Age moyen des réseaux BT (ans)
</t>
    </r>
    <r>
      <rPr>
        <i/>
        <sz val="9"/>
        <color theme="0"/>
        <rFont val="Arial"/>
        <family val="2"/>
      </rPr>
      <t>- Inventaire comptable -</t>
    </r>
  </si>
  <si>
    <t>Comptable</t>
  </si>
  <si>
    <t>Pat_tech_bt_11</t>
  </si>
  <si>
    <r>
      <t xml:space="preserve">Linéaires BT mis en service par année (km)
</t>
    </r>
    <r>
      <rPr>
        <i/>
        <sz val="9"/>
        <color theme="0"/>
        <rFont val="Arial"/>
        <family val="2"/>
      </rPr>
      <t xml:space="preserve">- Inventaire technique - </t>
    </r>
  </si>
  <si>
    <t>Souterrain CPI-NP (y.c. potentiellement)</t>
  </si>
  <si>
    <t>Souterrain hors CPI-NP</t>
  </si>
  <si>
    <t>Branchements : page 15</t>
  </si>
  <si>
    <t>15.1</t>
  </si>
  <si>
    <r>
      <t xml:space="preserve">Ouvrages collectifs de branchement
</t>
    </r>
    <r>
      <rPr>
        <i/>
        <sz val="9"/>
        <color theme="0"/>
        <rFont val="Arial"/>
        <family val="2"/>
      </rPr>
      <t>- Arrêté inventaire OCB -</t>
    </r>
  </si>
  <si>
    <t>A créer à partir de l'inventaire comptable</t>
  </si>
  <si>
    <t>Pat_tech_branch_02</t>
  </si>
  <si>
    <t>Nombre d'ouvrages collectifs de branchement</t>
  </si>
  <si>
    <t>Somme des lignes fichier arrêté inventaire OCB</t>
  </si>
  <si>
    <t>Dont colonne double avec ECP3D</t>
  </si>
  <si>
    <t>A partir du fichier arrêté inventaire OCB</t>
  </si>
  <si>
    <t>Dont colonne multiple avec ECP3D (de 3 à 6 colonnes)</t>
  </si>
  <si>
    <t>Dont colonne multiple existante</t>
  </si>
  <si>
    <t>Dont colonne multiple issue de départ direct 200A (de 2 à 3 colonnes)</t>
  </si>
  <si>
    <t>Dont colonne multiple issue de départ direct 400A (de 2 à 5 colonnes)</t>
  </si>
  <si>
    <t>Dont colonne simple</t>
  </si>
  <si>
    <t>Dont local technique</t>
  </si>
  <si>
    <t>Dont local technique en coffret REMBT</t>
  </si>
  <si>
    <t>Nombre d'usagers desservis (PCE)</t>
  </si>
  <si>
    <t>Somme de la colonne quantité</t>
  </si>
  <si>
    <t>Age moyen des ouvrages collectifs de branchement (ans)</t>
  </si>
  <si>
    <t>Age moyen calculé à partir de l'année de mise en service</t>
  </si>
  <si>
    <t>15.2</t>
  </si>
  <si>
    <r>
      <t xml:space="preserve">Branchements individuels
</t>
    </r>
    <r>
      <rPr>
        <i/>
        <sz val="9"/>
        <color theme="0"/>
        <rFont val="Arial"/>
        <family val="2"/>
      </rPr>
      <t>- Inventaire comptable -</t>
    </r>
  </si>
  <si>
    <t>Pat_tech_branch_01</t>
  </si>
  <si>
    <t>Nombre de branchements individuels</t>
  </si>
  <si>
    <t>Somme des lignes avec catégorie d'ouvrages 06 - Branchements</t>
  </si>
  <si>
    <t>Dont branchements aériens (LR et DI)</t>
  </si>
  <si>
    <t>Somme des lignes à partir de la sous-catégorie correspondante</t>
  </si>
  <si>
    <t>Dont dérivations individuelles des liaisons individuelles</t>
  </si>
  <si>
    <t>Dont liaisons réseau souterraines et aéro-souterraines</t>
  </si>
  <si>
    <t>Age moyen des branchements individuels (ans)</t>
  </si>
  <si>
    <t>Sites isolés : page 15</t>
  </si>
  <si>
    <t>15.3</t>
  </si>
  <si>
    <r>
      <t xml:space="preserve">Caractéristiques des sites isolés
</t>
    </r>
    <r>
      <rPr>
        <i/>
        <sz val="9"/>
        <color theme="0"/>
        <rFont val="Arial"/>
        <family val="2"/>
      </rPr>
      <t>- Concession -</t>
    </r>
  </si>
  <si>
    <t>Pat_sites_isolés</t>
  </si>
  <si>
    <t>Nombre sites isolés</t>
  </si>
  <si>
    <t>Puissance totale sites isolés (kW)</t>
  </si>
  <si>
    <t>Cohérence des inventaires : page 16</t>
  </si>
  <si>
    <t>16.1</t>
  </si>
  <si>
    <t>16.2</t>
  </si>
  <si>
    <r>
      <t xml:space="preserve">Cohérence des inventaires 
</t>
    </r>
    <r>
      <rPr>
        <i/>
        <sz val="9"/>
        <color theme="0"/>
        <rFont val="Arial"/>
        <family val="2"/>
      </rPr>
      <t>Calcul au 31/12 de l'année N-1</t>
    </r>
  </si>
  <si>
    <t>Quantité base technique 
(km ou u.)</t>
  </si>
  <si>
    <t>Quantité base comptable 
(km ou u.)</t>
  </si>
  <si>
    <t>Ecart maille concession</t>
  </si>
  <si>
    <t>Ecart maille communale</t>
  </si>
  <si>
    <t>(km ou u.)</t>
  </si>
  <si>
    <t>(%)</t>
  </si>
  <si>
    <t>Réseau HTA</t>
  </si>
  <si>
    <t>Réseau BT</t>
  </si>
  <si>
    <t>Transformateurs HTA/BT</t>
  </si>
  <si>
    <t>Ouvrages collectifs de branchement</t>
  </si>
  <si>
    <t>16.3</t>
  </si>
  <si>
    <t>16.4</t>
  </si>
  <si>
    <t>16.5</t>
  </si>
  <si>
    <r>
      <t xml:space="preserve">Cohérence des inventaires - réseaux HTA
</t>
    </r>
    <r>
      <rPr>
        <i/>
        <sz val="9"/>
        <color theme="0"/>
        <rFont val="Arial"/>
        <family val="2"/>
      </rPr>
      <t>Calcul au 31/12 de l'année N-1</t>
    </r>
  </si>
  <si>
    <t>Quantité base technique 
(km)</t>
  </si>
  <si>
    <t>Quantité base comptable 
(km)</t>
  </si>
  <si>
    <t>(km)</t>
  </si>
  <si>
    <t>Total réseau HTA</t>
  </si>
  <si>
    <t>16.6</t>
  </si>
  <si>
    <r>
      <t xml:space="preserve">Cohérence des inventaires : réseaux BT
</t>
    </r>
    <r>
      <rPr>
        <i/>
        <sz val="9"/>
        <color theme="0"/>
        <rFont val="Arial"/>
        <family val="2"/>
      </rPr>
      <t>Calcul au 31/12 de l'année N-1</t>
    </r>
  </si>
  <si>
    <t>Total réseau BT</t>
  </si>
  <si>
    <t>16.7</t>
  </si>
  <si>
    <r>
      <t xml:space="preserve">Cohérence des inventaires : transformateurs HTA/BT DP
</t>
    </r>
    <r>
      <rPr>
        <i/>
        <sz val="9"/>
        <color theme="0"/>
        <rFont val="Arial"/>
        <family val="2"/>
      </rPr>
      <t>Calcul au 31/12 de l'année N-1</t>
    </r>
  </si>
  <si>
    <t>Quantité base technique 
(u.)</t>
  </si>
  <si>
    <t>Quantité base comptable 
(u.)</t>
  </si>
  <si>
    <t>(u.)</t>
  </si>
  <si>
    <t>Nombre de transformateurs HTA/BT</t>
  </si>
  <si>
    <t>Qualité de distribution de l'électricité : continuité de l'alimentation</t>
  </si>
  <si>
    <t>17.1</t>
  </si>
  <si>
    <r>
      <t xml:space="preserve">Durée moyenne de coupure par usager BT (min)
</t>
    </r>
    <r>
      <rPr>
        <i/>
        <sz val="8"/>
        <color theme="0"/>
        <rFont val="Arial"/>
        <family val="2"/>
      </rPr>
      <t>- CRACs -</t>
    </r>
  </si>
  <si>
    <t>Critère B toutes causes confondues (TCC)</t>
  </si>
  <si>
    <t>Source CRAC</t>
  </si>
  <si>
    <t>Critère B hors incidents exceptionnels (HIX)</t>
  </si>
  <si>
    <t>Dont origine réseau de transport RTE</t>
  </si>
  <si>
    <t>Dont incident sur réseau de distribution publique</t>
  </si>
  <si>
    <t>Dont incident poste source</t>
  </si>
  <si>
    <t>Dont incident réseau HTA</t>
  </si>
  <si>
    <t>Dont incident réseau BT</t>
  </si>
  <si>
    <t>Dont travaux sur le réseau de distribution publique</t>
  </si>
  <si>
    <t>Dont travaux réseau HTA</t>
  </si>
  <si>
    <t>Dont travaux réseau BT</t>
  </si>
  <si>
    <t>Impact évènements exceptionnels</t>
  </si>
  <si>
    <t>Inc_02</t>
  </si>
  <si>
    <r>
      <t xml:space="preserve">Durée moyenne de coupure par usager BT (min)
</t>
    </r>
    <r>
      <rPr>
        <i/>
        <sz val="8"/>
        <color theme="0"/>
        <rFont val="Arial"/>
        <family val="2"/>
      </rPr>
      <t>- Reconstituée à partir des listes de coupures -</t>
    </r>
  </si>
  <si>
    <t>17.2</t>
  </si>
  <si>
    <r>
      <t xml:space="preserve">Focus causes climatiques
</t>
    </r>
    <r>
      <rPr>
        <i/>
        <sz val="8"/>
        <color theme="0"/>
        <rFont val="Arial"/>
        <family val="2"/>
      </rPr>
      <t>- A partir des listes de coupures -</t>
    </r>
  </si>
  <si>
    <t>Critère B HIX hors RTE HTA-BT Causes climatiques</t>
  </si>
  <si>
    <t>Critère B HIX hors RTE HTA-BT Hors causes climatiques</t>
  </si>
  <si>
    <t>Critère B HIX hors RTE HTA-BT Total</t>
  </si>
  <si>
    <t>Inc_02_nationale</t>
  </si>
  <si>
    <t>Critère B : moyennes nationales (min)</t>
  </si>
  <si>
    <t>Critère B TCC national (min)</t>
  </si>
  <si>
    <t>Moyenne glissante 3 ans B TCC</t>
  </si>
  <si>
    <t>Critère B HIX national hors RTE (min)</t>
  </si>
  <si>
    <t xml:space="preserve">Intégrer dans Terradata les données de l'open data d'Enedis : https://www.data.gouv.fr/fr/datasets/duree-moyenne-de-coupure-par-client-bt/#/information </t>
  </si>
  <si>
    <t>Moyenne glissante 3 ans B HIX hors RTE</t>
  </si>
  <si>
    <r>
      <t xml:space="preserve">Critère B par zone de desserte : Moyennes nationales (min)
</t>
    </r>
    <r>
      <rPr>
        <i/>
        <sz val="9"/>
        <color theme="0"/>
        <rFont val="Arial"/>
        <family val="2"/>
      </rPr>
      <t>- Source Enedis -</t>
    </r>
  </si>
  <si>
    <t>Moyenne 2014-2023</t>
  </si>
  <si>
    <t>Toutes causes confondues (TCC)</t>
  </si>
  <si>
    <t>Zone Z1 : communes rurales &lt; 10 000 hab.</t>
  </si>
  <si>
    <t>Zone Z2 : petites agglomérations de 10 000 à 100 000 hab.</t>
  </si>
  <si>
    <t>Zone Z3 : agglomérations &gt; 100 000 hab. hors Z4</t>
  </si>
  <si>
    <t>Zone Z4 : communes &gt; 100 000 hab. et balieue parisienne</t>
  </si>
  <si>
    <t>Hors incidents exceptionnels (HIX)</t>
  </si>
  <si>
    <t>NC</t>
  </si>
  <si>
    <t>Inc_03</t>
  </si>
  <si>
    <r>
      <t xml:space="preserve">Critère B par zone de desserte (min)
</t>
    </r>
    <r>
      <rPr>
        <i/>
        <sz val="9"/>
        <color theme="0"/>
        <rFont val="Arial"/>
        <family val="2"/>
      </rPr>
      <t>- A partir des listes de coupures -</t>
    </r>
  </si>
  <si>
    <t>Concession</t>
  </si>
  <si>
    <t>Zone Z1 TCC</t>
  </si>
  <si>
    <t>Zone Z2 TCC</t>
  </si>
  <si>
    <t>Zone Z3 TCC</t>
  </si>
  <si>
    <t>Zone Z4 TCC</t>
  </si>
  <si>
    <t>Moyenne nationale</t>
  </si>
  <si>
    <t>Zone Z1 HIX hors RTE</t>
  </si>
  <si>
    <t>Zone Z2 HIX hors RTE</t>
  </si>
  <si>
    <t>Zone Z3 HIX hors RTE</t>
  </si>
  <si>
    <t>Zone Z4 HIX hors RTE</t>
  </si>
  <si>
    <t>Inc_03_face</t>
  </si>
  <si>
    <r>
      <t xml:space="preserve">Critère B par zone d'électrification - hors RTE
</t>
    </r>
    <r>
      <rPr>
        <i/>
        <sz val="8"/>
        <color theme="0"/>
        <rFont val="Arial"/>
        <family val="2"/>
      </rPr>
      <t>- Concession -</t>
    </r>
  </si>
  <si>
    <t>Zones Régime Urbain - TCC</t>
  </si>
  <si>
    <t>Zones Régime Rural  - TCC</t>
  </si>
  <si>
    <t>Zones Régime Urbain - Hix</t>
  </si>
  <si>
    <t>Zones Régime Rural  - Hix</t>
  </si>
  <si>
    <t>inc_03_face_bt</t>
  </si>
  <si>
    <r>
      <t xml:space="preserve">Critère B Basse Tension par zone d'électrification
</t>
    </r>
    <r>
      <rPr>
        <i/>
        <sz val="8"/>
        <color theme="0"/>
        <rFont val="Arial"/>
        <family val="2"/>
      </rPr>
      <t>- Concession -</t>
    </r>
  </si>
  <si>
    <t>BT HIX total - Régime Urbain</t>
  </si>
  <si>
    <t>BT HIX total - Régime Rural</t>
  </si>
  <si>
    <t>BT HIX incidents - Régime Urbain</t>
  </si>
  <si>
    <t>BT HIX incidents - Régime Rural</t>
  </si>
  <si>
    <t>BT HIX travaux - Régime Urbain</t>
  </si>
  <si>
    <t>BT HIX travaux - Régime Rural</t>
  </si>
  <si>
    <t>Inc_04</t>
  </si>
  <si>
    <t>incident</t>
  </si>
  <si>
    <t>travaux</t>
  </si>
  <si>
    <t>HTA autre</t>
  </si>
  <si>
    <t>HTA aérien</t>
  </si>
  <si>
    <t>HTA Postes HTA/BT</t>
  </si>
  <si>
    <t>HTA sans dégât</t>
  </si>
  <si>
    <t>HTA souterrain</t>
  </si>
  <si>
    <t>HTA inconnu</t>
  </si>
  <si>
    <t>BT autre</t>
  </si>
  <si>
    <t>BT aérien</t>
  </si>
  <si>
    <t>BT Postes HTA/BT</t>
  </si>
  <si>
    <t>BT sans dégât</t>
  </si>
  <si>
    <t>BT souterrain</t>
  </si>
  <si>
    <t>Nititot</t>
  </si>
  <si>
    <t>Inc_06</t>
  </si>
  <si>
    <r>
      <t xml:space="preserve">Coupures longues HIX sur le réseau HTA
</t>
    </r>
    <r>
      <rPr>
        <i/>
        <sz val="9"/>
        <color theme="0"/>
        <rFont val="Arial"/>
        <family val="2"/>
      </rPr>
      <t>- Concession -</t>
    </r>
  </si>
  <si>
    <t>Nombre de coupures</t>
  </si>
  <si>
    <t>Coupures pour incident</t>
  </si>
  <si>
    <t>Coupures pour travaux</t>
  </si>
  <si>
    <t>Cumul du nombre d'usagers coupés</t>
  </si>
  <si>
    <t>Durée moyenne de coupure par usager coupé (mn)</t>
  </si>
  <si>
    <t>Nombre moyen d'usagers coupés par coupure</t>
  </si>
  <si>
    <t>Inc_07</t>
  </si>
  <si>
    <r>
      <t xml:space="preserve">Coupures longues HIX sur le réseau BT
</t>
    </r>
    <r>
      <rPr>
        <i/>
        <sz val="8"/>
        <color theme="0"/>
        <rFont val="Arial"/>
        <family val="2"/>
      </rPr>
      <t>- Concession -</t>
    </r>
  </si>
  <si>
    <t>Inc_01</t>
  </si>
  <si>
    <r>
      <t xml:space="preserve">Nombre d'usagers affectés par les coupures
</t>
    </r>
    <r>
      <rPr>
        <i/>
        <sz val="8"/>
        <color theme="0"/>
        <rFont val="Arial"/>
        <family val="2"/>
      </rPr>
      <t>- CRACs -</t>
    </r>
  </si>
  <si>
    <t>Affectés par plus de 6 coupures longues TCC (&gt; à 3 min.)</t>
  </si>
  <si>
    <t>Dont nombre d'usagers BT affectés par plus de 6 coupures longues suite à incident situé en amont du réseau BT</t>
  </si>
  <si>
    <t>Affectés par plus de 30 coupures brèves (de 1 s. à 3 min.), toutes causes confondues</t>
  </si>
  <si>
    <t>Coupés pendant plus de 3 heures, en durée cumulée sur l’année, toutes causes confondues</t>
  </si>
  <si>
    <t>Dont nombre d'usagers BT coupés plus de 3 heures, en durée cumulée sur l’année, suite à incident situé en amont du réseau BT</t>
  </si>
  <si>
    <t>Coupés pendant plus de 5 heures consécutives, toutes causes confondues</t>
  </si>
  <si>
    <r>
      <t xml:space="preserve">Focus coupures liées à des incidents sur le réseau
</t>
    </r>
    <r>
      <rPr>
        <i/>
        <sz val="8"/>
        <color theme="0"/>
        <rFont val="Arial"/>
        <family val="2"/>
      </rPr>
      <t>- CRACs -</t>
    </r>
  </si>
  <si>
    <t>Nombre d'incidents HTA pour 100 km de réseau</t>
  </si>
  <si>
    <t>Dont réseau aérien</t>
  </si>
  <si>
    <t>Dont réseau souterrain</t>
  </si>
  <si>
    <t>Nombre d'incidents BT pour 100 km de réseau</t>
  </si>
  <si>
    <t>Nombre de coupures sur incident réseau</t>
  </si>
  <si>
    <t>Longues (&gt; 3 min)</t>
  </si>
  <si>
    <t>Brèves (de 1 s. à 3 min)</t>
  </si>
  <si>
    <r>
      <t xml:space="preserve">Focus coupures liées à des travaux sur le réseau
</t>
    </r>
    <r>
      <rPr>
        <i/>
        <sz val="8"/>
        <color theme="0"/>
        <rFont val="Arial"/>
        <family val="2"/>
      </rPr>
      <t>- CRACs -</t>
    </r>
  </si>
  <si>
    <t>Nombre de coupures pour travaux</t>
  </si>
  <si>
    <t>Dont sur le réseau HTA</t>
  </si>
  <si>
    <t>Dont sur le réseau BT</t>
  </si>
  <si>
    <t>Temps moyen</t>
  </si>
  <si>
    <t>inc_08</t>
  </si>
  <si>
    <t>Taux d'incidents TCC pour 100 km de réseau</t>
  </si>
  <si>
    <t>Réseaux aériens HTA</t>
  </si>
  <si>
    <t>Réseaux aériens HTA - moyenne nationale</t>
  </si>
  <si>
    <t>Réseaux souterrains HTA</t>
  </si>
  <si>
    <t>Réseaux souterrains HTA - moyenne nationale</t>
  </si>
  <si>
    <t>Réseaux aériens BT</t>
  </si>
  <si>
    <t xml:space="preserve">Réseaux souterrains BT </t>
  </si>
  <si>
    <t>Diag SDE22</t>
  </si>
  <si>
    <t>Maille nationale SDE22 (Taux de fiabilité Hix par typologie de réseau HTA (par an/100km), y compris causes tiers et malveillance, et hors sans siège et sans dégâts :)</t>
  </si>
  <si>
    <t>Taux Incidents HTA HIX / 100 km</t>
  </si>
  <si>
    <t>Taux Inc. HTA HIX siège souterrain</t>
  </si>
  <si>
    <t>Taux Inc. HTA HIX siège aérien</t>
  </si>
  <si>
    <t>Maille nationale SDE22 (Taux de fiabilité des réseaux aériens et souterrains (par an/100km), y compris causes tiers et malveillance, et hors sans siège et sans dégâts :)</t>
  </si>
  <si>
    <t>Taux Incident BT HIX / 100 km</t>
  </si>
  <si>
    <t>Taux Inc. BT HIX siège souterrain</t>
  </si>
  <si>
    <t>Taux Inc. BT HIX siège aérien nu</t>
  </si>
  <si>
    <t>Taux Inc. BT HIX siège 
aérien torsadé</t>
  </si>
  <si>
    <t>Nouveau tableau avec les nouveaux indicateurs calculés</t>
  </si>
  <si>
    <t>Réseaux aériens HTA aérien nu</t>
  </si>
  <si>
    <t>Réseaux aériens HTA aérien nu faible section</t>
  </si>
  <si>
    <t>Réseaux aériens BT aérien nu</t>
  </si>
  <si>
    <t>Réseaux aériens BT aérien nu - moyenne nationale</t>
  </si>
  <si>
    <t>n.c.</t>
  </si>
  <si>
    <t>Réseaux aériens BT aérien nu faible section</t>
  </si>
  <si>
    <t>Réseaux aériens BT torsadé</t>
  </si>
  <si>
    <t>Réseaux aériens BT torsadé - moyenne nationale</t>
  </si>
  <si>
    <t>Réseaux souterrains BT - moyenne nationale</t>
  </si>
  <si>
    <t>inc_09</t>
  </si>
  <si>
    <t>Nombre de coupure pour 1000 usagers</t>
  </si>
  <si>
    <t>Coupures longues pour incidents sur le réseau HTA</t>
  </si>
  <si>
    <t>Coupures brèves sur le réseau HTA</t>
  </si>
  <si>
    <t>Coupures longues pour incidents sur un poste source</t>
  </si>
  <si>
    <t>inc_10</t>
  </si>
  <si>
    <t>Nombre de coupures brèves et très brèves sur le réseau HTA</t>
  </si>
  <si>
    <t>Nombre de coupures brèves et très brèves</t>
  </si>
  <si>
    <t>Nombre de coupures très brèves</t>
  </si>
  <si>
    <t>N.B. : Les coupures brèves ont une durée comprise entre 1 seconde et 3 minutes et les coupures très brèves ont une durée inférieure à 1 seconde.</t>
  </si>
  <si>
    <t>inc_11</t>
  </si>
  <si>
    <t>Cartes</t>
  </si>
  <si>
    <t>inc_12</t>
  </si>
  <si>
    <t>Nititot lié à des incidents dus à un élagage insuffisant (en minutes cumulées)</t>
  </si>
  <si>
    <t>Nititot sur le réseau BT</t>
  </si>
  <si>
    <t>Nititot sur le réseau HTA</t>
  </si>
  <si>
    <t>inc_12_face</t>
  </si>
  <si>
    <t>Nititot lié à des incidents dus à un élagage insuffisant sur le réseau BT (en minutes cumulées)</t>
  </si>
  <si>
    <t>Sur les communes urbaines</t>
  </si>
  <si>
    <t>Sur les communes rurales</t>
  </si>
  <si>
    <t>Linéaire élagué (km)</t>
  </si>
  <si>
    <t>inc_12_elagage</t>
  </si>
  <si>
    <t>Sur le réseau BT</t>
  </si>
  <si>
    <t>Sur le réseau HTA</t>
  </si>
  <si>
    <t>inc_13_inc</t>
  </si>
  <si>
    <t>Coupures pour incidents liés à des élagages et abattages insuffisants</t>
  </si>
  <si>
    <t>Critère B (min)</t>
  </si>
  <si>
    <t>Durée cumulée coupure réseau distribution (milliers de minutes)</t>
  </si>
  <si>
    <t>dont coupure HTA</t>
  </si>
  <si>
    <t>dont coupure BT</t>
  </si>
  <si>
    <t>Nombre d'usagers BT coupés</t>
  </si>
  <si>
    <t>N.B. : Les causes d'incidents considérées sont : 'Elagage insuffisant','Abattage insuffisant','Travaux de tiers - Elagage ou abattage'</t>
  </si>
  <si>
    <t>inc_13_trv</t>
  </si>
  <si>
    <t>Coupures liées aux travaux d'élagage</t>
  </si>
  <si>
    <t>Inc_05_amont</t>
  </si>
  <si>
    <t>Manipulation</t>
  </si>
  <si>
    <t>Matériel</t>
  </si>
  <si>
    <t>Externe</t>
  </si>
  <si>
    <t>Bois</t>
  </si>
  <si>
    <t>Climatique</t>
  </si>
  <si>
    <t>Sécurité</t>
  </si>
  <si>
    <t>Inconnue</t>
  </si>
  <si>
    <t>Travaux</t>
  </si>
  <si>
    <t>RTE</t>
  </si>
  <si>
    <t>Réseau AMONT (PT-PS)</t>
  </si>
  <si>
    <t xml:space="preserve">Inc_05_hta </t>
  </si>
  <si>
    <t>Poste HTA/BT - Partie HTA</t>
  </si>
  <si>
    <t>Sans dégat</t>
  </si>
  <si>
    <t>Inc_05_bt</t>
  </si>
  <si>
    <t>BT aérien nu</t>
  </si>
  <si>
    <t>BT aérien torsadé</t>
  </si>
  <si>
    <t>BT inconnu</t>
  </si>
  <si>
    <t>Poste HTA/BT - Partie BT</t>
  </si>
  <si>
    <t>tens_01</t>
  </si>
  <si>
    <t>Départs HTA en contrainte de tension</t>
  </si>
  <si>
    <t>Chute de tension supérieure à 7%</t>
  </si>
  <si>
    <t>Chute de tension comprise entre 5% et 7%</t>
  </si>
  <si>
    <t>Chute de tension comprise entre 4% et 5%</t>
  </si>
  <si>
    <t>Nombre départs HTA en contrainte DU/U &gt; 5%</t>
  </si>
  <si>
    <t>% départs HTA en contrainte DU/U &gt; 5%</t>
  </si>
  <si>
    <t>tens_02</t>
  </si>
  <si>
    <t>Carte</t>
  </si>
  <si>
    <t>tens_03</t>
  </si>
  <si>
    <t>Postes HTA/BT en contrainte de tension</t>
  </si>
  <si>
    <t>Nombre de postes HTA/BT DP en contrainte de tension</t>
  </si>
  <si>
    <t>Nombre de départs BT alimentés par un départ HTA amont en contrainte</t>
  </si>
  <si>
    <t>tens_04</t>
  </si>
  <si>
    <t>tens_05</t>
  </si>
  <si>
    <t>tens_06</t>
  </si>
  <si>
    <t>Départs BT mal alimentés (DMA)</t>
  </si>
  <si>
    <t>Nombre de départs BT</t>
  </si>
  <si>
    <t>Dont départs BT comportant au moins un client mal alimenté</t>
  </si>
  <si>
    <t>Taux de départs BT mal alimentés</t>
  </si>
  <si>
    <t xml:space="preserve">   - En zone urbaine</t>
  </si>
  <si>
    <t xml:space="preserve">   - En zone rurale</t>
  </si>
  <si>
    <t>Longueur des tronçons mal alimentés (km)</t>
  </si>
  <si>
    <t xml:space="preserve">   - Dont faibles sections</t>
  </si>
  <si>
    <t>tens_08</t>
  </si>
  <si>
    <t>Clients mal alimentés (CMA)</t>
  </si>
  <si>
    <t>Nombre de clients mal alimentés</t>
  </si>
  <si>
    <t>Taux de clients mal alimentés</t>
  </si>
  <si>
    <t>tens_07</t>
  </si>
  <si>
    <t>Départs BT en contrainte de tension</t>
  </si>
  <si>
    <t>Chute de tension supérieure à 30%</t>
  </si>
  <si>
    <t>Chute de tension comprise entre 20% et 30%</t>
  </si>
  <si>
    <t>Chute de tension comprise entre 10% et 20%</t>
  </si>
  <si>
    <t>Nb départs BT en contrainte (DU/U &gt; 10%)</t>
  </si>
  <si>
    <t>% départs BT en contrainte - concession</t>
  </si>
  <si>
    <t>tens_09</t>
  </si>
  <si>
    <t>Investissements du concessionnaire</t>
  </si>
  <si>
    <t>cex_05</t>
  </si>
  <si>
    <t>Investissements du concessionnaire (k€)</t>
  </si>
  <si>
    <t>I. Raccordements des utilisateurs consommateurs et producteurs</t>
  </si>
  <si>
    <t>Dont raccordement des consommateurs HTA</t>
  </si>
  <si>
    <t>Dont raccordement des consommateurs BT</t>
  </si>
  <si>
    <t>Dont raccordement des producteurs HTA</t>
  </si>
  <si>
    <t>Dont raccordement des producteurs BT</t>
  </si>
  <si>
    <t>II. Investissements pour l'amélioration du patrimoine</t>
  </si>
  <si>
    <t>II.1 Investissements pour la performance et la modernisation du réseau</t>
  </si>
  <si>
    <t>Dont renforcement des réseaux BT</t>
  </si>
  <si>
    <t>Dont renforcement des réseaux HTA</t>
  </si>
  <si>
    <t>Dont actions visant à améliorer la résilience des réseaux et des postes (capacité des territoires à limiter l'effet des catastrophes et à retrouver un fonctionnement normal rapidement)</t>
  </si>
  <si>
    <t>Dont actions visant à améliorer la fiabilité des réseaux et des postes (hors programmes de prolongation de durée de vie)</t>
  </si>
  <si>
    <t>Dont actions visant à améliorer la fiabilité des réseaux et des postes (programmes de prolongation de durée de vie)</t>
  </si>
  <si>
    <t>Dont moyens d'exploitation</t>
  </si>
  <si>
    <t>Dont smart grids</t>
  </si>
  <si>
    <t>Dont compteurs communicants</t>
  </si>
  <si>
    <t>II.2 Investissements motivés par des exigences environnementales et des contraintes externes</t>
  </si>
  <si>
    <t>Dont intégration d'ouvrages dans l'environnement</t>
  </si>
  <si>
    <t>Dont sécurité et obligations réglementaires</t>
  </si>
  <si>
    <t>Dont modification d'ouvrages à la demande de tiers</t>
  </si>
  <si>
    <t>Corriger erreur valeur pour 2023 (436 k€)</t>
  </si>
  <si>
    <t>III. Investissement de logistique</t>
  </si>
  <si>
    <t>IV.  Autres investissements</t>
  </si>
  <si>
    <t>Total (= I + II.1 + II.2 + III + IV) (en keuros)</t>
  </si>
  <si>
    <t>Dont total des investissements concernant les postes sources</t>
  </si>
  <si>
    <t>Dont création de capacités d'accueil des ENR dans les postes sources</t>
  </si>
  <si>
    <t>cex_06</t>
  </si>
  <si>
    <t>Investissements du concessionnaire (%)</t>
  </si>
  <si>
    <t>Focus sur les investissements délibérés du concessionnaire dédiés à la performance et à la modernisation du réseau</t>
  </si>
  <si>
    <t>Total des investissements de performance et modernisation (k€)</t>
  </si>
  <si>
    <t>Dont renforcement des réseaux (%)</t>
  </si>
  <si>
    <t>Dont résilience des réseaux et postes aux aléas climatiques (%)</t>
  </si>
  <si>
    <t>Dont amélioration de la fiabilité des réseaux et  postes hors RP-PDV (%)</t>
  </si>
  <si>
    <t>Dont rénovation programmée et prolongation de durée de vie RP-PDV (%)</t>
  </si>
  <si>
    <t>Investissements délibérés d'amélioration du réseau concédé (k€)</t>
  </si>
  <si>
    <t>Part sur le total investi (%)</t>
  </si>
  <si>
    <t>cex_07</t>
  </si>
  <si>
    <t>Focus sur la participation financière du concessionnaire à l'amélioration esthétique des ouvrages BT existants (k€)</t>
  </si>
  <si>
    <t>Participation des travaux - Article 8</t>
  </si>
  <si>
    <t>cex_09</t>
  </si>
  <si>
    <t>Mises en service de canalisations HTA au cours de l'exercice (km)</t>
  </si>
  <si>
    <t>Torsadé</t>
  </si>
  <si>
    <t>Total canalisations HTA mises en service</t>
  </si>
  <si>
    <t>Extension</t>
  </si>
  <si>
    <t>Renouvellement</t>
  </si>
  <si>
    <t>Renforcement</t>
  </si>
  <si>
    <t>Taux de renouvellement des réseaux HTA</t>
  </si>
  <si>
    <t>cex_10</t>
  </si>
  <si>
    <t>Mises en service de canalisations BT au cours de l'exercice (km)</t>
  </si>
  <si>
    <t>Total canalisations BT mises en service</t>
  </si>
  <si>
    <t>Taux de renouvellement des réseaux BT</t>
  </si>
  <si>
    <t>Valorisation comptable des ouvrages concédés</t>
  </si>
  <si>
    <t>Pat_fin_04</t>
  </si>
  <si>
    <r>
      <t xml:space="preserve">Immobilisations des ouvrages concédés (M€)
</t>
    </r>
    <r>
      <rPr>
        <i/>
        <sz val="9"/>
        <color theme="0"/>
        <rFont val="Arial"/>
        <family val="2"/>
      </rPr>
      <t>- Extrait de la comptabilité d'Enedis transmise à l'AODE -</t>
    </r>
  </si>
  <si>
    <t>Valeur brute comptable</t>
  </si>
  <si>
    <t>Amortissement de dépréciation</t>
  </si>
  <si>
    <t>Taux d'amortissement de dépréciation</t>
  </si>
  <si>
    <t>Valeur nette comptable</t>
  </si>
  <si>
    <t>Nombre d'usagers de la concession</t>
  </si>
  <si>
    <t>Valeur nette comptable par usager (€/u)</t>
  </si>
  <si>
    <r>
      <t xml:space="preserve">Focus sur la localisation des ouvrages dans l'inventaire comptable
</t>
    </r>
    <r>
      <rPr>
        <i/>
        <sz val="9"/>
        <color theme="0"/>
        <rFont val="Arial"/>
        <family val="2"/>
      </rPr>
      <t>- Extrait de la comptabilité d'Enedis transmise à l'AODE -</t>
    </r>
  </si>
  <si>
    <t>Taux de valeur brute localisée (%)</t>
  </si>
  <si>
    <t>Taux de valeur brute non localisée (%)</t>
  </si>
  <si>
    <t>Pat_fin_07</t>
  </si>
  <si>
    <r>
      <t xml:space="preserve">Mises en concession dans l'inventaire au cours de l'exercice (k€)
</t>
    </r>
    <r>
      <rPr>
        <i/>
        <sz val="9"/>
        <color theme="0"/>
        <rFont val="Arial"/>
        <family val="2"/>
      </rPr>
      <t>- Extrait de la comptabilité d'Enedis transmise à l'AODE -</t>
    </r>
  </si>
  <si>
    <t>Ouvrages localisés</t>
  </si>
  <si>
    <t>Dont financement concessionnaire</t>
  </si>
  <si>
    <t>Dont financement concédant</t>
  </si>
  <si>
    <t>Ouvrages non localisés</t>
  </si>
  <si>
    <t>Pat_fin_08</t>
  </si>
  <si>
    <r>
      <t xml:space="preserve">Retraits dans l'inventaire au cours de l'exercice (k€)
</t>
    </r>
    <r>
      <rPr>
        <i/>
        <sz val="9"/>
        <color theme="0"/>
        <rFont val="Arial"/>
        <family val="2"/>
      </rPr>
      <t>- Extrait de la comptabilité d'Enedis transmise à l'AODE -</t>
    </r>
  </si>
  <si>
    <t>Pat_fin_09</t>
  </si>
  <si>
    <r>
      <t xml:space="preserve">Droits du concédant estimés par Enedis (k€)
</t>
    </r>
    <r>
      <rPr>
        <i/>
        <sz val="9"/>
        <color theme="0"/>
        <rFont val="Arial"/>
        <family val="2"/>
      </rPr>
      <t>- Extrait de la comptabilité d'Enedis transmise à l'AODE -</t>
    </r>
  </si>
  <si>
    <t>Contre-valeur des biens concédés</t>
  </si>
  <si>
    <t>VNC des financements Enedis sur ouvrages existants</t>
  </si>
  <si>
    <t>Amortissement des financements du concédant</t>
  </si>
  <si>
    <t>Droits du concédant</t>
  </si>
  <si>
    <t>pat_fin_11</t>
  </si>
  <si>
    <r>
      <t xml:space="preserve">Calcul théorique de l'indemnité de fin de contrat (k€)
</t>
    </r>
    <r>
      <rPr>
        <i/>
        <sz val="9"/>
        <color theme="0"/>
        <rFont val="Arial"/>
        <family val="2"/>
      </rPr>
      <t>- Etabli à partir de la comptabilité d'Enedis transmise à l'AODE -</t>
    </r>
  </si>
  <si>
    <t>Valeur nette comptable des financements du concessionnaire</t>
  </si>
  <si>
    <t>Provisions pour renouvellement</t>
  </si>
  <si>
    <t>Indemnité théorique de fin de contrat (k€)</t>
  </si>
  <si>
    <t>N.B : Un montant positif correspond à une dette du concédant vis-à-vis du concessionnaire.</t>
  </si>
  <si>
    <t>Pat_fin_01</t>
  </si>
  <si>
    <r>
      <t xml:space="preserve">Valeur brute des ouvrages concédés (k€)
</t>
    </r>
    <r>
      <rPr>
        <i/>
        <sz val="9"/>
        <color theme="0"/>
        <rFont val="Arial"/>
        <family val="2"/>
      </rPr>
      <t>- Extrait de la comptabilité d'Enedis transmise à l'AODE -</t>
    </r>
  </si>
  <si>
    <t>Canalisations HTA</t>
  </si>
  <si>
    <t>Canalisations BT</t>
  </si>
  <si>
    <t>Comptages localisés</t>
  </si>
  <si>
    <t>Branchements individuels</t>
  </si>
  <si>
    <t>Autres biens localisés</t>
  </si>
  <si>
    <t>Comptages non localisés</t>
  </si>
  <si>
    <t>Ouvrages de branchement non localisés</t>
  </si>
  <si>
    <t>Autres biens non localisés</t>
  </si>
  <si>
    <t>Part dans la comptabilité nationale des concessions (%)</t>
  </si>
  <si>
    <t>Pat_fin_02</t>
  </si>
  <si>
    <r>
      <t xml:space="preserve">Valeur nette comptable des ouvrages concédés (k€)
</t>
    </r>
    <r>
      <rPr>
        <i/>
        <sz val="9"/>
        <color theme="0"/>
        <rFont val="Arial"/>
        <family val="2"/>
      </rPr>
      <t>- Extrait de la comptabilité d'Enedis transmise à l'AODE -</t>
    </r>
  </si>
  <si>
    <t>Pat_fin_03</t>
  </si>
  <si>
    <r>
      <t xml:space="preserve">Amortissement de dépréciation des ouvrages concédés (k€)
</t>
    </r>
    <r>
      <rPr>
        <i/>
        <sz val="9"/>
        <color theme="0"/>
        <rFont val="Arial"/>
        <family val="2"/>
      </rPr>
      <t>- Extrait de la comptabilité d'Enedis transmise à l'AODE -</t>
    </r>
  </si>
  <si>
    <r>
      <t xml:space="preserve">Taux d'amortissement de dépréciation par catégories (%)
</t>
    </r>
    <r>
      <rPr>
        <i/>
        <sz val="9"/>
        <color theme="0"/>
        <rFont val="Arial"/>
        <family val="2"/>
      </rPr>
      <t>- Extrait de la comptabilité d'Enedis transmise à l'AODE -</t>
    </r>
  </si>
  <si>
    <t>Taux national d'amortissement des ouvrages concédés - Enedis (%)</t>
  </si>
  <si>
    <t>Pat_fin_05</t>
  </si>
  <si>
    <r>
      <t xml:space="preserve">Valeur théorique de remplacement des ouvrages concédés (k€)
</t>
    </r>
    <r>
      <rPr>
        <i/>
        <sz val="9"/>
        <color theme="0"/>
        <rFont val="Arial"/>
        <family val="2"/>
      </rPr>
      <t>- Extrait de la comptabilité d'Enedis transmise à l'AODE -</t>
    </r>
  </si>
  <si>
    <t>Pat_fin_06</t>
  </si>
  <si>
    <r>
      <t xml:space="preserve">Stock provisions pour renouvellement des ouvrages concédés (k€)
</t>
    </r>
    <r>
      <rPr>
        <i/>
        <sz val="9"/>
        <color theme="0"/>
        <rFont val="Arial"/>
        <family val="2"/>
      </rPr>
      <t>- Extrait de la comptabilité d'Enedis transmise à l'AODE -</t>
    </r>
  </si>
  <si>
    <t>pat_fin_12</t>
  </si>
  <si>
    <r>
      <t xml:space="preserve">Stock amortissements du financement concédant (k€)
</t>
    </r>
    <r>
      <rPr>
        <i/>
        <sz val="9"/>
        <color theme="0"/>
        <rFont val="Arial"/>
        <family val="2"/>
      </rPr>
      <t>- Extrait de la comptabilité d'Enedis transmise à l'AODE -</t>
    </r>
  </si>
  <si>
    <r>
      <t xml:space="preserve">Taux d'amortissement du financement concédant (k€)
</t>
    </r>
    <r>
      <rPr>
        <i/>
        <sz val="9"/>
        <color theme="0"/>
        <rFont val="Arial"/>
        <family val="2"/>
      </rPr>
      <t>- Extrait de la comptabilité d'Enedis transmise à l'AODE -</t>
    </r>
  </si>
  <si>
    <t>Vérifier que le calcul est bien réalisé par rapport à la valeur brute du financement du concédant</t>
  </si>
  <si>
    <r>
      <t xml:space="preserve">Taux de dépréciation du financement concédant (k€)
</t>
    </r>
    <r>
      <rPr>
        <i/>
        <sz val="9"/>
        <color theme="0"/>
        <rFont val="Arial"/>
        <family val="2"/>
      </rPr>
      <t>- Extrait de la comptabilité d'Enedis transmise à l'AODE -</t>
    </r>
  </si>
  <si>
    <t>Pat_fin_10</t>
  </si>
  <si>
    <t>Stock de provisions pour renouvellement des ouvrages concédés localisés (M€)</t>
  </si>
  <si>
    <t>Régime
Urbain</t>
  </si>
  <si>
    <t>Régime
Rural</t>
  </si>
  <si>
    <t>Canalisations HTA aérien</t>
  </si>
  <si>
    <t>Canalisations HTA souterrain</t>
  </si>
  <si>
    <t>Canalisations BT aérien nu</t>
  </si>
  <si>
    <t>Canalisations BT aérien torsadé</t>
  </si>
  <si>
    <t>Canalisations BT souterrain</t>
  </si>
  <si>
    <t>pat_fin_13</t>
  </si>
  <si>
    <t>Stock d'amortissement du financement concédant des ouvrages concédés localisés (M€)</t>
  </si>
  <si>
    <r>
      <t xml:space="preserve">Valorisation nationale des biens affectés à la distribution publique
</t>
    </r>
    <r>
      <rPr>
        <i/>
        <sz val="9"/>
        <color rgb="FFFFFFFF"/>
        <rFont val="Arial"/>
        <family val="2"/>
      </rPr>
      <t>- Extrait des comptes sociaux annuels d'Enedis -</t>
    </r>
  </si>
  <si>
    <t>Immobilisations corporelles du domaine concédé</t>
  </si>
  <si>
    <t>Valeur brute (M€)</t>
  </si>
  <si>
    <t>Amortissement et dépréciation (M€)</t>
  </si>
  <si>
    <t>Valeur nette comptable (M€)</t>
  </si>
  <si>
    <t>Taux d'amortissement et dépréciation (%)</t>
  </si>
  <si>
    <t>Immobilisations incorporelles</t>
  </si>
  <si>
    <t>Immobilisations corporelles du domaine propre</t>
  </si>
  <si>
    <t>Passifs associés</t>
  </si>
  <si>
    <t>Provisions pour risques et charges</t>
  </si>
  <si>
    <t>Dont renouvellement des immobilisations du domaine concédé (M€)</t>
  </si>
  <si>
    <t>Comptes spécifiques des concessions</t>
  </si>
  <si>
    <t>Dont contrevaleur des biens (M€)</t>
  </si>
  <si>
    <t>Dont financement du concessionnaire non amorti (M€)</t>
  </si>
  <si>
    <t>Dont amortissement du  financement du concédant (M€)</t>
  </si>
  <si>
    <t>Indemnité de fin de contrats de concession - estimation (M€)</t>
  </si>
  <si>
    <t>Produits et charges d'exploitation</t>
  </si>
  <si>
    <t>cex_01</t>
  </si>
  <si>
    <t>Représentation des produits d'exploitation à la maille de la concession (k€)</t>
  </si>
  <si>
    <t>Recettes d'acheminement</t>
  </si>
  <si>
    <t>Dont clients HTA</t>
  </si>
  <si>
    <t>Dont clients BT ayant une puissance souscrite ≤ 36 kVA</t>
  </si>
  <si>
    <t>Dont clients BT ayant une puissance souscrite &gt; 36 kVA</t>
  </si>
  <si>
    <t>Dont autres</t>
  </si>
  <si>
    <t>Recettes de raccordements et prestations</t>
  </si>
  <si>
    <t>Dont raccordements</t>
  </si>
  <si>
    <t>Dont prestations</t>
  </si>
  <si>
    <t>Autres recettes</t>
  </si>
  <si>
    <t>Chiffre d'affaires</t>
  </si>
  <si>
    <t>Autres produits</t>
  </si>
  <si>
    <t>Production stockée et immobilisée</t>
  </si>
  <si>
    <t>Reprises sur amortissements et provisions</t>
  </si>
  <si>
    <t>Reprises sur amortissements</t>
  </si>
  <si>
    <t>Dont reprises d'amortissements de financements du concédant</t>
  </si>
  <si>
    <t>Dont autres types de reprises</t>
  </si>
  <si>
    <t>Reprises sur provisions</t>
  </si>
  <si>
    <t>Dont reprises de provisions pour renouvellement</t>
  </si>
  <si>
    <t>Dont reprises d'autres catégories de provisions</t>
  </si>
  <si>
    <t>Autres produits divers</t>
  </si>
  <si>
    <t>Total des produits</t>
  </si>
  <si>
    <t>cex_02</t>
  </si>
  <si>
    <t>Représentation des charges d'exploitation à la maille de la concession (k€)</t>
  </si>
  <si>
    <t>Consommation de l'exercice en provenance des tiers</t>
  </si>
  <si>
    <t>Accès réseau amont</t>
  </si>
  <si>
    <t>Achats d'énergie pour couvrir les pertes sur le réseau</t>
  </si>
  <si>
    <t>Redevances de concession</t>
  </si>
  <si>
    <t>Autres consommations externes</t>
  </si>
  <si>
    <t>Informatique et télécommunications</t>
  </si>
  <si>
    <t>Tertiaire et prestations</t>
  </si>
  <si>
    <t>Bâtiments</t>
  </si>
  <si>
    <t>Autres achats</t>
  </si>
  <si>
    <t>Impôts, taxes et versements assimilés</t>
  </si>
  <si>
    <t>Contribution au CAS FACÉ</t>
  </si>
  <si>
    <t>Autres impôts et taxes</t>
  </si>
  <si>
    <t>Charges de personnel</t>
  </si>
  <si>
    <t>Dotations d'exploitation</t>
  </si>
  <si>
    <t>Dotation aux amortissements DP</t>
  </si>
  <si>
    <t>Dont amortissement des financements du concessionnaire</t>
  </si>
  <si>
    <t>Dont amortissement des financements de l'autorité concédante et des tiers</t>
  </si>
  <si>
    <t>Dont autres amortissements</t>
  </si>
  <si>
    <t>Dotation aux provisions pour renouvellement</t>
  </si>
  <si>
    <t>Autres dotations d'exploitation</t>
  </si>
  <si>
    <t>Autres charges</t>
  </si>
  <si>
    <t>Charges centrales</t>
  </si>
  <si>
    <t>Total des charges</t>
  </si>
  <si>
    <t>Produits</t>
  </si>
  <si>
    <t>Contribution d'équilibre</t>
  </si>
  <si>
    <t>Charges</t>
  </si>
  <si>
    <t>cex_03</t>
  </si>
  <si>
    <t>Total des produits d'exploitation - total des charges d'exploitation (k€)</t>
  </si>
  <si>
    <t xml:space="preserve">Charges </t>
  </si>
  <si>
    <t>Résultat brut d'exploitation</t>
  </si>
  <si>
    <t>Rentabilité brute d'exploitation : (PROD-CHARG)/CA (%)</t>
  </si>
  <si>
    <t>Est égale à (Produits - Charges) / Chiffre d'Affaires</t>
  </si>
  <si>
    <t>Calcul de la contribution à l'équilibre (k€)</t>
  </si>
  <si>
    <r>
      <t xml:space="preserve">Contribution à l'équilibre 
</t>
    </r>
    <r>
      <rPr>
        <i/>
        <sz val="9"/>
        <rFont val="Arial"/>
        <family val="2"/>
      </rPr>
      <t>(&gt; 0 : produit supplémentaire ; &lt; 0 : charge supplémentaire)</t>
    </r>
  </si>
  <si>
    <t>Rentabilité nette d'exploitation : (PROD-CHARG+CONT)/CA (%)</t>
  </si>
  <si>
    <t>Est égale à (Produits - Charges + Contribution) / Chiffre d'Affaires</t>
  </si>
  <si>
    <t>cex_04</t>
  </si>
  <si>
    <t>Redevances de concession (k€)</t>
  </si>
  <si>
    <t xml:space="preserve">Part R1 de la redevance : dédiée au fonctionnement </t>
  </si>
  <si>
    <t xml:space="preserve">Part R2 de la redevance : dédiée à l'investissement </t>
  </si>
  <si>
    <t>Redevance totale</t>
  </si>
  <si>
    <t>cex_08</t>
  </si>
  <si>
    <t>Part des produits affectés directement à la concession (%)</t>
  </si>
  <si>
    <t>Recettes d’acheminement</t>
  </si>
  <si>
    <t>Raccordements</t>
  </si>
  <si>
    <t>Prestations</t>
  </si>
  <si>
    <t>Reprise sur amortissements et provisions</t>
  </si>
  <si>
    <t>Dont reprises d’amortissements de financements du concédant</t>
  </si>
  <si>
    <t>Dont reprises d’autres catégories de provisions</t>
  </si>
  <si>
    <t>Part totale des produits affectés directement à la concession</t>
  </si>
  <si>
    <t>Part des charges affectées directement à la concession (%)</t>
  </si>
  <si>
    <t>Achats d’énergie</t>
  </si>
  <si>
    <t>Contribution au CAS-FACÉ</t>
  </si>
  <si>
    <t>Dont amortissement des financements de l’autorité concédante et des tiers</t>
  </si>
  <si>
    <t>Autres dotations d’exploitation</t>
  </si>
  <si>
    <t>Part totale des charges affectées directement à la concession</t>
  </si>
  <si>
    <t>Qualité de service aux usagers</t>
  </si>
  <si>
    <t>Cli_01</t>
  </si>
  <si>
    <t>Nombre de contrat d'acheminement</t>
  </si>
  <si>
    <t>Clients BT inférieurs à 36 kVA</t>
  </si>
  <si>
    <t>Clients BT supérieurs à 36 kVA</t>
  </si>
  <si>
    <t>Clients HTA</t>
  </si>
  <si>
    <t>Cli_02</t>
  </si>
  <si>
    <t>Puissance souscrite d'acheminement (MVA)</t>
  </si>
  <si>
    <t>Cli_03</t>
  </si>
  <si>
    <t>Energie acheminée (GWh)</t>
  </si>
  <si>
    <t>Cli_04</t>
  </si>
  <si>
    <t>Evolution de l'energie acheminée par usager (MWh/us.)</t>
  </si>
  <si>
    <t>Cli_05</t>
  </si>
  <si>
    <t>Evolution des recettes d'acheminement (M€)</t>
  </si>
  <si>
    <t>Cli_06</t>
  </si>
  <si>
    <t>Evolution du nombre d'installations de production par type</t>
  </si>
  <si>
    <t>Photovoltaïque</t>
  </si>
  <si>
    <t>Eolien</t>
  </si>
  <si>
    <t>Hydraulique</t>
  </si>
  <si>
    <t>Part PV</t>
  </si>
  <si>
    <t>Cli_07</t>
  </si>
  <si>
    <t>Evolution du nombre de contrats au TRV</t>
  </si>
  <si>
    <t>Tarif bleu résidentiel</t>
  </si>
  <si>
    <t>Tarif bleu non-résidentiel</t>
  </si>
  <si>
    <t>Cli_08</t>
  </si>
  <si>
    <t>Taux de contrats au TRV</t>
  </si>
  <si>
    <t>Part de l'énergie vendue au TRV</t>
  </si>
  <si>
    <t>Cli_09</t>
  </si>
  <si>
    <t>Evolution de l'énergie vendue au TRV (GWh)</t>
  </si>
  <si>
    <t>Cli_10</t>
  </si>
  <si>
    <t>Evolution des recettes des TRV (M€)</t>
  </si>
  <si>
    <t>Cli_11</t>
  </si>
  <si>
    <t>Evolution de la puissance souscrite au TRV (MVA)</t>
  </si>
  <si>
    <t>Cli_13</t>
  </si>
  <si>
    <t>Evolution du nombre réclamations d'Enedis par nature</t>
  </si>
  <si>
    <t>Accueil</t>
  </si>
  <si>
    <t>Interventions</t>
  </si>
  <si>
    <t>Qualité du réseau public</t>
  </si>
  <si>
    <t>Relève et facturation</t>
  </si>
  <si>
    <t>Cli_14</t>
  </si>
  <si>
    <t>Evolution du nombre réclamations d'EDF par nature</t>
  </si>
  <si>
    <t>Conseil et service</t>
  </si>
  <si>
    <t xml:space="preserve">Contrat </t>
  </si>
  <si>
    <t xml:space="preserve">Facturation </t>
  </si>
  <si>
    <t xml:space="preserve">Qualité de fourniture et réseau </t>
  </si>
  <si>
    <t>Recouvrement</t>
  </si>
  <si>
    <t xml:space="preserve">Relation avec le distributeur </t>
  </si>
  <si>
    <t xml:space="preserve">Relève </t>
  </si>
  <si>
    <t>Cli_15</t>
  </si>
  <si>
    <t>Evolution des taux de réponses dans les délais d'Enedis</t>
  </si>
  <si>
    <t>Taux de réponse sous 15 jours</t>
  </si>
  <si>
    <t>Taux de réponse sous 30 jours</t>
  </si>
  <si>
    <t>Cli_16</t>
  </si>
  <si>
    <t>Evolution des taux de réponses dans les délais d'EDF</t>
  </si>
  <si>
    <t>Cli_17</t>
  </si>
  <si>
    <t>Evolution puissance installée de production par type hors DCP (MVA)</t>
  </si>
  <si>
    <t>Cli_19</t>
  </si>
  <si>
    <t>Nombre de coupures pour impayé réalisées par le distributeur</t>
  </si>
  <si>
    <t>Coupures conditionnelles</t>
  </si>
  <si>
    <t>Coupure fermes</t>
  </si>
  <si>
    <t>Cli_20</t>
  </si>
  <si>
    <t>Fonds de Solidarité Logement (FSL) uutilisés pour l'aide aux factures d'électricité</t>
  </si>
  <si>
    <t>Montant total</t>
  </si>
  <si>
    <t>Nombre de dossiers</t>
  </si>
  <si>
    <t>Cli_21</t>
  </si>
  <si>
    <t>Montant et nombre de pénalités sur la concession</t>
  </si>
  <si>
    <t>Nombre de pénalités</t>
  </si>
  <si>
    <t>Cli_22</t>
  </si>
  <si>
    <t>Recettes moyennes par kWh d'énergie acheminée</t>
  </si>
  <si>
    <t>Clients BT inf. 36kVA</t>
  </si>
  <si>
    <t>Clients BT sup. 36kVA</t>
  </si>
  <si>
    <t>Cli_23</t>
  </si>
  <si>
    <t xml:space="preserve">Indicateurs raccordements </t>
  </si>
  <si>
    <t>Taux de MES des installations dans les délais catalogue</t>
  </si>
  <si>
    <t>Taux devis envoyé dans les délais pour les installations de soutirage</t>
  </si>
  <si>
    <t>Taux devis envoyé dans les délais pour les installations de production</t>
  </si>
  <si>
    <t xml:space="preserve">Taux d'accès de l'Accueil Raccordement </t>
  </si>
  <si>
    <t>Cli_24</t>
  </si>
  <si>
    <t>Délais de production des devis de raccordement</t>
  </si>
  <si>
    <t>Installations de soutirage</t>
  </si>
  <si>
    <t>Installations de production</t>
  </si>
  <si>
    <t>cli_25</t>
  </si>
  <si>
    <t>Taux de réussite des appels téléphoniques (Maille DR)</t>
  </si>
  <si>
    <t>Service Producteurs d'électricité</t>
  </si>
  <si>
    <t>Service Raccordement</t>
  </si>
  <si>
    <t>Service Client</t>
  </si>
  <si>
    <t>cli_26</t>
  </si>
  <si>
    <t>Evolution du nombre de raccordement en soutirage par segment client</t>
  </si>
  <si>
    <t>Nombre de raccordement C5</t>
  </si>
  <si>
    <t>Dont racc. Ind. Sans adaptation</t>
  </si>
  <si>
    <t>Dont racc. Coll. Sans adaptation</t>
  </si>
  <si>
    <t>Dont racc. Ind. Ou Coll. Avec adaptation</t>
  </si>
  <si>
    <t>Nombre de raccordement C4</t>
  </si>
  <si>
    <t>Nombre de raccordement C1-C2-C3</t>
  </si>
  <si>
    <t>cli_27-cli_28</t>
  </si>
  <si>
    <t>Evolution des taux de contrats aux TRV mensualisés et prélevés automatiquement</t>
  </si>
  <si>
    <t>Taux de contrats prélevés Résidentiel</t>
  </si>
  <si>
    <t>Taux de contrats mensualisés Résidentiel</t>
  </si>
  <si>
    <t>Taux de contrats prélevés Non Résidentiel</t>
  </si>
  <si>
    <t>Taux de contrats mensualisés Non  Résidentiel</t>
  </si>
  <si>
    <t>cli_29</t>
  </si>
  <si>
    <t>Nombre de coupures demandées par le fournisseur</t>
  </si>
  <si>
    <t>Nombre de coupures effectives</t>
  </si>
  <si>
    <t>Nombre de clients réalimentés pdt la période hivernale</t>
  </si>
  <si>
    <t>cli_30</t>
  </si>
  <si>
    <t>Nombre de réductions de puissance</t>
  </si>
  <si>
    <t>Nombre de réductions de puissance effectuées pendant la période hivernale</t>
  </si>
  <si>
    <t>Nombre de réductions de puissance effectuées au cours de l'exercice</t>
  </si>
  <si>
    <t>Nombre de clients en situation de réduction de puissance à fin d'année</t>
  </si>
  <si>
    <t>cli_34</t>
  </si>
  <si>
    <t>Chèques énergie</t>
  </si>
  <si>
    <t>Nombre de clients pour lesquels un chèque énergie a été pris en compte au cours de l'exercice</t>
  </si>
  <si>
    <t>Pyramides des âges</t>
  </si>
  <si>
    <t>Réseaux HTA par typologie</t>
  </si>
  <si>
    <t>ante. 1946</t>
  </si>
  <si>
    <t>Aérien nu de faible section</t>
  </si>
  <si>
    <t>Réseaux HTA par matériaux</t>
  </si>
  <si>
    <t>Acier Alu</t>
  </si>
  <si>
    <t>Alu</t>
  </si>
  <si>
    <t>Almelec</t>
  </si>
  <si>
    <t>Cuivre</t>
  </si>
  <si>
    <t>Almelec Acier</t>
  </si>
  <si>
    <t>Réseaux BT par typologie</t>
  </si>
  <si>
    <t>Aérien nu (hors FS)</t>
  </si>
  <si>
    <t>Réseaux BT par matériaux (km)</t>
  </si>
  <si>
    <t>Postes HTA/BT DP par typologie</t>
  </si>
  <si>
    <t>Poteau</t>
  </si>
  <si>
    <t>Maçonné</t>
  </si>
  <si>
    <t>Préfabriqués</t>
  </si>
  <si>
    <t>Autre</t>
  </si>
  <si>
    <t>Transformateurs HTA/BT distribution publique</t>
  </si>
  <si>
    <t>Nombre de transformateurs</t>
  </si>
  <si>
    <t>Linéaires HTA aérien traitées en RP-PDV selon leur année de mise en service (km)</t>
  </si>
  <si>
    <t xml:space="preserve">Linéaire Traité </t>
  </si>
  <si>
    <t>Linéaire Fiabilisé</t>
  </si>
  <si>
    <t>Enfouissement des linéaires</t>
  </si>
  <si>
    <t>Département étude</t>
  </si>
  <si>
    <t>Taux d'enfouissement HTA et BT depuis 2011</t>
  </si>
  <si>
    <t>National HTA</t>
  </si>
  <si>
    <t>National BT</t>
  </si>
  <si>
    <t>HTA+BT national</t>
  </si>
  <si>
    <t>HTA du dpt.</t>
  </si>
  <si>
    <t>BT du dpt.</t>
  </si>
  <si>
    <t>HTA+BT département</t>
  </si>
  <si>
    <t>HTA concession</t>
  </si>
  <si>
    <t>BT concession</t>
  </si>
  <si>
    <t>HTA+BT concession</t>
  </si>
  <si>
    <t>Taux d'enfouissement HTA et de sécurisation de la BT de l'exercice</t>
  </si>
  <si>
    <t>Densité de population (habitants/km)</t>
  </si>
  <si>
    <t>Taux d'enfouissement
/ de sécurisation</t>
  </si>
  <si>
    <t>Cohérence des inventaires</t>
  </si>
  <si>
    <t>Ecarts d'inventaire</t>
  </si>
  <si>
    <t>Linéaires HTA</t>
  </si>
  <si>
    <t>Linéaires BT</t>
  </si>
  <si>
    <t>Détail aérien nu HTA</t>
  </si>
  <si>
    <t>Détail aérien torsadé HTA</t>
  </si>
  <si>
    <t>Détail souterrain HTA</t>
  </si>
  <si>
    <t>Détail aérien nu BT</t>
  </si>
  <si>
    <t>Détail aérien torsadé BT</t>
  </si>
  <si>
    <t>Détail souterrain BT</t>
  </si>
  <si>
    <t>Ecart nul</t>
  </si>
  <si>
    <t>Ecart entre 0% et 2%</t>
  </si>
  <si>
    <t>Ecart entre 2% et 5%</t>
  </si>
  <si>
    <t>Ecart entre 5% et 10%</t>
  </si>
  <si>
    <t>Ecart entre 10% et 25%</t>
  </si>
  <si>
    <t>Ecart entre 25% et 50%</t>
  </si>
  <si>
    <t>Ecart supérieur à 50%</t>
  </si>
  <si>
    <t>Calcul théorique de l'indemnité de fin de contrat</t>
  </si>
  <si>
    <t>Dette du concédant
inscription dans la comptabilité du concessionnaire</t>
  </si>
  <si>
    <t>Créance du concédant
inscription dans la comptabilité du concessionnaire</t>
  </si>
  <si>
    <t>Valeur brute des immobilisations de la concession</t>
  </si>
  <si>
    <t>(A)
Immobilisations nettes de la concession</t>
  </si>
  <si>
    <t>(C)
Financement concessionnaire non amorti, restant à récupérer sur le tarif</t>
  </si>
  <si>
    <t>(D) 
Amortissement financement concédant constitué sur le tarif mais non utilisé</t>
  </si>
  <si>
    <t>(E) 
Provision pour renouvellement constituée sur le tarif mais non utilisée</t>
  </si>
  <si>
    <t>(B) 
Financement concédant déjà récupéré sur le tarif (amort. et PR du bien précédent) et RG</t>
  </si>
  <si>
    <t>Indemnité théorique 
de fin de contrat
(un montant positif correspond à une dette du concédant vis-à-vis du concessionnaire)</t>
  </si>
  <si>
    <t>Analyse des sièges et causes d'incidents</t>
  </si>
  <si>
    <t>Analyse des incidents HTA et BT ayant pour cause l'usure naturelle</t>
  </si>
  <si>
    <t>Requête :</t>
  </si>
  <si>
    <t>with incidents as (
	select "Client", 'HTA' "Réseau", "Siege", "Cause", "NITITOT (en mn)" 
	from elec_donnees.cf_007 c 
	where "Client" = 'LYON'
	and "Nature int." = 'Incident'	
	union
	select "Client", 'BT' "Réseau", "Siege", "Cause", "NITITOT (en mn)" 
	from elec_donnees.cf_008 c2 
	where "Client" = 'LYON'
	and "Nature" = 'Incident'
)
select "Client", "Siege", "Cause",
sum(case 
	when "Réseau" = 'HTA' 
		then 1
	else 0 end) "Nombre d'incidents HTA",
sum(case 
	when "Réseau" = 'HTA' 
		then "NITITOT (en mn)"
	else 0 end) "Durée cumulée de coupure HTA",
sum(case 
	when "Réseau" = 'BT' 
		then 1
	else 0 end) "Nombre d'incidents BT",
sum(case 
	when "Réseau" = 'BT' 
		then "NITITOT (en mn)"
	else 0 end) "Durée cumulée de coupure BT"
from incidents
where "Cause" = 'Usure naturelle'
group by "Client", "Siege", "Cause" 
order by sum("NITITOT (en mn)") desc</t>
  </si>
  <si>
    <t>Siege</t>
  </si>
  <si>
    <t>Cause</t>
  </si>
  <si>
    <t>Nombre d'incidents HTA</t>
  </si>
  <si>
    <t>Durée cumulée de coupure HTA</t>
  </si>
  <si>
    <t>Nombre d'incidents BT</t>
  </si>
  <si>
    <t>Durée cumulée de coupure BT</t>
  </si>
  <si>
    <t>Jonction HTA câble synthétique/câble synthétique</t>
  </si>
  <si>
    <t>Usure naturelle</t>
  </si>
  <si>
    <t>Attache</t>
  </si>
  <si>
    <t>Transformateur HTA/BT</t>
  </si>
  <si>
    <t>Plein câble synthétique</t>
  </si>
  <si>
    <t>Poste HTA/BT: partie HTA</t>
  </si>
  <si>
    <t>Jonction HTA câble papier/câble papier</t>
  </si>
  <si>
    <t>Raccord, pont, bretelle</t>
  </si>
  <si>
    <t>Coffret hors sol BT</t>
  </si>
  <si>
    <t>Isolateur</t>
  </si>
  <si>
    <t>Poste HTA/BT: partie BT</t>
  </si>
  <si>
    <t>Armoire de coupure</t>
  </si>
  <si>
    <t>Poste source : autre installation HTA ou BT</t>
  </si>
  <si>
    <t>Boîte de coupure souterraine BT</t>
  </si>
  <si>
    <t>Interrupteur manuel : IACM, ISP</t>
  </si>
  <si>
    <t>Conducteurs nus rompus, hors faibles sections</t>
  </si>
  <si>
    <t>Accessoire de dérivation HTA ou BT</t>
  </si>
  <si>
    <t>Autre interrupteur : IAT, IACT</t>
  </si>
  <si>
    <t>Ligne à conducteurs isolés</t>
  </si>
  <si>
    <t>Plein câble papier</t>
  </si>
  <si>
    <t>Incidents BT avec siège sur branchement BT</t>
  </si>
  <si>
    <t>Accessoire de jonction BT</t>
  </si>
  <si>
    <t>Remontée aéro-souterraine : câble</t>
  </si>
  <si>
    <t>Autres accessoires BT</t>
  </si>
  <si>
    <t>Parafoudres ou éclateurs</t>
  </si>
  <si>
    <t>Poste source : transformateur de puissance</t>
  </si>
  <si>
    <t>Remontée aéro-souterraine HTA - Extrémités (EUEP,... )</t>
  </si>
  <si>
    <t>Conducteurs nus rompus, faible section</t>
  </si>
  <si>
    <t>Contact entre conducteurs</t>
  </si>
  <si>
    <t>Siège en attente didentification ou non identifié</t>
  </si>
  <si>
    <t>Armement</t>
  </si>
  <si>
    <t>Remontée aéro-souterraine BT - Extrémités</t>
  </si>
  <si>
    <t>Jonction de transition HTA Rétractable à Froid (synthétique/papier) - JTRF - 3M</t>
  </si>
  <si>
    <t>Accessoire de branchement BT</t>
  </si>
  <si>
    <t>Raccordement matériel - Connecteurs séparables HTA</t>
  </si>
  <si>
    <t>Jonction de transition HTA Rétractable à Froid (synthétique/papier) - JTRF - Hors 3M</t>
  </si>
  <si>
    <t>Rupture de neutre aérien</t>
  </si>
  <si>
    <t>Jonction de Transition Rubanée HTA (synthétique/papier) - JTR</t>
  </si>
  <si>
    <t>Pas de dégât : éliminé avec manoeuvres manuelles</t>
  </si>
  <si>
    <t>Support bois</t>
  </si>
  <si>
    <t>Pas de siège</t>
  </si>
  <si>
    <t>Boîte de jonction</t>
  </si>
  <si>
    <t>Rupture de neutre souterrain</t>
  </si>
  <si>
    <t>Raccordement matériel - Extrémité BT</t>
  </si>
  <si>
    <t>Support béton</t>
  </si>
  <si>
    <t>Jonction de Transition Thermo rétractable HTA (synthétique/papier) - JT TH</t>
  </si>
  <si>
    <t>Ligne aérienne: accessoires</t>
  </si>
  <si>
    <t>Pas de dégât : éliminé avec manoeuvres d'OMT</t>
  </si>
  <si>
    <t>Bout perdu raccordé sur tout type de câble</t>
  </si>
  <si>
    <t>Pat_site_isolés</t>
  </si>
  <si>
    <t>Pat_Tech_BT_01_nat</t>
  </si>
  <si>
    <t>Pat_Tech_BT_02</t>
  </si>
  <si>
    <t>Pat_Tech_BT_03</t>
  </si>
  <si>
    <t>Pat_Tech_BT_04</t>
  </si>
  <si>
    <t>Pat_Tech_BT_04_nat</t>
  </si>
  <si>
    <t>Pat_Tech_BT_05</t>
  </si>
  <si>
    <t>Pat_Tech_BT_06</t>
  </si>
  <si>
    <t>Pat_Tech_BT_07</t>
  </si>
  <si>
    <t>Pat_Tech_BT_08</t>
  </si>
  <si>
    <t>Pat_Tech_BT_09</t>
  </si>
  <si>
    <t>Pat_Tech_HTA_01</t>
  </si>
  <si>
    <t>Pat_Tech_HTA_02</t>
  </si>
  <si>
    <t>Pat_Tech_HTA_03</t>
  </si>
  <si>
    <t>Pat_Tech_HTA_04</t>
  </si>
  <si>
    <t>Pat_Tech_HTA_05</t>
  </si>
  <si>
    <t>Pat_Tech_HTA_06</t>
  </si>
  <si>
    <t>Pat_Tech_HTA_07</t>
  </si>
  <si>
    <t>Pat_Tech_HTA_08</t>
  </si>
  <si>
    <t>Pat_Tech_HTA_09</t>
  </si>
  <si>
    <t>Pat_Tech_HTA_10</t>
  </si>
  <si>
    <t>Pat_Tech_Poste_01</t>
  </si>
  <si>
    <t>Pat_Tech_Poste_02</t>
  </si>
  <si>
    <t>Pat_Tech_Poste_03</t>
  </si>
  <si>
    <t>Pat_Tech_Poste_04</t>
  </si>
  <si>
    <t>Pat_Tech_Poste_05</t>
  </si>
  <si>
    <t>Pat_Tech_Poste_06</t>
  </si>
  <si>
    <t>Pat_Tech_Transfo_01</t>
  </si>
  <si>
    <t>Pat_Tech_Transfo_02</t>
  </si>
  <si>
    <t>Pat_Tech_Transfo_03</t>
  </si>
  <si>
    <t>Pat_Tech_BT_01_FACE</t>
  </si>
  <si>
    <t>Pat_Tech_BT_02_FACE</t>
  </si>
  <si>
    <t>Pat_Tech_BT_03_FACE</t>
  </si>
  <si>
    <t>Pat_Tech_BT_04_FACE</t>
  </si>
  <si>
    <t>Pat_Tech_BT_05__FACE</t>
  </si>
  <si>
    <t>Pat_Tech_BT_06_FACE</t>
  </si>
  <si>
    <t>Pat_Tech_BT_07_FACE</t>
  </si>
  <si>
    <t>Pat_Tech_BT_08_FACE</t>
  </si>
  <si>
    <t>Pat_Tech_BT_09_FACE</t>
  </si>
  <si>
    <t>Pat_Tech_BT_10_FACE</t>
  </si>
  <si>
    <t>Pat_Tech_BT_04_ENE</t>
  </si>
  <si>
    <t>Pat_Tech_BT_04_ENE_FACE</t>
  </si>
  <si>
    <t>Pat_Tech_HTA_14</t>
  </si>
  <si>
    <t>Pat_Tech_transfo_04</t>
  </si>
  <si>
    <t>Pat_Tech_hta_15</t>
  </si>
  <si>
    <t>Pat_Tech_hta_17</t>
  </si>
  <si>
    <t>Pat_Tech_transfo_06</t>
  </si>
  <si>
    <t>Pat_Tech_transfo_07</t>
  </si>
  <si>
    <t>Pat_Tech_bt_11</t>
  </si>
  <si>
    <t>Pat_Tech_bt_04b</t>
  </si>
  <si>
    <t>Pat_Tech_branch_01</t>
  </si>
  <si>
    <t>Pat_Tech_branch_02</t>
  </si>
  <si>
    <t>Pat_Tech_BT_12</t>
  </si>
  <si>
    <t>Pat_Tech_Poste_07</t>
  </si>
  <si>
    <t>Pat_Tech_Poste_08</t>
  </si>
  <si>
    <t>client</t>
  </si>
  <si>
    <t>annee</t>
  </si>
  <si>
    <t>nbr_sites_isoles</t>
  </si>
  <si>
    <t>puissance_tot</t>
  </si>
  <si>
    <t>aerien_nu</t>
  </si>
  <si>
    <t>aerien_nu_dont_fs</t>
  </si>
  <si>
    <t>aerien_torsade</t>
  </si>
  <si>
    <t>souterrain</t>
  </si>
  <si>
    <t>lineaire_tot</t>
  </si>
  <si>
    <t>moy_nat_sout</t>
  </si>
  <si>
    <t>moy_nat_secu</t>
  </si>
  <si>
    <t>lineaire_tot_bt_sup_40ans</t>
  </si>
  <si>
    <t>pourcent_tot</t>
  </si>
  <si>
    <t>aerien_nu_hors_fs_sup_40ans</t>
  </si>
  <si>
    <t>aerien_nu_fs_sup_40ans</t>
  </si>
  <si>
    <t>aerien_nu_torsade_sup_40ans</t>
  </si>
  <si>
    <t>souterrain_sup_40ans</t>
  </si>
  <si>
    <t>lineaire_bt_aerien_nu_souterrain_sup_40ans</t>
  </si>
  <si>
    <t>lineaire_bt_torsade_sup_50ans</t>
  </si>
  <si>
    <t>lineaire_tot_bt_sup_50ans</t>
  </si>
  <si>
    <t>lineaire_tot_bt_60ans</t>
  </si>
  <si>
    <t>pourcent_tot_lin_tot_bt_sup_40ans</t>
  </si>
  <si>
    <t>pourcent_tot_lin_tot_bt_sup_40ans_nat</t>
  </si>
  <si>
    <t>lineaire_tot_bt_sup_60ans</t>
  </si>
  <si>
    <t>aerien_nu_fs</t>
  </si>
  <si>
    <t>lignes_bt_neutre_periph</t>
  </si>
  <si>
    <t>pourcent_ligne_incidentogene</t>
  </si>
  <si>
    <t>moyenne_nat_aerien_nu</t>
  </si>
  <si>
    <t>moyenne_nat_fs</t>
  </si>
  <si>
    <t>pourcent_aerien_nu_sur_total</t>
  </si>
  <si>
    <t>acier_alu</t>
  </si>
  <si>
    <t>pourcent_acier_alu</t>
  </si>
  <si>
    <t>aluminium</t>
  </si>
  <si>
    <t>pourcent_aluminium</t>
  </si>
  <si>
    <t>almelec</t>
  </si>
  <si>
    <t>pourcent_almelec</t>
  </si>
  <si>
    <t>almelec_acier</t>
  </si>
  <si>
    <t>pourcent_almelec_acier</t>
  </si>
  <si>
    <t>cuivre</t>
  </si>
  <si>
    <t>pourcent_cuivre</t>
  </si>
  <si>
    <t>nbr_depart_bt</t>
  </si>
  <si>
    <t>long_moy_depart_bt</t>
  </si>
  <si>
    <t>nbr_depart_bt_sup_425m</t>
  </si>
  <si>
    <t>nbr_depart_bt_sup_1500m</t>
  </si>
  <si>
    <t>nbr_depart_bt_sup_2500m</t>
  </si>
  <si>
    <t>max_long_depart_bt</t>
  </si>
  <si>
    <t>nom_depart_bt_plus_long</t>
  </si>
  <si>
    <t>long_tot</t>
  </si>
  <si>
    <t>non_date</t>
  </si>
  <si>
    <t>age_moyen</t>
  </si>
  <si>
    <t>long_inf_10_ans</t>
  </si>
  <si>
    <t>pourcent_long_inf_10_ans</t>
  </si>
  <si>
    <t>long_btw_10_20_ans</t>
  </si>
  <si>
    <t>pourcent_long_btw_10_20_ans</t>
  </si>
  <si>
    <t>long_btw_20_30_ans</t>
  </si>
  <si>
    <t>pourcent_long_btw_20_30_ans</t>
  </si>
  <si>
    <t>long_btw_30_40_ans</t>
  </si>
  <si>
    <t>pourcent_long_btw_30_40_ans</t>
  </si>
  <si>
    <t>long_btw_40_50_ans</t>
  </si>
  <si>
    <t>pourcent_long_btw_40_50_ans</t>
  </si>
  <si>
    <t>long_btw_50_60_ans</t>
  </si>
  <si>
    <t>pourcent_long_btw_50_60_ans</t>
  </si>
  <si>
    <t>long_sup_60_ans</t>
  </si>
  <si>
    <t>pourcent_sup_60_ans</t>
  </si>
  <si>
    <t>age_moyen_aerien_nu</t>
  </si>
  <si>
    <t>age_moyen_aerien_nu_fs</t>
  </si>
  <si>
    <t>age_moyen_aerien_torsade</t>
  </si>
  <si>
    <t>age_moyen_souterrain</t>
  </si>
  <si>
    <t>tech_age_moyen_aerien_nu</t>
  </si>
  <si>
    <t>tech_age_moyen_aerien_torsade</t>
  </si>
  <si>
    <t>tech_age_moyen_souterrain</t>
  </si>
  <si>
    <t>lineaire_hta_sup_40ans</t>
  </si>
  <si>
    <t>pourcent_nat</t>
  </si>
  <si>
    <t>lineaire_hta_sup_50ans</t>
  </si>
  <si>
    <t>lineaire_hta_sup_60ans</t>
  </si>
  <si>
    <t>aerien_nu_reduites_50</t>
  </si>
  <si>
    <t>pourcent_aerien_nu_fs_sur_aerien</t>
  </si>
  <si>
    <t>pourcent_aerien_nu_fs_sur_total</t>
  </si>
  <si>
    <t>sans_iso</t>
  </si>
  <si>
    <t>pourcent_sans_iso</t>
  </si>
  <si>
    <t>iso_synthe</t>
  </si>
  <si>
    <t>pourcent_iso_synthe</t>
  </si>
  <si>
    <t>iso_pap</t>
  </si>
  <si>
    <t>pourcent_iso_pap</t>
  </si>
  <si>
    <t>lg_synth_1ere_gen</t>
  </si>
  <si>
    <t>nbr_depart_hta</t>
  </si>
  <si>
    <t>nbr_depart_hta_btw_50_70</t>
  </si>
  <si>
    <t>nbr_depart_hta_btw_70_100</t>
  </si>
  <si>
    <t>nbr_depart_hta_sup_100</t>
  </si>
  <si>
    <t>long_depart_hta_plus_long</t>
  </si>
  <si>
    <t>nom_depart_hta_plus_long</t>
  </si>
  <si>
    <t>long_moy_depart_hta</t>
  </si>
  <si>
    <t>long_moy_top_10_pourcent_depart_plus_long</t>
  </si>
  <si>
    <t>nbr_moy_omt_par_depart_hta_aerien</t>
  </si>
  <si>
    <t>nbr_omt_moy_nat</t>
  </si>
  <si>
    <t>age_moyen_souterrain_cpi</t>
  </si>
  <si>
    <t>age_moyen_hta</t>
  </si>
  <si>
    <t>annee_pdv</t>
  </si>
  <si>
    <t>type_traitement_pdv</t>
  </si>
  <si>
    <t>longueur_km_hta_pdv</t>
  </si>
  <si>
    <t>distr_publique</t>
  </si>
  <si>
    <t>distr_publique_prod</t>
  </si>
  <si>
    <t>mixte</t>
  </si>
  <si>
    <t>mixte_prod</t>
  </si>
  <si>
    <t>nbr_usagers</t>
  </si>
  <si>
    <t>nbr_poste_poteau</t>
  </si>
  <si>
    <t>nbr_poste_maconne</t>
  </si>
  <si>
    <t>nbr_poste_prefabrique</t>
  </si>
  <si>
    <t>nbr_poste_autre</t>
  </si>
  <si>
    <t>total</t>
  </si>
  <si>
    <t>nbr_cabines_hautes</t>
  </si>
  <si>
    <t>round</t>
  </si>
  <si>
    <t>nbr_postes_sup_40ans</t>
  </si>
  <si>
    <t>nbr_postes_h61_sup_40ans</t>
  </si>
  <si>
    <t>nbr_postes_immeuble_sup_40ans</t>
  </si>
  <si>
    <t>nbr_postes_cabines_hautes_sup_40ans</t>
  </si>
  <si>
    <t>nbr_postes_cabines_basses_sup_40ans</t>
  </si>
  <si>
    <t>nbr_postes_cabines_basses_sup_50ans</t>
  </si>
  <si>
    <t>nbr_postes_cabines_basses_sup_60ans</t>
  </si>
  <si>
    <t>taux_poste_sup_40ans_nat</t>
  </si>
  <si>
    <t>type_poste</t>
  </si>
  <si>
    <t>nbr_postes</t>
  </si>
  <si>
    <t>nbr_sup_40ans_hors_1946</t>
  </si>
  <si>
    <t>nbr_sup_40ans_1946</t>
  </si>
  <si>
    <t>construit_poste_poteau</t>
  </si>
  <si>
    <t>construi_poste_maconne</t>
  </si>
  <si>
    <t>construi_poste_prefabrique</t>
  </si>
  <si>
    <t>construi_poste_non_renseigne</t>
  </si>
  <si>
    <t>construit_total</t>
  </si>
  <si>
    <t>modif_puissance</t>
  </si>
  <si>
    <t>nbr_total</t>
  </si>
  <si>
    <t>nbr_inf_10_ans</t>
  </si>
  <si>
    <t>pourcent_nbr_inf_10_ans</t>
  </si>
  <si>
    <t>nbr_btw_10_20_ans</t>
  </si>
  <si>
    <t>pourcent_nbr_btw_10_20_ans</t>
  </si>
  <si>
    <t>nbr_btw_20_30_ans</t>
  </si>
  <si>
    <t>pourcent_nbr_btw_20_30_ans</t>
  </si>
  <si>
    <t>nbr_btw_30_40_ans</t>
  </si>
  <si>
    <t>pourcent_nbr_btw_30_40_ans</t>
  </si>
  <si>
    <t>nbr_btw_40_50_ans</t>
  </si>
  <si>
    <t>pourcent_nbr_btw_40_50_ans</t>
  </si>
  <si>
    <t>nbr_btw_50_60_ans</t>
  </si>
  <si>
    <t>pourcent_nbr_btw_50_60_ans</t>
  </si>
  <si>
    <t>nbr_sup_60_ans</t>
  </si>
  <si>
    <t>nbr_prod</t>
  </si>
  <si>
    <t>nbr_poste_relie</t>
  </si>
  <si>
    <t>pv</t>
  </si>
  <si>
    <t>pv_hta</t>
  </si>
  <si>
    <t>pv_bt</t>
  </si>
  <si>
    <t>eolien</t>
  </si>
  <si>
    <t>eolien_hta</t>
  </si>
  <si>
    <t>eolien_bt</t>
  </si>
  <si>
    <t>hydraulique</t>
  </si>
  <si>
    <t>autres</t>
  </si>
  <si>
    <t>nbr_ps</t>
  </si>
  <si>
    <t>nbr_ps_sur_territoire</t>
  </si>
  <si>
    <t>puissance_installe</t>
  </si>
  <si>
    <t>puissance_installe_ancien</t>
  </si>
  <si>
    <t>taux_th</t>
  </si>
  <si>
    <t>puissance</t>
  </si>
  <si>
    <t>nbr_transfo_par_puissance</t>
  </si>
  <si>
    <t>nbr_transfo_sup_40ans</t>
  </si>
  <si>
    <t>pourcent_total</t>
  </si>
  <si>
    <t>nbr_transfo_sup_50ans</t>
  </si>
  <si>
    <t>nbr_transfo_sup_60ans</t>
  </si>
  <si>
    <t>nbr_transfos_400_volt</t>
  </si>
  <si>
    <t>nbr_transfos_410_volt</t>
  </si>
  <si>
    <t>nbr_transfo_15kvolt</t>
  </si>
  <si>
    <t>puissance_transfo</t>
  </si>
  <si>
    <t>Code Regime FACE</t>
  </si>
  <si>
    <t>face</t>
  </si>
  <si>
    <t>sout_1946_cu</t>
  </si>
  <si>
    <t>sout_1946_al</t>
  </si>
  <si>
    <t>sout_cpi_cu</t>
  </si>
  <si>
    <t>sout_cpi_al</t>
  </si>
  <si>
    <t>sout_np</t>
  </si>
  <si>
    <t>sout_synth</t>
  </si>
  <si>
    <t>Catégorie de tension</t>
  </si>
  <si>
    <t>nbr_departs_hta</t>
  </si>
  <si>
    <t>nbr_poste_hta</t>
  </si>
  <si>
    <t>nbr_transfos</t>
  </si>
  <si>
    <t>nbr_departs_bt</t>
  </si>
  <si>
    <t>nbr_transfo_inf_10_percent</t>
  </si>
  <si>
    <t>nbr_transfo_btw_10_20_percent</t>
  </si>
  <si>
    <t>nbr_transfo_btw_20_30_percent</t>
  </si>
  <si>
    <t>nbr_transfo_btw_30_40_percent</t>
  </si>
  <si>
    <t>nbr_transfo_btw_40_50_percent</t>
  </si>
  <si>
    <t>nbr_transfo_btw_50_60_percent</t>
  </si>
  <si>
    <t>nbr_transfo_btw_60_70_percent</t>
  </si>
  <si>
    <t>nbr_transfo_btw_70_80_percent</t>
  </si>
  <si>
    <t>nbr_transfo_btw_80_90_percent</t>
  </si>
  <si>
    <t>nbr_transfo_btw_90_100_percent</t>
  </si>
  <si>
    <t>nbr_transfo_sup_100_percent</t>
  </si>
  <si>
    <t>nbr_transfo_sup_120_percent</t>
  </si>
  <si>
    <t>Client</t>
  </si>
  <si>
    <t>Annee</t>
  </si>
  <si>
    <t>Annee Construction</t>
  </si>
  <si>
    <t>aerien_nu_km</t>
  </si>
  <si>
    <t>torsade_km</t>
  </si>
  <si>
    <t>souterrain_km</t>
  </si>
  <si>
    <t>dont_cpi_km</t>
  </si>
  <si>
    <t>echelle</t>
  </si>
  <si>
    <t>moyenne_nationale_renouvellement</t>
  </si>
  <si>
    <t>min_renouvellement</t>
  </si>
  <si>
    <t>max_renouvellement</t>
  </si>
  <si>
    <t>Annee construction</t>
  </si>
  <si>
    <t>nb_410</t>
  </si>
  <si>
    <t>nb_400</t>
  </si>
  <si>
    <t>nbr</t>
  </si>
  <si>
    <t>m10</t>
  </si>
  <si>
    <t>m20</t>
  </si>
  <si>
    <t>m30</t>
  </si>
  <si>
    <t>m40</t>
  </si>
  <si>
    <t>m50</t>
  </si>
  <si>
    <t>m60</t>
  </si>
  <si>
    <t>p60</t>
  </si>
  <si>
    <t>aerien_nu_urbain_km</t>
  </si>
  <si>
    <t>aerien_nu_rural_km</t>
  </si>
  <si>
    <t>pourcentage_aerien_nu</t>
  </si>
  <si>
    <t>pourcentage_aerien_nu_urbain</t>
  </si>
  <si>
    <t>pourcentage_aerien_nu_rural</t>
  </si>
  <si>
    <t>aerien_nu_fs_km</t>
  </si>
  <si>
    <t>aerien_nu_fs_urbain_km</t>
  </si>
  <si>
    <t>aerien_nu_fs_rural_km</t>
  </si>
  <si>
    <t>pourcentage_aerien_nu_fs</t>
  </si>
  <si>
    <t>pourcentage_aerien_nu_fs_urbain</t>
  </si>
  <si>
    <t>pourcentage_aerien_nu_fs_rural</t>
  </si>
  <si>
    <t>np_km</t>
  </si>
  <si>
    <t>np_urbain_km</t>
  </si>
  <si>
    <t>np_rural_km</t>
  </si>
  <si>
    <t>pourcentage_np</t>
  </si>
  <si>
    <t>pourcentage_np_urbain</t>
  </si>
  <si>
    <t>pourcentage_np_rural</t>
  </si>
  <si>
    <t>cpi_km</t>
  </si>
  <si>
    <t>cpi_urbain_km</t>
  </si>
  <si>
    <t>cpi_rural_km</t>
  </si>
  <si>
    <t>pourcentage_cpi</t>
  </si>
  <si>
    <t>pourcentage_cpi_urbain</t>
  </si>
  <si>
    <t>pourcentage_cpi_rural</t>
  </si>
  <si>
    <t>non_date_km</t>
  </si>
  <si>
    <t>non_date_urbain_km</t>
  </si>
  <si>
    <t>non_date_rural_km</t>
  </si>
  <si>
    <t>pourcentage_non_date</t>
  </si>
  <si>
    <t>pourcentage_non_date_urbain</t>
  </si>
  <si>
    <t>pourcentage_non_date_rural</t>
  </si>
  <si>
    <t>nbr_brch_ind</t>
  </si>
  <si>
    <t>nbr_branchement_aerien</t>
  </si>
  <si>
    <t>nbr_derivation_liaison</t>
  </si>
  <si>
    <t>nbr_liaison_reseau_sout</t>
  </si>
  <si>
    <t>nbr_ocb</t>
  </si>
  <si>
    <t>nbr_colonne_double</t>
  </si>
  <si>
    <t>nbr_colonne_multiple_3_6</t>
  </si>
  <si>
    <t>nbr_colonne_multiple</t>
  </si>
  <si>
    <t>nbr_colonne_multiple_2_3</t>
  </si>
  <si>
    <t>nbr_colonne_multiple_2_5</t>
  </si>
  <si>
    <t>nbr_colonne_simple</t>
  </si>
  <si>
    <t>nbr_local_technique</t>
  </si>
  <si>
    <t>nbr_local_technique_coffret</t>
  </si>
  <si>
    <t>nbr_usr</t>
  </si>
  <si>
    <t>moyenne_nat_renouvel</t>
  </si>
  <si>
    <t>AUTRE AU SOL TYPE B</t>
  </si>
  <si>
    <t>15 kV</t>
  </si>
  <si>
    <t>DEP</t>
  </si>
  <si>
    <t>CABINE BASSE</t>
  </si>
  <si>
    <t>U</t>
  </si>
  <si>
    <t>20 kV</t>
  </si>
  <si>
    <t>CABINE HAUTE</t>
  </si>
  <si>
    <t>URB</t>
  </si>
  <si>
    <t>EN IMMEUBLE</t>
  </si>
  <si>
    <t>POSTE AU SOL TYPE A</t>
  </si>
  <si>
    <t>POSTE RURAL COMPACT SIMPLIFIÉ</t>
  </si>
  <si>
    <t>RURAL COMPACT</t>
  </si>
  <si>
    <t>RURAL SOCLE</t>
  </si>
  <si>
    <t>URBAIN COMPACT</t>
  </si>
  <si>
    <t>URBAIN PORTABLE</t>
  </si>
  <si>
    <t>Inc_02_HIX</t>
  </si>
  <si>
    <t>Inc_02_TCC</t>
  </si>
  <si>
    <t>Inc_08</t>
  </si>
  <si>
    <t>Inc_09</t>
  </si>
  <si>
    <t>Inc_10</t>
  </si>
  <si>
    <t>inc_05_bt</t>
  </si>
  <si>
    <t>inc_05_hta</t>
  </si>
  <si>
    <t>inc_03_face</t>
  </si>
  <si>
    <t>Inc_13_inc</t>
  </si>
  <si>
    <t>Inc_13_trv</t>
  </si>
  <si>
    <t>Inc_12_elagage</t>
  </si>
  <si>
    <t>total_6_cl_bt</t>
  </si>
  <si>
    <t>incidents_6_cl_bt</t>
  </si>
  <si>
    <t>Nbr usager impactes par + de 30 CB</t>
  </si>
  <si>
    <t>Nbr usagers coupes + de 3H (T+I)</t>
  </si>
  <si>
    <t>Nbr usagers coupes + de 3H (incidents) amont BT</t>
  </si>
  <si>
    <t>Nb clients BT coupes &gt; 6H sur incidents</t>
  </si>
  <si>
    <t>critb_hix</t>
  </si>
  <si>
    <t>critb_rte</t>
  </si>
  <si>
    <t>critb_reseau_distrib_publique_incident</t>
  </si>
  <si>
    <t>critb_ps_incident</t>
  </si>
  <si>
    <t>critb_hta_incident</t>
  </si>
  <si>
    <t>critb_bt_incident</t>
  </si>
  <si>
    <t>critb_reseau_distrib_publique_travaux</t>
  </si>
  <si>
    <t>critb_hta_travaux</t>
  </si>
  <si>
    <t>critb_bt_travaux</t>
  </si>
  <si>
    <t>critb_hta_climatique_incident</t>
  </si>
  <si>
    <t>critb_bt_climatique_incident</t>
  </si>
  <si>
    <t>crit_b_hix_hta_inc_national</t>
  </si>
  <si>
    <t>crit_b_hix_hta_trx_national</t>
  </si>
  <si>
    <t>crit_b_hix_bt_inc_national</t>
  </si>
  <si>
    <t>crit_b_hix_bt_trx_national</t>
  </si>
  <si>
    <t>critb_tcc</t>
  </si>
  <si>
    <t>crit_b_hix_hors_rte_ze1</t>
  </si>
  <si>
    <t>crit_b_hix_hors_rte_ze2</t>
  </si>
  <si>
    <t>crit_b_hix_hors_rte_ze3</t>
  </si>
  <si>
    <t>crit_b_hix_hors_rte_ze4</t>
  </si>
  <si>
    <t>crit_b_tcc_hors_rte_ze1</t>
  </si>
  <si>
    <t>crit_b_tcc_hors_rte_ze2</t>
  </si>
  <si>
    <t>crit_b_tcc_hors_rte_ze3</t>
  </si>
  <si>
    <t>crit_b_tcc_hors_rte_ze4</t>
  </si>
  <si>
    <t>total_nititot_incident_hta_bt</t>
  </si>
  <si>
    <t>total_nititot_travaux_hta_bt</t>
  </si>
  <si>
    <t>taux_incident_hta_autre</t>
  </si>
  <si>
    <t>taux_incident_hta_aerien</t>
  </si>
  <si>
    <t>taux_incident_hta_poste_hta_bt</t>
  </si>
  <si>
    <t>taux_incident_hta_sans_degat</t>
  </si>
  <si>
    <t>taux_incident_hta_souterrain</t>
  </si>
  <si>
    <t>taux_incident_bt_autre</t>
  </si>
  <si>
    <t>taux_incident_bt_aerien</t>
  </si>
  <si>
    <t>taux_incident_bt_poste_hta_bt</t>
  </si>
  <si>
    <t>taux_incident_bt_sans_degat</t>
  </si>
  <si>
    <t>taux_incident_bt_souterrain</t>
  </si>
  <si>
    <t>taux_travaux_hta_autre</t>
  </si>
  <si>
    <t>taux_travaux_hta_aerien</t>
  </si>
  <si>
    <t>taux_travaux_hta_poste_hta_bt</t>
  </si>
  <si>
    <t>taux_travaux_hta_sans_degat</t>
  </si>
  <si>
    <t>taux_travaux_hta_souterrain</t>
  </si>
  <si>
    <t>taux_travaux_bt_autre</t>
  </si>
  <si>
    <t>taux_travaux_bt_aerien</t>
  </si>
  <si>
    <t>taux_travaux_bt_poste_hta_bt</t>
  </si>
  <si>
    <t>taux_travaux_bt_sans_degat</t>
  </si>
  <si>
    <t>taux_travaux_bt_souterrain</t>
  </si>
  <si>
    <t>taux_incident_hta_inconnu</t>
  </si>
  <si>
    <t>taux_travaux_hta_inconnu</t>
  </si>
  <si>
    <t>siege_cause</t>
  </si>
  <si>
    <t>manipulation</t>
  </si>
  <si>
    <t>materiel</t>
  </si>
  <si>
    <t>externe</t>
  </si>
  <si>
    <t>bois</t>
  </si>
  <si>
    <t>climatique</t>
  </si>
  <si>
    <t>securite</t>
  </si>
  <si>
    <t>inconnue</t>
  </si>
  <si>
    <t>rte</t>
  </si>
  <si>
    <t>nbr_coupures_totales</t>
  </si>
  <si>
    <t>nbr_coupure_incidents</t>
  </si>
  <si>
    <t>nbr_coupure_travaux</t>
  </si>
  <si>
    <t>duree_moy_coupure_usager_tot</t>
  </si>
  <si>
    <t>duree_moy_coupure_usager_incident</t>
  </si>
  <si>
    <t>duree_moy_coupure_usager_travaux</t>
  </si>
  <si>
    <t>nb_client_coupé_bt_total</t>
  </si>
  <si>
    <t>nb_client_coupé_bt_incidents</t>
  </si>
  <si>
    <t>nb_client_coupé_bt_travaux</t>
  </si>
  <si>
    <t>moy_usager_coupure_tot</t>
  </si>
  <si>
    <t>moy_usager_coupure_incidents</t>
  </si>
  <si>
    <t>moy_usager_coupure_travaux</t>
  </si>
  <si>
    <t>nbr_coupures_total</t>
  </si>
  <si>
    <t>nbr_usagers_coupes</t>
  </si>
  <si>
    <t>nbr_usagers_coupes_incident</t>
  </si>
  <si>
    <t>nbr_usagers_coupes_travaux</t>
  </si>
  <si>
    <t>moy_usager_coupure_incident</t>
  </si>
  <si>
    <t>taux_incident_aerien_hta</t>
  </si>
  <si>
    <t>taux_incident_aerien_hta_aerien_nu</t>
  </si>
  <si>
    <t>taux_incident_aerien_hta_aerien_nu_faible_section</t>
  </si>
  <si>
    <t>taux_incident_souterrain_hta</t>
  </si>
  <si>
    <t>taux_incident_aerien_bt</t>
  </si>
  <si>
    <t>taux_incident_aerien_bt_aerien_nu</t>
  </si>
  <si>
    <t>taux_incident_aerien_bt_aerien_nu_faible_section</t>
  </si>
  <si>
    <t>taux_incident_aerien_bt_torsade</t>
  </si>
  <si>
    <t>taux_incident_souterrain_bt</t>
  </si>
  <si>
    <t>taux_incident_hta_bt</t>
  </si>
  <si>
    <t>freq_cb_hta</t>
  </si>
  <si>
    <t>freq_cl_inc_hta</t>
  </si>
  <si>
    <t>freq_cl_inc_ps</t>
  </si>
  <si>
    <t>freq_total</t>
  </si>
  <si>
    <t>cb_ctb</t>
  </si>
  <si>
    <t>ctb</t>
  </si>
  <si>
    <t>nititot_bt</t>
  </si>
  <si>
    <t>nititot_bt_hix</t>
  </si>
  <si>
    <t>nititot_hta</t>
  </si>
  <si>
    <t>nititot_hta_hix</t>
  </si>
  <si>
    <t>crit_b_hix_hors_rte_zeu</t>
  </si>
  <si>
    <t>crit_b_hix_hors_rte_zer</t>
  </si>
  <si>
    <t>crit_b_tcc_hors_rte_zeu</t>
  </si>
  <si>
    <t>crit_b_tcc_hors_rte_zer</t>
  </si>
  <si>
    <t>Critère B Hix BT total</t>
  </si>
  <si>
    <t>Critère B Hix BT incident</t>
  </si>
  <si>
    <t>Critère B Hix BT travaux</t>
  </si>
  <si>
    <t>nitit_bt_elagage</t>
  </si>
  <si>
    <t>nitit_bt_hix_elagage</t>
  </si>
  <si>
    <t>crit_b_inc_elag</t>
  </si>
  <si>
    <t>nititi_inc_elag</t>
  </si>
  <si>
    <t>nititi_inc_elag_hta</t>
  </si>
  <si>
    <t>nititi_inc_elag_bt</t>
  </si>
  <si>
    <t>nb_cc_inc_elag</t>
  </si>
  <si>
    <t>nb_cc_inc_elag_hta</t>
  </si>
  <si>
    <t>nb_cc_inc_elag_bt</t>
  </si>
  <si>
    <t>critere_b_hix_national_hors_rte</t>
  </si>
  <si>
    <t>critere_b_hix_national_hors_rte_moyen_3_ans</t>
  </si>
  <si>
    <t>critere_b_tcc_national_hors_rte</t>
  </si>
  <si>
    <t>critere_b_tcc_national_hors_rte_moyen_3_ans</t>
  </si>
  <si>
    <t>longueur elaguee bt</t>
  </si>
  <si>
    <t>longueur elaguee hta</t>
  </si>
  <si>
    <t>Poste HTA/BT - partie HTA</t>
  </si>
  <si>
    <t>Poste HTA/BT - partie BT</t>
  </si>
  <si>
    <t>Tens_01</t>
  </si>
  <si>
    <t>Tens_03</t>
  </si>
  <si>
    <t>Tens_06</t>
  </si>
  <si>
    <t>Tens_07</t>
  </si>
  <si>
    <t>Tens_08</t>
  </si>
  <si>
    <t>nbr_chute_tension_sup_7_pourcent</t>
  </si>
  <si>
    <t>nbr_chute_tension_btw_5_and_7_pourcent</t>
  </si>
  <si>
    <t>nbr_chute_tension_btw_4_and_5_pourcent</t>
  </si>
  <si>
    <t>nbr_depart_hta_chute_tension_sup_5_pourcent</t>
  </si>
  <si>
    <t>pourcentage_depart_hta_chute_tension_sup_5_pourcent</t>
  </si>
  <si>
    <t>nbr_departs</t>
  </si>
  <si>
    <t>nbr_total_depart_bt</t>
  </si>
  <si>
    <t>longueur_troncon_mal_alimente_km</t>
  </si>
  <si>
    <t>longueur_troncon_mal_alimente_fsa_km</t>
  </si>
  <si>
    <t>nb_depart_bt_avec_cma</t>
  </si>
  <si>
    <t>taux_départ_bt_mal_alimente</t>
  </si>
  <si>
    <t>taux_depart_bt_mal_alimente_urbain</t>
  </si>
  <si>
    <t>taux_depart_bt_mal_alimente_rural</t>
  </si>
  <si>
    <t>nbr_chute_tension_sup_30</t>
  </si>
  <si>
    <t>nbr_chute_tension_btw_20_and_30</t>
  </si>
  <si>
    <t>nbr_chute_tension_btw_10_and_20</t>
  </si>
  <si>
    <t>nbr_depart_bt_contraite_sup_10_pourcent</t>
  </si>
  <si>
    <t>pourcentage_depart_bt_contrainte</t>
  </si>
  <si>
    <t>nbr_clients_mal_alimentes</t>
  </si>
  <si>
    <t>nbr_clients_mal_alimentes_urbain</t>
  </si>
  <si>
    <t>nbr_clients_mal_alimentes_rural</t>
  </si>
  <si>
    <t>taux_client_mal_alimentes</t>
  </si>
  <si>
    <t>taux_client_mal_alimentes_urbain</t>
  </si>
  <si>
    <t>taux_client_mal_alimentes_rural</t>
  </si>
  <si>
    <t>Pat_Fin_01</t>
  </si>
  <si>
    <t>Pat_Fin_03</t>
  </si>
  <si>
    <t>Pat_Fin_04</t>
  </si>
  <si>
    <t>Pat_Fin_05</t>
  </si>
  <si>
    <t>Pat_Fin_06</t>
  </si>
  <si>
    <t>Pat_Fin_07</t>
  </si>
  <si>
    <t>Pat_Fin_08</t>
  </si>
  <si>
    <t>Pat_Fin_09</t>
  </si>
  <si>
    <t>Pat_Fin_10</t>
  </si>
  <si>
    <t>pat_fin_12a</t>
  </si>
  <si>
    <t>Pat_Fin_02</t>
  </si>
  <si>
    <t>vb_canal_hta</t>
  </si>
  <si>
    <t>vb_canal_bt</t>
  </si>
  <si>
    <t>vb_poste_hta_bt</t>
  </si>
  <si>
    <t>vb_transfo_hta_bt</t>
  </si>
  <si>
    <t>vb_comptage</t>
  </si>
  <si>
    <t>vb_ouvrage_branch</t>
  </si>
  <si>
    <t>vb_autres_bl</t>
  </si>
  <si>
    <t>vb_comptages_nl</t>
  </si>
  <si>
    <t>vb_ouvrage_branch_nl</t>
  </si>
  <si>
    <t>vb_autres_biens_nl</t>
  </si>
  <si>
    <t>vb_branchements</t>
  </si>
  <si>
    <t>amort_canal_hta</t>
  </si>
  <si>
    <t>amort_canal_bt</t>
  </si>
  <si>
    <t>amort_poste_hta_bt</t>
  </si>
  <si>
    <t>amort_transfo_hta_bt</t>
  </si>
  <si>
    <t>amort_comptage</t>
  </si>
  <si>
    <t>amort_ouvrage_branch</t>
  </si>
  <si>
    <t>amort_autres_bl</t>
  </si>
  <si>
    <t>amort_comptages_nl</t>
  </si>
  <si>
    <t>amort_ouvrage_branch_nl</t>
  </si>
  <si>
    <t>amort_autres_biens_nl</t>
  </si>
  <si>
    <t>amort_branchements</t>
  </si>
  <si>
    <t>immo_local_vb</t>
  </si>
  <si>
    <t>immo_nl_vb</t>
  </si>
  <si>
    <t>immo_local_vnc</t>
  </si>
  <si>
    <t>immo_nl_vnc</t>
  </si>
  <si>
    <t>immo_local_amort</t>
  </si>
  <si>
    <t>immo_nl_amort</t>
  </si>
  <si>
    <t>vb_usr_local</t>
  </si>
  <si>
    <t>vb_usr_nl</t>
  </si>
  <si>
    <t>vnc_usr_local</t>
  </si>
  <si>
    <t>vnc_usr_nl</t>
  </si>
  <si>
    <t>amort_usr_local</t>
  </si>
  <si>
    <t>amort_usr_nl</t>
  </si>
  <si>
    <t>vr_canal_hta</t>
  </si>
  <si>
    <t>vr_canal_bt</t>
  </si>
  <si>
    <t>vr_poste_hta_bt</t>
  </si>
  <si>
    <t>vr_transfo_hta_bt</t>
  </si>
  <si>
    <t>vr_comptage</t>
  </si>
  <si>
    <t>vr_ouvrage_branch</t>
  </si>
  <si>
    <t>vr_autres_bl</t>
  </si>
  <si>
    <t>vr_comptages_nl</t>
  </si>
  <si>
    <t>vr_ouvrage_branch_nl</t>
  </si>
  <si>
    <t>vr_autres_biens_nl</t>
  </si>
  <si>
    <t>vr_branchements</t>
  </si>
  <si>
    <t>pr_canal_hta</t>
  </si>
  <si>
    <t>pr_canal_bt</t>
  </si>
  <si>
    <t>pr_poste_hta_bt</t>
  </si>
  <si>
    <t>pr_transfo_hta_bt</t>
  </si>
  <si>
    <t>pr_comptage</t>
  </si>
  <si>
    <t>pr_ouvrage_branch</t>
  </si>
  <si>
    <t>pr_autres_bl</t>
  </si>
  <si>
    <t>pr_comptages_nl</t>
  </si>
  <si>
    <t>pr_ouvrage_branch_nl</t>
  </si>
  <si>
    <t>pr_autres_biens_nl</t>
  </si>
  <si>
    <t>pr_branchements</t>
  </si>
  <si>
    <t>val_mc_local</t>
  </si>
  <si>
    <t>val_mc_local_dont_finance_concessionnaire</t>
  </si>
  <si>
    <t>val_mc_local_dont_finance_concedant</t>
  </si>
  <si>
    <t>val_mc_nl</t>
  </si>
  <si>
    <t>val_mc_nl_dont_finance_concessionnaire</t>
  </si>
  <si>
    <t>val_mc_nl_dont_finance_concedant</t>
  </si>
  <si>
    <t>contre_val_biens_concedes</t>
  </si>
  <si>
    <t>vnc_finance_ouvrage_existant</t>
  </si>
  <si>
    <t>amort_finance_concedant</t>
  </si>
  <si>
    <t>droits_concedant</t>
  </si>
  <si>
    <t>pr_hta_aerien_urb</t>
  </si>
  <si>
    <t>pr_hta_aerien_rur</t>
  </si>
  <si>
    <t>pr_hta_sout_urb</t>
  </si>
  <si>
    <t>pr_hta_sout_rur</t>
  </si>
  <si>
    <t>pr_bt_aerien_nu_urb</t>
  </si>
  <si>
    <t>pr_bt_aerien_nu_rur</t>
  </si>
  <si>
    <t>pr_bt_aerien_torsade_urb</t>
  </si>
  <si>
    <t>pr_bt_aerien_torsade_rur</t>
  </si>
  <si>
    <t>pr_bt_sout_urb</t>
  </si>
  <si>
    <t>pr_bt_sout_rur</t>
  </si>
  <si>
    <t>pr_poste_htabt_urb</t>
  </si>
  <si>
    <t>pr_poste_htabt_rur</t>
  </si>
  <si>
    <t>pr_transfo_urb</t>
  </si>
  <si>
    <t>pr_transfo_rur</t>
  </si>
  <si>
    <t>pr_comptage_urb</t>
  </si>
  <si>
    <t>pr_comptage_rur</t>
  </si>
  <si>
    <t>pr_bri_urb</t>
  </si>
  <si>
    <t>pr_bri_rur</t>
  </si>
  <si>
    <t>pr_brc_urb</t>
  </si>
  <si>
    <t>pr_brc_rur</t>
  </si>
  <si>
    <t>VNC Financement Concessionnaire (Créance Non Amrt)</t>
  </si>
  <si>
    <t>Amortissement Financement concedant</t>
  </si>
  <si>
    <t>Provision renouvellement (PR)</t>
  </si>
  <si>
    <t>Categorie Ouvrage</t>
  </si>
  <si>
    <t>Taux de dépréciation</t>
  </si>
  <si>
    <t>Taux d'amortissement du financement concédant</t>
  </si>
  <si>
    <t>Stock de de DE (k€)</t>
  </si>
  <si>
    <t>de_hta_aerien_urb</t>
  </si>
  <si>
    <t>de_hta_aerien_rur</t>
  </si>
  <si>
    <t>de_hta_sout_urb</t>
  </si>
  <si>
    <t>de_hta_sout_rur</t>
  </si>
  <si>
    <t>de_bt_aerien_nu_urb</t>
  </si>
  <si>
    <t>de_bt_aerien_nu_rur</t>
  </si>
  <si>
    <t>de_bt_aerien_torsade_urb</t>
  </si>
  <si>
    <t>de_bt_aerien_torsade_rur</t>
  </si>
  <si>
    <t>de_bt_sout_urb</t>
  </si>
  <si>
    <t>de_bt_sout_rur</t>
  </si>
  <si>
    <t>de_poste_htabt_urb</t>
  </si>
  <si>
    <t>de_poste_htabt_rur</t>
  </si>
  <si>
    <t>de_transfo_urb</t>
  </si>
  <si>
    <t>de_transfo_rur</t>
  </si>
  <si>
    <t>de_comptage_urb</t>
  </si>
  <si>
    <t>de_comptage_rur</t>
  </si>
  <si>
    <t>de_bri_urb</t>
  </si>
  <si>
    <t>de_bri_rur</t>
  </si>
  <si>
    <t>de_brc_urb</t>
  </si>
  <si>
    <t>de_brc_rur</t>
  </si>
  <si>
    <t>Dépréciation des financements concédants (k€)</t>
  </si>
  <si>
    <t>vnc_canal_hta</t>
  </si>
  <si>
    <t>vnc_canal_bt</t>
  </si>
  <si>
    <t>vnc_poste_hta_bt</t>
  </si>
  <si>
    <t>vnc_transfo_hta_bt</t>
  </si>
  <si>
    <t>vnc_comptage</t>
  </si>
  <si>
    <t>vnc_ouvrage_branch</t>
  </si>
  <si>
    <t>vnc_autres_bl</t>
  </si>
  <si>
    <t>vnc_comptages_nl</t>
  </si>
  <si>
    <t>vnc_ouvrage_branch_nl</t>
  </si>
  <si>
    <t>vnc_autres_biens_nl</t>
  </si>
  <si>
    <t>vnc_branchements</t>
  </si>
  <si>
    <t>11 - Autres biens non localisés</t>
  </si>
  <si>
    <t>01 - Canalisation HTA</t>
  </si>
  <si>
    <t>09 - Comptage non localisé</t>
  </si>
  <si>
    <t>03 - Postes HTA/BT</t>
  </si>
  <si>
    <t>04 - Transformateurs HTA/BT</t>
  </si>
  <si>
    <t>05 - Comptage</t>
  </si>
  <si>
    <t>07 - Ouvrages collectifs de branchement</t>
  </si>
  <si>
    <t>06 - Branchements</t>
  </si>
  <si>
    <t>02 - Canalisation BT</t>
  </si>
  <si>
    <t>08 - Autres biens localisés</t>
  </si>
  <si>
    <t>10 - Ouvrages de branchement non localisés</t>
  </si>
  <si>
    <t>Evolution BT par matériaux</t>
  </si>
  <si>
    <t>Evolution BT par typologie</t>
  </si>
  <si>
    <t>Evolution HTA par matériaux</t>
  </si>
  <si>
    <t>Evolution HTA par typologie</t>
  </si>
  <si>
    <t>Evolution Postes par typologie</t>
  </si>
  <si>
    <t>Evolution transfo</t>
  </si>
  <si>
    <t>Evolution PDV</t>
  </si>
  <si>
    <t>annee_mes</t>
  </si>
  <si>
    <t>lineaire_bt_acier_alu</t>
  </si>
  <si>
    <t>lineaire_bt_alu</t>
  </si>
  <si>
    <t>lineaire_bt_almelec</t>
  </si>
  <si>
    <t>lineaire_bt_cuivre</t>
  </si>
  <si>
    <t>lineaire_bt_almelec_acier</t>
  </si>
  <si>
    <t>lineaire_bt_nu_HFS</t>
  </si>
  <si>
    <t>lineaire_bt_torsade</t>
  </si>
  <si>
    <t>lineaire_bt_souterrain</t>
  </si>
  <si>
    <t>lineaire_bt_aerien_nu_fs</t>
  </si>
  <si>
    <t>lineaire_bt_tot</t>
  </si>
  <si>
    <t>lineaire_hta_acier_alu</t>
  </si>
  <si>
    <t>lineaire_hta_alu</t>
  </si>
  <si>
    <t>lineaire_hta_almelec</t>
  </si>
  <si>
    <t>lineaire_hta_cuivre</t>
  </si>
  <si>
    <t>lineaire_hta_almelec_acier</t>
  </si>
  <si>
    <t>lineaire_hta_nu_HFS</t>
  </si>
  <si>
    <t>lineaire_hta_torsade</t>
  </si>
  <si>
    <t>lineaire_hta_souterrain</t>
  </si>
  <si>
    <t>lineaire_hta_aerien_nu_fs</t>
  </si>
  <si>
    <t>lineaire_hta_tot</t>
  </si>
  <si>
    <t>postes_poteau</t>
  </si>
  <si>
    <t>postes_maconne</t>
  </si>
  <si>
    <t>postes_prefabriques</t>
  </si>
  <si>
    <t>postes_autre</t>
  </si>
  <si>
    <t>Annee de Construction</t>
  </si>
  <si>
    <t>Type de traitement PDV</t>
  </si>
  <si>
    <t>Taux par densité de population</t>
  </si>
  <si>
    <t xml:space="preserve">Taux par année </t>
  </si>
  <si>
    <t>A compléter</t>
  </si>
  <si>
    <t>perimetre</t>
  </si>
  <si>
    <t>code_departement</t>
  </si>
  <si>
    <t>taux_enf_hta_dpt</t>
  </si>
  <si>
    <t>densite_pop_par_km_ligne_hta</t>
  </si>
  <si>
    <t>classment_tx_enf_hta</t>
  </si>
  <si>
    <t>taux_secur_bt_dpt</t>
  </si>
  <si>
    <t>densite_pop_par_km_ligne_bt</t>
  </si>
  <si>
    <t>classment_tx_enf_bt</t>
  </si>
  <si>
    <t>tx_enf_hta</t>
  </si>
  <si>
    <t>tx_enf_bt</t>
  </si>
  <si>
    <t>tx_enf_hta_bt</t>
  </si>
  <si>
    <t>Coefficient régression HTA sout</t>
  </si>
  <si>
    <t>Coefficient régression Btsécu</t>
  </si>
  <si>
    <t>Nationale</t>
  </si>
  <si>
    <t>0</t>
  </si>
  <si>
    <t>AIN</t>
  </si>
  <si>
    <t>1</t>
  </si>
  <si>
    <t>AUBE</t>
  </si>
  <si>
    <t>10</t>
  </si>
  <si>
    <t>AUDE</t>
  </si>
  <si>
    <t>11</t>
  </si>
  <si>
    <t>AVEYRON</t>
  </si>
  <si>
    <t>12</t>
  </si>
  <si>
    <t>BOUCHES-DU-RHONE</t>
  </si>
  <si>
    <t>13</t>
  </si>
  <si>
    <t>CALVADOS</t>
  </si>
  <si>
    <t>14</t>
  </si>
  <si>
    <t>CANTAL</t>
  </si>
  <si>
    <t>15</t>
  </si>
  <si>
    <t>CHARENTE</t>
  </si>
  <si>
    <t>16</t>
  </si>
  <si>
    <t>CHARENTE-MARITIME</t>
  </si>
  <si>
    <t>17</t>
  </si>
  <si>
    <t>CHER</t>
  </si>
  <si>
    <t>18</t>
  </si>
  <si>
    <t>CORREZE</t>
  </si>
  <si>
    <t>19</t>
  </si>
  <si>
    <t>AISNE</t>
  </si>
  <si>
    <t>2</t>
  </si>
  <si>
    <t>GIRONDE</t>
  </si>
  <si>
    <t>33</t>
  </si>
  <si>
    <t>COTE-D'OR</t>
  </si>
  <si>
    <t>21</t>
  </si>
  <si>
    <t>COTES-D'ARMOR</t>
  </si>
  <si>
    <t>22</t>
  </si>
  <si>
    <t>CREUSE</t>
  </si>
  <si>
    <t>23</t>
  </si>
  <si>
    <t>DORDOGNE</t>
  </si>
  <si>
    <t>24</t>
  </si>
  <si>
    <t>DOUBS</t>
  </si>
  <si>
    <t>25</t>
  </si>
  <si>
    <t>DROME</t>
  </si>
  <si>
    <t>26</t>
  </si>
  <si>
    <t>EURE</t>
  </si>
  <si>
    <t>27</t>
  </si>
  <si>
    <t>EURE-ET-LOIR</t>
  </si>
  <si>
    <t>28</t>
  </si>
  <si>
    <t>FINISTERE</t>
  </si>
  <si>
    <t>29</t>
  </si>
  <si>
    <t>ALLIER</t>
  </si>
  <si>
    <t>3</t>
  </si>
  <si>
    <t>GARD</t>
  </si>
  <si>
    <t>30</t>
  </si>
  <si>
    <t>HAUTE-GARONNE</t>
  </si>
  <si>
    <t>31</t>
  </si>
  <si>
    <t>GERS</t>
  </si>
  <si>
    <t>32</t>
  </si>
  <si>
    <t>HERAULT</t>
  </si>
  <si>
    <t>34</t>
  </si>
  <si>
    <t>ILLE-ET-VILAINE</t>
  </si>
  <si>
    <t>35</t>
  </si>
  <si>
    <t>INDRE</t>
  </si>
  <si>
    <t>36</t>
  </si>
  <si>
    <t>INDRE-ET-LOIRE</t>
  </si>
  <si>
    <t>37</t>
  </si>
  <si>
    <t>ISERE</t>
  </si>
  <si>
    <t>38</t>
  </si>
  <si>
    <t>JURA</t>
  </si>
  <si>
    <t>39</t>
  </si>
  <si>
    <t>ALPES-DE-HAUTE-PROVENCE</t>
  </si>
  <si>
    <t>4</t>
  </si>
  <si>
    <t>LANDES</t>
  </si>
  <si>
    <t>40</t>
  </si>
  <si>
    <t>LOIR-ET-CHER</t>
  </si>
  <si>
    <t>41</t>
  </si>
  <si>
    <t>LOIRE</t>
  </si>
  <si>
    <t>42</t>
  </si>
  <si>
    <t>HAUTE-LOIRE</t>
  </si>
  <si>
    <t>43</t>
  </si>
  <si>
    <t>LOIRE-ATLANTIQUE</t>
  </si>
  <si>
    <t>44</t>
  </si>
  <si>
    <t>LOIRET</t>
  </si>
  <si>
    <t>45</t>
  </si>
  <si>
    <t>LOT</t>
  </si>
  <si>
    <t>46</t>
  </si>
  <si>
    <t>LOT-ET-GARONNE</t>
  </si>
  <si>
    <t>47</t>
  </si>
  <si>
    <t>LOZERE</t>
  </si>
  <si>
    <t>48</t>
  </si>
  <si>
    <t>MAINE-ET-LOIRE</t>
  </si>
  <si>
    <t>49</t>
  </si>
  <si>
    <t>HAUTES-ALPES</t>
  </si>
  <si>
    <t>5</t>
  </si>
  <si>
    <t>MANCHE</t>
  </si>
  <si>
    <t>50</t>
  </si>
  <si>
    <t>MARNE</t>
  </si>
  <si>
    <t>51</t>
  </si>
  <si>
    <t>HAUTE-MARNE</t>
  </si>
  <si>
    <t>52</t>
  </si>
  <si>
    <t>MAYENNE</t>
  </si>
  <si>
    <t>53</t>
  </si>
  <si>
    <t>MEURTHE-ET-MOSELLE</t>
  </si>
  <si>
    <t>54</t>
  </si>
  <si>
    <t>MEUSE</t>
  </si>
  <si>
    <t>55</t>
  </si>
  <si>
    <t>MORBIHAN</t>
  </si>
  <si>
    <t>56</t>
  </si>
  <si>
    <t>MOSELLE</t>
  </si>
  <si>
    <t>57</t>
  </si>
  <si>
    <t>NIEVRE</t>
  </si>
  <si>
    <t>58</t>
  </si>
  <si>
    <t>NORD</t>
  </si>
  <si>
    <t>59</t>
  </si>
  <si>
    <t>ALPES-MARITIMES</t>
  </si>
  <si>
    <t>6</t>
  </si>
  <si>
    <t>OISE</t>
  </si>
  <si>
    <t>60</t>
  </si>
  <si>
    <t>ORNE</t>
  </si>
  <si>
    <t>61</t>
  </si>
  <si>
    <t>PAS-DE-CALAIS</t>
  </si>
  <si>
    <t>62</t>
  </si>
  <si>
    <t>PUY-DE-DOME</t>
  </si>
  <si>
    <t>63</t>
  </si>
  <si>
    <t>PYRENEES-ATLANTIQUES</t>
  </si>
  <si>
    <t>64</t>
  </si>
  <si>
    <t>HAUTES-PYRENEES</t>
  </si>
  <si>
    <t>65</t>
  </si>
  <si>
    <t>PYRENEES-ORIENTALES</t>
  </si>
  <si>
    <t>66</t>
  </si>
  <si>
    <t>BAS-RHIN</t>
  </si>
  <si>
    <t>67</t>
  </si>
  <si>
    <t>HAUT-RHIN</t>
  </si>
  <si>
    <t>68</t>
  </si>
  <si>
    <t>RHONE</t>
  </si>
  <si>
    <t>69</t>
  </si>
  <si>
    <t>ARDECHE</t>
  </si>
  <si>
    <t>7</t>
  </si>
  <si>
    <t>HAUTE-SAONE</t>
  </si>
  <si>
    <t>70</t>
  </si>
  <si>
    <t>SAONE-ET-LOIRE</t>
  </si>
  <si>
    <t>71</t>
  </si>
  <si>
    <t>SARTHE</t>
  </si>
  <si>
    <t>72</t>
  </si>
  <si>
    <t>SAVOIE</t>
  </si>
  <si>
    <t>73</t>
  </si>
  <si>
    <t>HAUTE-SAVOIE</t>
  </si>
  <si>
    <t>74</t>
  </si>
  <si>
    <t>PARIS</t>
  </si>
  <si>
    <t>75</t>
  </si>
  <si>
    <t>SEINE-MARITIME</t>
  </si>
  <si>
    <t>76</t>
  </si>
  <si>
    <t>SEINE-ET-MARNE</t>
  </si>
  <si>
    <t>77</t>
  </si>
  <si>
    <t>YVELINES</t>
  </si>
  <si>
    <t>78</t>
  </si>
  <si>
    <t>DEUX-SEVRES</t>
  </si>
  <si>
    <t>79</t>
  </si>
  <si>
    <t>ARDENNES</t>
  </si>
  <si>
    <t>8</t>
  </si>
  <si>
    <t>SOMME</t>
  </si>
  <si>
    <t>80</t>
  </si>
  <si>
    <t>TARN</t>
  </si>
  <si>
    <t>81</t>
  </si>
  <si>
    <t>TARN-ET-GARONNE</t>
  </si>
  <si>
    <t>82</t>
  </si>
  <si>
    <t>VAR</t>
  </si>
  <si>
    <t>83</t>
  </si>
  <si>
    <t>VAUCLUSE</t>
  </si>
  <si>
    <t>84</t>
  </si>
  <si>
    <t>VENDEE</t>
  </si>
  <si>
    <t>85</t>
  </si>
  <si>
    <t>VIENNE</t>
  </si>
  <si>
    <t>86</t>
  </si>
  <si>
    <t>HAUTE-VIENNE</t>
  </si>
  <si>
    <t>87</t>
  </si>
  <si>
    <t>VOSGES</t>
  </si>
  <si>
    <t>88</t>
  </si>
  <si>
    <t>YONNE</t>
  </si>
  <si>
    <t>89</t>
  </si>
  <si>
    <t>ARIEGE</t>
  </si>
  <si>
    <t>9</t>
  </si>
  <si>
    <t>TERRITOIRE DE BELFORT</t>
  </si>
  <si>
    <t>90</t>
  </si>
  <si>
    <t>ESSONNE</t>
  </si>
  <si>
    <t>91</t>
  </si>
  <si>
    <t>HAUTS-DE-SEINE</t>
  </si>
  <si>
    <t>92</t>
  </si>
  <si>
    <t>SEINE-SAINT-DENIS</t>
  </si>
  <si>
    <t>93</t>
  </si>
  <si>
    <t>VAL-DE-MARNE</t>
  </si>
  <si>
    <t>94</t>
  </si>
  <si>
    <t>VAL-D'OISE</t>
  </si>
  <si>
    <t>95</t>
  </si>
  <si>
    <t>Cli_25</t>
  </si>
  <si>
    <t>Cli_26</t>
  </si>
  <si>
    <t>Cli_27</t>
  </si>
  <si>
    <t>Cli_28</t>
  </si>
  <si>
    <t>Cli_29</t>
  </si>
  <si>
    <t>Cli_30</t>
  </si>
  <si>
    <t>Cli_34</t>
  </si>
  <si>
    <t>hta</t>
  </si>
  <si>
    <t>bt_sup_36</t>
  </si>
  <si>
    <t>bt_inf_36</t>
  </si>
  <si>
    <t>nbr_photo</t>
  </si>
  <si>
    <t>nbr_eolien</t>
  </si>
  <si>
    <t>nbr_hydraulique</t>
  </si>
  <si>
    <t>nbr_autre</t>
  </si>
  <si>
    <t>nbr_pdl_residentiel</t>
  </si>
  <si>
    <t>nbr_pdl_non_residentiel</t>
  </si>
  <si>
    <t>nbr_pdl_total</t>
  </si>
  <si>
    <t>tx_contrat_trv_residentiel</t>
  </si>
  <si>
    <t>tx_contrat_trv_non_residentiel</t>
  </si>
  <si>
    <t>tx_contrat_trv_total</t>
  </si>
  <si>
    <t>qte_energie_residentiel</t>
  </si>
  <si>
    <t>qte_energie_non_residentiel</t>
  </si>
  <si>
    <t>qte_energie_tot</t>
  </si>
  <si>
    <t>recette_trv_residentiel</t>
  </si>
  <si>
    <t>recette_trv_non_residentiel</t>
  </si>
  <si>
    <t>recette_trv_tot</t>
  </si>
  <si>
    <t>puissance_trv_residentiel</t>
  </si>
  <si>
    <t>puissance_trv_non_residentiel</t>
  </si>
  <si>
    <t>puissance_trv_tot</t>
  </si>
  <si>
    <t>nature_demande</t>
  </si>
  <si>
    <t>nbr_recla_enedis</t>
  </si>
  <si>
    <t>motif</t>
  </si>
  <si>
    <t>nbr_recla_edf</t>
  </si>
  <si>
    <t>tx_reponse_30j</t>
  </si>
  <si>
    <t>tx_reponse_15j</t>
  </si>
  <si>
    <t>pui_photo_hors_dcp</t>
  </si>
  <si>
    <t>pui_eolien_hors_dcp</t>
  </si>
  <si>
    <t>pui_hydraulique_hors_dcp</t>
  </si>
  <si>
    <t>pui_autre_hors_dcp</t>
  </si>
  <si>
    <t>pui_total_hors_dcp</t>
  </si>
  <si>
    <t>nbr_coupures_conditionnelles</t>
  </si>
  <si>
    <t>nbr_coupures_fermes</t>
  </si>
  <si>
    <t>fsl</t>
  </si>
  <si>
    <t>nbr_dossiers</t>
  </si>
  <si>
    <t>montant_penalites</t>
  </si>
  <si>
    <t>nbr_penalites</t>
  </si>
  <si>
    <t>tx_mes_install_delais_catalogue</t>
  </si>
  <si>
    <t>tx_devis_envoye_delai_soutirage</t>
  </si>
  <si>
    <t>tx_access_accueil_raccordement_tel</t>
  </si>
  <si>
    <t>tx_devis_envoye_delai_injection</t>
  </si>
  <si>
    <t>jours_prod_devis_raccordement_soutirage</t>
  </si>
  <si>
    <t>jours_prod_devis_raccordement_injection</t>
  </si>
  <si>
    <t>libelle</t>
  </si>
  <si>
    <t>tx_reussite_appel_tel</t>
  </si>
  <si>
    <t>libelle_crac</t>
  </si>
  <si>
    <t>valeur</t>
  </si>
  <si>
    <t>tx_contrat_br_preleve</t>
  </si>
  <si>
    <t>tx_contrat_br_mensualises</t>
  </si>
  <si>
    <t>tx_contrat_bnr_preleve</t>
  </si>
  <si>
    <t>tx_contrat_bnr_mensualises</t>
  </si>
  <si>
    <t>nbr_coupures_demandees_par_fournisseur</t>
  </si>
  <si>
    <t>nbr_coupures_effectives</t>
  </si>
  <si>
    <t>nbr_clients_realimentes_hiver</t>
  </si>
  <si>
    <t>Dont raccordements BT collectifs sans adaptation de réseau</t>
  </si>
  <si>
    <t>496</t>
  </si>
  <si>
    <t>INTERVENTIONS</t>
  </si>
  <si>
    <t>Dont raccordements BT individuels et collectifs avec adaptation de réseau</t>
  </si>
  <si>
    <t>QUALITE DU RESEAU PUBLIC</t>
  </si>
  <si>
    <t>Dont raccordements BT individuels sans adaptation de réseau</t>
  </si>
  <si>
    <t>RACCORDEMENTS</t>
  </si>
  <si>
    <t>En BT et de puissance &lt;= à 36 kVA</t>
  </si>
  <si>
    <t>RELEVE ET FACTURATION</t>
  </si>
  <si>
    <t>En BT et de puissance comprise entre 36 et 250 kVA</t>
  </si>
  <si>
    <t>En HTA</t>
  </si>
  <si>
    <t>Nombre total des raccordements neufs réalisés</t>
  </si>
  <si>
    <t>cohérence_inventaire_synthese_01</t>
  </si>
  <si>
    <t>cohérence_inventaire_synthese_02</t>
  </si>
  <si>
    <t>cohérence_inventaire_synthese_03</t>
  </si>
  <si>
    <t>cohérence_inventaire_synthese_04</t>
  </si>
  <si>
    <t>cohérence_inventaire_synthese_05</t>
  </si>
  <si>
    <t>cohérence_inventaire_synthese_06</t>
  </si>
  <si>
    <t>lineaire_tot_hta_inv_tech</t>
  </si>
  <si>
    <t>lineaire_tot_hta_compt</t>
  </si>
  <si>
    <t>ecart_concession_tot_hta_qte</t>
  </si>
  <si>
    <t>ecart_concession_tot_hta_percent</t>
  </si>
  <si>
    <t>ecart_commune_tot_hta_qte</t>
  </si>
  <si>
    <t>ecart_commune_tot_hta_percent</t>
  </si>
  <si>
    <t>lineaire_tot_bt_inv_tech</t>
  </si>
  <si>
    <t>lineaire_tot_bt_compt</t>
  </si>
  <si>
    <t>ecart_concession_tot_bt_qte</t>
  </si>
  <si>
    <t>ecart_concession_tot_bt_percent</t>
  </si>
  <si>
    <t>ecart_commune_tot_bt_qte</t>
  </si>
  <si>
    <t>ecart_commune_tot_bt_percent</t>
  </si>
  <si>
    <t>nbr_postes_inv_tech</t>
  </si>
  <si>
    <t>postes_compt</t>
  </si>
  <si>
    <t>ecart_concession_postes_qte</t>
  </si>
  <si>
    <t>ecart_concession_postes_percent</t>
  </si>
  <si>
    <t>ecart_commune_postes_qte</t>
  </si>
  <si>
    <t>ecart_commune_postes_percent</t>
  </si>
  <si>
    <t>nbr_transfos_inv_tech</t>
  </si>
  <si>
    <t>transfos_compt</t>
  </si>
  <si>
    <t>ecart_concession_transfos_qte</t>
  </si>
  <si>
    <t>ecart_concession_transfos_percent</t>
  </si>
  <si>
    <t>ecart_commune_transfos_qte</t>
  </si>
  <si>
    <t>ecart_commune_transfos_percent</t>
  </si>
  <si>
    <t>lineaire_tot_hta_nu_inv_tech</t>
  </si>
  <si>
    <t>lineaire_tot_hta_nu_compt</t>
  </si>
  <si>
    <t>ecart_concession_tot_hta_nu_qte</t>
  </si>
  <si>
    <t>ecart_concession_tot_hta_nu_percent</t>
  </si>
  <si>
    <t>ecart_commune_tot_hta_nu_qte</t>
  </si>
  <si>
    <t>ecart_commune_tot_hta_nu_percent</t>
  </si>
  <si>
    <t>lineaire_tot_hta_torsade_inv_tech</t>
  </si>
  <si>
    <t>lineaire_tot_hta_torsade_compt</t>
  </si>
  <si>
    <t>ecart_concession_tot_hta_torsade_qte</t>
  </si>
  <si>
    <t>ecart_concession_tot_hta_torsade_percent</t>
  </si>
  <si>
    <t>ecart_commune_tot_hta_torsade_qte</t>
  </si>
  <si>
    <t>ecart_commune_tot_hta_torsade_percent</t>
  </si>
  <si>
    <t>lineaire_tot_hta_souterrain_inv_tech</t>
  </si>
  <si>
    <t>lineaire_tot_hta_souterrain_compt</t>
  </si>
  <si>
    <t>ecart_concession_tot_hta_souterrain_qte</t>
  </si>
  <si>
    <t>ecart_concession_tot_hta_souterrain_percent</t>
  </si>
  <si>
    <t>ecart_commune_tot_hta_souterrain_qte</t>
  </si>
  <si>
    <t>ecart_commune_tot_hta_souterrain_percent</t>
  </si>
  <si>
    <t>lineaire_tot_bt_nu_inv_tech</t>
  </si>
  <si>
    <t>lineaire_tot_bt_nu_compt</t>
  </si>
  <si>
    <t>ecart_concession_tot_bt_nu_qte</t>
  </si>
  <si>
    <t>ecart_concession_tot_bt_nu_percent</t>
  </si>
  <si>
    <t>ecart_commune_tot_bt_nu_qte</t>
  </si>
  <si>
    <t>ecart_commune_tot_bt_nu_percent</t>
  </si>
  <si>
    <t>lineaire_tot_bt_torsade_inv_tech</t>
  </si>
  <si>
    <t>lineaire_tot_bt_torsade_compt</t>
  </si>
  <si>
    <t>ecart_concession_tot_bt_torsade_qte</t>
  </si>
  <si>
    <t>ecart_concession_tot_bt_torsade_percent</t>
  </si>
  <si>
    <t>ecart_commune_tot_bt_torsade_qte</t>
  </si>
  <si>
    <t>ecart_commune_tot_bt_torsade_percent</t>
  </si>
  <si>
    <t>lineaire_tot_bt_souterrain_inv_tech</t>
  </si>
  <si>
    <t>lineaire_tot_bt_souterrain_compt</t>
  </si>
  <si>
    <t>ecart_concession_tot_bt_souterrain_qte</t>
  </si>
  <si>
    <t>ecart_concession_tot_bt_souterrain_percent</t>
  </si>
  <si>
    <t>ecart_commune_tot_bt_souterrain_qte</t>
  </si>
  <si>
    <t>ecart_commune_tot_bt_souterrain_percent</t>
  </si>
  <si>
    <t>lineaire_hta_nul</t>
  </si>
  <si>
    <t>lineaire_hta_btw_0_2_percent</t>
  </si>
  <si>
    <t>lineaire_hta_btw_2_5_percent</t>
  </si>
  <si>
    <t>lineaire_hta_btw_5_10_percent</t>
  </si>
  <si>
    <t>lineaire_hta_btw_10_25_percent</t>
  </si>
  <si>
    <t>lineaire_hta_btw_25_50_percent</t>
  </si>
  <si>
    <t>lineaire_hta_sup_50_percent</t>
  </si>
  <si>
    <t>total_hta</t>
  </si>
  <si>
    <t>lineaire_bt_nul</t>
  </si>
  <si>
    <t>lineaire_bt_btw_0_2_percent</t>
  </si>
  <si>
    <t>lineaire_bt_btw_2_5_percent</t>
  </si>
  <si>
    <t>lineaire_bt_btw_5_10_percent</t>
  </si>
  <si>
    <t>lineaire_bt_btw_10_25_percent</t>
  </si>
  <si>
    <t>lineaire_bt_btw_25_50_percent</t>
  </si>
  <si>
    <t>lineaire_bt_sup_50_percent</t>
  </si>
  <si>
    <t>total_bt</t>
  </si>
  <si>
    <t>lineaire_postes_nul</t>
  </si>
  <si>
    <t>lineaire_postes_btw_0_2_percent</t>
  </si>
  <si>
    <t>lineaire_postes_btw_2_5_percent</t>
  </si>
  <si>
    <t>lineaire_postes_btw_5_10_percent</t>
  </si>
  <si>
    <t>lineaire_postes_btw_10_25_percent</t>
  </si>
  <si>
    <t>lineaire_postes_btw_25_50_percent</t>
  </si>
  <si>
    <t>lineaire_postes_sup_50_percent</t>
  </si>
  <si>
    <t>total_postes</t>
  </si>
  <si>
    <t>lineaire_transfos_nul</t>
  </si>
  <si>
    <t>lineaire_transfos_btw_0_2_percent</t>
  </si>
  <si>
    <t>lineaire_transfos_btw_2_5_percent</t>
  </si>
  <si>
    <t>lineaire_transfos_btw_5_10_percent</t>
  </si>
  <si>
    <t>lineaire_transfos_btw_10_25_percent</t>
  </si>
  <si>
    <t>lineaire_transfos_btw_25_50_percent</t>
  </si>
  <si>
    <t>lineaire_transfos_sup_50_percent</t>
  </si>
  <si>
    <t>total_transfos</t>
  </si>
  <si>
    <t>lineaire_hta_nu_nul</t>
  </si>
  <si>
    <t>lineaire_hta_nu_btw_0_2_percent</t>
  </si>
  <si>
    <t>lineaire_hta_nu_btw_2_5_percent</t>
  </si>
  <si>
    <t>lineaire_hta_nu_btw_5_10_percent</t>
  </si>
  <si>
    <t>lineaire_hta_nu_btw_10_25_percent</t>
  </si>
  <si>
    <t>lineaire_hta_nu_btw_25_50_percent</t>
  </si>
  <si>
    <t>lineaire_hta_nu_sup_50_percent</t>
  </si>
  <si>
    <t>total_hta_nu</t>
  </si>
  <si>
    <t>lineaire_hta_torsade_nul</t>
  </si>
  <si>
    <t>lineaire_hta_torsade_btw_0_2_percent</t>
  </si>
  <si>
    <t>lineaire_hta_torsade_btw_2_5_percent</t>
  </si>
  <si>
    <t>lineaire_hta_torsade_btw_5_10_percent</t>
  </si>
  <si>
    <t>lineaire_hta_torsade_btw_10_25_percent</t>
  </si>
  <si>
    <t>lineaire_hta_torsade_btw_25_50_percent</t>
  </si>
  <si>
    <t>lineaire_hta_torsade_sup_50_percent</t>
  </si>
  <si>
    <t>total_hta_torsade</t>
  </si>
  <si>
    <t>lineaire_hta_souterrain_nul</t>
  </si>
  <si>
    <t>lineaire_hta_souterrain_btw_0_2_percent</t>
  </si>
  <si>
    <t>lineaire_hta_souterrain_btw_2_5_percent</t>
  </si>
  <si>
    <t>lineaire_hta_souterrain_btw_5_10_percent</t>
  </si>
  <si>
    <t>lineaire_hta_souterrain_btw_10_25_percent</t>
  </si>
  <si>
    <t>lineaire_hta_souterrain_btw_25_50_percent</t>
  </si>
  <si>
    <t>lineaire_hta_souterrain_sup_50_percent</t>
  </si>
  <si>
    <t>total_hta_souterrain</t>
  </si>
  <si>
    <t>lineaire_bt_nu_nul</t>
  </si>
  <si>
    <t>lineaire_bt_nu_btw_0_2_percent</t>
  </si>
  <si>
    <t>lineaire_bt_nu_btw_2_5_percent</t>
  </si>
  <si>
    <t>lineaire_bt_nu_btw_5_10_percent</t>
  </si>
  <si>
    <t>lineaire_bt_nu_btw_10_25_percent</t>
  </si>
  <si>
    <t>lineaire_bt_nu_btw_25_50_percent</t>
  </si>
  <si>
    <t>lineaire_bt_nu_sup_50_percent</t>
  </si>
  <si>
    <t>total_bt_nu</t>
  </si>
  <si>
    <t>lineaire_bt_torsade_nul</t>
  </si>
  <si>
    <t>lineaire_bt_torsade_btw_0_2_percent</t>
  </si>
  <si>
    <t>lineaire_bt_torsade_btw_2_5_percent</t>
  </si>
  <si>
    <t>lineaire_bt_torsade_btw_5_10_percent</t>
  </si>
  <si>
    <t>lineaire_bt_torsade_btw_10_25_percent</t>
  </si>
  <si>
    <t>lineaire_bt_torsade_btw_25_50_percent</t>
  </si>
  <si>
    <t>lineaire_bt_torsade_sup_50_percent</t>
  </si>
  <si>
    <t>total_bt_torsade</t>
  </si>
  <si>
    <t>lineaire_bt_souterrain_nul</t>
  </si>
  <si>
    <t>lineaire_bt_souterrain_btw_0_2_percent</t>
  </si>
  <si>
    <t>lineaire_bt_souterrain_btw_2_5_percent</t>
  </si>
  <si>
    <t>lineaire_bt_souterrain_btw_5_10_percent</t>
  </si>
  <si>
    <t>lineaire_bt_souterrain_btw_10_25_percent</t>
  </si>
  <si>
    <t>lineaire_bt_souterrain_btw_25_50_percent</t>
  </si>
  <si>
    <t>lineaire_bt_souterrain_sup_50_percent</t>
  </si>
  <si>
    <t>total_bt_souterrain</t>
  </si>
  <si>
    <t>CRAC</t>
  </si>
  <si>
    <t>coderelais</t>
  </si>
  <si>
    <t>table</t>
  </si>
  <si>
    <t>1000</t>
  </si>
  <si>
    <t>Tarif Bleu non résidentiel (Concession)</t>
  </si>
  <si>
    <t>Énergie facturée (en kWh)</t>
  </si>
  <si>
    <t>Nombre de clients</t>
  </si>
  <si>
    <t>Recettes (en euros)</t>
  </si>
  <si>
    <t>10100</t>
  </si>
  <si>
    <t>Tarif Bleu (Concession)</t>
  </si>
  <si>
    <t>10200</t>
  </si>
  <si>
    <t>Tarif Bleu Nombre de clients par option (Concession)</t>
  </si>
  <si>
    <t>Base</t>
  </si>
  <si>
    <t>Éclairage public</t>
  </si>
  <si>
    <t>EJP TEMPO</t>
  </si>
  <si>
    <t>HP-HC</t>
  </si>
  <si>
    <t>10300</t>
  </si>
  <si>
    <t>Tarif Bleu Énergie facturée (kWh) par option (Concession)</t>
  </si>
  <si>
    <t>10600</t>
  </si>
  <si>
    <t>Flux de clients Tarif Bleu non résidentiel (Concession)</t>
  </si>
  <si>
    <t>Nombre de clients ayant résilié leur contrat</t>
  </si>
  <si>
    <t>Nombre de clients ayant souscrit un contrat</t>
  </si>
  <si>
    <t>10700</t>
  </si>
  <si>
    <t>Satisfaction des clients résidentiels (Particuliers)*</t>
  </si>
  <si>
    <t>National</t>
  </si>
  <si>
    <t>91%</t>
  </si>
  <si>
    <t>10750</t>
  </si>
  <si>
    <t>Satisfaction des clients non résidentiels</t>
  </si>
  <si>
    <t>90%</t>
  </si>
  <si>
    <t>10800</t>
  </si>
  <si>
    <t>Satisfaction des clients Collectivités territoriales</t>
  </si>
  <si>
    <t>93%</t>
  </si>
  <si>
    <t>10850</t>
  </si>
  <si>
    <t>Satisfaction des clients Entreprises</t>
  </si>
  <si>
    <t>88%</t>
  </si>
  <si>
    <t>10900</t>
  </si>
  <si>
    <t>Visites sur le site internet « Particuliers » dEDF (National)</t>
  </si>
  <si>
    <t>Nombre de pages vues (sur l'année)</t>
  </si>
  <si>
    <t>770 824 787</t>
  </si>
  <si>
    <t>10940</t>
  </si>
  <si>
    <t>Espaces Client « Particuliers » sur edf.fr (National)</t>
  </si>
  <si>
    <t>Nombre de clients ayant un espace Client activé au 31 décembre</t>
  </si>
  <si>
    <t>12 758 875</t>
  </si>
  <si>
    <t>10970</t>
  </si>
  <si>
    <t>Appels téléphoniques des clients « Particuliers » (National)</t>
  </si>
  <si>
    <t>Nombre d'appels traités par EDF au cours de l'année</t>
  </si>
  <si>
    <t>19 806 668</t>
  </si>
  <si>
    <t>11000</t>
  </si>
  <si>
    <t>Conseils tarifaires (Concession)</t>
  </si>
  <si>
    <t>Nombre de conseils tarifaires</t>
  </si>
  <si>
    <t>11100</t>
  </si>
  <si>
    <t>Fréquence de facturation (Concession)</t>
  </si>
  <si>
    <t>Nombre de clients facturés annuellement</t>
  </si>
  <si>
    <t>Nombre de clients facturés bimestriellement</t>
  </si>
  <si>
    <t>11200</t>
  </si>
  <si>
    <t>Établissement des factures (Concession)</t>
  </si>
  <si>
    <t>Nombre de factures établies sur la base d'une téléopération sur compteur Linky</t>
  </si>
  <si>
    <t>Nombre de factures établies sur la base du relevé effectué par le client</t>
  </si>
  <si>
    <t>Nombre de factures rectificatives</t>
  </si>
  <si>
    <t>Nombre total de factures émises</t>
  </si>
  <si>
    <t>11300</t>
  </si>
  <si>
    <t>Facturation électronique (Concession)</t>
  </si>
  <si>
    <t>Nombre de clients bénéficiaires</t>
  </si>
  <si>
    <t>11320</t>
  </si>
  <si>
    <t>11340</t>
  </si>
  <si>
    <t>11360</t>
  </si>
  <si>
    <t>11400</t>
  </si>
  <si>
    <t>Accompagnement Énergie (Concession)</t>
  </si>
  <si>
    <t>11500</t>
  </si>
  <si>
    <t>Relance des clients Particuliers (Concession)</t>
  </si>
  <si>
    <t>Nombre de lettres uniques de relance envoyées</t>
  </si>
  <si>
    <t>11600</t>
  </si>
  <si>
    <t>Réductions de puissance (Concession)</t>
  </si>
  <si>
    <t>11700</t>
  </si>
  <si>
    <t>Coupures pour impayés (Concession)</t>
  </si>
  <si>
    <t>Nombre de coupures demandées par le fournisseur au gestionnaire de réseau</t>
  </si>
  <si>
    <t>Nombre de coupures effectives réalisées par le gestionnaire de réseau</t>
  </si>
  <si>
    <t>Taux de coupures effectives par rapport à celles demandées (%)</t>
  </si>
  <si>
    <t>11800</t>
  </si>
  <si>
    <t>Résiliations de contrat à linitiative du fournisseur suite à coupure (Concession)</t>
  </si>
  <si>
    <t>Nombre de résiliations</t>
  </si>
  <si>
    <t>11850</t>
  </si>
  <si>
    <t>Réalimentations au titre de la période hivernale (Concession)</t>
  </si>
  <si>
    <t>Nombre de clients dont l'alimentation est rétablie</t>
  </si>
  <si>
    <t>11900</t>
  </si>
  <si>
    <t>Réclamations écrites (Concession)</t>
  </si>
  <si>
    <t>Courrier</t>
  </si>
  <si>
    <t>Internet</t>
  </si>
  <si>
    <t>1200</t>
  </si>
  <si>
    <t>Satisfaction des clients (National)</t>
  </si>
  <si>
    <t>Clients non résidentiels</t>
  </si>
  <si>
    <t>Clients résidentiels</t>
  </si>
  <si>
    <t>12000</t>
  </si>
  <si>
    <t>Réponse aux réclamations écrites (%)</t>
  </si>
  <si>
    <t>12250</t>
  </si>
  <si>
    <t>Chèques énergie (Concession)</t>
  </si>
  <si>
    <t>12400</t>
  </si>
  <si>
    <t>Participation EDF au FSL (en )</t>
  </si>
  <si>
    <t>Département</t>
  </si>
  <si>
    <t>1250</t>
  </si>
  <si>
    <t>Réponse aux réclamations écrites* des clients particuliers (Concession)</t>
  </si>
  <si>
    <t>Taux de réponse d'EDF sous 30 jours</t>
  </si>
  <si>
    <t>12500</t>
  </si>
  <si>
    <t>Tarif Bleu résidentiel (Concession)</t>
  </si>
  <si>
    <t>12600</t>
  </si>
  <si>
    <t>12700</t>
  </si>
  <si>
    <t>Coûts commerciaux (en k) (National)</t>
  </si>
  <si>
    <t>Tarif Bleu non résidentiel</t>
  </si>
  <si>
    <t>186 833</t>
  </si>
  <si>
    <t>Tarif Bleu résidentiel</t>
  </si>
  <si>
    <t>1 329 879</t>
  </si>
  <si>
    <t>Tarif Bleu Total</t>
  </si>
  <si>
    <t>1 516 712</t>
  </si>
  <si>
    <t>12800</t>
  </si>
  <si>
    <t>Clés de répartition Tarif Bleu résidentiel (en ) (Concession)</t>
  </si>
  <si>
    <t>Au prorata du nombre de clients</t>
  </si>
  <si>
    <t>Au prorata du volume facturé</t>
  </si>
  <si>
    <t>12900</t>
  </si>
  <si>
    <t>Clés de répartition Tarif Bleu non résidentiel (en ) (Concession)</t>
  </si>
  <si>
    <t>1300</t>
  </si>
  <si>
    <t>Travaux réalisés en techniques discrètes sur réseaux HTA et BT (en %) (Concession)</t>
  </si>
  <si>
    <t>En agglomération</t>
  </si>
  <si>
    <t>En zone classée</t>
  </si>
  <si>
    <t>100%</t>
  </si>
  <si>
    <t>Hors agglomération</t>
  </si>
  <si>
    <t>13000</t>
  </si>
  <si>
    <t>Coûts commerciaux (en k) (Concession)</t>
  </si>
  <si>
    <t>13100</t>
  </si>
  <si>
    <t>Tarif Jaune (Concession)</t>
  </si>
  <si>
    <t>13300</t>
  </si>
  <si>
    <t>Tarif Vert (Concession)</t>
  </si>
  <si>
    <t>1400</t>
  </si>
  <si>
    <t>Durée moyenne annuelle de coupure (en min) (Concession)</t>
  </si>
  <si>
    <t>Dont incident sur le réseau de distribution publique</t>
  </si>
  <si>
    <t>Dont origine RTE (incident sur le réseau de transport)</t>
  </si>
  <si>
    <t>0,0</t>
  </si>
  <si>
    <t>Dont travaux sur le réseau BT</t>
  </si>
  <si>
    <t>Dont travaux sur le réseau HTA</t>
  </si>
  <si>
    <t>Toutes causes confondues (critère B Concession)(1)</t>
  </si>
  <si>
    <t>Toutes causes confondues hors incidents exceptionnels (critère B HIX)(2)</t>
  </si>
  <si>
    <t>1500</t>
  </si>
  <si>
    <t>Nombre de clients BT (Concession)</t>
  </si>
  <si>
    <t>Affectés par plus de 6 coupures longues (&gt; à 3 min), toutes causes confondues</t>
  </si>
  <si>
    <t>1600</t>
  </si>
  <si>
    <t>Clients BT mal alimentés (Concession)</t>
  </si>
  <si>
    <t>Nombre de clients BT dont la tension d'alimentation est inférieure au seuil minimal de tension admissible</t>
  </si>
  <si>
    <t>Taux de clients BT mal alimentés (CMA) sur le territoire de la concession (en %)</t>
  </si>
  <si>
    <t>1700</t>
  </si>
  <si>
    <t>Investissements Enedis (en k) (Concession)</t>
  </si>
  <si>
    <t>20</t>
  </si>
  <si>
    <t>1900</t>
  </si>
  <si>
    <t>Accessibilité de laccueil hors dépannage (en %) (Direction Régionale)</t>
  </si>
  <si>
    <t>2000</t>
  </si>
  <si>
    <t>Accessibilité des Accueils Dépannage Électricité</t>
  </si>
  <si>
    <t>Nombre d'appels donnant effectivement lieu à un dépannage</t>
  </si>
  <si>
    <t>Nombre d'appels reçus par l'Accueil Dépannage Électricité</t>
  </si>
  <si>
    <t>Taux d'accessibilité de l'Accueil Dépannage Électricité (en %)</t>
  </si>
  <si>
    <t>2100</t>
  </si>
  <si>
    <t>Indicateurs de satisfaction (en %)</t>
  </si>
  <si>
    <t>Clients « Entreprises » (&gt; à 36 kVA) C1-C4 (Concession) Résultat local</t>
  </si>
  <si>
    <t>Clients « Entreprises » (&gt; à 36 kVA) C1-C4 Résultat national</t>
  </si>
  <si>
    <t>87,5%</t>
  </si>
  <si>
    <t>Clients « Particuliers » (Concession) Résultat local</t>
  </si>
  <si>
    <t>Clients « Particuliers » Résultat national</t>
  </si>
  <si>
    <t>89,4%</t>
  </si>
  <si>
    <t>Clients « Professionnels » (&lt;= à 36 kVA) (Concession) Résultat local</t>
  </si>
  <si>
    <t>Clients « Professionnels » (&lt;= à 36 kVA) Résultat national</t>
  </si>
  <si>
    <t>86,7%</t>
  </si>
  <si>
    <t>2200</t>
  </si>
  <si>
    <t>Indicateurs de satisfaction : raccordements (en %)</t>
  </si>
  <si>
    <t>87,4%</t>
  </si>
  <si>
    <t>86,2%</t>
  </si>
  <si>
    <t>85,1%</t>
  </si>
  <si>
    <t>2270</t>
  </si>
  <si>
    <t>Indicateurs de satisfaction : qualité de fourniture (en %)</t>
  </si>
  <si>
    <t>Clients « Entreprises » (&gt; à 36 kVA) C1-C4 Satisfaction maille DR</t>
  </si>
  <si>
    <t>Clients « Entreprises » (&gt; à 36 kVA) C1-C4 Satisfaction maille nationale</t>
  </si>
  <si>
    <t>92,7%</t>
  </si>
  <si>
    <t>Clients « Particuliers » Satisfaction maille DR</t>
  </si>
  <si>
    <t>Clients « Particuliers » Satisfaction maille nationale</t>
  </si>
  <si>
    <t>92,4%</t>
  </si>
  <si>
    <t>Clients « Professionnels » (&lt;= à 36 kVA) Satisfaction maille DR</t>
  </si>
  <si>
    <t>Clients « Professionnels » (&lt;= à 36 kVA) Satisfaction maille nationale</t>
  </si>
  <si>
    <t>93,3%</t>
  </si>
  <si>
    <t>2300</t>
  </si>
  <si>
    <t>Réponse aux réclamations (Concession)</t>
  </si>
  <si>
    <t>2400</t>
  </si>
  <si>
    <t>Répartition des réclamations par type (Concession)</t>
  </si>
  <si>
    <t>Interventions techniques</t>
  </si>
  <si>
    <t>Qualité de la fourniture</t>
  </si>
  <si>
    <t>2500</t>
  </si>
  <si>
    <t>Compteurs Linky (Concession)</t>
  </si>
  <si>
    <t>Nombre de communes concernées par le déploiement en masse</t>
  </si>
  <si>
    <t>Nombre de PDL équipés d'un compteur Linky</t>
  </si>
  <si>
    <t>Nombre de PDL ouverts à tous les services Linky</t>
  </si>
  <si>
    <t>Nombre de PDL ouverts à tous les services Linky associés à un compte client</t>
  </si>
  <si>
    <t>Taux de PDL équipés d'un compteur Linky</t>
  </si>
  <si>
    <t>2700</t>
  </si>
  <si>
    <t>Produits dexploitation détaillés (en k) (Concession)</t>
  </si>
  <si>
    <t>Dont clients BT ayant une puissance souscrite &lt;= 36 kVA</t>
  </si>
  <si>
    <t>300</t>
  </si>
  <si>
    <t>2750</t>
  </si>
  <si>
    <t>Charges dexploitation détaillées (en k) (Concession)</t>
  </si>
  <si>
    <t>2760</t>
  </si>
  <si>
    <t>Total des produits dexploitation - total des charges dexploitation (en k) (Concession)</t>
  </si>
  <si>
    <t>Montant</t>
  </si>
  <si>
    <t>2800</t>
  </si>
  <si>
    <t>Contribution à léquilibre (en k) (Concession)</t>
  </si>
  <si>
    <t>Charge supplémentaire</t>
  </si>
  <si>
    <t>Produit supplémentaire</t>
  </si>
  <si>
    <t>Total des produits - total des charges y compris contribution à l'équilibre (niveau moyen)</t>
  </si>
  <si>
    <t>Total des produits d'exploitation - total des charges d'exploitation (pour rappel)</t>
  </si>
  <si>
    <t>2950</t>
  </si>
  <si>
    <t>Produits à répartir</t>
  </si>
  <si>
    <t>Autres produits divers Clé de répartition principale des montants répartis</t>
  </si>
  <si>
    <t>Autres produits divers Montant affecté directement à la concession (keuros)</t>
  </si>
  <si>
    <t>Autres produits divers Montant réparti (keuros)</t>
  </si>
  <si>
    <t>Autres produits divers Valeur de la clé principale appliquée pour la répartition (en %)</t>
  </si>
  <si>
    <t>Autres recettes Clé de répartition principale des montants répartis</t>
  </si>
  <si>
    <t>Autres recettes Montant affecté directement à la concession (keuros)</t>
  </si>
  <si>
    <t>233</t>
  </si>
  <si>
    <t>Autres recettes Montant réparti (keuros)</t>
  </si>
  <si>
    <t>Autres recettes Valeur de la clé principale appliquée pour la répartition (en %)</t>
  </si>
  <si>
    <t>Dont autres types de reprises Clé de répartition principale des montants répartis</t>
  </si>
  <si>
    <t>Dont autres types de reprises Montant affecté directement à la concession (keuros)</t>
  </si>
  <si>
    <t>Dont autres types de reprises Montant réparti (keuros)</t>
  </si>
  <si>
    <t>Dont autres types de reprises Valeur de la clé principale appliquée pour la répartition (en %)</t>
  </si>
  <si>
    <t>Dont reprises d'amortissements de financements du concédant Clé de répartition principale des montants répartis</t>
  </si>
  <si>
    <t>Dont reprises d'amortissements de financements du concédant Montant affecté directement à la concession (keuros)</t>
  </si>
  <si>
    <t>Dont reprises d'amortissements de financements du concédant Montant réparti (keuros)</t>
  </si>
  <si>
    <t>Dont reprises d'amortissements de financements du concédant Valeur de la clé principale appliquée pour la répartition (en %)</t>
  </si>
  <si>
    <t>Dont reprises d'autres catégories de provisions Clé de répartition principale des montants répartis</t>
  </si>
  <si>
    <t>Dont reprises d'autres catégories de provisions Montant affecté directement à la concession (keuros)</t>
  </si>
  <si>
    <t>Dont reprises d'autres catégories de provisions Montant réparti (keuros)</t>
  </si>
  <si>
    <t>Dont reprises d'autres catégories de provisions Valeur de la clé principale appliquée pour la répartition (en %)</t>
  </si>
  <si>
    <t>Dont reprises de provisions pour renouvellement Clé de répartition principale des montants répartis</t>
  </si>
  <si>
    <t>Dont reprises de provisions pour renouvellement Montant affecté directement à la concession (keuros)</t>
  </si>
  <si>
    <t>Dont reprises de provisions pour renouvellement Montant réparti (keuros)</t>
  </si>
  <si>
    <t>Dont reprises de provisions pour renouvellement Valeur de la clé principale appliquée pour la répartition (en %)</t>
  </si>
  <si>
    <t>Prestations Clé de répartition principale des montants répartis</t>
  </si>
  <si>
    <t>Au prorata du localisé</t>
  </si>
  <si>
    <t>Prestations Montant affecté directement à la concession (keuros)</t>
  </si>
  <si>
    <t>Prestations Montant réparti (keuros)</t>
  </si>
  <si>
    <t>Prestations Valeur de la clé principale appliquée pour la répartition (en %)</t>
  </si>
  <si>
    <t>Production stockée et immobilisée Clé de répartition principale des montants répartis</t>
  </si>
  <si>
    <t>Production stockée et immobilisée Montant affecté directement à la concession (keuros)</t>
  </si>
  <si>
    <t>Production stockée et immobilisée Montant réparti (keuros)</t>
  </si>
  <si>
    <t>Production stockée et immobilisée Valeur de la clé principale appliquée pour la répartition (en %)</t>
  </si>
  <si>
    <t>Raccordements Clé de répartition principale des montants répartis</t>
  </si>
  <si>
    <t>Raccordements Montant affecté directement à la concession (keuros)</t>
  </si>
  <si>
    <t>Raccordements Montant réparti (keuros)</t>
  </si>
  <si>
    <t>Raccordements Valeur de la clé principale appliquée pour la répartition (en %)</t>
  </si>
  <si>
    <t>Recettes d'acheminement Clé de répartition principale des montants répartis</t>
  </si>
  <si>
    <t>Recettes d'acheminement Montant affecté directement à la concession (keuros)</t>
  </si>
  <si>
    <t>Recettes d'acheminement Montant réparti (keuros)</t>
  </si>
  <si>
    <t>Recettes d'acheminement Valeur de la clé principale appliquée pour la répartition (en %)</t>
  </si>
  <si>
    <t>Reprise sur amortissements et provisions Clé de répartition principale des montants répartis</t>
  </si>
  <si>
    <t>Reprise sur amortissements et provisions Montant affecté directement à la concession (keuros)</t>
  </si>
  <si>
    <t>807</t>
  </si>
  <si>
    <t>Reprise sur amortissements et provisions Montant réparti (keuros)</t>
  </si>
  <si>
    <t>Reprise sur amortissements et provisions Valeur de la clé principale appliquée pour la répartition (en %)</t>
  </si>
  <si>
    <t>Installations de production (Concession)</t>
  </si>
  <si>
    <t>Nombre.1 Autres</t>
  </si>
  <si>
    <t>Nombre.1 Éolien</t>
  </si>
  <si>
    <t>Nombre.1 Hydraulique</t>
  </si>
  <si>
    <t>Nombre.1 Photovoltaïque</t>
  </si>
  <si>
    <t>Nombre.1 Total</t>
  </si>
  <si>
    <t>Puissance raccordée.1 Autres</t>
  </si>
  <si>
    <t>Puissance raccordée.1 Éolien</t>
  </si>
  <si>
    <t>Puissance raccordée.1 Hydraulique</t>
  </si>
  <si>
    <t>Puissance raccordée.1 Photovoltaïque</t>
  </si>
  <si>
    <t>Puissance raccordée.1 Total</t>
  </si>
  <si>
    <t>3000</t>
  </si>
  <si>
    <t>Charges à répartir</t>
  </si>
  <si>
    <t>Accès réseau amont Clé de répartition principale des montants répartis</t>
  </si>
  <si>
    <t>Au prorata des consommations</t>
  </si>
  <si>
    <t>Accès réseau amont Montant affecté directement à la concession (keuros)</t>
  </si>
  <si>
    <t>Accès réseau amont Montant réparti (keuros)</t>
  </si>
  <si>
    <t>Accès réseau amont Valeur de la clé principale appliquée pour la répartition (en %)</t>
  </si>
  <si>
    <t>Achats d'énergie Clé de répartition principale des montants répartis</t>
  </si>
  <si>
    <t>Achats d'énergie Montant affecté directement à la concession (keuros)</t>
  </si>
  <si>
    <t>Achats d'énergie Montant réparti (keuros)</t>
  </si>
  <si>
    <t>Achats d'énergie Valeur de la clé principale appliquée pour la répartition (en %)</t>
  </si>
  <si>
    <t>Autres achats Clé de répartition principale des montants répartis</t>
  </si>
  <si>
    <t>Autres achats Montant affecté directement à la concession (keuros)</t>
  </si>
  <si>
    <t>Autres achats Montant réparti (keuros)</t>
  </si>
  <si>
    <t>Autres achats Valeur de la clé principale appliquée pour la répartition (en %)</t>
  </si>
  <si>
    <t>Autres charges Clé de répartition principale des montants répartis</t>
  </si>
  <si>
    <t>Autres charges Montant affecté directement à la concession (keuros)</t>
  </si>
  <si>
    <t>Autres charges Montant réparti (keuros)</t>
  </si>
  <si>
    <t>Autres charges Valeur de la clé principale appliquée pour la répartition (en %)</t>
  </si>
  <si>
    <t>Autres dotations d'exploitation Clé de répartition principale des montants répartis</t>
  </si>
  <si>
    <t>Autres dotations d'exploitation Montant affecté directement à la concession (keuros)</t>
  </si>
  <si>
    <t>Autres dotations d'exploitation Montant réparti (keuros)</t>
  </si>
  <si>
    <t>Autres dotations d'exploitation Valeur de la clé principale appliquée pour la répartition (en %)</t>
  </si>
  <si>
    <t>Autres impôts et taxes Clé de répartition principale des montants répartis</t>
  </si>
  <si>
    <t>Autres impôts et taxes Montant affecté directement à la concession (keuros)</t>
  </si>
  <si>
    <t>Autres impôts et taxes Montant réparti (keuros)</t>
  </si>
  <si>
    <t>Autres impôts et taxes Valeur de la clé principale appliquée pour la répartition (en %)</t>
  </si>
  <si>
    <t>Bâtiments Clé de répartition principale des montants répartis</t>
  </si>
  <si>
    <t>Bâtiments Montant affecté directement à la concession (keuros)</t>
  </si>
  <si>
    <t>Bâtiments Montant réparti (keuros)</t>
  </si>
  <si>
    <t>Bâtiments Valeur de la clé principale appliquée pour la répartition (en %)</t>
  </si>
  <si>
    <t>Charges de personnel Clé de répartition principale des montants répartis</t>
  </si>
  <si>
    <t>Charges de personnel Montant affecté directement à la concession (keuros)</t>
  </si>
  <si>
    <t>Charges de personnel Montant réparti (keuros)</t>
  </si>
  <si>
    <t>Charges de personnel Valeur de la clé principale appliquée pour la répartition (en %)</t>
  </si>
  <si>
    <t>Contribution au CAS-FACÉ Clé de répartition principale des montants répartis</t>
  </si>
  <si>
    <t>Modalités de calcul du montant des contributions des gestionnaires de réseau au CAS-FACÉ</t>
  </si>
  <si>
    <t>Contribution au CAS-FACÉ Montant affecté directement à la concession (keuros)</t>
  </si>
  <si>
    <t>Contribution au CAS-FACÉ Montant réparti (keuros)</t>
  </si>
  <si>
    <t>Contribution au CAS-FACÉ Valeur de la clé principale appliquée pour la répartition (en %)</t>
  </si>
  <si>
    <t>Dont amortissement des financements de l'autorité concédante et des tiers Clé de répartition principale des montants répartis</t>
  </si>
  <si>
    <t>Dont amortissement des financements de l'autorité concédante et des tiers Montant affecté directement à la concession (keuros)</t>
  </si>
  <si>
    <t>Dont amortissement des financements de l'autorité concédante et des tiers Montant réparti (keuros)</t>
  </si>
  <si>
    <t>Dont amortissement des financements de l'autorité concédante et des tiers Valeur de la clé principale appliquée pour la répartition (en %)</t>
  </si>
  <si>
    <t>Dont amortissement des financements du concessionnaire Clé de répartition principale des montants répartis</t>
  </si>
  <si>
    <t>Dont amortissement des financements du concessionnaire Montant affecté directement à la concession (keuros)</t>
  </si>
  <si>
    <t>Dont amortissement des financements du concessionnaire Montant réparti (keuros)</t>
  </si>
  <si>
    <t>Dont amortissement des financements du concessionnaire Valeur de la clé principale appliquée pour la répartition (en %)</t>
  </si>
  <si>
    <t>Dont autres amortissements Clé de répartition principale des montants répartis</t>
  </si>
  <si>
    <t>Dont autres amortissements Montant affecté directement à la concession (keuros)</t>
  </si>
  <si>
    <t>Dont autres amortissements Montant réparti (keuros)</t>
  </si>
  <si>
    <t>Dont autres amortissements Valeur de la clé principale appliquée pour la répartition (en %)</t>
  </si>
  <si>
    <t>Dotation aux amortissements DP Clé de répartition principale des montants répartis</t>
  </si>
  <si>
    <t>Dotation aux amortissements DP Montant affecté directement à la concession (keuros)</t>
  </si>
  <si>
    <t>Dotation aux amortissements DP Montant réparti (keuros)</t>
  </si>
  <si>
    <t>Dotation aux amortissements DP Valeur de la clé principale appliquée pour la répartition (en %)</t>
  </si>
  <si>
    <t>Dotation aux provisions pour renouvellement Clé de répartition principale des montants répartis</t>
  </si>
  <si>
    <t>Dotation aux provisions pour renouvellement Montant affecté directement à la concession (keuros)</t>
  </si>
  <si>
    <t>Dotation aux provisions pour renouvellement Montant réparti (keuros)</t>
  </si>
  <si>
    <t>Dotation aux provisions pour renouvellement Valeur de la clé principale appliquée pour la répartition (en %)</t>
  </si>
  <si>
    <t>Informatique et télécommunications Clé de répartition principale des montants répartis</t>
  </si>
  <si>
    <t>Informatique et télécommunications Montant affecté directement à la concession (keuros)</t>
  </si>
  <si>
    <t>Informatique et télécommunications Montant réparti (keuros)</t>
  </si>
  <si>
    <t>Informatique et télécommunications Valeur de la clé principale appliquée pour la répartition (en %)</t>
  </si>
  <si>
    <t>Matériel Clé de répartition principale des montants répartis</t>
  </si>
  <si>
    <t>Matériel Montant affecté directement à la concession (keuros)</t>
  </si>
  <si>
    <t>Matériel Montant réparti (keuros)</t>
  </si>
  <si>
    <t>Matériel Valeur de la clé principale appliquée pour la répartition (en %)</t>
  </si>
  <si>
    <t>Redevances de concession Clé de répartition principale des montants répartis</t>
  </si>
  <si>
    <t>Non applicable</t>
  </si>
  <si>
    <t>Redevances de concession Montant affecté directement à la concession (keuros)</t>
  </si>
  <si>
    <t>Redevances de concession Montant réparti (keuros)</t>
  </si>
  <si>
    <t>Redevances de concession Valeur de la clé principale appliquée pour la répartition (en %)</t>
  </si>
  <si>
    <t>-</t>
  </si>
  <si>
    <t>Tertiaire et prestations Clé de répartition principale des montants répartis</t>
  </si>
  <si>
    <t>Tertiaire et prestations Montant affecté directement à la concession (keuros)</t>
  </si>
  <si>
    <t>Tertiaire et prestations Montant réparti (keuros)</t>
  </si>
  <si>
    <t>Tertiaire et prestations Valeur de la clé principale appliquée pour la répartition (en %)</t>
  </si>
  <si>
    <t>Travaux Clé de répartition principale des montants répartis</t>
  </si>
  <si>
    <t>Travaux Montant affecté directement à la concession (keuros)</t>
  </si>
  <si>
    <t>Travaux Montant réparti (keuros)</t>
  </si>
  <si>
    <t>Travaux Valeur de la clé principale appliquée pour la répartition (en %)</t>
  </si>
  <si>
    <t>3050</t>
  </si>
  <si>
    <t>Eléments exceptionnels (en k) (Concession)</t>
  </si>
  <si>
    <t>Produits - charges</t>
  </si>
  <si>
    <t>3100</t>
  </si>
  <si>
    <t>Valeur des ouvrages concédés (en k)</t>
  </si>
  <si>
    <t>Autres biens localisés Amortissements</t>
  </si>
  <si>
    <t>Autres biens localisés Provisions de renouvellement</t>
  </si>
  <si>
    <t>Autres biens localisés Valeur brute comptable</t>
  </si>
  <si>
    <t>Autres biens localisés Valeur de remplacement</t>
  </si>
  <si>
    <t>Autres biens localisés Valeur nette comptable</t>
  </si>
  <si>
    <t>Autres biens non localisés Amortissements</t>
  </si>
  <si>
    <t>Autres biens non localisés Provisions de renouvellement</t>
  </si>
  <si>
    <t>Autres biens non localisés Valeur brute comptable</t>
  </si>
  <si>
    <t>Autres biens non localisés Valeur de remplacement</t>
  </si>
  <si>
    <t>Autres biens non localisés Valeur nette comptable</t>
  </si>
  <si>
    <t>Canalisations BT Amortissements</t>
  </si>
  <si>
    <t>Canalisations BT Dont aérien Amortissements</t>
  </si>
  <si>
    <t>Canalisations BT Dont aérien Provisions de renouvellement</t>
  </si>
  <si>
    <t>Canalisations BT Dont aérien Valeur brute comptable</t>
  </si>
  <si>
    <t>Canalisations BT Dont aérien Valeur de remplacement</t>
  </si>
  <si>
    <t>Canalisations BT Dont aérien Valeur nette comptable</t>
  </si>
  <si>
    <t>Canalisations BT Dont souterrain Amortissements</t>
  </si>
  <si>
    <t>Canalisations BT Dont souterrain Provisions de renouvellement</t>
  </si>
  <si>
    <t>Canalisations BT Dont souterrain Valeur brute comptable</t>
  </si>
  <si>
    <t>Canalisations BT Dont souterrain Valeur de remplacement</t>
  </si>
  <si>
    <t>Canalisations BT Dont souterrain Valeur nette comptable</t>
  </si>
  <si>
    <t>Canalisations BT Provisions de renouvellement</t>
  </si>
  <si>
    <t>Canalisations BT Valeur brute comptable</t>
  </si>
  <si>
    <t>Canalisations BT Valeur de remplacement</t>
  </si>
  <si>
    <t>Canalisations BT Valeur nette comptable</t>
  </si>
  <si>
    <t>Canalisations HTA Amortissements</t>
  </si>
  <si>
    <t>Canalisations HTA Dont aérien Amortissements</t>
  </si>
  <si>
    <t>Canalisations HTA Dont aérien Provisions de renouvellement</t>
  </si>
  <si>
    <t>Canalisations HTA Dont aérien Valeur brute comptable</t>
  </si>
  <si>
    <t>Canalisations HTA Dont aérien Valeur de remplacement</t>
  </si>
  <si>
    <t>Canalisations HTA Dont aérien Valeur nette comptable</t>
  </si>
  <si>
    <t>Canalisations HTA Dont souterrain Amortissements</t>
  </si>
  <si>
    <t>Canalisations HTA Dont souterrain Provisions de renouvellement</t>
  </si>
  <si>
    <t>Canalisations HTA Dont souterrain Valeur brute comptable</t>
  </si>
  <si>
    <t>Canalisations HTA Dont souterrain Valeur de remplacement</t>
  </si>
  <si>
    <t>Canalisations HTA Dont souterrain Valeur nette comptable</t>
  </si>
  <si>
    <t>Canalisations HTA Provisions de renouvellement</t>
  </si>
  <si>
    <t>Canalisations HTA Valeur brute comptable</t>
  </si>
  <si>
    <t>Canalisations HTA Valeur de remplacement</t>
  </si>
  <si>
    <t>Canalisations HTA Valeur nette comptable</t>
  </si>
  <si>
    <t>Comptage Amortissements</t>
  </si>
  <si>
    <t>Comptage non localisés Amortissements</t>
  </si>
  <si>
    <t>Comptage non localisés Provisions de renouvellement</t>
  </si>
  <si>
    <t>Comptage non localisés Valeur brute comptable</t>
  </si>
  <si>
    <t>Comptage non localisés Valeur de remplacement</t>
  </si>
  <si>
    <t>Comptage non localisés Valeur nette comptable</t>
  </si>
  <si>
    <t>Comptage Provisions de renouvellement</t>
  </si>
  <si>
    <t>Comptage Valeur brute comptable</t>
  </si>
  <si>
    <t>Comptage Valeur de remplacement</t>
  </si>
  <si>
    <t>Comptage Valeur nette comptable</t>
  </si>
  <si>
    <t>Dont compteurs Linky Amortissements</t>
  </si>
  <si>
    <t>Dont compteurs Linky Provisions de renouvellement</t>
  </si>
  <si>
    <t>Dont compteurs Linky Valeur brute comptable</t>
  </si>
  <si>
    <t>Dont compteurs Linky Valeur de remplacement</t>
  </si>
  <si>
    <t>Dont compteurs Linky Valeur nette comptable</t>
  </si>
  <si>
    <t>Dont compteurs marché d'affaires Amortissements</t>
  </si>
  <si>
    <t>Dont compteurs marché d'affaires Provisions de renouvellement</t>
  </si>
  <si>
    <t>Dont compteurs marché d'affaires Valeur brute comptable</t>
  </si>
  <si>
    <t>Dont compteurs marché d'affaires Valeur de remplacement</t>
  </si>
  <si>
    <t>Dont compteurs marché d'affaires Valeur nette comptable</t>
  </si>
  <si>
    <t>Ouvrages collectifs de branchement Amortissements</t>
  </si>
  <si>
    <t>Ouvrages collectifs de branchement Provisions de renouvellement</t>
  </si>
  <si>
    <t>Ouvrages collectifs de branchement Valeur brute comptable</t>
  </si>
  <si>
    <t>Ouvrages collectifs de branchement Valeur de remplacement</t>
  </si>
  <si>
    <t>Ouvrages collectifs de branchement Valeur nette comptable</t>
  </si>
  <si>
    <t>Ouvrages de branchement non localisés Amortissements</t>
  </si>
  <si>
    <t>Ouvrages de branchement non localisés Provisions de renouvellement</t>
  </si>
  <si>
    <t>Ouvrages de branchement non localisés Valeur brute comptable</t>
  </si>
  <si>
    <t>Ouvrages de branchement non localisés Valeur de remplacement</t>
  </si>
  <si>
    <t>Ouvrages de branchement non localisés Valeur nette comptable</t>
  </si>
  <si>
    <t>Postes HTA-BT Amortissements</t>
  </si>
  <si>
    <t>Postes HTA-BT Provisions de renouvellement</t>
  </si>
  <si>
    <t>Postes HTA-BT Valeur brute comptable</t>
  </si>
  <si>
    <t>Postes HTA-BT Valeur de remplacement</t>
  </si>
  <si>
    <t>Postes HTA-BT Valeur nette comptable</t>
  </si>
  <si>
    <t>Total Amortissements</t>
  </si>
  <si>
    <t>Total Provisions de renouvellement</t>
  </si>
  <si>
    <t>Total Valeur brute comptable</t>
  </si>
  <si>
    <t>Total Valeur de remplacement</t>
  </si>
  <si>
    <t>Total Valeur nette comptable</t>
  </si>
  <si>
    <t>Transformateurs HTA-BT Amortissements</t>
  </si>
  <si>
    <t>Transformateurs HTA-BT Provisions de renouvellement</t>
  </si>
  <si>
    <t>Transformateurs HTA-BT Valeur brute comptable</t>
  </si>
  <si>
    <t>Transformateurs HTA-BT Valeur de remplacement</t>
  </si>
  <si>
    <t>Transformateurs HTA-BT Valeur nette comptable</t>
  </si>
  <si>
    <t>3400</t>
  </si>
  <si>
    <t>Droits sur les ouvrages existants (en k) (Concession)</t>
  </si>
  <si>
    <t>Contre-valeur des biens concédés (comptes 22941x et 22945x)</t>
  </si>
  <si>
    <t>Valeur nette comptable des financements Enedis (comptes 22955x)</t>
  </si>
  <si>
    <t>3500</t>
  </si>
  <si>
    <t>Droits sur les ouvrages futurs (en k) (Concession)</t>
  </si>
  <si>
    <t>Amortissement du financement du concédant (compte 229541)</t>
  </si>
  <si>
    <t>3600</t>
  </si>
  <si>
    <t>Montant des droits du concédant (en k) (Concession)</t>
  </si>
  <si>
    <t>Somme des comptes 22941x, 22945x, 229541 et 22955x</t>
  </si>
  <si>
    <t>3700</t>
  </si>
  <si>
    <t>Provision pour renouvellement (en k) (Concession)</t>
  </si>
  <si>
    <t>Provision</t>
  </si>
  <si>
    <t>3910</t>
  </si>
  <si>
    <t>Montant de la part R1 (en ) (Concession)</t>
  </si>
  <si>
    <t>Dont part R1 versée au titre des années antérieures</t>
  </si>
  <si>
    <t>Part R1 versée</t>
  </si>
  <si>
    <t>400</t>
  </si>
  <si>
    <t>Total des clients (Concession)</t>
  </si>
  <si>
    <t>Énergie acheminée (en kWh)</t>
  </si>
  <si>
    <t>Recettes d'acheminement (en euros)</t>
  </si>
  <si>
    <t>4100</t>
  </si>
  <si>
    <t>Montant de la participation (en ) (Concession)</t>
  </si>
  <si>
    <t>Article 8 « Travaux environnement »</t>
  </si>
  <si>
    <t>4200</t>
  </si>
  <si>
    <t>Réseau HTA (en m) (Concession)</t>
  </si>
  <si>
    <t>Réseau aérien nu</t>
  </si>
  <si>
    <t>Réseau souterrain</t>
  </si>
  <si>
    <t>Réseau torsadé</t>
  </si>
  <si>
    <t>Réseau total aérien</t>
  </si>
  <si>
    <t>Taux d'enfouissement HTA</t>
  </si>
  <si>
    <t>4300</t>
  </si>
  <si>
    <t>Postes HTA-BT (en nb) (Concession)</t>
  </si>
  <si>
    <t>Dont autres postes</t>
  </si>
  <si>
    <t>Dont postes cabines basses</t>
  </si>
  <si>
    <t>Dont postes cabines hautes</t>
  </si>
  <si>
    <t>Postes situés dans une commune rurale</t>
  </si>
  <si>
    <t>Postes situés dans une commune urbaine</t>
  </si>
  <si>
    <t>Total postes HTA-BT</t>
  </si>
  <si>
    <t>4400</t>
  </si>
  <si>
    <t>Réseau BT (en m) (Concession)</t>
  </si>
  <si>
    <t>Dont fils nus de faibles sections</t>
  </si>
  <si>
    <t>Taux d'enfouissement BT</t>
  </si>
  <si>
    <t>4500</t>
  </si>
  <si>
    <t>Départs alimentant la concession (Concession)</t>
  </si>
  <si>
    <t>Longueur moyenne des 10 % des départs les plus longs (km)</t>
  </si>
  <si>
    <t>Nombre moyen d'OMT par départ HTA aérien</t>
  </si>
  <si>
    <t>4600</t>
  </si>
  <si>
    <t>Ouvrages par tranche dâge (en km ou en nb de postes) (Concession)</t>
  </si>
  <si>
    <t>&lt; 10 ans Postes HTA-BT</t>
  </si>
  <si>
    <t>&lt; 10 ans Réseau BT</t>
  </si>
  <si>
    <t>&lt; 10 ans Réseau HTA</t>
  </si>
  <si>
    <t>&gt;= 10 ans et &lt; 20 ans Postes HTA-BT</t>
  </si>
  <si>
    <t>&gt;= 10 ans et &lt; 20 ans Réseau BT</t>
  </si>
  <si>
    <t>&gt;= 10 ans et &lt; 20 ans Réseau HTA</t>
  </si>
  <si>
    <t>&gt;= 20 ans et &lt; 30 ans Postes HTA-BT</t>
  </si>
  <si>
    <t>&gt;= 20 ans et &lt; 30 ans Réseau BT</t>
  </si>
  <si>
    <t>&gt;= 20 ans et &lt; 30 ans Réseau HTA</t>
  </si>
  <si>
    <t>&gt;= 30 ans et &lt; 40 ans Postes HTA-BT</t>
  </si>
  <si>
    <t>&gt;= 30 ans et &lt; 40 ans Réseau BT</t>
  </si>
  <si>
    <t>&gt;= 30 ans et &lt; 40 ans Réseau HTA</t>
  </si>
  <si>
    <t>&gt;= 40 ans Postes HTA-BT</t>
  </si>
  <si>
    <t>&gt;= 40 ans Réseau BT</t>
  </si>
  <si>
    <t>&gt;= 40 ans Réseau HTA</t>
  </si>
  <si>
    <t>4700</t>
  </si>
  <si>
    <t>Canalisations HTA mises en service (en m) (Concession)</t>
  </si>
  <si>
    <t>Dont pour information</t>
  </si>
  <si>
    <t xml:space="preserve"> </t>
  </si>
  <si>
    <t>4800</t>
  </si>
  <si>
    <t>Canalisations BT mises en service (en m) (Concession)</t>
  </si>
  <si>
    <t>4900</t>
  </si>
  <si>
    <t>Coupures liées à des incidents (Concession)</t>
  </si>
  <si>
    <t>Brèves (de 1 s à 3 min)</t>
  </si>
  <si>
    <t>Longues (&gt; à 3 min)</t>
  </si>
  <si>
    <t>Nombre d'incidents BT pour 100 km de réseau Dont réseau aérien</t>
  </si>
  <si>
    <t>Nombre d'incidents BT pour 100 km de réseau Dont réseau souterrain</t>
  </si>
  <si>
    <t>Nombre d'incidents HTA pour 100 km de réseau Dont réseau aérien</t>
  </si>
  <si>
    <t>Nombre d'incidents HTA pour 100 km de réseau Dont réseau souterrain</t>
  </si>
  <si>
    <t>500</t>
  </si>
  <si>
    <t>Total des clients BT ayant une puissance souscrite ? 36 kVA (Concession)</t>
  </si>
  <si>
    <t>5000</t>
  </si>
  <si>
    <t>Coupures pour travaux (Concession)</t>
  </si>
  <si>
    <t>Nombre sur réseau BT</t>
  </si>
  <si>
    <t>Nombre sur réseau HTA</t>
  </si>
  <si>
    <t>5100</t>
  </si>
  <si>
    <t>Affectés par plus de 30 coupures brèves (de 1 s à 3 min), toutes causes confondues</t>
  </si>
  <si>
    <t>Coupés pendant plus de 3 heures, en durée cumulée sur l'année, toutes causes confondues</t>
  </si>
  <si>
    <t>Dont nombre de clients BT affectés par plus de 6 coupures longues suite à incident situé en amont du réseau BT</t>
  </si>
  <si>
    <t>Dont nombre de clients BT coupés plus de 3 heures, en durée cumulée sur l'année, suite à incident situé en amont du réseau BT</t>
  </si>
  <si>
    <t>5200</t>
  </si>
  <si>
    <t>Fréquence des coupures (Concession)</t>
  </si>
  <si>
    <t>Fréquence des coupures brèves (de 1 s à 3 min), toutes causes confondues</t>
  </si>
  <si>
    <t>Fréquence des coupures longues (&gt; à 3 min), toutes causes confondues</t>
  </si>
  <si>
    <t>0,7</t>
  </si>
  <si>
    <t>5300</t>
  </si>
  <si>
    <t>Départs en contrainte de tension (en %) (Concession)</t>
  </si>
  <si>
    <t>Taux de départs BT &gt; 10 %</t>
  </si>
  <si>
    <t>Taux de départs HTA &gt; 5 %</t>
  </si>
  <si>
    <t>5400</t>
  </si>
  <si>
    <t>Nombre de raccordements neufs réalisés (Concession)</t>
  </si>
  <si>
    <t>5500</t>
  </si>
  <si>
    <t>Délai moyen de réalisation des travaux (en jours calendaires) (Concession)</t>
  </si>
  <si>
    <t>Concernant les travaux de raccordement des consommateurs individuels BT &lt;= 36 kVA avec extension</t>
  </si>
  <si>
    <t>Concernant les travaux de raccordement des consommateurs individuels BT &lt;= 36 kVA sans extension</t>
  </si>
  <si>
    <t>5600</t>
  </si>
  <si>
    <t>Consommateurs BT individuels de puissance ? 36 kVA (sans adaptation de réseau) (Concession)</t>
  </si>
  <si>
    <t>Délai moyen d'envoi du devis (en jours calendaires)</t>
  </si>
  <si>
    <t>Taux de devis envoyés dans les délais</t>
  </si>
  <si>
    <t>5700</t>
  </si>
  <si>
    <t>Producteurs BT de puissance ? 36 kVA (sans adaptation de réseau) (Concession)</t>
  </si>
  <si>
    <t>5800</t>
  </si>
  <si>
    <t>Raccordements dinstallations de production individuelles neuves réalisés (Concession)</t>
  </si>
  <si>
    <t>Raccordements BT &lt;= à 36 kVA avec adaptation de réseau</t>
  </si>
  <si>
    <t>Raccordements BT &lt;= à 36 kVA sans adaptation de réseau</t>
  </si>
  <si>
    <t>Raccordements BT compris entre 36 et 250 kVA</t>
  </si>
  <si>
    <t>Raccordements HTA &gt;= 250 kVA</t>
  </si>
  <si>
    <t>5900</t>
  </si>
  <si>
    <t>Puissance nouvelle raccordée en production (en kVA) (Concession)</t>
  </si>
  <si>
    <t>Producteurs BT et HTA</t>
  </si>
  <si>
    <t>600</t>
  </si>
  <si>
    <t>Total des clients BT dont la puissance souscrite est &gt; 36 kVA (Concession)</t>
  </si>
  <si>
    <t>6100</t>
  </si>
  <si>
    <t>Prestations et interventions techniques (en %) (Concession)</t>
  </si>
  <si>
    <t>Taux de mise en service sur installation existante dans les délais standard ou convenus</t>
  </si>
  <si>
    <t>Taux de résiliation dans les délais standard ou convenus</t>
  </si>
  <si>
    <t>700</t>
  </si>
  <si>
    <t>Total des clients HTA (Concession)</t>
  </si>
  <si>
    <t>800</t>
  </si>
  <si>
    <t>900</t>
  </si>
  <si>
    <t>10410</t>
  </si>
  <si>
    <t>Tarif Bleu résidentiel Option Tempo (Concession)</t>
  </si>
  <si>
    <t>91 %</t>
  </si>
  <si>
    <t>92 %</t>
  </si>
  <si>
    <t>90 %</t>
  </si>
  <si>
    <t>740 824 707</t>
  </si>
  <si>
    <t>13 536 351</t>
  </si>
  <si>
    <t>20 160 311</t>
  </si>
  <si>
    <t>197 238</t>
  </si>
  <si>
    <t>1 211 821</t>
  </si>
  <si>
    <t>1 409 059</t>
  </si>
  <si>
    <t>100 %</t>
  </si>
  <si>
    <t>0,1</t>
  </si>
  <si>
    <t>89,5 %</t>
  </si>
  <si>
    <t>89,8 %</t>
  </si>
  <si>
    <t>87,9 %</t>
  </si>
  <si>
    <t>Clients « Entreprises » (&gt; à 36 kVA) C1-C4 (Région Enedis) Résultat local</t>
  </si>
  <si>
    <t>84,8 %</t>
  </si>
  <si>
    <t>86,9 %</t>
  </si>
  <si>
    <t>85,1 %</t>
  </si>
  <si>
    <t>92,7 %</t>
  </si>
  <si>
    <t>93,9 %</t>
  </si>
  <si>
    <t>93,4 %</t>
  </si>
  <si>
    <t>2650</t>
  </si>
  <si>
    <t>Puissance nouvelle raccordée en consommation (en kVA) (Concession)</t>
  </si>
  <si>
    <t>Consommateurs BT et HTA</t>
  </si>
  <si>
    <t>1,1 %</t>
  </si>
  <si>
    <t>Clé composite Charges de personnel : Investissements / Longueur du réseau / Nb de clients</t>
  </si>
  <si>
    <t>Clé composite Matériel : Investissements / Longueur du réseau / Nb de clients</t>
  </si>
  <si>
    <t>Branchements Amortissements</t>
  </si>
  <si>
    <t>Branchements Provisions de renouvellement</t>
  </si>
  <si>
    <t>Branchements Valeur brute comptable</t>
  </si>
  <si>
    <t>Branchements Valeur de remplacement</t>
  </si>
  <si>
    <t>Branchements Valeur nette comptable</t>
  </si>
  <si>
    <t>Dont branchements aériens Amortissements</t>
  </si>
  <si>
    <t>Dont branchements aériens Provisions de renouvellement</t>
  </si>
  <si>
    <t>Dont branchements aériens Valeur brute comptable</t>
  </si>
  <si>
    <t>Dont branchements aériens Valeur de remplacement</t>
  </si>
  <si>
    <t>Dont branchements aériens Valeur nette comptable</t>
  </si>
  <si>
    <t>478</t>
  </si>
  <si>
    <t>1 478</t>
  </si>
  <si>
    <t>Dont dérivations individuelles des liaisons réseau aéro-souterraines et souterraines Amortissements</t>
  </si>
  <si>
    <t>Dont dérivations individuelles des liaisons réseau aéro-souterraines et souterraines Provisions de renouvellement</t>
  </si>
  <si>
    <t>Dont dérivations individuelles des liaisons réseau aéro-souterraines et souterraines Valeur brute comptable</t>
  </si>
  <si>
    <t>Dont dérivations individuelles des liaisons réseau aéro-souterraines et souterraines Valeur de remplacement</t>
  </si>
  <si>
    <t>Dont dérivations individuelles des liaisons réseau aéro-souterraines et souterraines Valeur nette comptable</t>
  </si>
  <si>
    <t>Dont disjoncteurs Amortissements</t>
  </si>
  <si>
    <t>Dont disjoncteurs Provisions de renouvellement</t>
  </si>
  <si>
    <t>Dont disjoncteurs Valeur brute comptable</t>
  </si>
  <si>
    <t>Dont disjoncteurs Valeur de remplacement</t>
  </si>
  <si>
    <t>Dont disjoncteurs Valeur nette comptable</t>
  </si>
  <si>
    <t>Dont liaisons réseaux souterraines et aéro-souterraines Amortissements</t>
  </si>
  <si>
    <t>Dont liaisons réseaux souterraines et aéro-souterraines Provisions de renouvellement</t>
  </si>
  <si>
    <t>Dont liaisons réseaux souterraines et aéro-souterraines Valeur brute comptable</t>
  </si>
  <si>
    <t>Dont liaisons réseaux souterraines et aéro-souterraines Valeur de remplacement</t>
  </si>
  <si>
    <t>Dont liaisons réseaux souterraines et aéro-souterraines Valeur nette comptable</t>
  </si>
  <si>
    <t>1 194</t>
  </si>
  <si>
    <t>99,8 %</t>
  </si>
  <si>
    <t>844 106 096</t>
  </si>
  <si>
    <t>Nombre de clients ayant un espace client activé au 31 décembre</t>
  </si>
  <si>
    <t>14 015 650</t>
  </si>
  <si>
    <t>22 171 226</t>
  </si>
  <si>
    <t>193 384</t>
  </si>
  <si>
    <t>1 351 384</t>
  </si>
  <si>
    <t>1 544 768</t>
  </si>
  <si>
    <t>0,4</t>
  </si>
  <si>
    <t>Clients « Entreprises » (&gt; à 36 kVA) Résultat national</t>
  </si>
  <si>
    <t>Clients « Entreprises » (&gt; à 36 kVA) Satisfaction maille DR</t>
  </si>
  <si>
    <t>Clients « Entreprises » (&gt; à 36 kVA) Satisfaction maille nationale</t>
  </si>
  <si>
    <t>2660</t>
  </si>
  <si>
    <t>Nombre de raccordements des infrastructures de recharge de véhicules électriques (IRVE) (Concession)</t>
  </si>
  <si>
    <t>Nombre de raccordements des IRVE BT &lt;= à 36 kVA</t>
  </si>
  <si>
    <t>Nombre de raccordements des IRVE BT &gt; à 36 kVA et HTA</t>
  </si>
  <si>
    <t>251</t>
  </si>
  <si>
    <t>0,4 %</t>
  </si>
  <si>
    <t>Acheminement facturé (en euros)</t>
  </si>
  <si>
    <t>0,8</t>
  </si>
  <si>
    <t>CEX_01</t>
  </si>
  <si>
    <t>CEX_02</t>
  </si>
  <si>
    <t>CEX_03</t>
  </si>
  <si>
    <t>CEX_04</t>
  </si>
  <si>
    <t>CEX_05</t>
  </si>
  <si>
    <t>CEX_06</t>
  </si>
  <si>
    <t>CEX_07</t>
  </si>
  <si>
    <t>CEX_08</t>
  </si>
  <si>
    <t>CEX_09</t>
  </si>
  <si>
    <t>CEX_10</t>
  </si>
  <si>
    <t>CEX_11</t>
  </si>
  <si>
    <t>CEX_12</t>
  </si>
  <si>
    <t>charges</t>
  </si>
  <si>
    <t>produits</t>
  </si>
  <si>
    <t>resultat_brut</t>
  </si>
  <si>
    <t>rentabilite_brute</t>
  </si>
  <si>
    <t>rentabilite_nette</t>
  </si>
  <si>
    <t>contribution_equilibre</t>
  </si>
  <si>
    <t>montant_reparti</t>
  </si>
  <si>
    <t>investissements_deliberes</t>
  </si>
  <si>
    <t>Total charge natif</t>
  </si>
  <si>
    <t>Achats d'énergie</t>
  </si>
  <si>
    <t>Total produit natif</t>
  </si>
  <si>
    <t>Synthese_generale</t>
  </si>
  <si>
    <t>nbr_communes_dpt_insee</t>
  </si>
  <si>
    <t>nbr_communes_sens_enedis</t>
  </si>
  <si>
    <t>nbr_com_urb</t>
  </si>
  <si>
    <t>nbr_com_rur</t>
  </si>
  <si>
    <t>population_concession</t>
  </si>
  <si>
    <t>population_concession_urbain</t>
  </si>
  <si>
    <t>population_concession_rural</t>
  </si>
  <si>
    <t>nbr_ps_concession</t>
  </si>
  <si>
    <t>nbr_ps_concession_sur_le_territoire</t>
  </si>
  <si>
    <t>puissance_mva</t>
  </si>
  <si>
    <t>puissance_mva_sur_le_territoire</t>
  </si>
  <si>
    <t>nbr_usr_trv</t>
  </si>
  <si>
    <t>long_hta_tot_km</t>
  </si>
  <si>
    <t>nbr_postes_hta_bt</t>
  </si>
  <si>
    <t>nbr_trans_hta_bt</t>
  </si>
  <si>
    <t>long_bt_tot_km</t>
  </si>
  <si>
    <t>long_tot_km</t>
  </si>
  <si>
    <t>valeur_brute</t>
  </si>
  <si>
    <t>taux_amort</t>
  </si>
  <si>
    <t>recette</t>
  </si>
  <si>
    <t>redevance</t>
  </si>
  <si>
    <t>article8</t>
  </si>
  <si>
    <t>taux_sout_bt_dpt</t>
  </si>
  <si>
    <t>nbr_ocb_inv_tech</t>
  </si>
  <si>
    <t>ocb_compt</t>
  </si>
  <si>
    <t>ecart_concession_ocb_qte</t>
  </si>
  <si>
    <t>ecart_concession_ocb_percent</t>
  </si>
  <si>
    <t>ecart_commune_ocb_qte</t>
  </si>
  <si>
    <t>ecart_commune_ocb_percent</t>
  </si>
  <si>
    <t>256</t>
  </si>
  <si>
    <t>95%</t>
  </si>
  <si>
    <t>108</t>
  </si>
  <si>
    <t>92,3%</t>
  </si>
  <si>
    <t>86,5%</t>
  </si>
  <si>
    <t>1 900</t>
  </si>
  <si>
    <t>128</t>
  </si>
  <si>
    <t>325</t>
  </si>
  <si>
    <t>343</t>
  </si>
  <si>
    <t>Nombre total des raccordements neuf réalisés</t>
  </si>
  <si>
    <t>172</t>
  </si>
  <si>
    <t>779 559 232</t>
  </si>
  <si>
    <t>Nombre d'espaces Client activés au 31 décembre</t>
  </si>
  <si>
    <t>12 181 930</t>
  </si>
  <si>
    <t>21 567 786</t>
  </si>
  <si>
    <t>362 371</t>
  </si>
  <si>
    <t>1 422 391</t>
  </si>
  <si>
    <t>1 784 762</t>
  </si>
  <si>
    <t>Taux de clients mal alimentés (CMA) sur le territoire de la concession (en %)</t>
  </si>
  <si>
    <t>89,1%</t>
  </si>
  <si>
    <t>88,6%</t>
  </si>
  <si>
    <t>84,6%</t>
  </si>
  <si>
    <t>89,7%</t>
  </si>
  <si>
    <t>82,7%</t>
  </si>
  <si>
    <t>88,2%</t>
  </si>
  <si>
    <t>90,6%</t>
  </si>
  <si>
    <t>91,2%</t>
  </si>
  <si>
    <t>83,6%</t>
  </si>
  <si>
    <t>Nombre de comptes clients ouverts</t>
  </si>
  <si>
    <t>Nombre de demandes de création de compte client en attente d'activation par le client</t>
  </si>
  <si>
    <t>90,0%</t>
  </si>
  <si>
    <t>2600</t>
  </si>
  <si>
    <t>Taux de réalisation des travaux dans les délais convenus (Concession)</t>
  </si>
  <si>
    <t>Consommateurs BT individuels de puissance &lt;= 36 kVA (sans adaptation de réseau)</t>
  </si>
  <si>
    <t>Nombre.1 dont autres (biomasse, biogaz, cogénération...)</t>
  </si>
  <si>
    <t>Nombre.1 dont producteurs d'énergie électrique d'origine éolienne</t>
  </si>
  <si>
    <t>Nombre.1 dont producteurs d'énergie électrique d'origine hydraulique</t>
  </si>
  <si>
    <t>Nombre.1 dont producteurs d'énergie électrique d'origine photovoltaïque</t>
  </si>
  <si>
    <t>Puissance raccordée.1 dont autres (biomasse, biogaz, cogénération...)</t>
  </si>
  <si>
    <t>Puissance raccordée.1 dont producteurs d'énergie électrique d'origine éolienne</t>
  </si>
  <si>
    <t>Puissance raccordée.1 dont producteurs d'énergie électrique d'origine hydraulique</t>
  </si>
  <si>
    <t>Puissance raccordée.1 dont producteurs d'énergie électrique d'origine photovoltaïque</t>
  </si>
  <si>
    <t>Part R1</t>
  </si>
  <si>
    <t>Concernant les travaux de raccordement des consommateurs individuels BT &lt;= 36 kVA</t>
  </si>
  <si>
    <t>92%</t>
  </si>
  <si>
    <t>861 539 620</t>
  </si>
  <si>
    <t>12 517 214</t>
  </si>
  <si>
    <t>19 738 484</t>
  </si>
  <si>
    <t>355 185</t>
  </si>
  <si>
    <t>1 511 255</t>
  </si>
  <si>
    <t>1 866 440</t>
  </si>
  <si>
    <t>85,8%</t>
  </si>
  <si>
    <t>79,8%</t>
  </si>
  <si>
    <t>94,3%</t>
  </si>
  <si>
    <t>1 819</t>
  </si>
  <si>
    <t>147</t>
  </si>
  <si>
    <t>98,2%</t>
  </si>
  <si>
    <t>633</t>
  </si>
  <si>
    <t>679</t>
  </si>
  <si>
    <t>1,2</t>
  </si>
  <si>
    <t>A corriger</t>
  </si>
  <si>
    <t>A corrigier</t>
  </si>
  <si>
    <t>pour 2023</t>
  </si>
  <si>
    <t>Idem</t>
  </si>
  <si>
    <t>inc_02_crac</t>
  </si>
  <si>
    <t>inc_08_crac</t>
  </si>
  <si>
    <t>inc_08_trv_crac</t>
  </si>
  <si>
    <t xml:space="preserve">A verifier </t>
  </si>
  <si>
    <t>tcc_total</t>
  </si>
  <si>
    <t>hix_total</t>
  </si>
  <si>
    <t>origine_rte</t>
  </si>
  <si>
    <t>incident_distribution_publique</t>
  </si>
  <si>
    <t>incident_poste_source</t>
  </si>
  <si>
    <t>incident_reseau_hta</t>
  </si>
  <si>
    <t>incident_reseau_bt</t>
  </si>
  <si>
    <t>travaux_distribution_publique</t>
  </si>
  <si>
    <t>travaux_reseau_hta</t>
  </si>
  <si>
    <t>travaux_reseau_bt</t>
  </si>
  <si>
    <t>Inc_08_crac</t>
  </si>
  <si>
    <t>nb_incidents_hta_100km</t>
  </si>
  <si>
    <t>nb_incidents_hta_100km_aerien</t>
  </si>
  <si>
    <t>nb_incidents_hta_100km_souterrain</t>
  </si>
  <si>
    <t>nb_incidents_bt_100km</t>
  </si>
  <si>
    <t>nb_incidents_bt_100km_aerien</t>
  </si>
  <si>
    <t>nb_incidents_bt_100km_souterrain</t>
  </si>
  <si>
    <t>nb_coupures_incident_reseau</t>
  </si>
  <si>
    <t>nb_coupures_longues</t>
  </si>
  <si>
    <t>nb_coupures_breves</t>
  </si>
  <si>
    <t>Inc_08_trv_crac</t>
  </si>
  <si>
    <t>nb_coupures_travaux</t>
  </si>
  <si>
    <t>nb_coupures_travaux_hta</t>
  </si>
  <si>
    <t>nb_coupures_travaux_bt</t>
  </si>
  <si>
    <t>temps_moyen</t>
  </si>
  <si>
    <t>Pat_Tech_HTA_01_nat</t>
  </si>
  <si>
    <t>moyenne_nationale_hta_sout</t>
  </si>
  <si>
    <t>moy_nat_dens_pop</t>
  </si>
  <si>
    <t>longueur_renouvelee</t>
  </si>
  <si>
    <t>longueur_renforcee</t>
  </si>
  <si>
    <t>hta_quantite_base_technique</t>
  </si>
  <si>
    <t>hta_quantite_base_comptable</t>
  </si>
  <si>
    <t>hta_ecart_concession_qte</t>
  </si>
  <si>
    <t>hta_ecart_concession_percent</t>
  </si>
  <si>
    <t>hta_ecart_commune_qte</t>
  </si>
  <si>
    <t>hta_ecart_commune_percent</t>
  </si>
  <si>
    <t>bt_quantite_base_technique</t>
  </si>
  <si>
    <t>bt_quantite_base_comptable</t>
  </si>
  <si>
    <t>bt_ecart_concession_qte</t>
  </si>
  <si>
    <t>bt_ecart_concession_percent</t>
  </si>
  <si>
    <t>bt_ecart_commune_qte</t>
  </si>
  <si>
    <t>bt_ecart_commune_percent</t>
  </si>
  <si>
    <t>transfos_quantite_base_technique</t>
  </si>
  <si>
    <t>transfos_quantite_base_comptable</t>
  </si>
  <si>
    <t>transfos_ecart_concession_qte</t>
  </si>
  <si>
    <t>transfos_ecart_concession_percent</t>
  </si>
  <si>
    <t>transfos_ecart_commune_qte</t>
  </si>
  <si>
    <t>transfos_ecart_commune_percent</t>
  </si>
  <si>
    <t>ocb_quantite_base_technique</t>
  </si>
  <si>
    <t>ocb_quantite_base_comptable</t>
  </si>
  <si>
    <t>ocb_ecart_concession_qte</t>
  </si>
  <si>
    <t>ocb_ecart_concession_percent</t>
  </si>
  <si>
    <t>ocb_ecart_commune_qte</t>
  </si>
  <si>
    <t>ocb_ecart_commune_percent</t>
  </si>
  <si>
    <t>0,00%</t>
  </si>
  <si>
    <t>ACCUEIL</t>
  </si>
  <si>
    <t>CONTRAT</t>
  </si>
  <si>
    <t>FACTURATION</t>
  </si>
  <si>
    <t>QUALITE DE FOURNITURE &amp; RESEAUX</t>
  </si>
  <si>
    <t>RECOUVREMENT</t>
  </si>
  <si>
    <t>RELATIONS AVEC LE DISTRIBUTEUR</t>
  </si>
  <si>
    <t>RELEVE</t>
  </si>
  <si>
    <t>274</t>
  </si>
  <si>
    <t>425</t>
  </si>
  <si>
    <t>III. Investissements de logistique</t>
  </si>
  <si>
    <t>Total (= I + II.1 + II.2 + III + IV)</t>
  </si>
  <si>
    <t>synthese_generale</t>
  </si>
  <si>
    <t>h</t>
  </si>
  <si>
    <t>Pat_Tech_BT_01</t>
  </si>
  <si>
    <t>Pat_tech_bt_04_ENE_FACE</t>
  </si>
  <si>
    <t>crit_B_ZE_nat</t>
  </si>
  <si>
    <t>Pat_Tech_hta_16</t>
  </si>
  <si>
    <t>longueur_risques_averes_km</t>
  </si>
  <si>
    <t>longueur_risque_bois_km</t>
  </si>
  <si>
    <t>longueur_risque_neige_givre_km</t>
  </si>
  <si>
    <t>longueur_risque_vent_km</t>
  </si>
  <si>
    <t>longueur_renouvelee_km</t>
  </si>
  <si>
    <t>longueur_renforcee_km</t>
  </si>
  <si>
    <t>taux_renouvellement_concession_percent</t>
  </si>
  <si>
    <t>taux_renouvellement_cible_theorique_percent</t>
  </si>
  <si>
    <t>Pat_tech_rnvl_crac</t>
  </si>
  <si>
    <t>moyenne_nat_densite_pop_souterrain</t>
  </si>
  <si>
    <t>moyenne_nat_densite_pop_secu</t>
  </si>
  <si>
    <t>lineaire_bt_nu_hfs</t>
  </si>
  <si>
    <t>moyenne_aerien_hta</t>
  </si>
  <si>
    <t>moyenne_souterrain_hta</t>
  </si>
  <si>
    <t>% lignes incidentogènes / lignes total</t>
  </si>
  <si>
    <t>30 ans</t>
  </si>
  <si>
    <t>R</t>
  </si>
  <si>
    <t>Fiabilisé</t>
  </si>
  <si>
    <t>Traité (immobilisé)</t>
  </si>
  <si>
    <t>ENTERRE</t>
  </si>
  <si>
    <t>POSTE URBAIN INTÉGRÉ À SON ENVIRONNEMENT</t>
  </si>
  <si>
    <t>558</t>
  </si>
  <si>
    <t>494</t>
  </si>
  <si>
    <t>72,70%</t>
  </si>
  <si>
    <t>2,0</t>
  </si>
  <si>
    <t>0,6</t>
  </si>
  <si>
    <t>1 766</t>
  </si>
  <si>
    <t>1 281</t>
  </si>
  <si>
    <t>2 641</t>
  </si>
  <si>
    <t>9 427</t>
  </si>
  <si>
    <t>2 848</t>
  </si>
  <si>
    <t>2 359</t>
  </si>
  <si>
    <t>2 371</t>
  </si>
  <si>
    <t>2 579</t>
  </si>
  <si>
    <t>24,6%</t>
  </si>
  <si>
    <t>14 461</t>
  </si>
  <si>
    <t>14 405</t>
  </si>
  <si>
    <t>278</t>
  </si>
  <si>
    <t>1 327</t>
  </si>
  <si>
    <t>30 905</t>
  </si>
  <si>
    <t>3920</t>
  </si>
  <si>
    <t>Montant de la part R2 (en ) (Concession)</t>
  </si>
  <si>
    <t>Dont part R2 versée au titre des années antérieures</t>
  </si>
  <si>
    <t>Part R2</t>
  </si>
  <si>
    <t>1 453</t>
  </si>
  <si>
    <t>1 655</t>
  </si>
  <si>
    <t>1 919</t>
  </si>
  <si>
    <t>866</t>
  </si>
  <si>
    <t>7,0</t>
  </si>
  <si>
    <t>3,8</t>
  </si>
  <si>
    <t>643</t>
  </si>
  <si>
    <t>1,9</t>
  </si>
  <si>
    <t>4 497</t>
  </si>
  <si>
    <t>98,1%</t>
  </si>
  <si>
    <t>1 274</t>
  </si>
  <si>
    <t>1 185</t>
  </si>
  <si>
    <t>1,5</t>
  </si>
  <si>
    <t>7,9</t>
  </si>
  <si>
    <t>533</t>
  </si>
  <si>
    <t>1 441</t>
  </si>
  <si>
    <t>265</t>
  </si>
  <si>
    <t>1 670</t>
  </si>
  <si>
    <t>878</t>
  </si>
  <si>
    <t>Clé composite Matériel : Investissements / Longueur du réseau / Nb de clients</t>
  </si>
  <si>
    <t>370</t>
  </si>
  <si>
    <t>1 020</t>
  </si>
  <si>
    <t>Part R2 versée</t>
  </si>
  <si>
    <t>6 916</t>
  </si>
  <si>
    <t>100</t>
  </si>
  <si>
    <t>2 113</t>
  </si>
  <si>
    <t>1 043</t>
  </si>
  <si>
    <t>4,4</t>
  </si>
  <si>
    <t>451</t>
  </si>
  <si>
    <t>1,6</t>
  </si>
  <si>
    <t>0,9</t>
  </si>
  <si>
    <t>99,1%</t>
  </si>
  <si>
    <t>98,6%</t>
  </si>
  <si>
    <t>618</t>
  </si>
  <si>
    <t>6 795</t>
  </si>
  <si>
    <t>1 862</t>
  </si>
  <si>
    <t>5,7</t>
  </si>
  <si>
    <t>1 541</t>
  </si>
  <si>
    <t>1 472</t>
  </si>
  <si>
    <t>87,6%</t>
  </si>
  <si>
    <t>89,9%</t>
  </si>
  <si>
    <t>507</t>
  </si>
  <si>
    <t>7 949</t>
  </si>
  <si>
    <t>1,0%</t>
  </si>
  <si>
    <t>30,7%</t>
  </si>
  <si>
    <t>1 661</t>
  </si>
  <si>
    <t>24,4%</t>
  </si>
  <si>
    <t>6 398</t>
  </si>
  <si>
    <t>5 826</t>
  </si>
  <si>
    <t>1 428</t>
  </si>
  <si>
    <t>1 647</t>
  </si>
  <si>
    <t>2 160</t>
  </si>
  <si>
    <t>244</t>
  </si>
  <si>
    <t>1 458</t>
  </si>
  <si>
    <t>12,3</t>
  </si>
  <si>
    <t>794</t>
  </si>
  <si>
    <t>598</t>
  </si>
  <si>
    <t>922</t>
  </si>
  <si>
    <t>99,7%</t>
  </si>
  <si>
    <t>88 %</t>
  </si>
  <si>
    <t>151</t>
  </si>
  <si>
    <t>526</t>
  </si>
  <si>
    <t>997</t>
  </si>
  <si>
    <t>86,1 %</t>
  </si>
  <si>
    <t>91,1 %</t>
  </si>
  <si>
    <t>1 325</t>
  </si>
  <si>
    <t>90,5 %</t>
  </si>
  <si>
    <t>3 009</t>
  </si>
  <si>
    <t>228</t>
  </si>
  <si>
    <t>1 306</t>
  </si>
  <si>
    <t>2 588</t>
  </si>
  <si>
    <t>1 898</t>
  </si>
  <si>
    <t>2,1</t>
  </si>
  <si>
    <t>94 %</t>
  </si>
  <si>
    <t>93 %</t>
  </si>
  <si>
    <t>33,6</t>
  </si>
  <si>
    <t>0,9 %</t>
  </si>
  <si>
    <t>1 012</t>
  </si>
  <si>
    <t>2 621</t>
  </si>
  <si>
    <t>436</t>
  </si>
  <si>
    <t>79,4 %</t>
  </si>
  <si>
    <t>89,7 %</t>
  </si>
  <si>
    <t>90,2 %</t>
  </si>
  <si>
    <t>90,9 %</t>
  </si>
  <si>
    <t>Clients « Entreprises » (&gt; à 36 kVA) (Région Enedis) Résultat local</t>
  </si>
  <si>
    <t>84,3 %</t>
  </si>
  <si>
    <t>82,7 %</t>
  </si>
  <si>
    <t>87,5 %</t>
  </si>
  <si>
    <t>89,1 %</t>
  </si>
  <si>
    <t>91,2 %</t>
  </si>
  <si>
    <t>91,9 %</t>
  </si>
  <si>
    <t>1 780</t>
  </si>
  <si>
    <t>7 010</t>
  </si>
  <si>
    <t>322</t>
  </si>
  <si>
    <t>2 949</t>
  </si>
  <si>
    <t>1 357</t>
  </si>
  <si>
    <t>13,7</t>
  </si>
  <si>
    <t>2,7</t>
  </si>
  <si>
    <t>666</t>
  </si>
  <si>
    <t>2,3</t>
  </si>
  <si>
    <t>4 319</t>
  </si>
  <si>
    <t>98,2 %</t>
  </si>
  <si>
    <t>2297</t>
  </si>
  <si>
    <t>SDEA</t>
  </si>
  <si>
    <t>CRESPY-LE-NEUF</t>
  </si>
  <si>
    <t>ROMILLY-SUR-SEINE</t>
  </si>
  <si>
    <t>BARBEREY-SAINT-SULPICE</t>
  </si>
  <si>
    <t>FLACY</t>
  </si>
  <si>
    <t>STOUEN</t>
  </si>
  <si>
    <t>SUR POTEAU (NON H61)</t>
  </si>
  <si>
    <t>10099</t>
  </si>
  <si>
    <t>10817</t>
  </si>
  <si>
    <t>10326</t>
  </si>
  <si>
    <t>10521</t>
  </si>
  <si>
    <t>10308</t>
  </si>
  <si>
    <t>159</t>
  </si>
  <si>
    <t>712</t>
  </si>
  <si>
    <t>930</t>
  </si>
  <si>
    <t>99</t>
  </si>
  <si>
    <t>784</t>
  </si>
  <si>
    <t>829</t>
  </si>
  <si>
    <t>104</t>
  </si>
  <si>
    <t>775</t>
  </si>
  <si>
    <t>892</t>
  </si>
  <si>
    <t>924</t>
  </si>
  <si>
    <t>121</t>
  </si>
  <si>
    <t>805</t>
  </si>
  <si>
    <t>946</t>
  </si>
  <si>
    <t>1001</t>
  </si>
  <si>
    <t>143</t>
  </si>
  <si>
    <t>702</t>
  </si>
  <si>
    <t>853</t>
  </si>
  <si>
    <t>916</t>
  </si>
  <si>
    <t>258</t>
  </si>
  <si>
    <t>1122</t>
  </si>
  <si>
    <t>730</t>
  </si>
  <si>
    <t>650</t>
  </si>
  <si>
    <t>214</t>
  </si>
  <si>
    <t>1158</t>
  </si>
  <si>
    <t>308</t>
  </si>
  <si>
    <t>1464</t>
  </si>
  <si>
    <t>454</t>
  </si>
  <si>
    <t>287</t>
  </si>
  <si>
    <t>1433</t>
  </si>
  <si>
    <t>317</t>
  </si>
  <si>
    <t>2583</t>
  </si>
  <si>
    <t>298</t>
  </si>
  <si>
    <t>290</t>
  </si>
  <si>
    <t>240</t>
  </si>
  <si>
    <t>1251</t>
  </si>
  <si>
    <t>490</t>
  </si>
  <si>
    <t>337</t>
  </si>
  <si>
    <t>350</t>
  </si>
  <si>
    <t>85%</t>
  </si>
  <si>
    <t>71%</t>
  </si>
  <si>
    <t>73%</t>
  </si>
  <si>
    <t>8%</t>
  </si>
  <si>
    <t>85,40%</t>
  </si>
  <si>
    <t>70,80%</t>
  </si>
  <si>
    <t>CONSEIL ET SERVICE</t>
  </si>
  <si>
    <t>Facturation de l'acheminement</t>
  </si>
  <si>
    <t>Pose Linky</t>
  </si>
  <si>
    <t>Qualité du traitement de la prestation demandée</t>
  </si>
  <si>
    <t>Qualité et continuité de la fourniture</t>
  </si>
  <si>
    <t>Raccordement</t>
  </si>
  <si>
    <t>Relève</t>
  </si>
  <si>
    <t>Travaux (hors raccordement)</t>
  </si>
  <si>
    <t>103871</t>
  </si>
  <si>
    <t>93 820 769</t>
  </si>
  <si>
    <t>12 354</t>
  </si>
  <si>
    <t>10 830 657</t>
  </si>
  <si>
    <t>665 956 981</t>
  </si>
  <si>
    <t>121 324</t>
  </si>
  <si>
    <t>73 209 906</t>
  </si>
  <si>
    <t>55 989</t>
  </si>
  <si>
    <t>622</t>
  </si>
  <si>
    <t>5 068</t>
  </si>
  <si>
    <t>59 598</t>
  </si>
  <si>
    <t>121 277</t>
  </si>
  <si>
    <t>183 397 947</t>
  </si>
  <si>
    <t>2 738 522</t>
  </si>
  <si>
    <t>41 452 932</t>
  </si>
  <si>
    <t>438 367 579</t>
  </si>
  <si>
    <t>1 430</t>
  </si>
  <si>
    <t>1 034</t>
  </si>
  <si>
    <t>8990</t>
  </si>
  <si>
    <t>75 726</t>
  </si>
  <si>
    <t>28 770</t>
  </si>
  <si>
    <t>114 088</t>
  </si>
  <si>
    <t>23 138</t>
  </si>
  <si>
    <t>2 925</t>
  </si>
  <si>
    <t>294 665</t>
  </si>
  <si>
    <t>32 127</t>
  </si>
  <si>
    <t>1 646</t>
  </si>
  <si>
    <t>9 083</t>
  </si>
  <si>
    <t>28 530</t>
  </si>
  <si>
    <t>56 873</t>
  </si>
  <si>
    <t>6 462</t>
  </si>
  <si>
    <t>5 559</t>
  </si>
  <si>
    <t>31 731</t>
  </si>
  <si>
    <t>1 122</t>
  </si>
  <si>
    <t>2 583</t>
  </si>
  <si>
    <t>644</t>
  </si>
  <si>
    <t>95,0%</t>
  </si>
  <si>
    <t>90 000</t>
  </si>
  <si>
    <t>572 136 212</t>
  </si>
  <si>
    <t>108 970</t>
  </si>
  <si>
    <t>62 379 249</t>
  </si>
  <si>
    <t>4,787 pour mille</t>
  </si>
  <si>
    <t>5,322 pour mille</t>
  </si>
  <si>
    <t>4,334 pour mille</t>
  </si>
  <si>
    <t>4,313 pour mille</t>
  </si>
  <si>
    <t>98%</t>
  </si>
  <si>
    <t>99%</t>
  </si>
  <si>
    <t>1 567</t>
  </si>
  <si>
    <t>7 189</t>
  </si>
  <si>
    <t>8 756</t>
  </si>
  <si>
    <t>468 687</t>
  </si>
  <si>
    <t>50 018</t>
  </si>
  <si>
    <t>1 045 040</t>
  </si>
  <si>
    <t>100 165</t>
  </si>
  <si>
    <t>6,0</t>
  </si>
  <si>
    <t>18,7</t>
  </si>
  <si>
    <t>24,7</t>
  </si>
  <si>
    <t>4,9</t>
  </si>
  <si>
    <t>5,0</t>
  </si>
  <si>
    <t>12,0</t>
  </si>
  <si>
    <t>42,6</t>
  </si>
  <si>
    <t>41,6</t>
  </si>
  <si>
    <t>226</t>
  </si>
  <si>
    <t>4 577</t>
  </si>
  <si>
    <t>1 165</t>
  </si>
  <si>
    <t>0,7%</t>
  </si>
  <si>
    <t>2 722</t>
  </si>
  <si>
    <t>275</t>
  </si>
  <si>
    <t>362</t>
  </si>
  <si>
    <t>3872</t>
  </si>
  <si>
    <t>109</t>
  </si>
  <si>
    <t>237</t>
  </si>
  <si>
    <t>329</t>
  </si>
  <si>
    <t>1 389</t>
  </si>
  <si>
    <t>2 825</t>
  </si>
  <si>
    <t>357</t>
  </si>
  <si>
    <t>466</t>
  </si>
  <si>
    <t>539</t>
  </si>
  <si>
    <t>1046</t>
  </si>
  <si>
    <t>1 613</t>
  </si>
  <si>
    <t>4 756</t>
  </si>
  <si>
    <t>10421</t>
  </si>
  <si>
    <t>8808</t>
  </si>
  <si>
    <t>15 270</t>
  </si>
  <si>
    <t>92,8%</t>
  </si>
  <si>
    <t>2 691</t>
  </si>
  <si>
    <t>10 045</t>
  </si>
  <si>
    <t>78,2%</t>
  </si>
  <si>
    <t>91,0%</t>
  </si>
  <si>
    <t>88,9%</t>
  </si>
  <si>
    <t>87,8%</t>
  </si>
  <si>
    <t>100,0%</t>
  </si>
  <si>
    <t>92,6%</t>
  </si>
  <si>
    <t>Clients « Professionnels » (&lt;= à 36 kVA) (Région Enedis) Résultat local</t>
  </si>
  <si>
    <t>85,7%</t>
  </si>
  <si>
    <t>80,8%</t>
  </si>
  <si>
    <t>91,1%</t>
  </si>
  <si>
    <t>98,3%</t>
  </si>
  <si>
    <t>96,9%</t>
  </si>
  <si>
    <t>232</t>
  </si>
  <si>
    <t>111</t>
  </si>
  <si>
    <t>584</t>
  </si>
  <si>
    <t>1 444</t>
  </si>
  <si>
    <t>250</t>
  </si>
  <si>
    <t>3 539</t>
  </si>
  <si>
    <t>1 300</t>
  </si>
  <si>
    <t>100 011</t>
  </si>
  <si>
    <t>92 800</t>
  </si>
  <si>
    <t>57,1%</t>
  </si>
  <si>
    <t>97,6%</t>
  </si>
  <si>
    <t>14245</t>
  </si>
  <si>
    <t>640</t>
  </si>
  <si>
    <t>1088</t>
  </si>
  <si>
    <t>75018</t>
  </si>
  <si>
    <t>200</t>
  </si>
  <si>
    <t>45927</t>
  </si>
  <si>
    <t>11498</t>
  </si>
  <si>
    <t>12 684</t>
  </si>
  <si>
    <t>1 013</t>
  </si>
  <si>
    <t>2607</t>
  </si>
  <si>
    <t>480</t>
  </si>
  <si>
    <t>657</t>
  </si>
  <si>
    <t>7 358</t>
  </si>
  <si>
    <t>70 310</t>
  </si>
  <si>
    <t>3 620</t>
  </si>
  <si>
    <t>790</t>
  </si>
  <si>
    <t>6247</t>
  </si>
  <si>
    <t>5 457</t>
  </si>
  <si>
    <t>89263</t>
  </si>
  <si>
    <t>18 546</t>
  </si>
  <si>
    <t>5 000</t>
  </si>
  <si>
    <t>3364</t>
  </si>
  <si>
    <t>2 871</t>
  </si>
  <si>
    <t>15 505</t>
  </si>
  <si>
    <t>9 284</t>
  </si>
  <si>
    <t>2708</t>
  </si>
  <si>
    <t>1820</t>
  </si>
  <si>
    <t>5 121</t>
  </si>
  <si>
    <t>14 132</t>
  </si>
  <si>
    <t>40 786</t>
  </si>
  <si>
    <t>1 415</t>
  </si>
  <si>
    <t>6 303</t>
  </si>
  <si>
    <t>10797</t>
  </si>
  <si>
    <t>620</t>
  </si>
  <si>
    <t>20 701</t>
  </si>
  <si>
    <t>4 123</t>
  </si>
  <si>
    <t>3856</t>
  </si>
  <si>
    <t>1 734</t>
  </si>
  <si>
    <t>3 329</t>
  </si>
  <si>
    <t>87 734</t>
  </si>
  <si>
    <t>1317</t>
  </si>
  <si>
    <t>1529</t>
  </si>
  <si>
    <t>4 768</t>
  </si>
  <si>
    <t>6 297</t>
  </si>
  <si>
    <t>1 529</t>
  </si>
  <si>
    <t>637</t>
  </si>
  <si>
    <t>22,6%</t>
  </si>
  <si>
    <t>1 006</t>
  </si>
  <si>
    <t>4 800</t>
  </si>
  <si>
    <t>0,4%</t>
  </si>
  <si>
    <t>3 732</t>
  </si>
  <si>
    <t>3 626</t>
  </si>
  <si>
    <t>2 607</t>
  </si>
  <si>
    <t>69 900</t>
  </si>
  <si>
    <t>410</t>
  </si>
  <si>
    <t>0,2%</t>
  </si>
  <si>
    <t>4 890</t>
  </si>
  <si>
    <t>1 683</t>
  </si>
  <si>
    <t>1 794</t>
  </si>
  <si>
    <t>44 189</t>
  </si>
  <si>
    <t>763 957</t>
  </si>
  <si>
    <t>5 235</t>
  </si>
  <si>
    <t>26 568</t>
  </si>
  <si>
    <t>839 949</t>
  </si>
  <si>
    <t>21,4%</t>
  </si>
  <si>
    <t>164</t>
  </si>
  <si>
    <t>3 200</t>
  </si>
  <si>
    <t>2 251</t>
  </si>
  <si>
    <t>1 398</t>
  </si>
  <si>
    <t>1 310</t>
  </si>
  <si>
    <t>1 820</t>
  </si>
  <si>
    <t>1 587</t>
  </si>
  <si>
    <t>12 545</t>
  </si>
  <si>
    <t>22,5%</t>
  </si>
  <si>
    <t>4 494</t>
  </si>
  <si>
    <t>10 797</t>
  </si>
  <si>
    <t>1 743</t>
  </si>
  <si>
    <t>8,6%</t>
  </si>
  <si>
    <t>132</t>
  </si>
  <si>
    <t>1 511</t>
  </si>
  <si>
    <t>1 815</t>
  </si>
  <si>
    <t>304</t>
  </si>
  <si>
    <t>2 053</t>
  </si>
  <si>
    <t>3 453</t>
  </si>
  <si>
    <t>3 641</t>
  </si>
  <si>
    <t>1 400</t>
  </si>
  <si>
    <t>1 127</t>
  </si>
  <si>
    <t>1 133</t>
  </si>
  <si>
    <t>71 959</t>
  </si>
  <si>
    <t>17 607</t>
  </si>
  <si>
    <t>3 224</t>
  </si>
  <si>
    <t>33 161</t>
  </si>
  <si>
    <t>51 030</t>
  </si>
  <si>
    <t>15 555</t>
  </si>
  <si>
    <t>54 353</t>
  </si>
  <si>
    <t>4 198</t>
  </si>
  <si>
    <t>156 545</t>
  </si>
  <si>
    <t>188 257</t>
  </si>
  <si>
    <t>102 192</t>
  </si>
  <si>
    <t>7 422</t>
  </si>
  <si>
    <t>189 706</t>
  </si>
  <si>
    <t>239 287</t>
  </si>
  <si>
    <t>117 747</t>
  </si>
  <si>
    <t>74 018</t>
  </si>
  <si>
    <t>25 360</t>
  </si>
  <si>
    <t>14 706</t>
  </si>
  <si>
    <t>34 598</t>
  </si>
  <si>
    <t>62 527</t>
  </si>
  <si>
    <t>9 237</t>
  </si>
  <si>
    <t>48 657</t>
  </si>
  <si>
    <t>9 728</t>
  </si>
  <si>
    <t>129 329</t>
  </si>
  <si>
    <t>162 685</t>
  </si>
  <si>
    <t>80 672</t>
  </si>
  <si>
    <t>24 434</t>
  </si>
  <si>
    <t>163 927</t>
  </si>
  <si>
    <t>225 212</t>
  </si>
  <si>
    <t>89 909</t>
  </si>
  <si>
    <t>720</t>
  </si>
  <si>
    <t>7 870</t>
  </si>
  <si>
    <t>11 010</t>
  </si>
  <si>
    <t>3 140</t>
  </si>
  <si>
    <t>9 042</t>
  </si>
  <si>
    <t>8 322</t>
  </si>
  <si>
    <t>544</t>
  </si>
  <si>
    <t>8 248</t>
  </si>
  <si>
    <t>7 703</t>
  </si>
  <si>
    <t>176</t>
  </si>
  <si>
    <t>3 317</t>
  </si>
  <si>
    <t>10 234</t>
  </si>
  <si>
    <t>11 961</t>
  </si>
  <si>
    <t>30 747</t>
  </si>
  <si>
    <t>4 378</t>
  </si>
  <si>
    <t>78 254</t>
  </si>
  <si>
    <t>97 452</t>
  </si>
  <si>
    <t>47 508</t>
  </si>
  <si>
    <t>4 947</t>
  </si>
  <si>
    <t>47 372</t>
  </si>
  <si>
    <t>64 841</t>
  </si>
  <si>
    <t>16 467</t>
  </si>
  <si>
    <t>229 323</t>
  </si>
  <si>
    <t>41 628</t>
  </si>
  <si>
    <t>529 579</t>
  </si>
  <si>
    <t>682 911</t>
  </si>
  <si>
    <t>300 256</t>
  </si>
  <si>
    <t>7 505</t>
  </si>
  <si>
    <t>354</t>
  </si>
  <si>
    <t>15 454</t>
  </si>
  <si>
    <t>19 332</t>
  </si>
  <si>
    <t>122497</t>
  </si>
  <si>
    <t>74338</t>
  </si>
  <si>
    <t>252 097</t>
  </si>
  <si>
    <t>41628</t>
  </si>
  <si>
    <t>520 725</t>
  </si>
  <si>
    <t>520725</t>
  </si>
  <si>
    <t>1 213 770</t>
  </si>
  <si>
    <t>1213770</t>
  </si>
  <si>
    <t>1 903 147 236</t>
  </si>
  <si>
    <t>178 058</t>
  </si>
  <si>
    <t>70 719 829</t>
  </si>
  <si>
    <t>200 000</t>
  </si>
  <si>
    <t>2 260 546</t>
  </si>
  <si>
    <t>2 427 376</t>
  </si>
  <si>
    <t>4 939</t>
  </si>
  <si>
    <t>2 265 485</t>
  </si>
  <si>
    <t>51,7%</t>
  </si>
  <si>
    <t>4 692 861</t>
  </si>
  <si>
    <t>1 345</t>
  </si>
  <si>
    <t>1 437</t>
  </si>
  <si>
    <t>4 016</t>
  </si>
  <si>
    <t>40 522</t>
  </si>
  <si>
    <t>258 258</t>
  </si>
  <si>
    <t>2 154 883</t>
  </si>
  <si>
    <t>1 224 888</t>
  </si>
  <si>
    <t>1 483 146</t>
  </si>
  <si>
    <t>59,2%</t>
  </si>
  <si>
    <t>3 638 029</t>
  </si>
  <si>
    <t>56.0</t>
  </si>
  <si>
    <t>4.0</t>
  </si>
  <si>
    <t>482</t>
  </si>
  <si>
    <t>667</t>
  </si>
  <si>
    <t>492</t>
  </si>
  <si>
    <t>894</t>
  </si>
  <si>
    <t>808</t>
  </si>
  <si>
    <t>1 438</t>
  </si>
  <si>
    <t>986</t>
  </si>
  <si>
    <t>449</t>
  </si>
  <si>
    <t>970</t>
  </si>
  <si>
    <t>1 248</t>
  </si>
  <si>
    <t>189</t>
  </si>
  <si>
    <t>1 136</t>
  </si>
  <si>
    <t>133</t>
  </si>
  <si>
    <t>44622</t>
  </si>
  <si>
    <t>5 128</t>
  </si>
  <si>
    <t>10 138</t>
  </si>
  <si>
    <t>59 762</t>
  </si>
  <si>
    <t>59895</t>
  </si>
  <si>
    <t/>
  </si>
  <si>
    <t>2727</t>
  </si>
  <si>
    <t>2786</t>
  </si>
  <si>
    <t>5248</t>
  </si>
  <si>
    <t>1 170</t>
  </si>
  <si>
    <t>9 643</t>
  </si>
  <si>
    <t>212</t>
  </si>
  <si>
    <t>347</t>
  </si>
  <si>
    <t>6,6</t>
  </si>
  <si>
    <t>2,4</t>
  </si>
  <si>
    <t>559</t>
  </si>
  <si>
    <t>978 265 540</t>
  </si>
  <si>
    <t>175 214</t>
  </si>
  <si>
    <t>46 679 453</t>
  </si>
  <si>
    <t>483</t>
  </si>
  <si>
    <t>239</t>
  </si>
  <si>
    <t>13 875</t>
  </si>
  <si>
    <t>9 453</t>
  </si>
  <si>
    <t>0,5</t>
  </si>
  <si>
    <t>97,4%</t>
  </si>
  <si>
    <t>157</t>
  </si>
  <si>
    <t>263 762 970</t>
  </si>
  <si>
    <t>2 211</t>
  </si>
  <si>
    <t>11 379 496</t>
  </si>
  <si>
    <t>97,90%</t>
  </si>
  <si>
    <t>661 118 726</t>
  </si>
  <si>
    <t>12 660 880</t>
  </si>
  <si>
    <t>76 299 850</t>
  </si>
  <si>
    <t>10 865</t>
  </si>
  <si>
    <t>9 080 698</t>
  </si>
  <si>
    <t>614 063 875</t>
  </si>
  <si>
    <t>114 826</t>
  </si>
  <si>
    <t>74 549 724</t>
  </si>
  <si>
    <t>52 770</t>
  </si>
  <si>
    <t>4 806</t>
  </si>
  <si>
    <t>56 676</t>
  </si>
  <si>
    <t>114 811</t>
  </si>
  <si>
    <t>170 390 497</t>
  </si>
  <si>
    <t>2 735 401</t>
  </si>
  <si>
    <t>38 561 009</t>
  </si>
  <si>
    <t>402 376 968</t>
  </si>
  <si>
    <t>10400</t>
  </si>
  <si>
    <t>Tarif Bleu résidentiel Nombre de clients (Concession 2019)</t>
  </si>
  <si>
    <t>12 kVA et plus Base</t>
  </si>
  <si>
    <t>12 kVA et plus EJP TEMPO</t>
  </si>
  <si>
    <t>12 kVA et plus HP-HC</t>
  </si>
  <si>
    <t>12 kVA et plus Total</t>
  </si>
  <si>
    <t>12 kVA et plus Variation vs. 2018</t>
  </si>
  <si>
    <t>3 kVA Base</t>
  </si>
  <si>
    <t>3 kVA EJP TEMPO</t>
  </si>
  <si>
    <t>3 kVA HP-HC</t>
  </si>
  <si>
    <t>3 kVA Total</t>
  </si>
  <si>
    <t>3 kVA Variation vs. 2018</t>
  </si>
  <si>
    <t>6 kVA Base</t>
  </si>
  <si>
    <t>6 kVA EJP TEMPO</t>
  </si>
  <si>
    <t>6 kVA HP-HC</t>
  </si>
  <si>
    <t>6 kVA Total</t>
  </si>
  <si>
    <t>6 kVA Variation vs. 2018</t>
  </si>
  <si>
    <t>9 kVA Base</t>
  </si>
  <si>
    <t>9 kVA EJP TEMPO</t>
  </si>
  <si>
    <t>9 kVA HP-HC</t>
  </si>
  <si>
    <t>9 kVA Total</t>
  </si>
  <si>
    <t>9 kVA Variation vs. 2018</t>
  </si>
  <si>
    <t>Total Base</t>
  </si>
  <si>
    <t>Total EJP TEMPO</t>
  </si>
  <si>
    <t>Total HP-HC</t>
  </si>
  <si>
    <t>Total Total</t>
  </si>
  <si>
    <t>Total Variation vs. 2018</t>
  </si>
  <si>
    <t>10450</t>
  </si>
  <si>
    <t>Tarif Bleu non résidentiel Nombre de clients (Concession 2019)</t>
  </si>
  <si>
    <t>Total  Base</t>
  </si>
  <si>
    <t>Total  EJP TEMPO</t>
  </si>
  <si>
    <t>Total  HP-HC</t>
  </si>
  <si>
    <t>Total  Total</t>
  </si>
  <si>
    <t>Total  Variation vs. 2018</t>
  </si>
  <si>
    <t>10500</t>
  </si>
  <si>
    <t>Flux de clients Tarif Bleu résidentiel (Concession)</t>
  </si>
  <si>
    <t>Dont nombre de souscriptions sans interruption de fourniture</t>
  </si>
  <si>
    <t>8 391</t>
  </si>
  <si>
    <t>13 729</t>
  </si>
  <si>
    <t>8 569</t>
  </si>
  <si>
    <t>1 991</t>
  </si>
  <si>
    <t>335</t>
  </si>
  <si>
    <t>10 600</t>
  </si>
  <si>
    <t>72 631</t>
  </si>
  <si>
    <t>26 975</t>
  </si>
  <si>
    <t>150 466</t>
  </si>
  <si>
    <t>13 103</t>
  </si>
  <si>
    <t>1 347</t>
  </si>
  <si>
    <t>275 306</t>
  </si>
  <si>
    <t>44 495</t>
  </si>
  <si>
    <t>1 189</t>
  </si>
  <si>
    <t>31 399</t>
  </si>
  <si>
    <t>44 413</t>
  </si>
  <si>
    <t>6 589</t>
  </si>
  <si>
    <t>2 905</t>
  </si>
  <si>
    <t>32 376</t>
  </si>
  <si>
    <t>33,50%</t>
  </si>
  <si>
    <t>145</t>
  </si>
  <si>
    <t>2 235</t>
  </si>
  <si>
    <t>92,00%</t>
  </si>
  <si>
    <t>95,90%</t>
  </si>
  <si>
    <t>10 817</t>
  </si>
  <si>
    <t>95,9%</t>
  </si>
  <si>
    <t>537 764 025</t>
  </si>
  <si>
    <t>103 961</t>
  </si>
  <si>
    <t>65 469 026</t>
  </si>
  <si>
    <t>10 965</t>
  </si>
  <si>
    <t>0,48%</t>
  </si>
  <si>
    <t>5,276 pour mille</t>
  </si>
  <si>
    <t>4,348 pour mille</t>
  </si>
  <si>
    <t>0,43%</t>
  </si>
  <si>
    <t>97%</t>
  </si>
  <si>
    <t>1541</t>
  </si>
  <si>
    <t>7595</t>
  </si>
  <si>
    <t>9136</t>
  </si>
  <si>
    <t>381476</t>
  </si>
  <si>
    <t>42 012</t>
  </si>
  <si>
    <t>1 057 287</t>
  </si>
  <si>
    <t>106 280</t>
  </si>
  <si>
    <t>31,7</t>
  </si>
  <si>
    <t>37,5</t>
  </si>
  <si>
    <t>11,6</t>
  </si>
  <si>
    <t>49,7</t>
  </si>
  <si>
    <t>49,1</t>
  </si>
  <si>
    <t>6 819</t>
  </si>
  <si>
    <t>1 332</t>
  </si>
  <si>
    <t>0,8%</t>
  </si>
  <si>
    <t>0,80%</t>
  </si>
  <si>
    <t>3 800</t>
  </si>
  <si>
    <t>487</t>
  </si>
  <si>
    <t>3562</t>
  </si>
  <si>
    <t>838</t>
  </si>
  <si>
    <t>491</t>
  </si>
  <si>
    <t>2757</t>
  </si>
  <si>
    <t>851</t>
  </si>
  <si>
    <t>416</t>
  </si>
  <si>
    <t>1030</t>
  </si>
  <si>
    <t>3062</t>
  </si>
  <si>
    <t>6707</t>
  </si>
  <si>
    <t>11414</t>
  </si>
  <si>
    <t>9 055</t>
  </si>
  <si>
    <t>18142</t>
  </si>
  <si>
    <t>96%</t>
  </si>
  <si>
    <t>2855</t>
  </si>
  <si>
    <t>10 435</t>
  </si>
  <si>
    <t>74,30%</t>
  </si>
  <si>
    <t>88,1%</t>
  </si>
  <si>
    <t>95,6%</t>
  </si>
  <si>
    <t>96,4%</t>
  </si>
  <si>
    <t>98,5%</t>
  </si>
  <si>
    <t>40,6</t>
  </si>
  <si>
    <t>760</t>
  </si>
  <si>
    <t>133 175</t>
  </si>
  <si>
    <t>5 490</t>
  </si>
  <si>
    <t>75,6%</t>
  </si>
  <si>
    <t>14 129</t>
  </si>
  <si>
    <t>465</t>
  </si>
  <si>
    <t>1074</t>
  </si>
  <si>
    <t>83 316</t>
  </si>
  <si>
    <t>281</t>
  </si>
  <si>
    <t>47 787</t>
  </si>
  <si>
    <t>11 161</t>
  </si>
  <si>
    <t>12 705</t>
  </si>
  <si>
    <t>828</t>
  </si>
  <si>
    <t>9 479</t>
  </si>
  <si>
    <t>3 962</t>
  </si>
  <si>
    <t>9 020</t>
  </si>
  <si>
    <t>71 934</t>
  </si>
  <si>
    <t>10 307</t>
  </si>
  <si>
    <t>4 644</t>
  </si>
  <si>
    <t>4 585</t>
  </si>
  <si>
    <t>97 445</t>
  </si>
  <si>
    <t>17 168</t>
  </si>
  <si>
    <t>5 506</t>
  </si>
  <si>
    <t>2 026</t>
  </si>
  <si>
    <t>2 390</t>
  </si>
  <si>
    <t>16 620</t>
  </si>
  <si>
    <t>10 034</t>
  </si>
  <si>
    <t>2 748</t>
  </si>
  <si>
    <t>14 464</t>
  </si>
  <si>
    <t>41 842</t>
  </si>
  <si>
    <t>4 351</t>
  </si>
  <si>
    <t>6 485</t>
  </si>
  <si>
    <t>10 835</t>
  </si>
  <si>
    <t>417</t>
  </si>
  <si>
    <t>21 286</t>
  </si>
  <si>
    <t>4 176</t>
  </si>
  <si>
    <t>1 774</t>
  </si>
  <si>
    <t>2 549</t>
  </si>
  <si>
    <t>2 992</t>
  </si>
  <si>
    <t>89 048</t>
  </si>
  <si>
    <t>1 171</t>
  </si>
  <si>
    <t>8 397</t>
  </si>
  <si>
    <t>6 939</t>
  </si>
  <si>
    <t>827</t>
  </si>
  <si>
    <t>5 894</t>
  </si>
  <si>
    <t>3 127</t>
  </si>
  <si>
    <t>70 869</t>
  </si>
  <si>
    <t>1 065</t>
  </si>
  <si>
    <t>1 870</t>
  </si>
  <si>
    <t>1 985</t>
  </si>
  <si>
    <t>32 611</t>
  </si>
  <si>
    <t>763 952</t>
  </si>
  <si>
    <t>5 220</t>
  </si>
  <si>
    <t>28 944</t>
  </si>
  <si>
    <t>763952</t>
  </si>
  <si>
    <t>830 727</t>
  </si>
  <si>
    <t>198</t>
  </si>
  <si>
    <t>1 728</t>
  </si>
  <si>
    <t>1 527</t>
  </si>
  <si>
    <t>3 934</t>
  </si>
  <si>
    <t>2 861</t>
  </si>
  <si>
    <t>23,4%</t>
  </si>
  <si>
    <t>1 620</t>
  </si>
  <si>
    <t>76 087</t>
  </si>
  <si>
    <t>17 904</t>
  </si>
  <si>
    <t>3 194</t>
  </si>
  <si>
    <t>33 025</t>
  </si>
  <si>
    <t>51 067</t>
  </si>
  <si>
    <t>58 183</t>
  </si>
  <si>
    <t>4 114</t>
  </si>
  <si>
    <t>161 659</t>
  </si>
  <si>
    <t>103 476</t>
  </si>
  <si>
    <t>7 309</t>
  </si>
  <si>
    <t>194 684</t>
  </si>
  <si>
    <t>246 354</t>
  </si>
  <si>
    <t>118 597</t>
  </si>
  <si>
    <t>14 360</t>
  </si>
  <si>
    <t>63 400</t>
  </si>
  <si>
    <t>8 956</t>
  </si>
  <si>
    <t>51 518</t>
  </si>
  <si>
    <t>9 419</t>
  </si>
  <si>
    <t>131 844</t>
  </si>
  <si>
    <t>80 325</t>
  </si>
  <si>
    <t>23 778</t>
  </si>
  <si>
    <t>7 664</t>
  </si>
  <si>
    <t>10 457</t>
  </si>
  <si>
    <t>11 870</t>
  </si>
  <si>
    <t>10 633</t>
  </si>
  <si>
    <t>11 040</t>
  </si>
  <si>
    <t>831</t>
  </si>
  <si>
    <t>32 733</t>
  </si>
  <si>
    <t>4 531</t>
  </si>
  <si>
    <t>101 071</t>
  </si>
  <si>
    <t>48 842</t>
  </si>
  <si>
    <t>66 891</t>
  </si>
  <si>
    <t>241 564</t>
  </si>
  <si>
    <t>41 039</t>
  </si>
  <si>
    <t>304 708</t>
  </si>
  <si>
    <t>7 760</t>
  </si>
  <si>
    <t>340</t>
  </si>
  <si>
    <t>7 806</t>
  </si>
  <si>
    <t>3300</t>
  </si>
  <si>
    <t>Variation de la valeur des ouvrages concédés au cours de lannée 2019 (en k) (Mise en service)</t>
  </si>
  <si>
    <t>Autres biens localisés Apports Enedis nets</t>
  </si>
  <si>
    <t>Autres biens localisés Apports externes nets (concédants &amp; tiers)</t>
  </si>
  <si>
    <t>Autres biens localisés Retraits et transferts en valeur brute</t>
  </si>
  <si>
    <t>Autres biens localisés Valeur brute au 01/01/2019 pro forma</t>
  </si>
  <si>
    <t>Autres biens localisés Valeur brute au 31/12/2019</t>
  </si>
  <si>
    <t>Autres biens non localisés Apports Enedis nets</t>
  </si>
  <si>
    <t>Autres biens non localisés Apports externes nets (concédants &amp; tiers)</t>
  </si>
  <si>
    <t>Autres biens non localisés Retraits et transferts en valeur brute</t>
  </si>
  <si>
    <t>Autres biens non localisés Valeur brute au 01/01/2019 pro forma</t>
  </si>
  <si>
    <t>Autres biens non localisés Valeur brute au 31/12/2019</t>
  </si>
  <si>
    <t>Canalisations BT Apports Enedis nets</t>
  </si>
  <si>
    <t>Canalisations BT Apports externes nets (concédants &amp; tiers)</t>
  </si>
  <si>
    <t>Canalisations BT Dont aérien Apports Enedis nets</t>
  </si>
  <si>
    <t>Canalisations BT Dont aérien Apports externes nets (concédants &amp; tiers)</t>
  </si>
  <si>
    <t>Canalisations BT Dont aérien Retraits et transferts en valeur brute</t>
  </si>
  <si>
    <t>Canalisations BT Dont aérien Valeur brute au 01/01/2019 pro forma</t>
  </si>
  <si>
    <t>Canalisations BT Dont aérien Valeur brute au 31/12/2019</t>
  </si>
  <si>
    <t>Canalisations BT Dont souterrain Apports Enedis nets</t>
  </si>
  <si>
    <t>Canalisations BT Dont souterrain Apports externes nets (concédants &amp; tiers)</t>
  </si>
  <si>
    <t>Canalisations BT Dont souterrain Retraits et transferts en valeur brute</t>
  </si>
  <si>
    <t>Canalisations BT Dont souterrain Valeur brute au 01/01/2019 pro forma</t>
  </si>
  <si>
    <t>Canalisations BT Dont souterrain Valeur brute au 31/12/2019</t>
  </si>
  <si>
    <t>Canalisations BT Retraits et transferts en valeur brute</t>
  </si>
  <si>
    <t>Canalisations BT Valeur brute au 01/01/2019 pro forma</t>
  </si>
  <si>
    <t>Canalisations BT Valeur brute au 31/12/2019</t>
  </si>
  <si>
    <t>Canalisations HTA Apports Enedis nets</t>
  </si>
  <si>
    <t>Canalisations HTA Apports externes nets (concédants &amp; tiers)</t>
  </si>
  <si>
    <t>Canalisations HTA Dont aérien Apports Enedis nets</t>
  </si>
  <si>
    <t>Canalisations HTA Dont aérien Apports externes nets (concédants &amp; tiers)</t>
  </si>
  <si>
    <t>Canalisations HTA Dont aérien Retraits et transferts en valeur brute</t>
  </si>
  <si>
    <t>Canalisations HTA Dont aérien Valeur brute au 01/01/2019 pro forma</t>
  </si>
  <si>
    <t>Canalisations HTA Dont aérien Valeur brute au 31/12/2019</t>
  </si>
  <si>
    <t>Canalisations HTA Dont souterrain Apports Enedis nets</t>
  </si>
  <si>
    <t>Canalisations HTA Dont souterrain Apports externes nets (concédants &amp; tiers)</t>
  </si>
  <si>
    <t>Canalisations HTA Dont souterrain Retraits et transferts en valeur brute</t>
  </si>
  <si>
    <t>Canalisations HTA Dont souterrain Valeur brute au 01/01/2019 pro forma</t>
  </si>
  <si>
    <t>Canalisations HTA Dont souterrain Valeur brute au 31/12/2019</t>
  </si>
  <si>
    <t>Canalisations HTA Retraits et transferts en valeur brute</t>
  </si>
  <si>
    <t>Canalisations HTA Valeur brute au 01/01/2019 pro forma</t>
  </si>
  <si>
    <t>Canalisations HTA Valeur brute au 31/12/2019</t>
  </si>
  <si>
    <t>Comptage Apports Enedis nets</t>
  </si>
  <si>
    <t>Comptage Apports externes nets (concédants &amp; tiers)</t>
  </si>
  <si>
    <t>Comptage non localisé Apports Enedis nets</t>
  </si>
  <si>
    <t>Comptage non localisé Apports externes nets (concédants &amp; tiers)</t>
  </si>
  <si>
    <t>Comptage non localisé Retraits et transferts en valeur brute</t>
  </si>
  <si>
    <t>Comptage non localisé Valeur brute au 01/01/2019 pro forma</t>
  </si>
  <si>
    <t>Comptage non localisé Valeur brute au 31/12/2019</t>
  </si>
  <si>
    <t>Comptage Retraits et transferts en valeur brute</t>
  </si>
  <si>
    <t>Comptage Valeur brute au 01/01/2019 pro forma</t>
  </si>
  <si>
    <t>Comptage Valeur brute au 31/12/2019</t>
  </si>
  <si>
    <t>Dont compteurs Linky Apports Enedis nets</t>
  </si>
  <si>
    <t>Dont compteurs Linky Apports externes nets (concédants &amp; tiers)</t>
  </si>
  <si>
    <t>Dont compteurs Linky Retraits et transferts en valeur brute</t>
  </si>
  <si>
    <t>Dont compteurs Linky Valeur brute au 01/01/2019 pro forma</t>
  </si>
  <si>
    <t>Dont compteurs Linky Valeur brute au 31/12/2019</t>
  </si>
  <si>
    <t>Dont compteurs marché d'affaires Apports Enedis nets</t>
  </si>
  <si>
    <t>Dont compteurs marché d'affaires Apports externes nets (concédants &amp; tiers)</t>
  </si>
  <si>
    <t>Dont compteurs marché d'affaires Retraits et transferts en valeur brute</t>
  </si>
  <si>
    <t>Dont compteurs marché d'affaires Valeur brute au 01/01/2019 pro forma</t>
  </si>
  <si>
    <t>Dont compteurs marché d'affaires Valeur brute au 31/12/2019</t>
  </si>
  <si>
    <t>Ouvrages collectifs de branchement Apports Enedis nets</t>
  </si>
  <si>
    <t>Ouvrages collectifs de branchement Apports externes nets (concédants &amp; tiers)</t>
  </si>
  <si>
    <t>Ouvrages collectifs de branchement Retraits et transferts en valeur brute</t>
  </si>
  <si>
    <t>Ouvrages collectifs de branchement Valeur brute au 01/01/2019 pro forma</t>
  </si>
  <si>
    <t>Ouvrages collectifs de branchement Valeur brute au 31/12/2019</t>
  </si>
  <si>
    <t>Ouvrages de branchements non localisés Apports Enedis nets</t>
  </si>
  <si>
    <t>Ouvrages de branchements non localisés Apports externes nets (concédants &amp; tiers)</t>
  </si>
  <si>
    <t>Ouvrages de branchements non localisés Retraits et transferts en valeur brute</t>
  </si>
  <si>
    <t>Ouvrages de branchements non localisés Valeur brute au 01/01/2019 pro forma</t>
  </si>
  <si>
    <t>Ouvrages de branchements non localisés Valeur brute au 31/12/2019</t>
  </si>
  <si>
    <t>Postes HTA-BT Apports Enedis nets</t>
  </si>
  <si>
    <t>Postes HTA-BT Apports externes nets (concédants &amp; tiers)</t>
  </si>
  <si>
    <t>Postes HTA-BT Retraits et transferts en valeur brute</t>
  </si>
  <si>
    <t>Postes HTA-BT Valeur brute au 01/01/2019 pro forma</t>
  </si>
  <si>
    <t>Postes HTA-BT Valeur brute au 31/12/2019</t>
  </si>
  <si>
    <t>Total Apports Enedis nets</t>
  </si>
  <si>
    <t>Total Apports externes nets (concédants &amp; tiers)</t>
  </si>
  <si>
    <t>Total Retraits et transferts en valeur brute</t>
  </si>
  <si>
    <t>Total Valeur brute au 01/01/2019 pro forma</t>
  </si>
  <si>
    <t>Total Valeur brute au 31/12/2019</t>
  </si>
  <si>
    <t>Transformateurs HTA-BT Apports Enedis nets</t>
  </si>
  <si>
    <t>Transformateurs HTA-BT Apports externes nets (concédants &amp; tiers)</t>
  </si>
  <si>
    <t>Transformateurs HTA-BT Retraits et transferts en valeur brute</t>
  </si>
  <si>
    <t>Transformateurs HTA-BT Valeur brute au 01/01/2019 pro forma</t>
  </si>
  <si>
    <t>Transformateurs HTA-BT Valeur brute au 31/12/2019</t>
  </si>
  <si>
    <t>125 695</t>
  </si>
  <si>
    <t>77 932</t>
  </si>
  <si>
    <t>256 946</t>
  </si>
  <si>
    <t>531 254</t>
  </si>
  <si>
    <t>2 017 335</t>
  </si>
  <si>
    <t>1 818 825 451</t>
  </si>
  <si>
    <t>179 132</t>
  </si>
  <si>
    <t>70 350 773</t>
  </si>
  <si>
    <t>2 255 835</t>
  </si>
  <si>
    <t>2 451 259</t>
  </si>
  <si>
    <t>2 260 774</t>
  </si>
  <si>
    <t>52,00%</t>
  </si>
  <si>
    <t>4 712 032</t>
  </si>
  <si>
    <t>1 945</t>
  </si>
  <si>
    <t>523</t>
  </si>
  <si>
    <t>225</t>
  </si>
  <si>
    <t>1 339</t>
  </si>
  <si>
    <t>4 032</t>
  </si>
  <si>
    <t>37 395</t>
  </si>
  <si>
    <t>248 322</t>
  </si>
  <si>
    <t>2 194 993</t>
  </si>
  <si>
    <t>1 216 532</t>
  </si>
  <si>
    <t>1 464 854</t>
  </si>
  <si>
    <t>60,0%</t>
  </si>
  <si>
    <t>3 659 847</t>
  </si>
  <si>
    <t>57.0</t>
  </si>
  <si>
    <t>921</t>
  </si>
  <si>
    <t>444</t>
  </si>
  <si>
    <t>901</t>
  </si>
  <si>
    <t>551</t>
  </si>
  <si>
    <t>10 168</t>
  </si>
  <si>
    <t>7 397</t>
  </si>
  <si>
    <t>5 512</t>
  </si>
  <si>
    <t>23 077</t>
  </si>
  <si>
    <t>23077</t>
  </si>
  <si>
    <t>5 391</t>
  </si>
  <si>
    <t>442</t>
  </si>
  <si>
    <t>2 465</t>
  </si>
  <si>
    <t>6 973</t>
  </si>
  <si>
    <t>8 298</t>
  </si>
  <si>
    <t>363</t>
  </si>
  <si>
    <t>6,5</t>
  </si>
  <si>
    <t>935 837 408</t>
  </si>
  <si>
    <t>176 251</t>
  </si>
  <si>
    <t>46 415 918</t>
  </si>
  <si>
    <t>373</t>
  </si>
  <si>
    <t>158</t>
  </si>
  <si>
    <t>215</t>
  </si>
  <si>
    <t>14 017</t>
  </si>
  <si>
    <t>8 308</t>
  </si>
  <si>
    <t>1,0</t>
  </si>
  <si>
    <t>1,00%</t>
  </si>
  <si>
    <t>86,40%</t>
  </si>
  <si>
    <t>248 400 027</t>
  </si>
  <si>
    <t>2 240</t>
  </si>
  <si>
    <t>11 295 723</t>
  </si>
  <si>
    <t>99,40%</t>
  </si>
  <si>
    <t>634 588 016</t>
  </si>
  <si>
    <t>641</t>
  </si>
  <si>
    <t>12 639 132</t>
  </si>
  <si>
    <t>47 105 558</t>
  </si>
  <si>
    <t>6 615</t>
  </si>
  <si>
    <t>6 248 166</t>
  </si>
  <si>
    <t>570 021 176</t>
  </si>
  <si>
    <t>105 837</t>
  </si>
  <si>
    <t>72 504 195</t>
  </si>
  <si>
    <t>48 518</t>
  </si>
  <si>
    <t>4 173</t>
  </si>
  <si>
    <t>52 889</t>
  </si>
  <si>
    <t>105 836</t>
  </si>
  <si>
    <t>156 704 188</t>
  </si>
  <si>
    <t>880 939</t>
  </si>
  <si>
    <t>30 526 059</t>
  </si>
  <si>
    <t>381 908 225</t>
  </si>
  <si>
    <t>570 019 410</t>
  </si>
  <si>
    <t>358</t>
  </si>
  <si>
    <t>10 030</t>
  </si>
  <si>
    <t>70 241</t>
  </si>
  <si>
    <t>25 238</t>
  </si>
  <si>
    <t>193 001</t>
  </si>
  <si>
    <t>5 863</t>
  </si>
  <si>
    <t>1 580</t>
  </si>
  <si>
    <t>261 733</t>
  </si>
  <si>
    <t>44 925</t>
  </si>
  <si>
    <t>517</t>
  </si>
  <si>
    <t>3 053</t>
  </si>
  <si>
    <t>32 301</t>
  </si>
  <si>
    <t>36 878</t>
  </si>
  <si>
    <t>4 231</t>
  </si>
  <si>
    <t>2 343</t>
  </si>
  <si>
    <t>23 854</t>
  </si>
  <si>
    <t>1 158</t>
  </si>
  <si>
    <t>1 251</t>
  </si>
  <si>
    <t>39,2%</t>
  </si>
  <si>
    <t>247</t>
  </si>
  <si>
    <t>498</t>
  </si>
  <si>
    <t>2 484</t>
  </si>
  <si>
    <t>95,3%</t>
  </si>
  <si>
    <t>10 326</t>
  </si>
  <si>
    <t>522 915 618</t>
  </si>
  <si>
    <t>99 222</t>
  </si>
  <si>
    <t>66 256 029</t>
  </si>
  <si>
    <t>4,759 pour mille</t>
  </si>
  <si>
    <t>5,241 pour mille</t>
  </si>
  <si>
    <t>4,584 pour mille</t>
  </si>
  <si>
    <t>4,693 pour mille</t>
  </si>
  <si>
    <t>867</t>
  </si>
  <si>
    <t>6 650</t>
  </si>
  <si>
    <t>7 516</t>
  </si>
  <si>
    <t>244 276</t>
  </si>
  <si>
    <t>29 069</t>
  </si>
  <si>
    <t>76 030</t>
  </si>
  <si>
    <t>12 294</t>
  </si>
  <si>
    <t>7,5</t>
  </si>
  <si>
    <t>16,3</t>
  </si>
  <si>
    <t>24,5</t>
  </si>
  <si>
    <t>13,2</t>
  </si>
  <si>
    <t>8,8</t>
  </si>
  <si>
    <t>37,7</t>
  </si>
  <si>
    <t>5 073</t>
  </si>
  <si>
    <t>859</t>
  </si>
  <si>
    <t>0,5%</t>
  </si>
  <si>
    <t>2 788</t>
  </si>
  <si>
    <t>532</t>
  </si>
  <si>
    <t>944</t>
  </si>
  <si>
    <t>545</t>
  </si>
  <si>
    <t>330</t>
  </si>
  <si>
    <t>552</t>
  </si>
  <si>
    <t>621</t>
  </si>
  <si>
    <t>4 785</t>
  </si>
  <si>
    <t>1 962</t>
  </si>
  <si>
    <t>9 745</t>
  </si>
  <si>
    <t>7 129</t>
  </si>
  <si>
    <t>2 616</t>
  </si>
  <si>
    <t>19 280</t>
  </si>
  <si>
    <t>96,6%</t>
  </si>
  <si>
    <t>3 028</t>
  </si>
  <si>
    <t>10 420</t>
  </si>
  <si>
    <t>77,1%</t>
  </si>
  <si>
    <t>83,8%</t>
  </si>
  <si>
    <t>83,5%</t>
  </si>
  <si>
    <t>94,0%</t>
  </si>
  <si>
    <t>93,7%</t>
  </si>
  <si>
    <t>780</t>
  </si>
  <si>
    <t>746</t>
  </si>
  <si>
    <t>1 904</t>
  </si>
  <si>
    <t>164 294</t>
  </si>
  <si>
    <t>163 880</t>
  </si>
  <si>
    <t>7 578</t>
  </si>
  <si>
    <t>92,5%</t>
  </si>
  <si>
    <t>17 554</t>
  </si>
  <si>
    <t>861</t>
  </si>
  <si>
    <t>1 208</t>
  </si>
  <si>
    <t>93 972</t>
  </si>
  <si>
    <t>52 198</t>
  </si>
  <si>
    <t>11 643</t>
  </si>
  <si>
    <t>13 774</t>
  </si>
  <si>
    <t>14 208</t>
  </si>
  <si>
    <t>2 930</t>
  </si>
  <si>
    <t>3 675</t>
  </si>
  <si>
    <t>8 635</t>
  </si>
  <si>
    <t>77 635</t>
  </si>
  <si>
    <t>15 130</t>
  </si>
  <si>
    <t>8 058</t>
  </si>
  <si>
    <t>111 526</t>
  </si>
  <si>
    <t>19 035</t>
  </si>
  <si>
    <t>7 287</t>
  </si>
  <si>
    <t>2 671</t>
  </si>
  <si>
    <t>16 006</t>
  </si>
  <si>
    <t>10 416</t>
  </si>
  <si>
    <t>2 236</t>
  </si>
  <si>
    <t>1 931</t>
  </si>
  <si>
    <t>5 279</t>
  </si>
  <si>
    <t>14 835</t>
  </si>
  <si>
    <t>44 093</t>
  </si>
  <si>
    <t>5 308</t>
  </si>
  <si>
    <t>6 664</t>
  </si>
  <si>
    <t>11 972</t>
  </si>
  <si>
    <t>929</t>
  </si>
  <si>
    <t>23 317</t>
  </si>
  <si>
    <t>3 637</t>
  </si>
  <si>
    <t>5 838</t>
  </si>
  <si>
    <t>3 073</t>
  </si>
  <si>
    <t>93 832</t>
  </si>
  <si>
    <t>1 429</t>
  </si>
  <si>
    <t>17 694</t>
  </si>
  <si>
    <t>6 470</t>
  </si>
  <si>
    <t>11 224</t>
  </si>
  <si>
    <t>22,9%</t>
  </si>
  <si>
    <t>1 147</t>
  </si>
  <si>
    <t>912</t>
  </si>
  <si>
    <t>5 766</t>
  </si>
  <si>
    <t>2 869</t>
  </si>
  <si>
    <t>78 270</t>
  </si>
  <si>
    <t>635</t>
  </si>
  <si>
    <t>4 383</t>
  </si>
  <si>
    <t>2 260</t>
  </si>
  <si>
    <t>2 389</t>
  </si>
  <si>
    <t>39 427</t>
  </si>
  <si>
    <t>891 390</t>
  </si>
  <si>
    <t>33 805</t>
  </si>
  <si>
    <t>969 842</t>
  </si>
  <si>
    <t>22,0%</t>
  </si>
  <si>
    <t>211</t>
  </si>
  <si>
    <t>511</t>
  </si>
  <si>
    <t>1 288</t>
  </si>
  <si>
    <t>948</t>
  </si>
  <si>
    <t>2 049</t>
  </si>
  <si>
    <t>12 786</t>
  </si>
  <si>
    <t>3 559</t>
  </si>
  <si>
    <t>2 278</t>
  </si>
  <si>
    <t>149</t>
  </si>
  <si>
    <t>1 750</t>
  </si>
  <si>
    <t>1 948</t>
  </si>
  <si>
    <t>122</t>
  </si>
  <si>
    <t>3 452</t>
  </si>
  <si>
    <t>3 687</t>
  </si>
  <si>
    <t>1 505</t>
  </si>
  <si>
    <t>1 403</t>
  </si>
  <si>
    <t>1 455</t>
  </si>
  <si>
    <t>967</t>
  </si>
  <si>
    <t>80 463</t>
  </si>
  <si>
    <t>18 250</t>
  </si>
  <si>
    <t>2 979</t>
  </si>
  <si>
    <t>33 138</t>
  </si>
  <si>
    <t>51 328</t>
  </si>
  <si>
    <t>14 888</t>
  </si>
  <si>
    <t>62 213</t>
  </si>
  <si>
    <t>3 893</t>
  </si>
  <si>
    <t>168 279</t>
  </si>
  <si>
    <t>204 004</t>
  </si>
  <si>
    <t>106 066</t>
  </si>
  <si>
    <t>6 872</t>
  </si>
  <si>
    <t>201 417</t>
  </si>
  <si>
    <t>255 332</t>
  </si>
  <si>
    <t>120 954</t>
  </si>
  <si>
    <t>81 461</t>
  </si>
  <si>
    <t>26 865</t>
  </si>
  <si>
    <t>14 318</t>
  </si>
  <si>
    <t>35 515</t>
  </si>
  <si>
    <t>64 243</t>
  </si>
  <si>
    <t>8 649</t>
  </si>
  <si>
    <t>54 596</t>
  </si>
  <si>
    <t>9 143</t>
  </si>
  <si>
    <t>140 565</t>
  </si>
  <si>
    <t>176 631</t>
  </si>
  <si>
    <t>85 969</t>
  </si>
  <si>
    <t>23 462</t>
  </si>
  <si>
    <t>176 080</t>
  </si>
  <si>
    <t>240 874</t>
  </si>
  <si>
    <t>94 618</t>
  </si>
  <si>
    <t>7 520</t>
  </si>
  <si>
    <t>10 049</t>
  </si>
  <si>
    <t>2 529</t>
  </si>
  <si>
    <t>14 794</t>
  </si>
  <si>
    <t>12 896</t>
  </si>
  <si>
    <t>13 908</t>
  </si>
  <si>
    <t>12 262</t>
  </si>
  <si>
    <t>885</t>
  </si>
  <si>
    <t>634</t>
  </si>
  <si>
    <t>3 709</t>
  </si>
  <si>
    <t>12 150</t>
  </si>
  <si>
    <t>14 179</t>
  </si>
  <si>
    <t>8 440</t>
  </si>
  <si>
    <t>34 760</t>
  </si>
  <si>
    <t>4 595</t>
  </si>
  <si>
    <t>83 857</t>
  </si>
  <si>
    <t>105 225</t>
  </si>
  <si>
    <t>49 097</t>
  </si>
  <si>
    <t>33 859</t>
  </si>
  <si>
    <t>4 777</t>
  </si>
  <si>
    <t>49 418</t>
  </si>
  <si>
    <t>67 834</t>
  </si>
  <si>
    <t>15 559</t>
  </si>
  <si>
    <t>254 066</t>
  </si>
  <si>
    <t>40 174</t>
  </si>
  <si>
    <t>568 319</t>
  </si>
  <si>
    <t>732 631</t>
  </si>
  <si>
    <t>314 252</t>
  </si>
  <si>
    <t>8 012</t>
  </si>
  <si>
    <t>344</t>
  </si>
  <si>
    <t>15 700</t>
  </si>
  <si>
    <t>19 204</t>
  </si>
  <si>
    <t>7 688</t>
  </si>
  <si>
    <t>314 251</t>
  </si>
  <si>
    <t>134 837</t>
  </si>
  <si>
    <t>80 183</t>
  </si>
  <si>
    <t>259 597</t>
  </si>
  <si>
    <t>600 955</t>
  </si>
  <si>
    <t>1 165 015</t>
  </si>
  <si>
    <t>1 970 488 077</t>
  </si>
  <si>
    <t>180 537</t>
  </si>
  <si>
    <t>78 433 476</t>
  </si>
  <si>
    <t>187 168</t>
  </si>
  <si>
    <t>2 248 241</t>
  </si>
  <si>
    <t>2 606 034</t>
  </si>
  <si>
    <t>4 984</t>
  </si>
  <si>
    <t>2 253 225</t>
  </si>
  <si>
    <t>53,6%</t>
  </si>
  <si>
    <t>4 859 259</t>
  </si>
  <si>
    <t>1 972</t>
  </si>
  <si>
    <t>522</t>
  </si>
  <si>
    <t>1 340</t>
  </si>
  <si>
    <t>2 577</t>
  </si>
  <si>
    <t>1 482</t>
  </si>
  <si>
    <t>4 059</t>
  </si>
  <si>
    <t>33 491</t>
  </si>
  <si>
    <t>239 046</t>
  </si>
  <si>
    <t>2 243 977</t>
  </si>
  <si>
    <t>1 208 187</t>
  </si>
  <si>
    <t>1 447 233</t>
  </si>
  <si>
    <t>60,8%</t>
  </si>
  <si>
    <t>3 691 210</t>
  </si>
  <si>
    <t>453</t>
  </si>
  <si>
    <t>991</t>
  </si>
  <si>
    <t>877</t>
  </si>
  <si>
    <t>682</t>
  </si>
  <si>
    <t>757</t>
  </si>
  <si>
    <t>1 173</t>
  </si>
  <si>
    <t>857</t>
  </si>
  <si>
    <t>862</t>
  </si>
  <si>
    <t>1 364</t>
  </si>
  <si>
    <t>182</t>
  </si>
  <si>
    <t>1 192</t>
  </si>
  <si>
    <t>130 431</t>
  </si>
  <si>
    <t>7 302</t>
  </si>
  <si>
    <t>7 473</t>
  </si>
  <si>
    <t>145 206</t>
  </si>
  <si>
    <t>6 160</t>
  </si>
  <si>
    <t>4 250</t>
  </si>
  <si>
    <t>9 243</t>
  </si>
  <si>
    <t>1 233</t>
  </si>
  <si>
    <t>10 476</t>
  </si>
  <si>
    <t>401</t>
  </si>
  <si>
    <t>369</t>
  </si>
  <si>
    <t>2,8</t>
  </si>
  <si>
    <t>770</t>
  </si>
  <si>
    <t>1 048 496 860</t>
  </si>
  <si>
    <t>177 618</t>
  </si>
  <si>
    <t>53 453 885</t>
  </si>
  <si>
    <t>534</t>
  </si>
  <si>
    <t>12 341</t>
  </si>
  <si>
    <t>5 024</t>
  </si>
  <si>
    <t>1,4</t>
  </si>
  <si>
    <t>93,0%</t>
  </si>
  <si>
    <t>227</t>
  </si>
  <si>
    <t>124 595</t>
  </si>
  <si>
    <t>251 606 365</t>
  </si>
  <si>
    <t>2 296</t>
  </si>
  <si>
    <t>11 670 447</t>
  </si>
  <si>
    <t>670 384 852</t>
  </si>
  <si>
    <t>623</t>
  </si>
  <si>
    <t>13 309 144</t>
  </si>
  <si>
    <t>42 305 127</t>
  </si>
  <si>
    <t>6 603</t>
  </si>
  <si>
    <t>6 761 663</t>
  </si>
  <si>
    <t>552 368 250</t>
  </si>
  <si>
    <t>104 151</t>
  </si>
  <si>
    <t>92 487 234</t>
  </si>
  <si>
    <t>47 537</t>
  </si>
  <si>
    <t>312</t>
  </si>
  <si>
    <t>4 446</t>
  </si>
  <si>
    <t>51 854</t>
  </si>
  <si>
    <t>104 149</t>
  </si>
  <si>
    <t>152 680 968</t>
  </si>
  <si>
    <t>871 206</t>
  </si>
  <si>
    <t>31 725 568</t>
  </si>
  <si>
    <t>367 090 509</t>
  </si>
  <si>
    <t>11 559</t>
  </si>
  <si>
    <t>68 699</t>
  </si>
  <si>
    <t>24 876</t>
  </si>
  <si>
    <t>205 702</t>
  </si>
  <si>
    <t>9 308</t>
  </si>
  <si>
    <t>1 016</t>
  </si>
  <si>
    <t>248 491</t>
  </si>
  <si>
    <t>45 537</t>
  </si>
  <si>
    <t>404</t>
  </si>
  <si>
    <t>38 529</t>
  </si>
  <si>
    <t>40 880</t>
  </si>
  <si>
    <t>4 367</t>
  </si>
  <si>
    <t>22 541</t>
  </si>
  <si>
    <t>1 464</t>
  </si>
  <si>
    <t>447</t>
  </si>
  <si>
    <t>2 215</t>
  </si>
  <si>
    <t>95,3 %</t>
  </si>
  <si>
    <t>10 521</t>
  </si>
  <si>
    <t>82 000</t>
  </si>
  <si>
    <t>510 063 123</t>
  </si>
  <si>
    <t>97 548</t>
  </si>
  <si>
    <t>85 725 572</t>
  </si>
  <si>
    <t>4,736  pour mille</t>
  </si>
  <si>
    <t>5,338  pour mille</t>
  </si>
  <si>
    <t>4,549  pour mille</t>
  </si>
  <si>
    <t>4,610  pour mille</t>
  </si>
  <si>
    <t>99 %</t>
  </si>
  <si>
    <t>903</t>
  </si>
  <si>
    <t>6 104</t>
  </si>
  <si>
    <t>7 008</t>
  </si>
  <si>
    <t>239 505</t>
  </si>
  <si>
    <t>35 483</t>
  </si>
  <si>
    <t>58 645</t>
  </si>
  <si>
    <t>9 686</t>
  </si>
  <si>
    <t>0,2</t>
  </si>
  <si>
    <t>17,7</t>
  </si>
  <si>
    <t>23,6</t>
  </si>
  <si>
    <t>71,4</t>
  </si>
  <si>
    <t>70,9</t>
  </si>
  <si>
    <t>4 071</t>
  </si>
  <si>
    <t>4 295</t>
  </si>
  <si>
    <t>813</t>
  </si>
  <si>
    <t>188</t>
  </si>
  <si>
    <t>722</t>
  </si>
  <si>
    <t>791</t>
  </si>
  <si>
    <t>3 902</t>
  </si>
  <si>
    <t>806</t>
  </si>
  <si>
    <t>1 514</t>
  </si>
  <si>
    <t>452</t>
  </si>
  <si>
    <t>118</t>
  </si>
  <si>
    <t>1 063</t>
  </si>
  <si>
    <t>2 958</t>
  </si>
  <si>
    <t>7 046</t>
  </si>
  <si>
    <t>8 969</t>
  </si>
  <si>
    <t>6 799</t>
  </si>
  <si>
    <t>2 171</t>
  </si>
  <si>
    <t>748</t>
  </si>
  <si>
    <t>16 763</t>
  </si>
  <si>
    <t>90,4 %</t>
  </si>
  <si>
    <t>66,3 %</t>
  </si>
  <si>
    <t>76,5 %</t>
  </si>
  <si>
    <t>2 926</t>
  </si>
  <si>
    <t>7 525</t>
  </si>
  <si>
    <t>81,2 %</t>
  </si>
  <si>
    <t>87,0 %</t>
  </si>
  <si>
    <t>90,0 %</t>
  </si>
  <si>
    <t>82,8 %</t>
  </si>
  <si>
    <t>100,0 %</t>
  </si>
  <si>
    <t>90,3 %</t>
  </si>
  <si>
    <t>87,3 %</t>
  </si>
  <si>
    <t>92,6 %</t>
  </si>
  <si>
    <t>98,5 %</t>
  </si>
  <si>
    <t>982</t>
  </si>
  <si>
    <t>169 501</t>
  </si>
  <si>
    <t>169 009</t>
  </si>
  <si>
    <t>8 792</t>
  </si>
  <si>
    <t>49 218</t>
  </si>
  <si>
    <t>23 208</t>
  </si>
  <si>
    <t>6 580</t>
  </si>
  <si>
    <t>1 322</t>
  </si>
  <si>
    <t>82 016</t>
  </si>
  <si>
    <t>49 749</t>
  </si>
  <si>
    <t>12 133</t>
  </si>
  <si>
    <t>14 479</t>
  </si>
  <si>
    <t>937</t>
  </si>
  <si>
    <t>3 373</t>
  </si>
  <si>
    <t>3 768</t>
  </si>
  <si>
    <t>3 958</t>
  </si>
  <si>
    <t>817</t>
  </si>
  <si>
    <t>8 084</t>
  </si>
  <si>
    <t>76 383</t>
  </si>
  <si>
    <t>4 310</t>
  </si>
  <si>
    <t>8 543</t>
  </si>
  <si>
    <t>4 775</t>
  </si>
  <si>
    <t>105 224</t>
  </si>
  <si>
    <t>9 389</t>
  </si>
  <si>
    <t>10 776</t>
  </si>
  <si>
    <t>1 495</t>
  </si>
  <si>
    <t>2 653</t>
  </si>
  <si>
    <t>14 569</t>
  </si>
  <si>
    <t>10 773</t>
  </si>
  <si>
    <t>2 397</t>
  </si>
  <si>
    <t>1 864</t>
  </si>
  <si>
    <t>5 410</t>
  </si>
  <si>
    <t>14 768</t>
  </si>
  <si>
    <t>36 994</t>
  </si>
  <si>
    <t>1 467</t>
  </si>
  <si>
    <t>7 135</t>
  </si>
  <si>
    <t>7 254</t>
  </si>
  <si>
    <t>14 389</t>
  </si>
  <si>
    <t>753</t>
  </si>
  <si>
    <t>25 914</t>
  </si>
  <si>
    <t>3 865</t>
  </si>
  <si>
    <t>1 563</t>
  </si>
  <si>
    <t>5 314</t>
  </si>
  <si>
    <t>2 823</t>
  </si>
  <si>
    <t>89 605</t>
  </si>
  <si>
    <t>15 619</t>
  </si>
  <si>
    <t>2 335</t>
  </si>
  <si>
    <t>13 283</t>
  </si>
  <si>
    <t>754</t>
  </si>
  <si>
    <t>22,6 %</t>
  </si>
  <si>
    <t>1 256</t>
  </si>
  <si>
    <t>936</t>
  </si>
  <si>
    <t>0,7 %</t>
  </si>
  <si>
    <t>5 713</t>
  </si>
  <si>
    <t>76 392</t>
  </si>
  <si>
    <t>0,1 %</t>
  </si>
  <si>
    <t>96</t>
  </si>
  <si>
    <t>2 687</t>
  </si>
  <si>
    <t>2 821</t>
  </si>
  <si>
    <t>40 532</t>
  </si>
  <si>
    <t>978 171</t>
  </si>
  <si>
    <t>38 465</t>
  </si>
  <si>
    <t>1 062 388</t>
  </si>
  <si>
    <t>21,8 %</t>
  </si>
  <si>
    <t>221</t>
  </si>
  <si>
    <t>588</t>
  </si>
  <si>
    <t>2 065</t>
  </si>
  <si>
    <t>1 338</t>
  </si>
  <si>
    <t>1 059</t>
  </si>
  <si>
    <t>1 889</t>
  </si>
  <si>
    <t>12 879</t>
  </si>
  <si>
    <t>22,5 %</t>
  </si>
  <si>
    <t>25,0 %</t>
  </si>
  <si>
    <t>3 572</t>
  </si>
  <si>
    <t>1 741</t>
  </si>
  <si>
    <t>16,4 %</t>
  </si>
  <si>
    <t>1 382</t>
  </si>
  <si>
    <t>2 034</t>
  </si>
  <si>
    <t>2 046</t>
  </si>
  <si>
    <t>2 157</t>
  </si>
  <si>
    <t>3 590</t>
  </si>
  <si>
    <t>3 909</t>
  </si>
  <si>
    <t>1 433</t>
  </si>
  <si>
    <t>582</t>
  </si>
  <si>
    <t>1 519</t>
  </si>
  <si>
    <t>1 623</t>
  </si>
  <si>
    <t>938</t>
  </si>
  <si>
    <t>45 563</t>
  </si>
  <si>
    <t>7 453</t>
  </si>
  <si>
    <t>99 781</t>
  </si>
  <si>
    <t>131 632</t>
  </si>
  <si>
    <t>54 218</t>
  </si>
  <si>
    <t>84 780</t>
  </si>
  <si>
    <t>18 468</t>
  </si>
  <si>
    <t>2 839</t>
  </si>
  <si>
    <t>32 929</t>
  </si>
  <si>
    <t>52 327</t>
  </si>
  <si>
    <t>66 311</t>
  </si>
  <si>
    <t>3 648</t>
  </si>
  <si>
    <t>173 688</t>
  </si>
  <si>
    <t>216 362</t>
  </si>
  <si>
    <t>107 377</t>
  </si>
  <si>
    <t>6 486</t>
  </si>
  <si>
    <t>206 617</t>
  </si>
  <si>
    <t>268 689</t>
  </si>
  <si>
    <t>121 837</t>
  </si>
  <si>
    <t>85 589</t>
  </si>
  <si>
    <t>27 661</t>
  </si>
  <si>
    <t>14 198</t>
  </si>
  <si>
    <t>35 969</t>
  </si>
  <si>
    <t>66 205</t>
  </si>
  <si>
    <t>57 928</t>
  </si>
  <si>
    <t>9 052</t>
  </si>
  <si>
    <t>143 747</t>
  </si>
  <si>
    <t>185 563</t>
  </si>
  <si>
    <t>85 819</t>
  </si>
  <si>
    <t>23 250</t>
  </si>
  <si>
    <t>179 716</t>
  </si>
  <si>
    <t>251 768</t>
  </si>
  <si>
    <t>94 127</t>
  </si>
  <si>
    <t>4 194</t>
  </si>
  <si>
    <t>253</t>
  </si>
  <si>
    <t>473</t>
  </si>
  <si>
    <t>17 722</t>
  </si>
  <si>
    <t>13 528</t>
  </si>
  <si>
    <t>3 733</t>
  </si>
  <si>
    <t>2 433</t>
  </si>
  <si>
    <t>5 453</t>
  </si>
  <si>
    <t>9 692</t>
  </si>
  <si>
    <t>1 720</t>
  </si>
  <si>
    <t>2 348</t>
  </si>
  <si>
    <t>14 488</t>
  </si>
  <si>
    <t>12 140</t>
  </si>
  <si>
    <t>918</t>
  </si>
  <si>
    <t>631</t>
  </si>
  <si>
    <t>10 983</t>
  </si>
  <si>
    <t>696</t>
  </si>
  <si>
    <t>19 297</t>
  </si>
  <si>
    <t>25 370</t>
  </si>
  <si>
    <t>8 314</t>
  </si>
  <si>
    <t>1 558</t>
  </si>
  <si>
    <t>2 316</t>
  </si>
  <si>
    <t>758</t>
  </si>
  <si>
    <t>30 846</t>
  </si>
  <si>
    <t>4 325</t>
  </si>
  <si>
    <t>75 031</t>
  </si>
  <si>
    <t>96 571</t>
  </si>
  <si>
    <t>44 184</t>
  </si>
  <si>
    <t>3 961</t>
  </si>
  <si>
    <t>12 569</t>
  </si>
  <si>
    <t>15 121</t>
  </si>
  <si>
    <t>8 608</t>
  </si>
  <si>
    <t>35 108</t>
  </si>
  <si>
    <t>4 320</t>
  </si>
  <si>
    <t>50 304</t>
  </si>
  <si>
    <t>70 184</t>
  </si>
  <si>
    <t>15 196</t>
  </si>
  <si>
    <t>270 423</t>
  </si>
  <si>
    <t>41 957</t>
  </si>
  <si>
    <t>588 238</t>
  </si>
  <si>
    <t>783 102</t>
  </si>
  <si>
    <t>317 815</t>
  </si>
  <si>
    <t>8 237</t>
  </si>
  <si>
    <t>15 947</t>
  </si>
  <si>
    <t>21 981</t>
  </si>
  <si>
    <t>7 709</t>
  </si>
  <si>
    <t>142 113</t>
  </si>
  <si>
    <t>83 408</t>
  </si>
  <si>
    <t>259 110</t>
  </si>
  <si>
    <t>674 315</t>
  </si>
  <si>
    <t>1 585 929</t>
  </si>
  <si>
    <t>1 891 074 076</t>
  </si>
  <si>
    <t>181 759</t>
  </si>
  <si>
    <t>76 632 960</t>
  </si>
  <si>
    <t>2 243 395</t>
  </si>
  <si>
    <t>2 645 084</t>
  </si>
  <si>
    <t>2 248 334</t>
  </si>
  <si>
    <t>54,1 %</t>
  </si>
  <si>
    <t>4 893 419</t>
  </si>
  <si>
    <t>2 018</t>
  </si>
  <si>
    <t>520</t>
  </si>
  <si>
    <t>224</t>
  </si>
  <si>
    <t>2 598</t>
  </si>
  <si>
    <t>1 491</t>
  </si>
  <si>
    <t>4 089</t>
  </si>
  <si>
    <t>32 384</t>
  </si>
  <si>
    <t>233 145</t>
  </si>
  <si>
    <t>2 281 389</t>
  </si>
  <si>
    <t>1 192 220</t>
  </si>
  <si>
    <t>1 425 365</t>
  </si>
  <si>
    <t>61,5 %</t>
  </si>
  <si>
    <t>3 706 754</t>
  </si>
  <si>
    <t>3.0</t>
  </si>
  <si>
    <t>423</t>
  </si>
  <si>
    <t>565</t>
  </si>
  <si>
    <t>852</t>
  </si>
  <si>
    <t>457</t>
  </si>
  <si>
    <t>860</t>
  </si>
  <si>
    <t>750</t>
  </si>
  <si>
    <t>736</t>
  </si>
  <si>
    <t>947</t>
  </si>
  <si>
    <t>833</t>
  </si>
  <si>
    <t>1 022</t>
  </si>
  <si>
    <t>1 157</t>
  </si>
  <si>
    <t>1 451</t>
  </si>
  <si>
    <t>177</t>
  </si>
  <si>
    <t>1 265</t>
  </si>
  <si>
    <t>22 380</t>
  </si>
  <si>
    <t>1 868</t>
  </si>
  <si>
    <t>10 202</t>
  </si>
  <si>
    <t>34 450</t>
  </si>
  <si>
    <t>6 702</t>
  </si>
  <si>
    <t>868</t>
  </si>
  <si>
    <t>8 482</t>
  </si>
  <si>
    <t>1 323</t>
  </si>
  <si>
    <t>9 805</t>
  </si>
  <si>
    <t>326</t>
  </si>
  <si>
    <t>6,7</t>
  </si>
  <si>
    <t>566</t>
  </si>
  <si>
    <t>944 386 124</t>
  </si>
  <si>
    <t>178 787</t>
  </si>
  <si>
    <t>50 635 769</t>
  </si>
  <si>
    <t>524</t>
  </si>
  <si>
    <t>234</t>
  </si>
  <si>
    <t>15 228</t>
  </si>
  <si>
    <t>6 503</t>
  </si>
  <si>
    <t>1,1</t>
  </si>
  <si>
    <t>0,8 %</t>
  </si>
  <si>
    <t>1 001</t>
  </si>
  <si>
    <t>199</t>
  </si>
  <si>
    <t>96,3 %</t>
  </si>
  <si>
    <t>91 506</t>
  </si>
  <si>
    <t>260 927 016</t>
  </si>
  <si>
    <t>2 329</t>
  </si>
  <si>
    <t>12 100 471</t>
  </si>
  <si>
    <t>98,8 %</t>
  </si>
  <si>
    <t>99,6 %</t>
  </si>
  <si>
    <t>685 760 936</t>
  </si>
  <si>
    <t>13 896 720</t>
  </si>
  <si>
    <t>42 069 578</t>
  </si>
  <si>
    <t>7 020</t>
  </si>
  <si>
    <t>7 809 794</t>
  </si>
  <si>
    <t>510 803 046</t>
  </si>
  <si>
    <t>101 874</t>
  </si>
  <si>
    <t>110 160 568</t>
  </si>
  <si>
    <t>45 603</t>
  </si>
  <si>
    <t>263</t>
  </si>
  <si>
    <t>5 960</t>
  </si>
  <si>
    <t>50 073</t>
  </si>
  <si>
    <t>101 899</t>
  </si>
  <si>
    <t>145 485 041</t>
  </si>
  <si>
    <t>490 865</t>
  </si>
  <si>
    <t>35 194 703</t>
  </si>
  <si>
    <t>330 123 302</t>
  </si>
  <si>
    <t>511 293 911</t>
  </si>
  <si>
    <t>2 944</t>
  </si>
  <si>
    <t>914</t>
  </si>
  <si>
    <t>14 738</t>
  </si>
  <si>
    <t>67 183</t>
  </si>
  <si>
    <t>23 832</t>
  </si>
  <si>
    <t>207 392</t>
  </si>
  <si>
    <t>243 743</t>
  </si>
  <si>
    <t>45 824</t>
  </si>
  <si>
    <t>3 443</t>
  </si>
  <si>
    <t>2 420</t>
  </si>
  <si>
    <t>58 138</t>
  </si>
  <si>
    <t>74 134</t>
  </si>
  <si>
    <t>5 213</t>
  </si>
  <si>
    <t>1 293</t>
  </si>
  <si>
    <t>22 032</t>
  </si>
  <si>
    <t>420</t>
  </si>
  <si>
    <t>94,3 %</t>
  </si>
  <si>
    <t>10 308</t>
  </si>
  <si>
    <t>468 733 468</t>
  </si>
  <si>
    <t>94 854</t>
  </si>
  <si>
    <t>102 350 774</t>
  </si>
  <si>
    <t>4,722  pour mille</t>
  </si>
  <si>
    <t>5,308  pour mille</t>
  </si>
  <si>
    <t>4,474  pour mille</t>
  </si>
  <si>
    <t>4,570  pour mille</t>
  </si>
  <si>
    <t>96 %</t>
  </si>
  <si>
    <t>874</t>
  </si>
  <si>
    <t>6 777</t>
  </si>
  <si>
    <t>7 652</t>
  </si>
  <si>
    <t>212 736</t>
  </si>
  <si>
    <t>36 676</t>
  </si>
  <si>
    <t>60 223</t>
  </si>
  <si>
    <t>6 692</t>
  </si>
  <si>
    <t>25,7</t>
  </si>
  <si>
    <t>31,5</t>
  </si>
  <si>
    <t>20,5</t>
  </si>
  <si>
    <t>11,7</t>
  </si>
  <si>
    <t>52,8</t>
  </si>
  <si>
    <t>52,1</t>
  </si>
  <si>
    <t>7 676</t>
  </si>
  <si>
    <t>0,3 %</t>
  </si>
  <si>
    <t>7 087</t>
  </si>
  <si>
    <t>160</t>
  </si>
  <si>
    <t>413</t>
  </si>
  <si>
    <t>4 997</t>
  </si>
  <si>
    <t>174</t>
  </si>
  <si>
    <t>2 863</t>
  </si>
  <si>
    <t>364</t>
  </si>
  <si>
    <t>950</t>
  </si>
  <si>
    <t>9 688</t>
  </si>
  <si>
    <t>9 890</t>
  </si>
  <si>
    <t>8 219</t>
  </si>
  <si>
    <t>1 671</t>
  </si>
  <si>
    <t>19 809</t>
  </si>
  <si>
    <t>61,8 %</t>
  </si>
  <si>
    <t>71,2 %</t>
  </si>
  <si>
    <t>2 673</t>
  </si>
  <si>
    <t>83,0 %</t>
  </si>
  <si>
    <t>90,1 %</t>
  </si>
  <si>
    <t>90,7 %</t>
  </si>
  <si>
    <t>Clients « Entreprises » (&gt; à 36 kVA) (Nationale) Résultat local</t>
  </si>
  <si>
    <t>78,8 %</t>
  </si>
  <si>
    <t>87,7 %</t>
  </si>
  <si>
    <t>88,9 %</t>
  </si>
  <si>
    <t>99,3 %</t>
  </si>
  <si>
    <t>156</t>
  </si>
  <si>
    <t>911</t>
  </si>
  <si>
    <t>174 008</t>
  </si>
  <si>
    <t>170 671</t>
  </si>
  <si>
    <t>8 758</t>
  </si>
  <si>
    <t>34 940</t>
  </si>
  <si>
    <t>14 399</t>
  </si>
  <si>
    <t>774</t>
  </si>
  <si>
    <t>1 409</t>
  </si>
  <si>
    <t>87 219</t>
  </si>
  <si>
    <t>196</t>
  </si>
  <si>
    <t>52 238</t>
  </si>
  <si>
    <t>12 134</t>
  </si>
  <si>
    <t>14 843</t>
  </si>
  <si>
    <t>5 591</t>
  </si>
  <si>
    <t>3 874</t>
  </si>
  <si>
    <t>9 487</t>
  </si>
  <si>
    <t>79 411</t>
  </si>
  <si>
    <t>4 137</t>
  </si>
  <si>
    <t>4 033</t>
  </si>
  <si>
    <t>101 617</t>
  </si>
  <si>
    <t>17 120</t>
  </si>
  <si>
    <t>17 666</t>
  </si>
  <si>
    <t>1 903</t>
  </si>
  <si>
    <t>4 658</t>
  </si>
  <si>
    <t>16 727</t>
  </si>
  <si>
    <t>7 969</t>
  </si>
  <si>
    <t>2 258</t>
  </si>
  <si>
    <t>1 933</t>
  </si>
  <si>
    <t>7 960</t>
  </si>
  <si>
    <t>15 184</t>
  </si>
  <si>
    <t>53 640</t>
  </si>
  <si>
    <t>4 629</t>
  </si>
  <si>
    <t>7 435</t>
  </si>
  <si>
    <t>12 063</t>
  </si>
  <si>
    <t>20 053</t>
  </si>
  <si>
    <t>3 702</t>
  </si>
  <si>
    <t>6 843</t>
  </si>
  <si>
    <t>2 127</t>
  </si>
  <si>
    <t>3 026</t>
  </si>
  <si>
    <t>105 197</t>
  </si>
  <si>
    <t>1 582</t>
  </si>
  <si>
    <t>-3 579</t>
  </si>
  <si>
    <t>662</t>
  </si>
  <si>
    <t>-2 918</t>
  </si>
  <si>
    <t>756</t>
  </si>
  <si>
    <t>1 131</t>
  </si>
  <si>
    <t>802</t>
  </si>
  <si>
    <t>1,0 %</t>
  </si>
  <si>
    <t>6 968</t>
  </si>
  <si>
    <t>2 519</t>
  </si>
  <si>
    <t>79 215</t>
  </si>
  <si>
    <t>264</t>
  </si>
  <si>
    <t>3 639</t>
  </si>
  <si>
    <t>3 776</t>
  </si>
  <si>
    <t>52 042</t>
  </si>
  <si>
    <t>981 670</t>
  </si>
  <si>
    <t>86 145</t>
  </si>
  <si>
    <t>1 125 077</t>
  </si>
  <si>
    <t>4 022</t>
  </si>
  <si>
    <t>1 424</t>
  </si>
  <si>
    <t>834</t>
  </si>
  <si>
    <t>13 026</t>
  </si>
  <si>
    <t>22,7 %</t>
  </si>
  <si>
    <t>25,1 %</t>
  </si>
  <si>
    <t>4 653</t>
  </si>
  <si>
    <t>2 189</t>
  </si>
  <si>
    <t>15,4 %</t>
  </si>
  <si>
    <t>2 997</t>
  </si>
  <si>
    <t>1 406</t>
  </si>
  <si>
    <t>2 206</t>
  </si>
  <si>
    <t>-338</t>
  </si>
  <si>
    <t>1 826</t>
  </si>
  <si>
    <t>3 177</t>
  </si>
  <si>
    <t>3 535</t>
  </si>
  <si>
    <t>1 351</t>
  </si>
  <si>
    <t>1 828</t>
  </si>
  <si>
    <t>915</t>
  </si>
  <si>
    <t>47 634</t>
  </si>
  <si>
    <t>7 402</t>
  </si>
  <si>
    <t>103 333</t>
  </si>
  <si>
    <t>140 395</t>
  </si>
  <si>
    <t>55 699</t>
  </si>
  <si>
    <t>89 324</t>
  </si>
  <si>
    <t>18 808</t>
  </si>
  <si>
    <t>2 681</t>
  </si>
  <si>
    <t>33 213</t>
  </si>
  <si>
    <t>54 190</t>
  </si>
  <si>
    <t>70 517</t>
  </si>
  <si>
    <t>3 566</t>
  </si>
  <si>
    <t>180 825</t>
  </si>
  <si>
    <t>231 968</t>
  </si>
  <si>
    <t>110 309</t>
  </si>
  <si>
    <t>6 247</t>
  </si>
  <si>
    <t>214 038</t>
  </si>
  <si>
    <t>286 159</t>
  </si>
  <si>
    <t>124 714</t>
  </si>
  <si>
    <t>89 902</t>
  </si>
  <si>
    <t>28 595</t>
  </si>
  <si>
    <t>13 810</t>
  </si>
  <si>
    <t>36 785</t>
  </si>
  <si>
    <t>69 005</t>
  </si>
  <si>
    <t>8 190</t>
  </si>
  <si>
    <t>61 308</t>
  </si>
  <si>
    <t>8 893</t>
  </si>
  <si>
    <t>146 711</t>
  </si>
  <si>
    <t>195 404</t>
  </si>
  <si>
    <t>85 403</t>
  </si>
  <si>
    <t>22 703</t>
  </si>
  <si>
    <t>183 496</t>
  </si>
  <si>
    <t>264 409</t>
  </si>
  <si>
    <t>93 593</t>
  </si>
  <si>
    <t>5 016</t>
  </si>
  <si>
    <t>351</t>
  </si>
  <si>
    <t>112</t>
  </si>
  <si>
    <t>18 341</t>
  </si>
  <si>
    <t>13 326</t>
  </si>
  <si>
    <t>3 749</t>
  </si>
  <si>
    <t>2 401</t>
  </si>
  <si>
    <t>5 623</t>
  </si>
  <si>
    <t>10 379</t>
  </si>
  <si>
    <t>1 874</t>
  </si>
  <si>
    <t>3 067</t>
  </si>
  <si>
    <t>14 973</t>
  </si>
  <si>
    <t>11 906</t>
  </si>
  <si>
    <t>328</t>
  </si>
  <si>
    <t>959</t>
  </si>
  <si>
    <t>11 282</t>
  </si>
  <si>
    <t>692</t>
  </si>
  <si>
    <t>20 192</t>
  </si>
  <si>
    <t>27 259</t>
  </si>
  <si>
    <t>8 910</t>
  </si>
  <si>
    <t>1 621</t>
  </si>
  <si>
    <t>2 409</t>
  </si>
  <si>
    <t>789</t>
  </si>
  <si>
    <t>32 604</t>
  </si>
  <si>
    <t>4 308</t>
  </si>
  <si>
    <t>77 518</t>
  </si>
  <si>
    <t>102 756</t>
  </si>
  <si>
    <t>44 914</t>
  </si>
  <si>
    <t>4 219</t>
  </si>
  <si>
    <t>12 957</t>
  </si>
  <si>
    <t>16 152</t>
  </si>
  <si>
    <t>8 738</t>
  </si>
  <si>
    <t>36 308</t>
  </si>
  <si>
    <t>51 850</t>
  </si>
  <si>
    <t>73 476</t>
  </si>
  <si>
    <t>15 542</t>
  </si>
  <si>
    <t>283 789</t>
  </si>
  <si>
    <t>41 122</t>
  </si>
  <si>
    <t>605 877</t>
  </si>
  <si>
    <t>829 957</t>
  </si>
  <si>
    <t>322 088</t>
  </si>
  <si>
    <t>8 574</t>
  </si>
  <si>
    <t>327</t>
  </si>
  <si>
    <t>16 673</t>
  </si>
  <si>
    <t>25 311</t>
  </si>
  <si>
    <t>8 100</t>
  </si>
  <si>
    <t>322 089</t>
  </si>
  <si>
    <t>148 040</t>
  </si>
  <si>
    <t>87 765</t>
  </si>
  <si>
    <t>261 814</t>
  </si>
  <si>
    <t>687 080</t>
  </si>
  <si>
    <t>1 439 558</t>
  </si>
  <si>
    <t>79 519 182</t>
  </si>
  <si>
    <t>1 808 808 595</t>
  </si>
  <si>
    <t>182 484</t>
  </si>
  <si>
    <t>2 246 120</t>
  </si>
  <si>
    <t>2 675 211</t>
  </si>
  <si>
    <t>5 399</t>
  </si>
  <si>
    <t>2 251 519</t>
  </si>
  <si>
    <t>54,3 %</t>
  </si>
  <si>
    <t>4 926 730</t>
  </si>
  <si>
    <t>2 080</t>
  </si>
  <si>
    <t>223</t>
  </si>
  <si>
    <t>1 314</t>
  </si>
  <si>
    <t>1 496</t>
  </si>
  <si>
    <t>30 086</t>
  </si>
  <si>
    <t>224 265</t>
  </si>
  <si>
    <t>2 328 648</t>
  </si>
  <si>
    <t>1 186 993</t>
  </si>
  <si>
    <t>1 411 258</t>
  </si>
  <si>
    <t>62,3 %</t>
  </si>
  <si>
    <t>3 739 906</t>
  </si>
  <si>
    <t>58.0</t>
  </si>
  <si>
    <t>441</t>
  </si>
  <si>
    <t>847</t>
  </si>
  <si>
    <t>464</t>
  </si>
  <si>
    <t>943</t>
  </si>
  <si>
    <t>783</t>
  </si>
  <si>
    <t>989</t>
  </si>
  <si>
    <t>1 212</t>
  </si>
  <si>
    <t>1 329</t>
  </si>
  <si>
    <t>19 098</t>
  </si>
  <si>
    <t>6 062</t>
  </si>
  <si>
    <t>4 116</t>
  </si>
  <si>
    <t>28 614</t>
  </si>
  <si>
    <t>29 276</t>
  </si>
  <si>
    <t>10 135</t>
  </si>
  <si>
    <t>368</t>
  </si>
  <si>
    <t>6 207</t>
  </si>
  <si>
    <t>12 145</t>
  </si>
  <si>
    <t>4 565</t>
  </si>
  <si>
    <t>16 710</t>
  </si>
  <si>
    <t>288</t>
  </si>
  <si>
    <t>52 727 537</t>
  </si>
  <si>
    <t>907 409 882</t>
  </si>
  <si>
    <t>179 481</t>
  </si>
  <si>
    <t>625</t>
  </si>
  <si>
    <t>296</t>
  </si>
  <si>
    <t>18 231</t>
  </si>
  <si>
    <t>8 693</t>
  </si>
  <si>
    <t>144</t>
  </si>
  <si>
    <t>96,9 %</t>
  </si>
  <si>
    <t>99,9 %</t>
  </si>
  <si>
    <t>810</t>
  </si>
  <si>
    <t>62 689</t>
  </si>
  <si>
    <t>12 143 850</t>
  </si>
  <si>
    <t>239 246 451</t>
  </si>
  <si>
    <t>2 352</t>
  </si>
  <si>
    <t>97,6 %</t>
  </si>
  <si>
    <t>14 647 795</t>
  </si>
  <si>
    <t>662 152 262</t>
  </si>
  <si>
    <t>651</t>
  </si>
  <si>
    <t>4464</t>
  </si>
  <si>
    <t>397</t>
  </si>
  <si>
    <t>2863</t>
  </si>
  <si>
    <t>6861</t>
  </si>
  <si>
    <t>863</t>
  </si>
  <si>
    <t>7723</t>
  </si>
  <si>
    <t>5391</t>
  </si>
  <si>
    <t>2465</t>
  </si>
  <si>
    <t>6973</t>
  </si>
  <si>
    <t>1325</t>
  </si>
  <si>
    <t>8298</t>
  </si>
  <si>
    <t>6160</t>
  </si>
  <si>
    <t>4250</t>
  </si>
  <si>
    <t>9243</t>
  </si>
  <si>
    <t>1233</t>
  </si>
  <si>
    <t>10476</t>
  </si>
  <si>
    <t>6702</t>
  </si>
  <si>
    <t>2235</t>
  </si>
  <si>
    <t>8482</t>
  </si>
  <si>
    <t>1323</t>
  </si>
  <si>
    <t>9805</t>
  </si>
  <si>
    <t>10135</t>
  </si>
  <si>
    <t>6207</t>
  </si>
  <si>
    <t>12145</t>
  </si>
  <si>
    <t>4565</t>
  </si>
  <si>
    <t>16710</t>
  </si>
  <si>
    <t>5128</t>
  </si>
  <si>
    <t>10138</t>
  </si>
  <si>
    <t>59762</t>
  </si>
  <si>
    <t>10168</t>
  </si>
  <si>
    <t>7397</t>
  </si>
  <si>
    <t>5512</t>
  </si>
  <si>
    <t>130431</t>
  </si>
  <si>
    <t>7302</t>
  </si>
  <si>
    <t>7473</t>
  </si>
  <si>
    <t>145206</t>
  </si>
  <si>
    <t>22380</t>
  </si>
  <si>
    <t>1868</t>
  </si>
  <si>
    <t>10202</t>
  </si>
  <si>
    <t>34450</t>
  </si>
  <si>
    <t>19098</t>
  </si>
  <si>
    <t>6062</t>
  </si>
  <si>
    <t>4116</t>
  </si>
  <si>
    <t>28614</t>
  </si>
  <si>
    <t>29276</t>
  </si>
  <si>
    <t>200000</t>
  </si>
  <si>
    <t>187168</t>
  </si>
  <si>
    <t>531254</t>
  </si>
  <si>
    <t>600955</t>
  </si>
  <si>
    <t>674315</t>
  </si>
  <si>
    <t>687080</t>
  </si>
  <si>
    <t>2017335</t>
  </si>
  <si>
    <t>1165015</t>
  </si>
  <si>
    <t>1585929</t>
  </si>
  <si>
    <t>1439558</t>
  </si>
  <si>
    <t>87734</t>
  </si>
  <si>
    <t>4768</t>
  </si>
  <si>
    <t>89048</t>
  </si>
  <si>
    <t>97445</t>
  </si>
  <si>
    <t>8397</t>
  </si>
  <si>
    <t>-1458</t>
  </si>
  <si>
    <t>93832</t>
  </si>
  <si>
    <t>111526</t>
  </si>
  <si>
    <t>17694</t>
  </si>
  <si>
    <t>-6470</t>
  </si>
  <si>
    <t>89605</t>
  </si>
  <si>
    <t>105224</t>
  </si>
  <si>
    <t>15619</t>
  </si>
  <si>
    <t>-2335</t>
  </si>
  <si>
    <t>105197</t>
  </si>
  <si>
    <t>101617</t>
  </si>
  <si>
    <t>-3580</t>
  </si>
  <si>
    <t>18546</t>
  </si>
  <si>
    <t>2871</t>
  </si>
  <si>
    <t>15505</t>
  </si>
  <si>
    <t>9284</t>
  </si>
  <si>
    <t>5121</t>
  </si>
  <si>
    <t>14132</t>
  </si>
  <si>
    <t>40786</t>
  </si>
  <si>
    <t>1415</t>
  </si>
  <si>
    <t>2494</t>
  </si>
  <si>
    <t>6303</t>
  </si>
  <si>
    <t>20701</t>
  </si>
  <si>
    <t>4123</t>
  </si>
  <si>
    <t>1819</t>
  </si>
  <si>
    <t>1734</t>
  </si>
  <si>
    <t>3329</t>
  </si>
  <si>
    <t>17168</t>
  </si>
  <si>
    <t>5506</t>
  </si>
  <si>
    <t>2026</t>
  </si>
  <si>
    <t>2390</t>
  </si>
  <si>
    <t>16620</t>
  </si>
  <si>
    <t>10034</t>
  </si>
  <si>
    <t>2748</t>
  </si>
  <si>
    <t>1862</t>
  </si>
  <si>
    <t>4890</t>
  </si>
  <si>
    <t>14464</t>
  </si>
  <si>
    <t>41842</t>
  </si>
  <si>
    <t>1428</t>
  </si>
  <si>
    <t>4351</t>
  </si>
  <si>
    <t>6485</t>
  </si>
  <si>
    <t>10835</t>
  </si>
  <si>
    <t>21286</t>
  </si>
  <si>
    <t>4176</t>
  </si>
  <si>
    <t>1774</t>
  </si>
  <si>
    <t>6795</t>
  </si>
  <si>
    <t>2549</t>
  </si>
  <si>
    <t>2992</t>
  </si>
  <si>
    <t>1171</t>
  </si>
  <si>
    <t>19035</t>
  </si>
  <si>
    <t>7287</t>
  </si>
  <si>
    <t>1991</t>
  </si>
  <si>
    <t>2671</t>
  </si>
  <si>
    <t>16006</t>
  </si>
  <si>
    <t>10416</t>
  </si>
  <si>
    <t>2236</t>
  </si>
  <si>
    <t>1931</t>
  </si>
  <si>
    <t>5279</t>
  </si>
  <si>
    <t>14835</t>
  </si>
  <si>
    <t>44093</t>
  </si>
  <si>
    <t>5308</t>
  </si>
  <si>
    <t>6664</t>
  </si>
  <si>
    <t>11972</t>
  </si>
  <si>
    <t>23317</t>
  </si>
  <si>
    <t>3637</t>
  </si>
  <si>
    <t>1743</t>
  </si>
  <si>
    <t>5838</t>
  </si>
  <si>
    <t>1766</t>
  </si>
  <si>
    <t>3073</t>
  </si>
  <si>
    <t>1429</t>
  </si>
  <si>
    <t>9389</t>
  </si>
  <si>
    <t>10776</t>
  </si>
  <si>
    <t>1495</t>
  </si>
  <si>
    <t>2653</t>
  </si>
  <si>
    <t>14569</t>
  </si>
  <si>
    <t>10773</t>
  </si>
  <si>
    <t>2397</t>
  </si>
  <si>
    <t>1864</t>
  </si>
  <si>
    <t>5410</t>
  </si>
  <si>
    <t>14768</t>
  </si>
  <si>
    <t>36994</t>
  </si>
  <si>
    <t>1467</t>
  </si>
  <si>
    <t>7135</t>
  </si>
  <si>
    <t>7254</t>
  </si>
  <si>
    <t>14389</t>
  </si>
  <si>
    <t>25914</t>
  </si>
  <si>
    <t>3865</t>
  </si>
  <si>
    <t>1563</t>
  </si>
  <si>
    <t>5314</t>
  </si>
  <si>
    <t>2260</t>
  </si>
  <si>
    <t>2823</t>
  </si>
  <si>
    <t>1511</t>
  </si>
  <si>
    <t>17120</t>
  </si>
  <si>
    <t>17666</t>
  </si>
  <si>
    <t>1903</t>
  </si>
  <si>
    <t>4658</t>
  </si>
  <si>
    <t>16727</t>
  </si>
  <si>
    <t>7969</t>
  </si>
  <si>
    <t>2258</t>
  </si>
  <si>
    <t>1933</t>
  </si>
  <si>
    <t>7960</t>
  </si>
  <si>
    <t>15184</t>
  </si>
  <si>
    <t>53640</t>
  </si>
  <si>
    <t>1444</t>
  </si>
  <si>
    <t>4629</t>
  </si>
  <si>
    <t>7435</t>
  </si>
  <si>
    <t>12063</t>
  </si>
  <si>
    <t>20053</t>
  </si>
  <si>
    <t>3702</t>
  </si>
  <si>
    <t>1441</t>
  </si>
  <si>
    <t>6843</t>
  </si>
  <si>
    <t>2127</t>
  </si>
  <si>
    <t>3026</t>
  </si>
  <si>
    <t>1582</t>
  </si>
  <si>
    <t>12684</t>
  </si>
  <si>
    <t>1013</t>
  </si>
  <si>
    <t>2640</t>
  </si>
  <si>
    <t>4058</t>
  </si>
  <si>
    <t>70310</t>
  </si>
  <si>
    <t>3620</t>
  </si>
  <si>
    <t>5457</t>
  </si>
  <si>
    <t>14129</t>
  </si>
  <si>
    <t>83316</t>
  </si>
  <si>
    <t>47787</t>
  </si>
  <si>
    <t>11161</t>
  </si>
  <si>
    <t>12705</t>
  </si>
  <si>
    <t>9479</t>
  </si>
  <si>
    <t>3962</t>
  </si>
  <si>
    <t>9020</t>
  </si>
  <si>
    <t>71934</t>
  </si>
  <si>
    <t>10307</t>
  </si>
  <si>
    <t>4644</t>
  </si>
  <si>
    <t>4585</t>
  </si>
  <si>
    <t>17554</t>
  </si>
  <si>
    <t>1208</t>
  </si>
  <si>
    <t>93972</t>
  </si>
  <si>
    <t>52198</t>
  </si>
  <si>
    <t>11643</t>
  </si>
  <si>
    <t>13774</t>
  </si>
  <si>
    <t>14208</t>
  </si>
  <si>
    <t>2930</t>
  </si>
  <si>
    <t>3675</t>
  </si>
  <si>
    <t>1453</t>
  </si>
  <si>
    <t>8635</t>
  </si>
  <si>
    <t>77635</t>
  </si>
  <si>
    <t>15130</t>
  </si>
  <si>
    <t>8058</t>
  </si>
  <si>
    <t>23208</t>
  </si>
  <si>
    <t>6580</t>
  </si>
  <si>
    <t>1322</t>
  </si>
  <si>
    <t>82016</t>
  </si>
  <si>
    <t>49749</t>
  </si>
  <si>
    <t>12133</t>
  </si>
  <si>
    <t>14479</t>
  </si>
  <si>
    <t>3373</t>
  </si>
  <si>
    <t>3768</t>
  </si>
  <si>
    <t>3958</t>
  </si>
  <si>
    <t>8084</t>
  </si>
  <si>
    <t>76383</t>
  </si>
  <si>
    <t>4310</t>
  </si>
  <si>
    <t>8543</t>
  </si>
  <si>
    <t>4775</t>
  </si>
  <si>
    <t>14399</t>
  </si>
  <si>
    <t>1409</t>
  </si>
  <si>
    <t>87219</t>
  </si>
  <si>
    <t>52238</t>
  </si>
  <si>
    <t>12134</t>
  </si>
  <si>
    <t>14843</t>
  </si>
  <si>
    <t>5591</t>
  </si>
  <si>
    <t>3874</t>
  </si>
  <si>
    <t>9487</t>
  </si>
  <si>
    <t>79411</t>
  </si>
  <si>
    <t>6398</t>
  </si>
  <si>
    <t>4137</t>
  </si>
  <si>
    <t>4033</t>
  </si>
  <si>
    <t xml:space="preserve"> thé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</si>
</sst>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0.0"/>
    <numFmt numFmtId="167" formatCode="#,##0.0"/>
    <numFmt numFmtId="168" formatCode="\+0.0%;\-0.0%"/>
    <numFmt numFmtId="169" formatCode="#,##0.000"/>
    <numFmt numFmtId="170" formatCode="0.0&quot; mm²&quot;"/>
    <numFmt numFmtId="171" formatCode="[$-40C]d\ mmmm\ yyyy;@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i/>
      <sz val="9"/>
      <color theme="0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b/>
      <sz val="9"/>
      <name val="Arial"/>
      <family val="2"/>
    </font>
    <font>
      <sz val="9"/>
      <color theme="0"/>
      <name val="Arial"/>
      <family val="2"/>
    </font>
    <font>
      <i/>
      <sz val="9"/>
      <color theme="0"/>
      <name val="Arial"/>
      <family val="2"/>
    </font>
    <font>
      <i/>
      <sz val="9"/>
      <color theme="1"/>
      <name val="Arial"/>
      <family val="2"/>
    </font>
    <font>
      <b/>
      <sz val="10"/>
      <color theme="0"/>
      <name val="Arial"/>
      <family val="2"/>
    </font>
    <font>
      <sz val="8"/>
      <color theme="1"/>
      <name val="Arial"/>
      <family val="2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9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i/>
      <sz val="10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6"/>
      <color rgb="FFFF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i/>
      <sz val="9"/>
      <color rgb="FFFF0000"/>
      <name val="Arial"/>
      <family val="2"/>
    </font>
    <font>
      <b/>
      <sz val="18"/>
      <color theme="1"/>
      <name val="Arial"/>
      <family val="2"/>
    </font>
    <font>
      <sz val="9"/>
      <name val="Aptos Narrow"/>
      <family val="2"/>
    </font>
    <font>
      <i/>
      <sz val="8"/>
      <color theme="0"/>
      <name val="Arial"/>
      <family val="2"/>
    </font>
    <font>
      <vertAlign val="superscript"/>
      <sz val="9"/>
      <color theme="1"/>
      <name val="Arial"/>
      <family val="2"/>
    </font>
    <font>
      <sz val="9"/>
      <color rgb="FFC00000"/>
      <name val="Arial"/>
      <family val="2"/>
    </font>
    <font>
      <sz val="9"/>
      <color rgb="FF000000"/>
      <name val="Arial"/>
      <family val="2"/>
    </font>
    <font>
      <b/>
      <sz val="9"/>
      <color indexed="9"/>
      <name val="Arial"/>
      <family val="2"/>
    </font>
    <font>
      <i/>
      <sz val="9"/>
      <color rgb="FFFFFFFF"/>
      <name val="Arial"/>
      <family val="2"/>
    </font>
    <font>
      <b/>
      <i/>
      <sz val="9"/>
      <name val="Arial"/>
      <family val="2"/>
    </font>
    <font>
      <i/>
      <sz val="8"/>
      <color theme="1"/>
      <name val="Arial"/>
      <family val="2"/>
    </font>
    <font>
      <sz val="9"/>
      <color theme="1"/>
      <name val="Calibri"/>
      <family val="2"/>
      <scheme val="minor"/>
    </font>
    <font>
      <i/>
      <vertAlign val="superscript"/>
      <sz val="9"/>
      <name val="Arial"/>
      <family val="2"/>
    </font>
    <font>
      <sz val="11"/>
      <name val="Calibri"/>
      <family val="2"/>
      <scheme val="minor"/>
    </font>
    <font>
      <u/>
      <sz val="9"/>
      <color theme="10"/>
      <name val="Arial"/>
      <family val="2"/>
    </font>
    <font>
      <sz val="11"/>
      <color theme="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83DBB3"/>
        <bgColor indexed="64"/>
      </patternFill>
    </fill>
    <fill>
      <patternFill patternType="solid">
        <fgColor rgb="FFCB82D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E721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theme="6" tint="-0.24994659260841701"/>
      </right>
      <top/>
      <bottom/>
      <diagonal/>
    </border>
    <border>
      <left style="thin">
        <color theme="6" tint="-0.24994659260841701"/>
      </left>
      <right/>
      <top/>
      <bottom/>
      <diagonal/>
    </border>
    <border>
      <left style="thin">
        <color theme="6" tint="-0.24994659260841701"/>
      </left>
      <right/>
      <top/>
      <bottom style="thin">
        <color theme="6" tint="-0.24994659260841701"/>
      </bottom>
      <diagonal/>
    </border>
    <border>
      <left/>
      <right/>
      <top/>
      <bottom style="thin">
        <color theme="6" tint="-0.24994659260841701"/>
      </bottom>
      <diagonal/>
    </border>
    <border>
      <left/>
      <right style="thin">
        <color theme="6" tint="-0.24994659260841701"/>
      </right>
      <top/>
      <bottom style="thin">
        <color theme="6" tint="-0.24994659260841701"/>
      </bottom>
      <diagonal/>
    </border>
    <border>
      <left style="thin">
        <color theme="9" tint="-0.499984740745262"/>
      </left>
      <right/>
      <top style="thin">
        <color theme="9" tint="-0.499984740745262"/>
      </top>
      <bottom/>
      <diagonal/>
    </border>
    <border>
      <left/>
      <right/>
      <top style="thin">
        <color theme="9" tint="-0.499984740745262"/>
      </top>
      <bottom/>
      <diagonal/>
    </border>
    <border>
      <left/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/>
      <top/>
      <bottom/>
      <diagonal/>
    </border>
    <border>
      <left/>
      <right style="thin">
        <color theme="9" tint="-0.499984740745262"/>
      </right>
      <top/>
      <bottom/>
      <diagonal/>
    </border>
    <border>
      <left style="thin">
        <color theme="9" tint="-0.499984740745262"/>
      </left>
      <right/>
      <top/>
      <bottom style="thin">
        <color theme="9" tint="-0.499984740745262"/>
      </bottom>
      <diagonal/>
    </border>
    <border>
      <left/>
      <right/>
      <top/>
      <bottom style="thin">
        <color theme="9" tint="-0.499984740745262"/>
      </bottom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 style="thin">
        <color theme="9" tint="-0.499984740745262"/>
      </left>
      <right/>
      <top style="thin">
        <color theme="9" tint="-0.499984740745262"/>
      </top>
      <bottom style="thin">
        <color theme="9" tint="-0.499984740745262"/>
      </bottom>
      <diagonal/>
    </border>
    <border>
      <left/>
      <right/>
      <top style="thin">
        <color theme="9" tint="-0.499984740745262"/>
      </top>
      <bottom style="thin">
        <color theme="9" tint="-0.499984740745262"/>
      </bottom>
      <diagonal/>
    </border>
    <border>
      <left/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theme="9" tint="-0.499984740745262"/>
      </top>
      <bottom style="thin">
        <color theme="9" tint="-0.499984740745262"/>
      </bottom>
      <diagonal/>
    </border>
    <border>
      <left/>
      <right style="thin">
        <color rgb="FF0070C0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rgb="FF0070C0"/>
      </left>
      <right/>
      <top style="thin">
        <color indexed="64"/>
      </top>
      <bottom/>
      <diagonal/>
    </border>
    <border>
      <left/>
      <right style="thin">
        <color rgb="FF0070C0"/>
      </right>
      <top style="thin">
        <color indexed="64"/>
      </top>
      <bottom/>
      <diagonal/>
    </border>
    <border>
      <left style="thin">
        <color rgb="FF0070C0"/>
      </left>
      <right/>
      <top style="thin">
        <color rgb="FF0070C0"/>
      </top>
      <bottom style="thin">
        <color auto="1"/>
      </bottom>
      <diagonal/>
    </border>
    <border>
      <left/>
      <right/>
      <top style="thin">
        <color rgb="FF0070C0"/>
      </top>
      <bottom style="thin">
        <color auto="1"/>
      </bottom>
      <diagonal/>
    </border>
    <border>
      <left/>
      <right style="thin">
        <color rgb="FF0070C0"/>
      </right>
      <top style="thin">
        <color rgb="FF0070C0"/>
      </top>
      <bottom style="thin">
        <color auto="1"/>
      </bottom>
      <diagonal/>
    </border>
    <border>
      <left style="thin">
        <color rgb="FF0070C0"/>
      </left>
      <right/>
      <top style="thin">
        <color rgb="FF0070C0"/>
      </top>
      <bottom style="thin">
        <color theme="9" tint="-0.499984740745262"/>
      </bottom>
      <diagonal/>
    </border>
    <border>
      <left/>
      <right/>
      <top style="thin">
        <color rgb="FF0070C0"/>
      </top>
      <bottom style="thin">
        <color theme="9" tint="-0.499984740745262"/>
      </bottom>
      <diagonal/>
    </border>
    <border>
      <left style="thin">
        <color theme="6" tint="-0.24994659260841701"/>
      </left>
      <right/>
      <top style="thin">
        <color theme="6" tint="-0.24994659260841701"/>
      </top>
      <bottom/>
      <diagonal/>
    </border>
    <border>
      <left/>
      <right/>
      <top style="thin">
        <color theme="6" tint="-0.24994659260841701"/>
      </top>
      <bottom/>
      <diagonal/>
    </border>
    <border>
      <left/>
      <right style="thin">
        <color theme="0"/>
      </right>
      <top style="thin">
        <color theme="6" tint="-0.24994659260841701"/>
      </top>
      <bottom/>
      <diagonal/>
    </border>
    <border>
      <left style="thin">
        <color rgb="FF0070C0"/>
      </left>
      <right/>
      <top/>
      <bottom style="thin">
        <color theme="4"/>
      </bottom>
      <diagonal/>
    </border>
    <border>
      <left/>
      <right style="thin">
        <color rgb="FF0070C0"/>
      </right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4"/>
      </right>
      <top style="thin">
        <color rgb="FF0070C0"/>
      </top>
      <bottom/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 style="thin">
        <color theme="4"/>
      </right>
      <top/>
      <bottom style="thin">
        <color rgb="FF0070C0"/>
      </bottom>
      <diagonal/>
    </border>
    <border>
      <left style="thin">
        <color theme="4"/>
      </left>
      <right/>
      <top style="thin">
        <color theme="4"/>
      </top>
      <bottom style="thin">
        <color rgb="FF0070C0"/>
      </bottom>
      <diagonal/>
    </border>
    <border>
      <left/>
      <right/>
      <top style="thin">
        <color theme="4"/>
      </top>
      <bottom style="thin">
        <color rgb="FF0070C0"/>
      </bottom>
      <diagonal/>
    </border>
    <border>
      <left/>
      <right style="thin">
        <color rgb="FF0070C0"/>
      </right>
      <top style="thin">
        <color theme="4"/>
      </top>
      <bottom style="thin">
        <color rgb="FF0070C0"/>
      </bottom>
      <diagonal/>
    </border>
    <border>
      <left/>
      <right style="thin">
        <color theme="4"/>
      </right>
      <top style="thin">
        <color theme="4"/>
      </top>
      <bottom style="thin">
        <color rgb="FF0070C0"/>
      </bottom>
      <diagonal/>
    </border>
    <border>
      <left style="thin">
        <color theme="4"/>
      </left>
      <right/>
      <top/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164" fontId="3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0" fontId="1" fillId="0" borderId="0"/>
    <xf numFmtId="0" fontId="32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0" fontId="33" fillId="0" borderId="0" applyNumberFormat="0" applyFill="0" applyBorder="0" applyAlignment="0" applyProtection="0"/>
  </cellStyleXfs>
  <cellXfs count="800">
    <xf numFmtId="0" fontId="0" fillId="0" borderId="0" xfId="0"/>
    <xf numFmtId="0" fontId="0" fillId="0" borderId="0" xfId="0" applyAlignment="1">
      <alignment horizontal="center"/>
    </xf>
    <xf numFmtId="20" fontId="0" fillId="0" borderId="0" xfId="0" applyNumberFormat="1"/>
    <xf numFmtId="0" fontId="4" fillId="3" borderId="0" xfId="0" applyFont="1" applyFill="1" applyAlignment="1">
      <alignment horizontal="center"/>
    </xf>
    <xf numFmtId="0" fontId="19" fillId="0" borderId="0" xfId="0" applyFont="1"/>
    <xf numFmtId="166" fontId="7" fillId="4" borderId="0" xfId="0" applyNumberFormat="1" applyFont="1" applyFill="1" applyAlignment="1">
      <alignment horizontal="center" vertical="center"/>
    </xf>
    <xf numFmtId="0" fontId="10" fillId="4" borderId="4" xfId="2" applyFont="1" applyFill="1" applyBorder="1" applyAlignment="1">
      <alignment vertical="center"/>
    </xf>
    <xf numFmtId="167" fontId="7" fillId="4" borderId="0" xfId="0" applyNumberFormat="1" applyFont="1" applyFill="1" applyAlignment="1">
      <alignment horizontal="center" vertical="center"/>
    </xf>
    <xf numFmtId="165" fontId="7" fillId="4" borderId="0" xfId="1" applyNumberFormat="1" applyFont="1" applyFill="1" applyBorder="1" applyAlignment="1">
      <alignment horizontal="center" vertical="center"/>
    </xf>
    <xf numFmtId="0" fontId="10" fillId="4" borderId="5" xfId="2" applyFont="1" applyFill="1" applyBorder="1" applyAlignment="1">
      <alignment vertical="center"/>
    </xf>
    <xf numFmtId="167" fontId="7" fillId="4" borderId="3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167" fontId="10" fillId="4" borderId="0" xfId="3" applyNumberFormat="1" applyFont="1" applyFill="1" applyAlignment="1">
      <alignment horizontal="center" vertical="center"/>
    </xf>
    <xf numFmtId="0" fontId="10" fillId="4" borderId="11" xfId="2" applyFont="1" applyFill="1" applyBorder="1" applyAlignment="1">
      <alignment vertical="center"/>
    </xf>
    <xf numFmtId="3" fontId="15" fillId="4" borderId="0" xfId="0" applyNumberFormat="1" applyFont="1" applyFill="1" applyAlignment="1">
      <alignment horizontal="center" vertical="center"/>
    </xf>
    <xf numFmtId="9" fontId="7" fillId="4" borderId="0" xfId="1" applyFont="1" applyFill="1" applyBorder="1" applyAlignment="1">
      <alignment horizontal="center" vertical="center"/>
    </xf>
    <xf numFmtId="165" fontId="15" fillId="4" borderId="0" xfId="1" applyNumberFormat="1" applyFont="1" applyFill="1" applyBorder="1" applyAlignment="1">
      <alignment horizontal="center" vertical="center"/>
    </xf>
    <xf numFmtId="2" fontId="7" fillId="4" borderId="0" xfId="1" applyNumberFormat="1" applyFont="1" applyFill="1" applyBorder="1" applyAlignment="1">
      <alignment horizontal="center" vertical="center"/>
    </xf>
    <xf numFmtId="1" fontId="7" fillId="4" borderId="0" xfId="1" applyNumberFormat="1" applyFont="1" applyFill="1" applyBorder="1" applyAlignment="1">
      <alignment horizontal="center" vertical="center"/>
    </xf>
    <xf numFmtId="167" fontId="15" fillId="4" borderId="0" xfId="0" applyNumberFormat="1" applyFont="1" applyFill="1" applyAlignment="1">
      <alignment horizontal="center" vertical="center"/>
    </xf>
    <xf numFmtId="3" fontId="10" fillId="4" borderId="0" xfId="2" applyNumberFormat="1" applyFont="1" applyFill="1" applyAlignment="1">
      <alignment horizontal="center" vertical="center"/>
    </xf>
    <xf numFmtId="3" fontId="10" fillId="4" borderId="12" xfId="2" applyNumberFormat="1" applyFont="1" applyFill="1" applyBorder="1" applyAlignment="1">
      <alignment horizontal="center" vertical="center"/>
    </xf>
    <xf numFmtId="0" fontId="10" fillId="4" borderId="0" xfId="2" applyFont="1" applyFill="1" applyAlignment="1">
      <alignment vertical="center"/>
    </xf>
    <xf numFmtId="42" fontId="7" fillId="4" borderId="0" xfId="6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vertical="center"/>
    </xf>
    <xf numFmtId="0" fontId="7" fillId="4" borderId="0" xfId="0" applyFont="1" applyFill="1"/>
    <xf numFmtId="10" fontId="7" fillId="4" borderId="0" xfId="0" applyNumberFormat="1" applyFont="1" applyFill="1" applyAlignment="1">
      <alignment horizontal="center" vertical="center"/>
    </xf>
    <xf numFmtId="0" fontId="0" fillId="4" borderId="0" xfId="0" applyFill="1"/>
    <xf numFmtId="0" fontId="11" fillId="4" borderId="0" xfId="2" applyFont="1" applyFill="1" applyAlignment="1">
      <alignment vertical="center"/>
    </xf>
    <xf numFmtId="165" fontId="11" fillId="4" borderId="0" xfId="2" applyNumberFormat="1" applyFont="1" applyFill="1" applyAlignment="1">
      <alignment horizontal="center" vertical="center"/>
    </xf>
    <xf numFmtId="3" fontId="7" fillId="4" borderId="0" xfId="1" applyNumberFormat="1" applyFont="1" applyFill="1" applyBorder="1" applyAlignment="1">
      <alignment horizontal="center" vertical="center"/>
    </xf>
    <xf numFmtId="0" fontId="25" fillId="4" borderId="0" xfId="8" applyFont="1" applyFill="1"/>
    <xf numFmtId="0" fontId="26" fillId="4" borderId="0" xfId="8" applyFont="1" applyFill="1"/>
    <xf numFmtId="0" fontId="26" fillId="4" borderId="0" xfId="8" applyFont="1" applyFill="1" applyAlignment="1">
      <alignment horizontal="center"/>
    </xf>
    <xf numFmtId="0" fontId="26" fillId="4" borderId="0" xfId="8" applyFont="1" applyFill="1" applyAlignment="1">
      <alignment horizontal="center" wrapText="1"/>
    </xf>
    <xf numFmtId="0" fontId="26" fillId="4" borderId="21" xfId="8" applyFont="1" applyFill="1" applyBorder="1" applyAlignment="1">
      <alignment horizontal="center" wrapText="1"/>
    </xf>
    <xf numFmtId="167" fontId="26" fillId="4" borderId="0" xfId="8" applyNumberFormat="1" applyFont="1" applyFill="1"/>
    <xf numFmtId="166" fontId="25" fillId="10" borderId="23" xfId="8" applyNumberFormat="1" applyFont="1" applyFill="1" applyBorder="1" applyAlignment="1">
      <alignment horizontal="center" wrapText="1"/>
    </xf>
    <xf numFmtId="0" fontId="26" fillId="9" borderId="22" xfId="8" applyFont="1" applyFill="1" applyBorder="1" applyAlignment="1">
      <alignment horizontal="center" wrapText="1"/>
    </xf>
    <xf numFmtId="0" fontId="26" fillId="8" borderId="22" xfId="8" applyFont="1" applyFill="1" applyBorder="1" applyAlignment="1">
      <alignment horizontal="center" wrapText="1"/>
    </xf>
    <xf numFmtId="166" fontId="26" fillId="4" borderId="0" xfId="8" applyNumberFormat="1" applyFont="1" applyFill="1" applyAlignment="1">
      <alignment horizontal="center" vertical="top" wrapText="1"/>
    </xf>
    <xf numFmtId="167" fontId="25" fillId="11" borderId="23" xfId="8" applyNumberFormat="1" applyFont="1" applyFill="1" applyBorder="1" applyAlignment="1">
      <alignment horizontal="center" vertical="top" wrapText="1"/>
    </xf>
    <xf numFmtId="166" fontId="26" fillId="4" borderId="0" xfId="8" applyNumberFormat="1" applyFont="1" applyFill="1" applyAlignment="1">
      <alignment horizontal="center" vertical="top"/>
    </xf>
    <xf numFmtId="166" fontId="29" fillId="4" borderId="0" xfId="8" applyNumberFormat="1" applyFont="1" applyFill="1" applyAlignment="1">
      <alignment horizontal="center" vertical="top" wrapText="1"/>
    </xf>
    <xf numFmtId="166" fontId="26" fillId="4" borderId="0" xfId="8" applyNumberFormat="1" applyFont="1" applyFill="1" applyAlignment="1">
      <alignment vertical="top"/>
    </xf>
    <xf numFmtId="0" fontId="30" fillId="0" borderId="0" xfId="0" applyFont="1"/>
    <xf numFmtId="0" fontId="0" fillId="5" borderId="0" xfId="0" applyFill="1"/>
    <xf numFmtId="1" fontId="0" fillId="0" borderId="0" xfId="0" applyNumberFormat="1"/>
    <xf numFmtId="1" fontId="15" fillId="4" borderId="0" xfId="1" applyNumberFormat="1" applyFont="1" applyFill="1" applyBorder="1" applyAlignment="1">
      <alignment horizontal="center" vertical="center"/>
    </xf>
    <xf numFmtId="0" fontId="10" fillId="4" borderId="25" xfId="2" applyFont="1" applyFill="1" applyBorder="1" applyAlignment="1">
      <alignment vertical="center"/>
    </xf>
    <xf numFmtId="0" fontId="11" fillId="4" borderId="25" xfId="2" applyFont="1" applyFill="1" applyBorder="1" applyAlignment="1">
      <alignment horizontal="left" vertical="center" indent="1"/>
    </xf>
    <xf numFmtId="3" fontId="10" fillId="4" borderId="26" xfId="2" applyNumberFormat="1" applyFont="1" applyFill="1" applyBorder="1" applyAlignment="1">
      <alignment horizontal="center" vertical="center"/>
    </xf>
    <xf numFmtId="0" fontId="10" fillId="4" borderId="27" xfId="2" applyFont="1" applyFill="1" applyBorder="1" applyAlignment="1">
      <alignment vertical="center"/>
    </xf>
    <xf numFmtId="0" fontId="8" fillId="12" borderId="30" xfId="2" applyFont="1" applyFill="1" applyBorder="1" applyAlignment="1">
      <alignment vertical="center" wrapText="1"/>
    </xf>
    <xf numFmtId="0" fontId="8" fillId="12" borderId="31" xfId="2" applyFont="1" applyFill="1" applyBorder="1" applyAlignment="1">
      <alignment horizontal="center" vertical="center"/>
    </xf>
    <xf numFmtId="0" fontId="8" fillId="12" borderId="32" xfId="2" applyFont="1" applyFill="1" applyBorder="1" applyAlignment="1">
      <alignment horizontal="center" vertical="center"/>
    </xf>
    <xf numFmtId="0" fontId="7" fillId="4" borderId="0" xfId="0" applyFont="1" applyFill="1" applyAlignment="1">
      <alignment horizontal="left" vertical="center"/>
    </xf>
    <xf numFmtId="0" fontId="7" fillId="4" borderId="25" xfId="0" applyFont="1" applyFill="1" applyBorder="1" applyAlignment="1">
      <alignment vertical="center"/>
    </xf>
    <xf numFmtId="0" fontId="7" fillId="5" borderId="0" xfId="0" applyFont="1" applyFill="1" applyAlignment="1">
      <alignment vertical="center"/>
    </xf>
    <xf numFmtId="0" fontId="11" fillId="4" borderId="25" xfId="2" applyFont="1" applyFill="1" applyBorder="1" applyAlignment="1">
      <alignment horizontal="left" vertical="center"/>
    </xf>
    <xf numFmtId="0" fontId="10" fillId="4" borderId="33" xfId="2" applyFont="1" applyFill="1" applyBorder="1" applyAlignment="1">
      <alignment vertical="center"/>
    </xf>
    <xf numFmtId="0" fontId="10" fillId="4" borderId="35" xfId="2" applyFont="1" applyFill="1" applyBorder="1" applyAlignment="1">
      <alignment horizontal="center" vertical="center"/>
    </xf>
    <xf numFmtId="0" fontId="10" fillId="4" borderId="33" xfId="2" applyFont="1" applyFill="1" applyBorder="1" applyAlignment="1">
      <alignment vertical="center" wrapText="1"/>
    </xf>
    <xf numFmtId="3" fontId="11" fillId="4" borderId="29" xfId="2" applyNumberFormat="1" applyFont="1" applyFill="1" applyBorder="1" applyAlignment="1">
      <alignment horizontal="center" vertical="center"/>
    </xf>
    <xf numFmtId="0" fontId="36" fillId="4" borderId="0" xfId="0" applyFont="1" applyFill="1" applyAlignment="1">
      <alignment vertical="center"/>
    </xf>
    <xf numFmtId="0" fontId="8" fillId="12" borderId="30" xfId="0" quotePrefix="1" applyFont="1" applyFill="1" applyBorder="1" applyAlignment="1">
      <alignment horizontal="left" vertical="center" wrapText="1"/>
    </xf>
    <xf numFmtId="0" fontId="8" fillId="12" borderId="31" xfId="3" applyFont="1" applyFill="1" applyBorder="1" applyAlignment="1">
      <alignment horizontal="center" vertical="center"/>
    </xf>
    <xf numFmtId="0" fontId="9" fillId="12" borderId="32" xfId="0" applyFont="1" applyFill="1" applyBorder="1" applyAlignment="1">
      <alignment horizontal="center" vertical="center" wrapText="1"/>
    </xf>
    <xf numFmtId="0" fontId="8" fillId="12" borderId="32" xfId="3" applyFont="1" applyFill="1" applyBorder="1" applyAlignment="1">
      <alignment horizontal="center" vertical="center"/>
    </xf>
    <xf numFmtId="0" fontId="8" fillId="12" borderId="31" xfId="2" applyFont="1" applyFill="1" applyBorder="1" applyAlignment="1">
      <alignment horizontal="center" vertical="center" wrapText="1"/>
    </xf>
    <xf numFmtId="0" fontId="8" fillId="12" borderId="33" xfId="0" quotePrefix="1" applyFont="1" applyFill="1" applyBorder="1" applyAlignment="1">
      <alignment horizontal="left" vertical="center" wrapText="1"/>
    </xf>
    <xf numFmtId="0" fontId="8" fillId="12" borderId="34" xfId="3" applyFont="1" applyFill="1" applyBorder="1" applyAlignment="1">
      <alignment horizontal="center" vertical="center"/>
    </xf>
    <xf numFmtId="0" fontId="8" fillId="12" borderId="35" xfId="3" applyFont="1" applyFill="1" applyBorder="1" applyAlignment="1">
      <alignment horizontal="center" vertical="center"/>
    </xf>
    <xf numFmtId="0" fontId="8" fillId="12" borderId="31" xfId="3" applyFont="1" applyFill="1" applyBorder="1" applyAlignment="1">
      <alignment horizontal="center" vertical="center" wrapText="1"/>
    </xf>
    <xf numFmtId="0" fontId="8" fillId="12" borderId="32" xfId="3" applyFont="1" applyFill="1" applyBorder="1" applyAlignment="1">
      <alignment horizontal="center" vertical="center" wrapText="1"/>
    </xf>
    <xf numFmtId="0" fontId="8" fillId="12" borderId="32" xfId="0" applyFont="1" applyFill="1" applyBorder="1" applyAlignment="1">
      <alignment horizontal="center" vertical="center" wrapText="1"/>
    </xf>
    <xf numFmtId="0" fontId="11" fillId="4" borderId="27" xfId="2" applyFont="1" applyFill="1" applyBorder="1" applyAlignment="1">
      <alignment vertical="center"/>
    </xf>
    <xf numFmtId="10" fontId="15" fillId="4" borderId="28" xfId="1" applyNumberFormat="1" applyFont="1" applyFill="1" applyBorder="1" applyAlignment="1">
      <alignment horizontal="center" vertical="center"/>
    </xf>
    <xf numFmtId="10" fontId="15" fillId="4" borderId="29" xfId="1" applyNumberFormat="1" applyFont="1" applyFill="1" applyBorder="1" applyAlignment="1">
      <alignment horizontal="center" vertical="center"/>
    </xf>
    <xf numFmtId="165" fontId="7" fillId="4" borderId="26" xfId="1" applyNumberFormat="1" applyFont="1" applyFill="1" applyBorder="1" applyAlignment="1">
      <alignment horizontal="center" vertical="center"/>
    </xf>
    <xf numFmtId="165" fontId="7" fillId="4" borderId="28" xfId="1" applyNumberFormat="1" applyFont="1" applyFill="1" applyBorder="1" applyAlignment="1">
      <alignment horizontal="center" vertical="center"/>
    </xf>
    <xf numFmtId="165" fontId="7" fillId="4" borderId="29" xfId="1" applyNumberFormat="1" applyFont="1" applyFill="1" applyBorder="1" applyAlignment="1">
      <alignment horizontal="center" vertical="center"/>
    </xf>
    <xf numFmtId="167" fontId="7" fillId="4" borderId="26" xfId="0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26" xfId="0" applyFont="1" applyFill="1" applyBorder="1" applyAlignment="1">
      <alignment horizontal="center" vertical="center"/>
    </xf>
    <xf numFmtId="0" fontId="7" fillId="4" borderId="28" xfId="0" applyFont="1" applyFill="1" applyBorder="1" applyAlignment="1">
      <alignment horizontal="center" vertical="center"/>
    </xf>
    <xf numFmtId="0" fontId="7" fillId="4" borderId="29" xfId="0" applyFont="1" applyFill="1" applyBorder="1" applyAlignment="1">
      <alignment horizontal="center" vertical="center"/>
    </xf>
    <xf numFmtId="167" fontId="7" fillId="4" borderId="28" xfId="0" applyNumberFormat="1" applyFont="1" applyFill="1" applyBorder="1" applyAlignment="1">
      <alignment horizontal="center" vertical="center"/>
    </xf>
    <xf numFmtId="167" fontId="10" fillId="4" borderId="28" xfId="3" applyNumberFormat="1" applyFont="1" applyFill="1" applyBorder="1" applyAlignment="1">
      <alignment horizontal="center" vertical="center"/>
    </xf>
    <xf numFmtId="166" fontId="7" fillId="4" borderId="28" xfId="0" applyNumberFormat="1" applyFont="1" applyFill="1" applyBorder="1" applyAlignment="1">
      <alignment horizontal="center" vertical="center"/>
    </xf>
    <xf numFmtId="166" fontId="7" fillId="4" borderId="29" xfId="0" applyNumberFormat="1" applyFont="1" applyFill="1" applyBorder="1" applyAlignment="1">
      <alignment horizontal="center" vertical="center"/>
    </xf>
    <xf numFmtId="167" fontId="7" fillId="4" borderId="29" xfId="0" applyNumberFormat="1" applyFont="1" applyFill="1" applyBorder="1" applyAlignment="1">
      <alignment horizontal="center" vertical="center"/>
    </xf>
    <xf numFmtId="3" fontId="7" fillId="4" borderId="26" xfId="0" applyNumberFormat="1" applyFont="1" applyFill="1" applyBorder="1" applyAlignment="1">
      <alignment horizontal="center" vertical="center"/>
    </xf>
    <xf numFmtId="3" fontId="7" fillId="4" borderId="28" xfId="0" applyNumberFormat="1" applyFont="1" applyFill="1" applyBorder="1" applyAlignment="1">
      <alignment horizontal="center" vertical="center"/>
    </xf>
    <xf numFmtId="3" fontId="7" fillId="4" borderId="29" xfId="0" applyNumberFormat="1" applyFont="1" applyFill="1" applyBorder="1" applyAlignment="1">
      <alignment horizontal="center" vertical="center"/>
    </xf>
    <xf numFmtId="0" fontId="8" fillId="12" borderId="33" xfId="3" applyFont="1" applyFill="1" applyBorder="1" applyAlignment="1">
      <alignment horizontal="center" vertical="center"/>
    </xf>
    <xf numFmtId="0" fontId="37" fillId="4" borderId="0" xfId="0" applyFont="1" applyFill="1" applyAlignment="1">
      <alignment vertical="center"/>
    </xf>
    <xf numFmtId="0" fontId="7" fillId="4" borderId="0" xfId="0" applyFont="1" applyFill="1" applyAlignment="1">
      <alignment vertical="center" wrapText="1"/>
    </xf>
    <xf numFmtId="14" fontId="0" fillId="4" borderId="0" xfId="0" applyNumberFormat="1" applyFill="1"/>
    <xf numFmtId="0" fontId="34" fillId="4" borderId="0" xfId="0" applyFont="1" applyFill="1"/>
    <xf numFmtId="165" fontId="15" fillId="4" borderId="26" xfId="1" applyNumberFormat="1" applyFont="1" applyFill="1" applyBorder="1" applyAlignment="1">
      <alignment horizontal="center" vertical="center"/>
    </xf>
    <xf numFmtId="0" fontId="13" fillId="4" borderId="0" xfId="0" applyFont="1" applyFill="1" applyAlignment="1">
      <alignment vertical="center"/>
    </xf>
    <xf numFmtId="0" fontId="10" fillId="4" borderId="0" xfId="2" applyFont="1" applyFill="1" applyAlignment="1">
      <alignment horizontal="left" vertical="center"/>
    </xf>
    <xf numFmtId="0" fontId="7" fillId="4" borderId="0" xfId="6" applyNumberFormat="1" applyFont="1" applyFill="1" applyAlignment="1">
      <alignment vertical="center"/>
    </xf>
    <xf numFmtId="165" fontId="11" fillId="4" borderId="0" xfId="1" quotePrefix="1" applyNumberFormat="1" applyFont="1" applyFill="1" applyBorder="1" applyAlignment="1">
      <alignment horizontal="center" vertical="center"/>
    </xf>
    <xf numFmtId="0" fontId="8" fillId="12" borderId="30" xfId="2" applyFont="1" applyFill="1" applyBorder="1" applyAlignment="1">
      <alignment horizontal="center" vertical="center" wrapText="1"/>
    </xf>
    <xf numFmtId="167" fontId="10" fillId="4" borderId="25" xfId="3" applyNumberFormat="1" applyFont="1" applyFill="1" applyBorder="1" applyAlignment="1">
      <alignment horizontal="center" vertical="center"/>
    </xf>
    <xf numFmtId="167" fontId="10" fillId="4" borderId="27" xfId="3" applyNumberFormat="1" applyFont="1" applyFill="1" applyBorder="1" applyAlignment="1">
      <alignment horizontal="center" vertical="center"/>
    </xf>
    <xf numFmtId="167" fontId="10" fillId="4" borderId="33" xfId="3" applyNumberFormat="1" applyFont="1" applyFill="1" applyBorder="1" applyAlignment="1">
      <alignment horizontal="center" vertical="center"/>
    </xf>
    <xf numFmtId="0" fontId="11" fillId="4" borderId="25" xfId="2" applyFont="1" applyFill="1" applyBorder="1" applyAlignment="1">
      <alignment vertical="center"/>
    </xf>
    <xf numFmtId="0" fontId="10" fillId="4" borderId="25" xfId="2" applyFont="1" applyFill="1" applyBorder="1" applyAlignment="1">
      <alignment horizontal="left" vertical="center"/>
    </xf>
    <xf numFmtId="166" fontId="7" fillId="4" borderId="26" xfId="0" applyNumberFormat="1" applyFont="1" applyFill="1" applyBorder="1" applyAlignment="1">
      <alignment horizontal="center" vertical="center"/>
    </xf>
    <xf numFmtId="10" fontId="11" fillId="4" borderId="28" xfId="1" applyNumberFormat="1" applyFont="1" applyFill="1" applyBorder="1" applyAlignment="1">
      <alignment horizontal="center" vertical="center"/>
    </xf>
    <xf numFmtId="3" fontId="10" fillId="4" borderId="0" xfId="3" applyNumberFormat="1" applyFont="1" applyFill="1" applyAlignment="1">
      <alignment horizontal="center" vertical="center"/>
    </xf>
    <xf numFmtId="3" fontId="10" fillId="4" borderId="28" xfId="3" applyNumberFormat="1" applyFont="1" applyFill="1" applyBorder="1" applyAlignment="1">
      <alignment horizontal="center" vertical="center"/>
    </xf>
    <xf numFmtId="3" fontId="10" fillId="4" borderId="25" xfId="3" applyNumberFormat="1" applyFont="1" applyFill="1" applyBorder="1" applyAlignment="1">
      <alignment horizontal="center" vertical="center"/>
    </xf>
    <xf numFmtId="3" fontId="10" fillId="4" borderId="27" xfId="3" applyNumberFormat="1" applyFont="1" applyFill="1" applyBorder="1" applyAlignment="1">
      <alignment horizontal="center" vertical="center"/>
    </xf>
    <xf numFmtId="3" fontId="10" fillId="4" borderId="33" xfId="3" applyNumberFormat="1" applyFont="1" applyFill="1" applyBorder="1" applyAlignment="1">
      <alignment horizontal="center" vertical="center"/>
    </xf>
    <xf numFmtId="3" fontId="7" fillId="4" borderId="34" xfId="0" applyNumberFormat="1" applyFont="1" applyFill="1" applyBorder="1" applyAlignment="1">
      <alignment horizontal="center" vertical="center"/>
    </xf>
    <xf numFmtId="165" fontId="15" fillId="14" borderId="26" xfId="1" applyNumberFormat="1" applyFont="1" applyFill="1" applyBorder="1" applyAlignment="1">
      <alignment horizontal="center" vertical="center"/>
    </xf>
    <xf numFmtId="165" fontId="20" fillId="14" borderId="26" xfId="1" applyNumberFormat="1" applyFont="1" applyFill="1" applyBorder="1" applyAlignment="1">
      <alignment horizontal="center" vertical="center"/>
    </xf>
    <xf numFmtId="0" fontId="12" fillId="14" borderId="25" xfId="2" applyFont="1" applyFill="1" applyBorder="1" applyAlignment="1">
      <alignment vertical="center"/>
    </xf>
    <xf numFmtId="3" fontId="6" fillId="14" borderId="0" xfId="0" applyNumberFormat="1" applyFont="1" applyFill="1" applyAlignment="1">
      <alignment horizontal="center" vertical="center"/>
    </xf>
    <xf numFmtId="0" fontId="11" fillId="14" borderId="25" xfId="3" applyFont="1" applyFill="1" applyBorder="1" applyAlignment="1">
      <alignment vertical="center"/>
    </xf>
    <xf numFmtId="10" fontId="11" fillId="14" borderId="0" xfId="1" applyNumberFormat="1" applyFont="1" applyFill="1" applyBorder="1" applyAlignment="1">
      <alignment horizontal="center" vertical="center"/>
    </xf>
    <xf numFmtId="0" fontId="10" fillId="14" borderId="25" xfId="2" applyFont="1" applyFill="1" applyBorder="1" applyAlignment="1">
      <alignment vertical="center"/>
    </xf>
    <xf numFmtId="0" fontId="10" fillId="14" borderId="27" xfId="2" applyFont="1" applyFill="1" applyBorder="1" applyAlignment="1">
      <alignment vertical="center"/>
    </xf>
    <xf numFmtId="10" fontId="7" fillId="14" borderId="28" xfId="1" applyNumberFormat="1" applyFont="1" applyFill="1" applyBorder="1" applyAlignment="1">
      <alignment horizontal="center" vertical="center"/>
    </xf>
    <xf numFmtId="10" fontId="7" fillId="14" borderId="29" xfId="1" applyNumberFormat="1" applyFont="1" applyFill="1" applyBorder="1" applyAlignment="1">
      <alignment horizontal="center" vertical="center"/>
    </xf>
    <xf numFmtId="165" fontId="20" fillId="14" borderId="29" xfId="1" applyNumberFormat="1" applyFont="1" applyFill="1" applyBorder="1" applyAlignment="1">
      <alignment horizontal="center" vertical="center"/>
    </xf>
    <xf numFmtId="0" fontId="12" fillId="14" borderId="27" xfId="2" applyFont="1" applyFill="1" applyBorder="1" applyAlignment="1">
      <alignment vertical="center"/>
    </xf>
    <xf numFmtId="167" fontId="6" fillId="14" borderId="28" xfId="0" applyNumberFormat="1" applyFont="1" applyFill="1" applyBorder="1" applyAlignment="1">
      <alignment horizontal="center" vertical="center"/>
    </xf>
    <xf numFmtId="165" fontId="15" fillId="14" borderId="29" xfId="1" applyNumberFormat="1" applyFont="1" applyFill="1" applyBorder="1" applyAlignment="1">
      <alignment horizontal="center" vertical="center"/>
    </xf>
    <xf numFmtId="3" fontId="7" fillId="14" borderId="0" xfId="0" applyNumberFormat="1" applyFont="1" applyFill="1" applyAlignment="1">
      <alignment horizontal="center" vertical="center"/>
    </xf>
    <xf numFmtId="165" fontId="11" fillId="14" borderId="0" xfId="2" applyNumberFormat="1" applyFont="1" applyFill="1" applyAlignment="1">
      <alignment horizontal="center" vertical="center"/>
    </xf>
    <xf numFmtId="165" fontId="11" fillId="14" borderId="28" xfId="2" applyNumberFormat="1" applyFont="1" applyFill="1" applyBorder="1" applyAlignment="1">
      <alignment horizontal="center" vertical="center"/>
    </xf>
    <xf numFmtId="165" fontId="11" fillId="14" borderId="26" xfId="2" applyNumberFormat="1" applyFont="1" applyFill="1" applyBorder="1" applyAlignment="1">
      <alignment horizontal="center" vertical="center"/>
    </xf>
    <xf numFmtId="165" fontId="11" fillId="14" borderId="29" xfId="2" applyNumberFormat="1" applyFont="1" applyFill="1" applyBorder="1" applyAlignment="1">
      <alignment horizontal="center" vertical="center"/>
    </xf>
    <xf numFmtId="167" fontId="10" fillId="14" borderId="26" xfId="2" applyNumberFormat="1" applyFont="1" applyFill="1" applyBorder="1" applyAlignment="1">
      <alignment horizontal="center" vertical="center"/>
    </xf>
    <xf numFmtId="167" fontId="10" fillId="14" borderId="29" xfId="2" applyNumberFormat="1" applyFont="1" applyFill="1" applyBorder="1" applyAlignment="1">
      <alignment horizontal="center" vertical="center"/>
    </xf>
    <xf numFmtId="3" fontId="6" fillId="14" borderId="28" xfId="0" applyNumberFormat="1" applyFont="1" applyFill="1" applyBorder="1" applyAlignment="1">
      <alignment horizontal="center" vertical="center"/>
    </xf>
    <xf numFmtId="0" fontId="11" fillId="14" borderId="27" xfId="2" applyFont="1" applyFill="1" applyBorder="1" applyAlignment="1">
      <alignment vertical="center"/>
    </xf>
    <xf numFmtId="10" fontId="11" fillId="14" borderId="28" xfId="1" applyNumberFormat="1" applyFont="1" applyFill="1" applyBorder="1" applyAlignment="1">
      <alignment horizontal="center" vertical="center"/>
    </xf>
    <xf numFmtId="10" fontId="11" fillId="14" borderId="29" xfId="1" applyNumberFormat="1" applyFont="1" applyFill="1" applyBorder="1" applyAlignment="1">
      <alignment horizontal="center" vertical="center"/>
    </xf>
    <xf numFmtId="0" fontId="11" fillId="14" borderId="25" xfId="2" applyFont="1" applyFill="1" applyBorder="1" applyAlignment="1">
      <alignment vertical="center"/>
    </xf>
    <xf numFmtId="3" fontId="6" fillId="14" borderId="29" xfId="0" applyNumberFormat="1" applyFont="1" applyFill="1" applyBorder="1" applyAlignment="1">
      <alignment horizontal="center" vertical="center"/>
    </xf>
    <xf numFmtId="165" fontId="11" fillId="14" borderId="35" xfId="2" applyNumberFormat="1" applyFont="1" applyFill="1" applyBorder="1" applyAlignment="1">
      <alignment horizontal="center" vertical="center"/>
    </xf>
    <xf numFmtId="3" fontId="7" fillId="14" borderId="26" xfId="0" applyNumberFormat="1" applyFont="1" applyFill="1" applyBorder="1" applyAlignment="1">
      <alignment horizontal="center" vertical="center"/>
    </xf>
    <xf numFmtId="165" fontId="15" fillId="14" borderId="26" xfId="0" applyNumberFormat="1" applyFont="1" applyFill="1" applyBorder="1" applyAlignment="1">
      <alignment horizontal="center" vertical="center"/>
    </xf>
    <xf numFmtId="168" fontId="11" fillId="14" borderId="29" xfId="2" applyNumberFormat="1" applyFont="1" applyFill="1" applyBorder="1" applyAlignment="1">
      <alignment horizontal="center" vertical="center"/>
    </xf>
    <xf numFmtId="167" fontId="6" fillId="14" borderId="0" xfId="0" applyNumberFormat="1" applyFont="1" applyFill="1" applyAlignment="1">
      <alignment horizontal="center" vertical="center"/>
    </xf>
    <xf numFmtId="165" fontId="11" fillId="14" borderId="0" xfId="1" quotePrefix="1" applyNumberFormat="1" applyFont="1" applyFill="1" applyBorder="1" applyAlignment="1">
      <alignment horizontal="center" vertical="center"/>
    </xf>
    <xf numFmtId="167" fontId="6" fillId="14" borderId="26" xfId="0" applyNumberFormat="1" applyFont="1" applyFill="1" applyBorder="1" applyAlignment="1">
      <alignment horizontal="center" vertical="center"/>
    </xf>
    <xf numFmtId="165" fontId="11" fillId="14" borderId="28" xfId="1" quotePrefix="1" applyNumberFormat="1" applyFont="1" applyFill="1" applyBorder="1" applyAlignment="1">
      <alignment horizontal="center" vertical="center"/>
    </xf>
    <xf numFmtId="165" fontId="11" fillId="14" borderId="29" xfId="1" quotePrefix="1" applyNumberFormat="1" applyFont="1" applyFill="1" applyBorder="1" applyAlignment="1">
      <alignment horizontal="center" vertical="center"/>
    </xf>
    <xf numFmtId="10" fontId="11" fillId="14" borderId="0" xfId="1" quotePrefix="1" applyNumberFormat="1" applyFont="1" applyFill="1" applyBorder="1" applyAlignment="1">
      <alignment horizontal="center" vertical="center"/>
    </xf>
    <xf numFmtId="10" fontId="11" fillId="14" borderId="26" xfId="1" quotePrefix="1" applyNumberFormat="1" applyFont="1" applyFill="1" applyBorder="1" applyAlignment="1">
      <alignment horizontal="center" vertical="center"/>
    </xf>
    <xf numFmtId="0" fontId="12" fillId="9" borderId="30" xfId="2" applyFont="1" applyFill="1" applyBorder="1" applyAlignment="1">
      <alignment vertical="center"/>
    </xf>
    <xf numFmtId="167" fontId="6" fillId="9" borderId="31" xfId="0" applyNumberFormat="1" applyFont="1" applyFill="1" applyBorder="1" applyAlignment="1">
      <alignment horizontal="center" vertical="center"/>
    </xf>
    <xf numFmtId="167" fontId="6" fillId="9" borderId="32" xfId="0" applyNumberFormat="1" applyFont="1" applyFill="1" applyBorder="1" applyAlignment="1">
      <alignment horizontal="center" vertical="center"/>
    </xf>
    <xf numFmtId="0" fontId="0" fillId="15" borderId="0" xfId="0" applyFill="1"/>
    <xf numFmtId="0" fontId="14" fillId="12" borderId="30" xfId="0" quotePrefix="1" applyFont="1" applyFill="1" applyBorder="1" applyAlignment="1">
      <alignment horizontal="left" vertical="center" wrapText="1"/>
    </xf>
    <xf numFmtId="0" fontId="0" fillId="2" borderId="0" xfId="0" applyFill="1"/>
    <xf numFmtId="0" fontId="15" fillId="4" borderId="0" xfId="0" applyFont="1" applyFill="1" applyAlignment="1">
      <alignment vertical="center"/>
    </xf>
    <xf numFmtId="0" fontId="11" fillId="4" borderId="0" xfId="2" applyFont="1" applyFill="1" applyAlignment="1">
      <alignment vertical="center" wrapText="1"/>
    </xf>
    <xf numFmtId="167" fontId="15" fillId="4" borderId="26" xfId="0" applyNumberFormat="1" applyFont="1" applyFill="1" applyBorder="1" applyAlignment="1">
      <alignment horizontal="center" vertical="center"/>
    </xf>
    <xf numFmtId="166" fontId="15" fillId="4" borderId="28" xfId="0" applyNumberFormat="1" applyFont="1" applyFill="1" applyBorder="1" applyAlignment="1">
      <alignment horizontal="center" vertical="center"/>
    </xf>
    <xf numFmtId="166" fontId="15" fillId="4" borderId="29" xfId="0" applyNumberFormat="1" applyFont="1" applyFill="1" applyBorder="1" applyAlignment="1">
      <alignment horizontal="center" vertical="center"/>
    </xf>
    <xf numFmtId="167" fontId="7" fillId="4" borderId="28" xfId="0" applyNumberFormat="1" applyFont="1" applyFill="1" applyBorder="1" applyAlignment="1">
      <alignment horizontal="center" vertical="center" wrapText="1"/>
    </xf>
    <xf numFmtId="0" fontId="10" fillId="4" borderId="27" xfId="2" applyFont="1" applyFill="1" applyBorder="1" applyAlignment="1">
      <alignment vertical="center" wrapText="1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10" fillId="4" borderId="0" xfId="3" applyFont="1" applyFill="1" applyAlignment="1">
      <alignment horizontal="left" vertical="center"/>
    </xf>
    <xf numFmtId="3" fontId="15" fillId="4" borderId="0" xfId="0" applyNumberFormat="1" applyFont="1" applyFill="1" applyAlignment="1">
      <alignment horizontal="center" vertical="center" wrapText="1"/>
    </xf>
    <xf numFmtId="0" fontId="7" fillId="4" borderId="25" xfId="0" applyFont="1" applyFill="1" applyBorder="1" applyAlignment="1">
      <alignment horizontal="left" vertical="center"/>
    </xf>
    <xf numFmtId="0" fontId="7" fillId="4" borderId="27" xfId="0" applyFont="1" applyFill="1" applyBorder="1" applyAlignment="1">
      <alignment horizontal="left" vertical="center"/>
    </xf>
    <xf numFmtId="0" fontId="10" fillId="4" borderId="30" xfId="3" applyFont="1" applyFill="1" applyBorder="1" applyAlignment="1">
      <alignment horizontal="left" vertical="center"/>
    </xf>
    <xf numFmtId="0" fontId="10" fillId="4" borderId="33" xfId="3" applyFont="1" applyFill="1" applyBorder="1" applyAlignment="1">
      <alignment horizontal="left" vertical="center"/>
    </xf>
    <xf numFmtId="0" fontId="10" fillId="4" borderId="25" xfId="3" applyFont="1" applyFill="1" applyBorder="1" applyAlignment="1">
      <alignment horizontal="left" vertical="center"/>
    </xf>
    <xf numFmtId="3" fontId="7" fillId="14" borderId="25" xfId="5" applyNumberFormat="1" applyFont="1" applyFill="1" applyBorder="1" applyAlignment="1">
      <alignment horizontal="left" vertical="center" wrapText="1"/>
    </xf>
    <xf numFmtId="3" fontId="7" fillId="14" borderId="0" xfId="0" applyNumberFormat="1" applyFont="1" applyFill="1" applyAlignment="1">
      <alignment horizontal="center" vertical="center" wrapText="1"/>
    </xf>
    <xf numFmtId="0" fontId="7" fillId="14" borderId="25" xfId="5" applyFont="1" applyFill="1" applyBorder="1" applyAlignment="1">
      <alignment horizontal="left" vertical="center" wrapText="1"/>
    </xf>
    <xf numFmtId="166" fontId="7" fillId="14" borderId="0" xfId="0" applyNumberFormat="1" applyFont="1" applyFill="1" applyAlignment="1">
      <alignment horizontal="center" vertical="center"/>
    </xf>
    <xf numFmtId="0" fontId="6" fillId="14" borderId="25" xfId="0" applyFont="1" applyFill="1" applyBorder="1" applyAlignment="1">
      <alignment vertical="center" wrapText="1"/>
    </xf>
    <xf numFmtId="0" fontId="7" fillId="14" borderId="25" xfId="0" applyFont="1" applyFill="1" applyBorder="1" applyAlignment="1">
      <alignment horizontal="left" vertical="center"/>
    </xf>
    <xf numFmtId="9" fontId="15" fillId="14" borderId="26" xfId="0" applyNumberFormat="1" applyFont="1" applyFill="1" applyBorder="1" applyAlignment="1">
      <alignment horizontal="center" vertical="center"/>
    </xf>
    <xf numFmtId="9" fontId="15" fillId="4" borderId="26" xfId="0" applyNumberFormat="1" applyFont="1" applyFill="1" applyBorder="1" applyAlignment="1">
      <alignment horizontal="center" vertical="center"/>
    </xf>
    <xf numFmtId="9" fontId="15" fillId="4" borderId="29" xfId="0" applyNumberFormat="1" applyFont="1" applyFill="1" applyBorder="1" applyAlignment="1">
      <alignment horizontal="center" vertical="center"/>
    </xf>
    <xf numFmtId="9" fontId="15" fillId="4" borderId="0" xfId="0" applyNumberFormat="1" applyFont="1" applyFill="1" applyAlignment="1">
      <alignment horizontal="center" vertical="center"/>
    </xf>
    <xf numFmtId="0" fontId="7" fillId="4" borderId="27" xfId="0" applyFont="1" applyFill="1" applyBorder="1" applyAlignment="1">
      <alignment vertical="center"/>
    </xf>
    <xf numFmtId="0" fontId="7" fillId="14" borderId="25" xfId="0" applyFont="1" applyFill="1" applyBorder="1" applyAlignment="1">
      <alignment vertical="center"/>
    </xf>
    <xf numFmtId="166" fontId="7" fillId="14" borderId="26" xfId="0" applyNumberFormat="1" applyFont="1" applyFill="1" applyBorder="1" applyAlignment="1">
      <alignment horizontal="center" vertical="center"/>
    </xf>
    <xf numFmtId="10" fontId="7" fillId="4" borderId="0" xfId="0" applyNumberFormat="1" applyFont="1" applyFill="1" applyAlignment="1">
      <alignment vertical="center"/>
    </xf>
    <xf numFmtId="0" fontId="7" fillId="14" borderId="0" xfId="0" applyFont="1" applyFill="1" applyAlignment="1">
      <alignment horizontal="center" vertical="center"/>
    </xf>
    <xf numFmtId="1" fontId="7" fillId="4" borderId="31" xfId="0" applyNumberFormat="1" applyFont="1" applyFill="1" applyBorder="1" applyAlignment="1">
      <alignment horizontal="center" vertical="center"/>
    </xf>
    <xf numFmtId="1" fontId="6" fillId="14" borderId="30" xfId="0" applyNumberFormat="1" applyFont="1" applyFill="1" applyBorder="1" applyAlignment="1">
      <alignment horizontal="left" vertical="center"/>
    </xf>
    <xf numFmtId="1" fontId="6" fillId="14" borderId="31" xfId="0" applyNumberFormat="1" applyFont="1" applyFill="1" applyBorder="1" applyAlignment="1">
      <alignment horizontal="center" vertical="center"/>
    </xf>
    <xf numFmtId="1" fontId="7" fillId="4" borderId="34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1" fontId="7" fillId="4" borderId="26" xfId="0" applyNumberFormat="1" applyFont="1" applyFill="1" applyBorder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2" fontId="7" fillId="4" borderId="0" xfId="0" applyNumberFormat="1" applyFont="1" applyFill="1" applyAlignment="1">
      <alignment horizontal="center" vertical="center"/>
    </xf>
    <xf numFmtId="2" fontId="7" fillId="4" borderId="26" xfId="0" applyNumberFormat="1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vertical="center"/>
    </xf>
    <xf numFmtId="2" fontId="7" fillId="4" borderId="34" xfId="0" applyNumberFormat="1" applyFont="1" applyFill="1" applyBorder="1" applyAlignment="1">
      <alignment horizontal="center" vertical="center"/>
    </xf>
    <xf numFmtId="2" fontId="7" fillId="4" borderId="35" xfId="0" applyNumberFormat="1" applyFont="1" applyFill="1" applyBorder="1" applyAlignment="1">
      <alignment horizontal="center" vertical="center"/>
    </xf>
    <xf numFmtId="1" fontId="7" fillId="4" borderId="29" xfId="0" applyNumberFormat="1" applyFont="1" applyFill="1" applyBorder="1" applyAlignment="1">
      <alignment horizontal="center" vertical="center"/>
    </xf>
    <xf numFmtId="3" fontId="7" fillId="14" borderId="35" xfId="0" applyNumberFormat="1" applyFont="1" applyFill="1" applyBorder="1" applyAlignment="1">
      <alignment horizontal="center" vertical="center"/>
    </xf>
    <xf numFmtId="3" fontId="6" fillId="14" borderId="32" xfId="0" applyNumberFormat="1" applyFont="1" applyFill="1" applyBorder="1" applyAlignment="1">
      <alignment horizontal="center" vertical="center"/>
    </xf>
    <xf numFmtId="3" fontId="7" fillId="14" borderId="32" xfId="0" applyNumberFormat="1" applyFont="1" applyFill="1" applyBorder="1" applyAlignment="1">
      <alignment horizontal="center" vertical="center"/>
    </xf>
    <xf numFmtId="0" fontId="6" fillId="14" borderId="25" xfId="0" applyFont="1" applyFill="1" applyBorder="1" applyAlignment="1">
      <alignment vertical="center"/>
    </xf>
    <xf numFmtId="3" fontId="6" fillId="14" borderId="26" xfId="0" applyNumberFormat="1" applyFont="1" applyFill="1" applyBorder="1" applyAlignment="1">
      <alignment horizontal="center" vertical="center"/>
    </xf>
    <xf numFmtId="0" fontId="6" fillId="14" borderId="25" xfId="0" quotePrefix="1" applyFont="1" applyFill="1" applyBorder="1" applyAlignment="1">
      <alignment horizontal="left" vertical="center"/>
    </xf>
    <xf numFmtId="0" fontId="15" fillId="14" borderId="25" xfId="0" applyFont="1" applyFill="1" applyBorder="1" applyAlignment="1">
      <alignment vertical="center"/>
    </xf>
    <xf numFmtId="166" fontId="15" fillId="14" borderId="0" xfId="0" applyNumberFormat="1" applyFont="1" applyFill="1" applyAlignment="1">
      <alignment horizontal="center" vertical="center"/>
    </xf>
    <xf numFmtId="166" fontId="15" fillId="14" borderId="26" xfId="0" applyNumberFormat="1" applyFont="1" applyFill="1" applyBorder="1" applyAlignment="1">
      <alignment horizontal="center" vertical="center"/>
    </xf>
    <xf numFmtId="0" fontId="15" fillId="14" borderId="25" xfId="0" applyFont="1" applyFill="1" applyBorder="1" applyAlignment="1">
      <alignment horizontal="left" vertical="center"/>
    </xf>
    <xf numFmtId="2" fontId="15" fillId="14" borderId="0" xfId="0" applyNumberFormat="1" applyFont="1" applyFill="1" applyAlignment="1">
      <alignment horizontal="center" vertical="center"/>
    </xf>
    <xf numFmtId="2" fontId="15" fillId="14" borderId="26" xfId="0" applyNumberFormat="1" applyFont="1" applyFill="1" applyBorder="1" applyAlignment="1">
      <alignment horizontal="center" vertical="center"/>
    </xf>
    <xf numFmtId="0" fontId="15" fillId="14" borderId="27" xfId="0" applyFont="1" applyFill="1" applyBorder="1" applyAlignment="1">
      <alignment horizontal="left" vertical="center"/>
    </xf>
    <xf numFmtId="2" fontId="7" fillId="14" borderId="28" xfId="0" applyNumberFormat="1" applyFont="1" applyFill="1" applyBorder="1" applyAlignment="1">
      <alignment horizontal="center" vertical="center"/>
    </xf>
    <xf numFmtId="2" fontId="7" fillId="14" borderId="29" xfId="0" applyNumberFormat="1" applyFont="1" applyFill="1" applyBorder="1" applyAlignment="1">
      <alignment horizontal="center" vertical="center"/>
    </xf>
    <xf numFmtId="0" fontId="7" fillId="14" borderId="27" xfId="0" applyFont="1" applyFill="1" applyBorder="1" applyAlignment="1">
      <alignment vertical="center"/>
    </xf>
    <xf numFmtId="0" fontId="7" fillId="14" borderId="28" xfId="0" applyFont="1" applyFill="1" applyBorder="1" applyAlignment="1">
      <alignment horizontal="center" vertical="center"/>
    </xf>
    <xf numFmtId="166" fontId="7" fillId="14" borderId="29" xfId="0" applyNumberFormat="1" applyFont="1" applyFill="1" applyBorder="1" applyAlignment="1">
      <alignment horizontal="center" vertical="center"/>
    </xf>
    <xf numFmtId="9" fontId="7" fillId="14" borderId="26" xfId="0" applyNumberFormat="1" applyFont="1" applyFill="1" applyBorder="1" applyAlignment="1">
      <alignment horizontal="center" vertical="center" wrapText="1"/>
    </xf>
    <xf numFmtId="9" fontId="15" fillId="4" borderId="26" xfId="0" applyNumberFormat="1" applyFont="1" applyFill="1" applyBorder="1" applyAlignment="1">
      <alignment horizontal="center" vertical="center" wrapText="1"/>
    </xf>
    <xf numFmtId="9" fontId="7" fillId="14" borderId="29" xfId="0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vertical="center" wrapText="1"/>
    </xf>
    <xf numFmtId="0" fontId="15" fillId="4" borderId="19" xfId="0" applyFont="1" applyFill="1" applyBorder="1" applyAlignment="1">
      <alignment vertical="center"/>
    </xf>
    <xf numFmtId="0" fontId="7" fillId="15" borderId="0" xfId="0" applyFont="1" applyFill="1" applyAlignment="1">
      <alignment vertical="center"/>
    </xf>
    <xf numFmtId="0" fontId="31" fillId="4" borderId="0" xfId="0" applyFont="1" applyFill="1" applyAlignment="1">
      <alignment vertical="center"/>
    </xf>
    <xf numFmtId="166" fontId="7" fillId="4" borderId="34" xfId="0" applyNumberFormat="1" applyFont="1" applyFill="1" applyBorder="1" applyAlignment="1">
      <alignment horizontal="center" vertical="center"/>
    </xf>
    <xf numFmtId="166" fontId="7" fillId="4" borderId="35" xfId="0" applyNumberFormat="1" applyFont="1" applyFill="1" applyBorder="1" applyAlignment="1">
      <alignment horizontal="center" vertical="center"/>
    </xf>
    <xf numFmtId="0" fontId="15" fillId="14" borderId="27" xfId="0" applyFont="1" applyFill="1" applyBorder="1" applyAlignment="1">
      <alignment vertical="center"/>
    </xf>
    <xf numFmtId="166" fontId="15" fillId="14" borderId="28" xfId="0" applyNumberFormat="1" applyFont="1" applyFill="1" applyBorder="1" applyAlignment="1">
      <alignment horizontal="center" vertical="center"/>
    </xf>
    <xf numFmtId="0" fontId="35" fillId="4" borderId="0" xfId="0" applyFont="1" applyFill="1" applyAlignment="1">
      <alignment vertical="center"/>
    </xf>
    <xf numFmtId="0" fontId="35" fillId="4" borderId="0" xfId="0" applyFont="1" applyFill="1" applyAlignment="1">
      <alignment horizontal="center" vertical="center"/>
    </xf>
    <xf numFmtId="0" fontId="35" fillId="4" borderId="28" xfId="0" applyFont="1" applyFill="1" applyBorder="1" applyAlignment="1">
      <alignment horizontal="center" vertical="center"/>
    </xf>
    <xf numFmtId="165" fontId="7" fillId="4" borderId="34" xfId="1" applyNumberFormat="1" applyFont="1" applyFill="1" applyBorder="1" applyAlignment="1">
      <alignment horizontal="center" vertical="center"/>
    </xf>
    <xf numFmtId="165" fontId="7" fillId="4" borderId="35" xfId="1" applyNumberFormat="1" applyFont="1" applyFill="1" applyBorder="1" applyAlignment="1">
      <alignment horizontal="center" vertical="center"/>
    </xf>
    <xf numFmtId="165" fontId="7" fillId="14" borderId="0" xfId="1" applyNumberFormat="1" applyFont="1" applyFill="1" applyBorder="1" applyAlignment="1">
      <alignment horizontal="center" vertical="center"/>
    </xf>
    <xf numFmtId="165" fontId="7" fillId="14" borderId="26" xfId="1" applyNumberFormat="1" applyFont="1" applyFill="1" applyBorder="1" applyAlignment="1">
      <alignment horizontal="center" vertical="center"/>
    </xf>
    <xf numFmtId="168" fontId="11" fillId="14" borderId="26" xfId="2" applyNumberFormat="1" applyFont="1" applyFill="1" applyBorder="1" applyAlignment="1">
      <alignment horizontal="center" vertical="center"/>
    </xf>
    <xf numFmtId="0" fontId="7" fillId="4" borderId="33" xfId="2" applyFont="1" applyFill="1" applyBorder="1" applyAlignment="1">
      <alignment vertical="center"/>
    </xf>
    <xf numFmtId="0" fontId="7" fillId="4" borderId="34" xfId="2" applyFont="1" applyFill="1" applyBorder="1" applyAlignment="1">
      <alignment horizontal="center" vertical="center"/>
    </xf>
    <xf numFmtId="0" fontId="7" fillId="4" borderId="35" xfId="2" applyFont="1" applyFill="1" applyBorder="1" applyAlignment="1">
      <alignment horizontal="center" vertical="center"/>
    </xf>
    <xf numFmtId="0" fontId="15" fillId="4" borderId="0" xfId="2" applyFont="1" applyFill="1" applyAlignment="1">
      <alignment horizontal="center" vertical="center"/>
    </xf>
    <xf numFmtId="0" fontId="15" fillId="4" borderId="26" xfId="2" applyFont="1" applyFill="1" applyBorder="1" applyAlignment="1">
      <alignment horizontal="center" vertical="center"/>
    </xf>
    <xf numFmtId="3" fontId="7" fillId="4" borderId="34" xfId="2" applyNumberFormat="1" applyFont="1" applyFill="1" applyBorder="1" applyAlignment="1">
      <alignment horizontal="center" vertical="center"/>
    </xf>
    <xf numFmtId="3" fontId="7" fillId="4" borderId="35" xfId="2" applyNumberFormat="1" applyFont="1" applyFill="1" applyBorder="1" applyAlignment="1">
      <alignment horizontal="center" vertical="center"/>
    </xf>
    <xf numFmtId="0" fontId="10" fillId="4" borderId="34" xfId="2" applyFont="1" applyFill="1" applyBorder="1" applyAlignment="1">
      <alignment horizontal="center" vertical="center"/>
    </xf>
    <xf numFmtId="3" fontId="11" fillId="4" borderId="28" xfId="2" applyNumberFormat="1" applyFont="1" applyFill="1" applyBorder="1" applyAlignment="1">
      <alignment horizontal="center" vertical="center"/>
    </xf>
    <xf numFmtId="0" fontId="33" fillId="4" borderId="0" xfId="11" applyFill="1" applyAlignment="1">
      <alignment vertical="center"/>
    </xf>
    <xf numFmtId="0" fontId="10" fillId="14" borderId="33" xfId="2" applyFont="1" applyFill="1" applyBorder="1" applyAlignment="1">
      <alignment vertical="center"/>
    </xf>
    <xf numFmtId="3" fontId="7" fillId="14" borderId="34" xfId="0" applyNumberFormat="1" applyFont="1" applyFill="1" applyBorder="1" applyAlignment="1">
      <alignment horizontal="center" vertical="center"/>
    </xf>
    <xf numFmtId="165" fontId="15" fillId="14" borderId="35" xfId="1" applyNumberFormat="1" applyFont="1" applyFill="1" applyBorder="1" applyAlignment="1">
      <alignment horizontal="center" vertical="center"/>
    </xf>
    <xf numFmtId="166" fontId="15" fillId="4" borderId="26" xfId="0" applyNumberFormat="1" applyFont="1" applyFill="1" applyBorder="1" applyAlignment="1">
      <alignment horizontal="center" vertical="center"/>
    </xf>
    <xf numFmtId="3" fontId="36" fillId="4" borderId="26" xfId="2" applyNumberFormat="1" applyFont="1" applyFill="1" applyBorder="1" applyAlignment="1">
      <alignment horizontal="center" vertical="center"/>
    </xf>
    <xf numFmtId="3" fontId="7" fillId="4" borderId="0" xfId="2" applyNumberFormat="1" applyFont="1" applyFill="1" applyAlignment="1">
      <alignment horizontal="center" vertical="center"/>
    </xf>
    <xf numFmtId="0" fontId="7" fillId="4" borderId="25" xfId="0" quotePrefix="1" applyFont="1" applyFill="1" applyBorder="1" applyAlignment="1">
      <alignment horizontal="left" vertical="center" indent="1"/>
    </xf>
    <xf numFmtId="0" fontId="7" fillId="4" borderId="27" xfId="0" quotePrefix="1" applyFont="1" applyFill="1" applyBorder="1" applyAlignment="1">
      <alignment horizontal="left" vertical="center" indent="1"/>
    </xf>
    <xf numFmtId="3" fontId="36" fillId="4" borderId="0" xfId="2" applyNumberFormat="1" applyFont="1" applyFill="1" applyAlignment="1">
      <alignment horizontal="center" vertical="center"/>
    </xf>
    <xf numFmtId="167" fontId="10" fillId="4" borderId="0" xfId="2" applyNumberFormat="1" applyFont="1" applyFill="1" applyAlignment="1">
      <alignment horizontal="center" vertical="center"/>
    </xf>
    <xf numFmtId="0" fontId="15" fillId="4" borderId="27" xfId="0" applyFont="1" applyFill="1" applyBorder="1" applyAlignment="1">
      <alignment vertical="center"/>
    </xf>
    <xf numFmtId="165" fontId="15" fillId="4" borderId="28" xfId="1" applyNumberFormat="1" applyFont="1" applyFill="1" applyBorder="1" applyAlignment="1">
      <alignment horizontal="center" vertical="center"/>
    </xf>
    <xf numFmtId="165" fontId="15" fillId="4" borderId="29" xfId="1" applyNumberFormat="1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9" borderId="25" xfId="0" applyFont="1" applyFill="1" applyBorder="1" applyAlignment="1">
      <alignment vertical="center"/>
    </xf>
    <xf numFmtId="165" fontId="15" fillId="9" borderId="28" xfId="1" applyNumberFormat="1" applyFont="1" applyFill="1" applyBorder="1" applyAlignment="1">
      <alignment horizontal="center" vertical="center"/>
    </xf>
    <xf numFmtId="165" fontId="15" fillId="9" borderId="29" xfId="1" applyNumberFormat="1" applyFont="1" applyFill="1" applyBorder="1" applyAlignment="1">
      <alignment horizontal="center" vertical="center"/>
    </xf>
    <xf numFmtId="165" fontId="15" fillId="14" borderId="28" xfId="1" applyNumberFormat="1" applyFont="1" applyFill="1" applyBorder="1" applyAlignment="1">
      <alignment horizontal="center" vertical="center"/>
    </xf>
    <xf numFmtId="1" fontId="7" fillId="14" borderId="26" xfId="0" applyNumberFormat="1" applyFont="1" applyFill="1" applyBorder="1" applyAlignment="1">
      <alignment horizontal="center" vertical="center"/>
    </xf>
    <xf numFmtId="165" fontId="7" fillId="9" borderId="0" xfId="1" applyNumberFormat="1" applyFont="1" applyFill="1" applyBorder="1" applyAlignment="1">
      <alignment horizontal="center" vertical="center"/>
    </xf>
    <xf numFmtId="165" fontId="7" fillId="9" borderId="26" xfId="1" applyNumberFormat="1" applyFont="1" applyFill="1" applyBorder="1" applyAlignment="1">
      <alignment horizontal="center" vertical="center"/>
    </xf>
    <xf numFmtId="165" fontId="15" fillId="14" borderId="0" xfId="1" applyNumberFormat="1" applyFont="1" applyFill="1" applyBorder="1" applyAlignment="1">
      <alignment horizontal="center" vertical="center"/>
    </xf>
    <xf numFmtId="3" fontId="7" fillId="9" borderId="0" xfId="0" applyNumberFormat="1" applyFont="1" applyFill="1" applyAlignment="1">
      <alignment horizontal="center" vertical="center"/>
    </xf>
    <xf numFmtId="3" fontId="7" fillId="9" borderId="26" xfId="0" applyNumberFormat="1" applyFont="1" applyFill="1" applyBorder="1" applyAlignment="1">
      <alignment horizontal="center" vertical="center"/>
    </xf>
    <xf numFmtId="3" fontId="15" fillId="4" borderId="28" xfId="0" applyNumberFormat="1" applyFont="1" applyFill="1" applyBorder="1" applyAlignment="1">
      <alignment horizontal="center" vertical="center"/>
    </xf>
    <xf numFmtId="3" fontId="15" fillId="14" borderId="0" xfId="0" applyNumberFormat="1" applyFont="1" applyFill="1" applyAlignment="1">
      <alignment horizontal="center" vertical="center"/>
    </xf>
    <xf numFmtId="3" fontId="15" fillId="14" borderId="26" xfId="0" applyNumberFormat="1" applyFont="1" applyFill="1" applyBorder="1" applyAlignment="1">
      <alignment horizontal="center" vertical="center"/>
    </xf>
    <xf numFmtId="3" fontId="15" fillId="14" borderId="28" xfId="0" applyNumberFormat="1" applyFont="1" applyFill="1" applyBorder="1" applyAlignment="1">
      <alignment horizontal="center" vertical="center"/>
    </xf>
    <xf numFmtId="3" fontId="15" fillId="14" borderId="29" xfId="0" applyNumberFormat="1" applyFont="1" applyFill="1" applyBorder="1" applyAlignment="1">
      <alignment horizontal="center" vertical="center"/>
    </xf>
    <xf numFmtId="0" fontId="10" fillId="4" borderId="27" xfId="2" applyFont="1" applyFill="1" applyBorder="1" applyAlignment="1">
      <alignment horizontal="left" vertical="center"/>
    </xf>
    <xf numFmtId="9" fontId="7" fillId="4" borderId="28" xfId="1" applyFont="1" applyFill="1" applyBorder="1" applyAlignment="1">
      <alignment horizontal="center" vertical="center"/>
    </xf>
    <xf numFmtId="0" fontId="10" fillId="4" borderId="25" xfId="2" applyFont="1" applyFill="1" applyBorder="1" applyAlignment="1">
      <alignment horizontal="left" vertical="center" wrapText="1" indent="2"/>
    </xf>
    <xf numFmtId="0" fontId="10" fillId="4" borderId="25" xfId="2" applyFont="1" applyFill="1" applyBorder="1" applyAlignment="1">
      <alignment horizontal="left" vertical="center" indent="2"/>
    </xf>
    <xf numFmtId="0" fontId="11" fillId="4" borderId="25" xfId="2" applyFont="1" applyFill="1" applyBorder="1" applyAlignment="1">
      <alignment horizontal="left" vertical="center" indent="2"/>
    </xf>
    <xf numFmtId="0" fontId="11" fillId="4" borderId="27" xfId="2" applyFont="1" applyFill="1" applyBorder="1" applyAlignment="1">
      <alignment horizontal="left" vertical="center" indent="2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center" vertical="center"/>
    </xf>
    <xf numFmtId="9" fontId="15" fillId="4" borderId="26" xfId="1" applyFont="1" applyFill="1" applyBorder="1" applyAlignment="1">
      <alignment horizontal="center" vertical="center"/>
    </xf>
    <xf numFmtId="0" fontId="12" fillId="9" borderId="25" xfId="2" applyFont="1" applyFill="1" applyBorder="1" applyAlignment="1">
      <alignment vertical="center"/>
    </xf>
    <xf numFmtId="3" fontId="6" fillId="9" borderId="0" xfId="0" applyNumberFormat="1" applyFont="1" applyFill="1" applyAlignment="1">
      <alignment horizontal="center" vertical="center"/>
    </xf>
    <xf numFmtId="9" fontId="20" fillId="9" borderId="26" xfId="1" applyFont="1" applyFill="1" applyBorder="1" applyAlignment="1">
      <alignment horizontal="center" vertical="center"/>
    </xf>
    <xf numFmtId="0" fontId="21" fillId="17" borderId="37" xfId="2" applyFont="1" applyFill="1" applyBorder="1" applyAlignment="1">
      <alignment vertical="center"/>
    </xf>
    <xf numFmtId="3" fontId="22" fillId="17" borderId="17" xfId="0" applyNumberFormat="1" applyFont="1" applyFill="1" applyBorder="1" applyAlignment="1">
      <alignment horizontal="center" vertical="center"/>
    </xf>
    <xf numFmtId="9" fontId="23" fillId="17" borderId="38" xfId="1" applyFont="1" applyFill="1" applyBorder="1" applyAlignment="1">
      <alignment horizontal="center" vertical="center"/>
    </xf>
    <xf numFmtId="9" fontId="15" fillId="14" borderId="26" xfId="1" applyFont="1" applyFill="1" applyBorder="1" applyAlignment="1">
      <alignment horizontal="center" vertical="center"/>
    </xf>
    <xf numFmtId="9" fontId="15" fillId="14" borderId="29" xfId="1" applyFont="1" applyFill="1" applyBorder="1" applyAlignment="1">
      <alignment horizontal="center" vertical="center"/>
    </xf>
    <xf numFmtId="0" fontId="10" fillId="14" borderId="25" xfId="2" applyFont="1" applyFill="1" applyBorder="1" applyAlignment="1">
      <alignment horizontal="left" vertical="center"/>
    </xf>
    <xf numFmtId="0" fontId="10" fillId="14" borderId="25" xfId="2" applyFont="1" applyFill="1" applyBorder="1" applyAlignment="1">
      <alignment horizontal="left" vertical="center" wrapText="1"/>
    </xf>
    <xf numFmtId="0" fontId="11" fillId="14" borderId="25" xfId="2" applyFont="1" applyFill="1" applyBorder="1" applyAlignment="1">
      <alignment horizontal="left" vertical="center" indent="2"/>
    </xf>
    <xf numFmtId="0" fontId="11" fillId="14" borderId="27" xfId="2" applyFont="1" applyFill="1" applyBorder="1" applyAlignment="1">
      <alignment horizontal="left" vertical="center" indent="2"/>
    </xf>
    <xf numFmtId="0" fontId="11" fillId="14" borderId="27" xfId="2" applyFont="1" applyFill="1" applyBorder="1" applyAlignment="1">
      <alignment horizontal="left" vertical="center" indent="3"/>
    </xf>
    <xf numFmtId="0" fontId="12" fillId="9" borderId="25" xfId="2" applyFont="1" applyFill="1" applyBorder="1" applyAlignment="1">
      <alignment vertical="center" wrapText="1"/>
    </xf>
    <xf numFmtId="165" fontId="6" fillId="9" borderId="0" xfId="1" applyNumberFormat="1" applyFont="1" applyFill="1" applyBorder="1" applyAlignment="1">
      <alignment horizontal="center" vertical="center"/>
    </xf>
    <xf numFmtId="165" fontId="6" fillId="9" borderId="26" xfId="1" applyNumberFormat="1" applyFont="1" applyFill="1" applyBorder="1" applyAlignment="1">
      <alignment horizontal="center" vertical="center"/>
    </xf>
    <xf numFmtId="0" fontId="21" fillId="17" borderId="37" xfId="2" applyFont="1" applyFill="1" applyBorder="1" applyAlignment="1">
      <alignment vertical="center" wrapText="1"/>
    </xf>
    <xf numFmtId="165" fontId="22" fillId="17" borderId="17" xfId="1" applyNumberFormat="1" applyFont="1" applyFill="1" applyBorder="1" applyAlignment="1">
      <alignment horizontal="center" vertical="center"/>
    </xf>
    <xf numFmtId="165" fontId="22" fillId="17" borderId="38" xfId="1" applyNumberFormat="1" applyFont="1" applyFill="1" applyBorder="1" applyAlignment="1">
      <alignment horizontal="center" vertical="center"/>
    </xf>
    <xf numFmtId="0" fontId="11" fillId="14" borderId="25" xfId="2" applyFont="1" applyFill="1" applyBorder="1" applyAlignment="1">
      <alignment horizontal="left" vertical="center" wrapText="1" indent="2"/>
    </xf>
    <xf numFmtId="0" fontId="11" fillId="14" borderId="27" xfId="2" applyFont="1" applyFill="1" applyBorder="1" applyAlignment="1">
      <alignment horizontal="left" vertical="center" wrapText="1" indent="2"/>
    </xf>
    <xf numFmtId="165" fontId="0" fillId="4" borderId="0" xfId="1" applyNumberFormat="1" applyFont="1" applyFill="1" applyAlignment="1">
      <alignment vertical="center"/>
    </xf>
    <xf numFmtId="0" fontId="0" fillId="4" borderId="27" xfId="0" applyFill="1" applyBorder="1" applyAlignment="1">
      <alignment vertical="center"/>
    </xf>
    <xf numFmtId="3" fontId="7" fillId="14" borderId="28" xfId="0" applyNumberFormat="1" applyFont="1" applyFill="1" applyBorder="1" applyAlignment="1">
      <alignment horizontal="center" vertical="center"/>
    </xf>
    <xf numFmtId="167" fontId="6" fillId="9" borderId="0" xfId="0" applyNumberFormat="1" applyFont="1" applyFill="1" applyAlignment="1">
      <alignment horizontal="center" vertical="center"/>
    </xf>
    <xf numFmtId="165" fontId="20" fillId="9" borderId="26" xfId="1" applyNumberFormat="1" applyFont="1" applyFill="1" applyBorder="1" applyAlignment="1">
      <alignment horizontal="center" vertical="center"/>
    </xf>
    <xf numFmtId="167" fontId="15" fillId="14" borderId="0" xfId="0" applyNumberFormat="1" applyFont="1" applyFill="1" applyAlignment="1">
      <alignment horizontal="center" vertical="center"/>
    </xf>
    <xf numFmtId="0" fontId="12" fillId="17" borderId="25" xfId="2" applyFont="1" applyFill="1" applyBorder="1" applyAlignment="1">
      <alignment vertical="center"/>
    </xf>
    <xf numFmtId="165" fontId="20" fillId="17" borderId="26" xfId="1" applyNumberFormat="1" applyFont="1" applyFill="1" applyBorder="1" applyAlignment="1">
      <alignment horizontal="center" vertical="center"/>
    </xf>
    <xf numFmtId="0" fontId="12" fillId="9" borderId="27" xfId="2" applyFont="1" applyFill="1" applyBorder="1" applyAlignment="1">
      <alignment vertical="center"/>
    </xf>
    <xf numFmtId="10" fontId="6" fillId="9" borderId="28" xfId="1" applyNumberFormat="1" applyFont="1" applyFill="1" applyBorder="1" applyAlignment="1">
      <alignment horizontal="center" vertical="center"/>
    </xf>
    <xf numFmtId="10" fontId="11" fillId="4" borderId="0" xfId="2" applyNumberFormat="1" applyFont="1" applyFill="1" applyAlignment="1">
      <alignment horizontal="center" vertical="center"/>
    </xf>
    <xf numFmtId="165" fontId="20" fillId="9" borderId="29" xfId="1" applyNumberFormat="1" applyFont="1" applyFill="1" applyBorder="1" applyAlignment="1">
      <alignment horizontal="center" vertical="center"/>
    </xf>
    <xf numFmtId="0" fontId="34" fillId="5" borderId="0" xfId="0" applyFont="1" applyFill="1" applyAlignment="1">
      <alignment vertical="center"/>
    </xf>
    <xf numFmtId="0" fontId="12" fillId="14" borderId="25" xfId="2" applyFont="1" applyFill="1" applyBorder="1" applyAlignment="1">
      <alignment horizontal="left" vertical="center" wrapText="1"/>
    </xf>
    <xf numFmtId="0" fontId="11" fillId="14" borderId="27" xfId="2" applyFont="1" applyFill="1" applyBorder="1" applyAlignment="1">
      <alignment horizontal="left" vertical="center" wrapText="1"/>
    </xf>
    <xf numFmtId="0" fontId="10" fillId="14" borderId="11" xfId="2" applyFont="1" applyFill="1" applyBorder="1" applyAlignment="1">
      <alignment vertical="center"/>
    </xf>
    <xf numFmtId="3" fontId="7" fillId="14" borderId="0" xfId="1" applyNumberFormat="1" applyFont="1" applyFill="1" applyBorder="1" applyAlignment="1">
      <alignment horizontal="center" vertical="center"/>
    </xf>
    <xf numFmtId="167" fontId="7" fillId="14" borderId="0" xfId="0" applyNumberFormat="1" applyFont="1" applyFill="1" applyAlignment="1">
      <alignment horizontal="center" vertical="center"/>
    </xf>
    <xf numFmtId="0" fontId="12" fillId="4" borderId="13" xfId="2" applyFont="1" applyFill="1" applyBorder="1" applyAlignment="1">
      <alignment vertical="center"/>
    </xf>
    <xf numFmtId="3" fontId="6" fillId="4" borderId="14" xfId="0" applyNumberFormat="1" applyFont="1" applyFill="1" applyBorder="1" applyAlignment="1">
      <alignment horizontal="center" vertical="center"/>
    </xf>
    <xf numFmtId="0" fontId="12" fillId="4" borderId="0" xfId="2" applyFont="1" applyFill="1" applyAlignment="1">
      <alignment vertical="center"/>
    </xf>
    <xf numFmtId="3" fontId="12" fillId="4" borderId="0" xfId="2" applyNumberFormat="1" applyFont="1" applyFill="1" applyAlignment="1">
      <alignment horizontal="center" vertical="center"/>
    </xf>
    <xf numFmtId="3" fontId="13" fillId="4" borderId="0" xfId="0" applyNumberFormat="1" applyFont="1" applyFill="1" applyAlignment="1">
      <alignment vertical="center"/>
    </xf>
    <xf numFmtId="0" fontId="10" fillId="4" borderId="25" xfId="2" applyFont="1" applyFill="1" applyBorder="1" applyAlignment="1">
      <alignment vertical="center" wrapText="1"/>
    </xf>
    <xf numFmtId="10" fontId="7" fillId="4" borderId="28" xfId="1" applyNumberFormat="1" applyFont="1" applyFill="1" applyBorder="1" applyAlignment="1">
      <alignment horizontal="center" vertical="center"/>
    </xf>
    <xf numFmtId="0" fontId="43" fillId="12" borderId="30" xfId="0" quotePrefix="1" applyFont="1" applyFill="1" applyBorder="1" applyAlignment="1">
      <alignment horizontal="left" vertical="center" wrapText="1"/>
    </xf>
    <xf numFmtId="0" fontId="10" fillId="4" borderId="27" xfId="2" applyFont="1" applyFill="1" applyBorder="1" applyAlignment="1">
      <alignment horizontal="left" vertical="center" indent="2"/>
    </xf>
    <xf numFmtId="0" fontId="10" fillId="9" borderId="25" xfId="2" applyFont="1" applyFill="1" applyBorder="1" applyAlignment="1">
      <alignment vertical="center"/>
    </xf>
    <xf numFmtId="165" fontId="15" fillId="9" borderId="26" xfId="1" applyNumberFormat="1" applyFont="1" applyFill="1" applyBorder="1" applyAlignment="1">
      <alignment horizontal="center" vertical="center"/>
    </xf>
    <xf numFmtId="0" fontId="10" fillId="14" borderId="25" xfId="2" applyFont="1" applyFill="1" applyBorder="1" applyAlignment="1">
      <alignment horizontal="left" vertical="center" indent="2"/>
    </xf>
    <xf numFmtId="0" fontId="10" fillId="17" borderId="25" xfId="2" applyFont="1" applyFill="1" applyBorder="1" applyAlignment="1">
      <alignment vertical="center"/>
    </xf>
    <xf numFmtId="3" fontId="7" fillId="17" borderId="0" xfId="1" applyNumberFormat="1" applyFont="1" applyFill="1" applyBorder="1" applyAlignment="1">
      <alignment horizontal="center" vertical="center"/>
    </xf>
    <xf numFmtId="165" fontId="15" fillId="17" borderId="26" xfId="1" applyNumberFormat="1" applyFont="1" applyFill="1" applyBorder="1" applyAlignment="1">
      <alignment horizontal="center" vertical="center"/>
    </xf>
    <xf numFmtId="0" fontId="12" fillId="14" borderId="33" xfId="2" applyFont="1" applyFill="1" applyBorder="1" applyAlignment="1">
      <alignment vertical="center"/>
    </xf>
    <xf numFmtId="3" fontId="6" fillId="14" borderId="34" xfId="0" applyNumberFormat="1" applyFont="1" applyFill="1" applyBorder="1" applyAlignment="1">
      <alignment horizontal="center" vertical="center"/>
    </xf>
    <xf numFmtId="165" fontId="20" fillId="14" borderId="35" xfId="1" applyNumberFormat="1" applyFont="1" applyFill="1" applyBorder="1" applyAlignment="1">
      <alignment horizontal="center" vertical="center"/>
    </xf>
    <xf numFmtId="0" fontId="12" fillId="14" borderId="30" xfId="2" applyFont="1" applyFill="1" applyBorder="1" applyAlignment="1">
      <alignment vertical="center"/>
    </xf>
    <xf numFmtId="3" fontId="6" fillId="14" borderId="31" xfId="0" applyNumberFormat="1" applyFont="1" applyFill="1" applyBorder="1" applyAlignment="1">
      <alignment horizontal="center" vertical="center"/>
    </xf>
    <xf numFmtId="165" fontId="20" fillId="14" borderId="32" xfId="1" applyNumberFormat="1" applyFont="1" applyFill="1" applyBorder="1" applyAlignment="1">
      <alignment horizontal="center" vertical="center"/>
    </xf>
    <xf numFmtId="165" fontId="6" fillId="14" borderId="28" xfId="1" applyNumberFormat="1" applyFont="1" applyFill="1" applyBorder="1" applyAlignment="1">
      <alignment horizontal="center" vertical="center"/>
    </xf>
    <xf numFmtId="165" fontId="6" fillId="14" borderId="34" xfId="1" applyNumberFormat="1" applyFont="1" applyFill="1" applyBorder="1" applyAlignment="1">
      <alignment horizontal="center" vertical="center"/>
    </xf>
    <xf numFmtId="0" fontId="10" fillId="14" borderId="25" xfId="2" applyFont="1" applyFill="1" applyBorder="1" applyAlignment="1">
      <alignment horizontal="left" vertical="center" wrapText="1" indent="2"/>
    </xf>
    <xf numFmtId="0" fontId="10" fillId="4" borderId="25" xfId="2" applyFont="1" applyFill="1" applyBorder="1" applyAlignment="1">
      <alignment horizontal="left" vertical="center" wrapText="1" indent="4"/>
    </xf>
    <xf numFmtId="0" fontId="10" fillId="17" borderId="33" xfId="2" applyFont="1" applyFill="1" applyBorder="1" applyAlignment="1">
      <alignment vertical="center"/>
    </xf>
    <xf numFmtId="3" fontId="7" fillId="17" borderId="34" xfId="1" applyNumberFormat="1" applyFont="1" applyFill="1" applyBorder="1" applyAlignment="1">
      <alignment horizontal="center" vertical="center"/>
    </xf>
    <xf numFmtId="165" fontId="15" fillId="17" borderId="35" xfId="1" applyNumberFormat="1" applyFont="1" applyFill="1" applyBorder="1" applyAlignment="1">
      <alignment horizontal="center" vertical="center"/>
    </xf>
    <xf numFmtId="3" fontId="7" fillId="4" borderId="28" xfId="1" applyNumberFormat="1" applyFont="1" applyFill="1" applyBorder="1" applyAlignment="1">
      <alignment horizontal="center" vertical="center"/>
    </xf>
    <xf numFmtId="0" fontId="11" fillId="4" borderId="25" xfId="2" applyFont="1" applyFill="1" applyBorder="1" applyAlignment="1">
      <alignment horizontal="left" vertical="center" wrapText="1" indent="4"/>
    </xf>
    <xf numFmtId="0" fontId="11" fillId="4" borderId="27" xfId="2" applyFont="1" applyFill="1" applyBorder="1" applyAlignment="1">
      <alignment horizontal="left" vertical="center" wrapText="1" indent="4"/>
    </xf>
    <xf numFmtId="10" fontId="7" fillId="4" borderId="34" xfId="1" applyNumberFormat="1" applyFont="1" applyFill="1" applyBorder="1" applyAlignment="1">
      <alignment horizontal="center" vertical="center"/>
    </xf>
    <xf numFmtId="0" fontId="11" fillId="4" borderId="33" xfId="2" applyFont="1" applyFill="1" applyBorder="1" applyAlignment="1">
      <alignment vertical="center"/>
    </xf>
    <xf numFmtId="3" fontId="15" fillId="4" borderId="34" xfId="0" applyNumberFormat="1" applyFont="1" applyFill="1" applyBorder="1" applyAlignment="1">
      <alignment horizontal="center" vertical="center"/>
    </xf>
    <xf numFmtId="167" fontId="6" fillId="14" borderId="29" xfId="0" applyNumberFormat="1" applyFont="1" applyFill="1" applyBorder="1" applyAlignment="1">
      <alignment horizontal="center" vertical="center"/>
    </xf>
    <xf numFmtId="9" fontId="6" fillId="14" borderId="28" xfId="1" applyFont="1" applyFill="1" applyBorder="1" applyAlignment="1">
      <alignment horizontal="center" vertical="center"/>
    </xf>
    <xf numFmtId="165" fontId="7" fillId="14" borderId="29" xfId="1" applyNumberFormat="1" applyFont="1" applyFill="1" applyBorder="1" applyAlignment="1">
      <alignment horizontal="center" vertical="center"/>
    </xf>
    <xf numFmtId="0" fontId="35" fillId="5" borderId="0" xfId="0" applyFont="1" applyFill="1" applyAlignment="1">
      <alignment vertical="center"/>
    </xf>
    <xf numFmtId="9" fontId="7" fillId="4" borderId="34" xfId="1" applyFont="1" applyFill="1" applyBorder="1" applyAlignment="1">
      <alignment horizontal="center" vertical="center"/>
    </xf>
    <xf numFmtId="0" fontId="45" fillId="9" borderId="33" xfId="2" applyFont="1" applyFill="1" applyBorder="1" applyAlignment="1">
      <alignment horizontal="left" vertical="center" wrapText="1"/>
    </xf>
    <xf numFmtId="3" fontId="20" fillId="9" borderId="34" xfId="1" applyNumberFormat="1" applyFont="1" applyFill="1" applyBorder="1" applyAlignment="1">
      <alignment horizontal="center" vertical="center"/>
    </xf>
    <xf numFmtId="165" fontId="20" fillId="9" borderId="35" xfId="1" applyNumberFormat="1" applyFont="1" applyFill="1" applyBorder="1" applyAlignment="1">
      <alignment horizontal="center" vertical="center"/>
    </xf>
    <xf numFmtId="0" fontId="11" fillId="9" borderId="27" xfId="2" applyFont="1" applyFill="1" applyBorder="1" applyAlignment="1">
      <alignment horizontal="left" vertical="center" wrapText="1"/>
    </xf>
    <xf numFmtId="3" fontId="17" fillId="4" borderId="0" xfId="0" applyNumberFormat="1" applyFont="1" applyFill="1" applyAlignment="1">
      <alignment vertical="center" wrapText="1"/>
    </xf>
    <xf numFmtId="3" fontId="0" fillId="4" borderId="0" xfId="0" applyNumberFormat="1" applyFill="1" applyAlignment="1">
      <alignment vertical="center"/>
    </xf>
    <xf numFmtId="0" fontId="10" fillId="4" borderId="25" xfId="2" applyFont="1" applyFill="1" applyBorder="1" applyAlignment="1">
      <alignment horizontal="left" vertical="center" indent="4"/>
    </xf>
    <xf numFmtId="0" fontId="12" fillId="17" borderId="27" xfId="2" applyFont="1" applyFill="1" applyBorder="1" applyAlignment="1">
      <alignment vertical="center"/>
    </xf>
    <xf numFmtId="3" fontId="6" fillId="17" borderId="28" xfId="0" applyNumberFormat="1" applyFont="1" applyFill="1" applyBorder="1" applyAlignment="1">
      <alignment horizontal="center" vertical="center"/>
    </xf>
    <xf numFmtId="165" fontId="20" fillId="17" borderId="29" xfId="1" applyNumberFormat="1" applyFont="1" applyFill="1" applyBorder="1" applyAlignment="1">
      <alignment horizontal="center" vertical="center"/>
    </xf>
    <xf numFmtId="165" fontId="10" fillId="4" borderId="25" xfId="1" applyNumberFormat="1" applyFont="1" applyFill="1" applyBorder="1" applyAlignment="1">
      <alignment horizontal="left" vertical="center"/>
    </xf>
    <xf numFmtId="0" fontId="10" fillId="14" borderId="33" xfId="2" applyFont="1" applyFill="1" applyBorder="1" applyAlignment="1">
      <alignment vertical="center" wrapText="1"/>
    </xf>
    <xf numFmtId="165" fontId="12" fillId="14" borderId="27" xfId="1" applyNumberFormat="1" applyFont="1" applyFill="1" applyBorder="1" applyAlignment="1">
      <alignment horizontal="left" vertical="center"/>
    </xf>
    <xf numFmtId="3" fontId="6" fillId="17" borderId="0" xfId="0" applyNumberFormat="1" applyFont="1" applyFill="1" applyAlignment="1">
      <alignment horizontal="center" vertical="center"/>
    </xf>
    <xf numFmtId="3" fontId="46" fillId="4" borderId="0" xfId="0" applyNumberFormat="1" applyFont="1" applyFill="1" applyAlignment="1">
      <alignment vertical="center" wrapText="1"/>
    </xf>
    <xf numFmtId="9" fontId="20" fillId="14" borderId="29" xfId="1" applyFont="1" applyFill="1" applyBorder="1" applyAlignment="1">
      <alignment horizontal="center" vertical="center"/>
    </xf>
    <xf numFmtId="9" fontId="9" fillId="12" borderId="32" xfId="0" applyNumberFormat="1" applyFont="1" applyFill="1" applyBorder="1" applyAlignment="1">
      <alignment horizontal="center" vertical="center" wrapText="1"/>
    </xf>
    <xf numFmtId="165" fontId="0" fillId="4" borderId="0" xfId="1" applyNumberFormat="1" applyFont="1" applyFill="1"/>
    <xf numFmtId="9" fontId="12" fillId="4" borderId="0" xfId="1" applyFont="1" applyFill="1" applyBorder="1" applyAlignment="1">
      <alignment horizontal="center" vertical="center"/>
    </xf>
    <xf numFmtId="0" fontId="8" fillId="12" borderId="44" xfId="0" quotePrefix="1" applyFont="1" applyFill="1" applyBorder="1" applyAlignment="1">
      <alignment horizontal="left" vertical="center" wrapText="1"/>
    </xf>
    <xf numFmtId="0" fontId="8" fillId="12" borderId="45" xfId="3" applyFont="1" applyFill="1" applyBorder="1" applyAlignment="1">
      <alignment horizontal="center" vertical="center"/>
    </xf>
    <xf numFmtId="1" fontId="7" fillId="4" borderId="28" xfId="1" applyNumberFormat="1" applyFont="1" applyFill="1" applyBorder="1" applyAlignment="1">
      <alignment horizontal="center" vertical="center"/>
    </xf>
    <xf numFmtId="4" fontId="7" fillId="4" borderId="0" xfId="0" applyNumberFormat="1" applyFont="1" applyFill="1" applyAlignment="1">
      <alignment horizontal="center" vertical="center"/>
    </xf>
    <xf numFmtId="3" fontId="7" fillId="4" borderId="0" xfId="0" quotePrefix="1" applyNumberFormat="1" applyFont="1" applyFill="1" applyAlignment="1">
      <alignment horizontal="center" vertical="center"/>
    </xf>
    <xf numFmtId="165" fontId="45" fillId="14" borderId="29" xfId="1" applyNumberFormat="1" applyFont="1" applyFill="1" applyBorder="1" applyAlignment="1">
      <alignment horizontal="center" vertical="center"/>
    </xf>
    <xf numFmtId="4" fontId="6" fillId="14" borderId="28" xfId="0" applyNumberFormat="1" applyFont="1" applyFill="1" applyBorder="1" applyAlignment="1">
      <alignment horizontal="center" vertical="center"/>
    </xf>
    <xf numFmtId="165" fontId="11" fillId="14" borderId="26" xfId="1" applyNumberFormat="1" applyFont="1" applyFill="1" applyBorder="1" applyAlignment="1">
      <alignment horizontal="center" vertical="center"/>
    </xf>
    <xf numFmtId="3" fontId="10" fillId="4" borderId="0" xfId="2" applyNumberFormat="1" applyFont="1" applyFill="1" applyAlignment="1">
      <alignment horizontal="center"/>
    </xf>
    <xf numFmtId="0" fontId="13" fillId="12" borderId="1" xfId="3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16" fillId="12" borderId="33" xfId="0" applyFont="1" applyFill="1" applyBorder="1" applyAlignment="1">
      <alignment horizontal="left" vertical="center" wrapText="1"/>
    </xf>
    <xf numFmtId="0" fontId="16" fillId="12" borderId="34" xfId="0" applyFont="1" applyFill="1" applyBorder="1" applyAlignment="1">
      <alignment horizontal="center" vertical="center" wrapText="1"/>
    </xf>
    <xf numFmtId="10" fontId="7" fillId="14" borderId="0" xfId="0" applyNumberFormat="1" applyFont="1" applyFill="1" applyAlignment="1">
      <alignment horizontal="center" vertical="center"/>
    </xf>
    <xf numFmtId="169" fontId="10" fillId="4" borderId="0" xfId="2" applyNumberFormat="1" applyFont="1" applyFill="1" applyAlignment="1">
      <alignment horizontal="center" vertical="center"/>
    </xf>
    <xf numFmtId="3" fontId="10" fillId="4" borderId="2" xfId="2" applyNumberFormat="1" applyFont="1" applyFill="1" applyBorder="1" applyAlignment="1">
      <alignment horizontal="center" vertical="center"/>
    </xf>
    <xf numFmtId="167" fontId="10" fillId="4" borderId="2" xfId="2" applyNumberFormat="1" applyFont="1" applyFill="1" applyBorder="1" applyAlignment="1">
      <alignment horizontal="center" vertical="center"/>
    </xf>
    <xf numFmtId="3" fontId="10" fillId="4" borderId="2" xfId="2" quotePrefix="1" applyNumberFormat="1" applyFont="1" applyFill="1" applyBorder="1" applyAlignment="1">
      <alignment horizontal="center" vertical="center"/>
    </xf>
    <xf numFmtId="0" fontId="16" fillId="12" borderId="30" xfId="0" applyFont="1" applyFill="1" applyBorder="1" applyAlignment="1">
      <alignment vertical="center"/>
    </xf>
    <xf numFmtId="0" fontId="0" fillId="4" borderId="32" xfId="0" quotePrefix="1" applyFill="1" applyBorder="1" applyAlignment="1">
      <alignment horizontal="center" vertical="center"/>
    </xf>
    <xf numFmtId="0" fontId="0" fillId="4" borderId="39" xfId="0" applyFill="1" applyBorder="1" applyAlignment="1">
      <alignment vertical="center"/>
    </xf>
    <xf numFmtId="165" fontId="0" fillId="4" borderId="19" xfId="1" applyNumberFormat="1" applyFont="1" applyFill="1" applyBorder="1" applyAlignment="1">
      <alignment horizontal="center" vertical="center"/>
    </xf>
    <xf numFmtId="165" fontId="0" fillId="4" borderId="40" xfId="1" applyNumberFormat="1" applyFont="1" applyFill="1" applyBorder="1" applyAlignment="1">
      <alignment horizontal="center" vertical="center"/>
    </xf>
    <xf numFmtId="0" fontId="0" fillId="4" borderId="25" xfId="0" applyFill="1" applyBorder="1" applyAlignment="1">
      <alignment vertical="center"/>
    </xf>
    <xf numFmtId="165" fontId="0" fillId="4" borderId="0" xfId="1" applyNumberFormat="1" applyFont="1" applyFill="1" applyBorder="1" applyAlignment="1">
      <alignment horizontal="center" vertical="center"/>
    </xf>
    <xf numFmtId="165" fontId="0" fillId="4" borderId="26" xfId="1" applyNumberFormat="1" applyFont="1" applyFill="1" applyBorder="1" applyAlignment="1">
      <alignment horizontal="center" vertical="center"/>
    </xf>
    <xf numFmtId="165" fontId="0" fillId="4" borderId="28" xfId="1" applyNumberFormat="1" applyFont="1" applyFill="1" applyBorder="1" applyAlignment="1">
      <alignment horizontal="center" vertical="center"/>
    </xf>
    <xf numFmtId="165" fontId="0" fillId="4" borderId="29" xfId="1" applyNumberFormat="1" applyFont="1" applyFill="1" applyBorder="1" applyAlignment="1">
      <alignment horizontal="center" vertical="center"/>
    </xf>
    <xf numFmtId="0" fontId="16" fillId="12" borderId="35" xfId="0" applyFont="1" applyFill="1" applyBorder="1" applyAlignment="1">
      <alignment horizontal="center" vertical="center" wrapText="1"/>
    </xf>
    <xf numFmtId="165" fontId="0" fillId="4" borderId="0" xfId="0" applyNumberFormat="1" applyFill="1" applyAlignment="1">
      <alignment vertical="center"/>
    </xf>
    <xf numFmtId="167" fontId="0" fillId="4" borderId="0" xfId="0" quotePrefix="1" applyNumberFormat="1" applyFill="1" applyAlignment="1">
      <alignment horizontal="center" vertical="center"/>
    </xf>
    <xf numFmtId="167" fontId="0" fillId="4" borderId="0" xfId="0" applyNumberFormat="1" applyFill="1" applyAlignment="1">
      <alignment horizontal="center" vertical="center"/>
    </xf>
    <xf numFmtId="167" fontId="0" fillId="4" borderId="28" xfId="0" applyNumberFormat="1" applyFill="1" applyBorder="1" applyAlignment="1">
      <alignment horizontal="center" vertical="center"/>
    </xf>
    <xf numFmtId="0" fontId="13" fillId="12" borderId="46" xfId="2" applyFont="1" applyFill="1" applyBorder="1" applyAlignment="1">
      <alignment vertical="center" wrapText="1"/>
    </xf>
    <xf numFmtId="0" fontId="13" fillId="12" borderId="47" xfId="3" applyFont="1" applyFill="1" applyBorder="1" applyAlignment="1">
      <alignment horizontal="center" vertical="center"/>
    </xf>
    <xf numFmtId="0" fontId="13" fillId="12" borderId="48" xfId="3" applyFont="1" applyFill="1" applyBorder="1" applyAlignment="1">
      <alignment horizontal="center" vertical="center"/>
    </xf>
    <xf numFmtId="167" fontId="10" fillId="4" borderId="3" xfId="2" applyNumberFormat="1" applyFont="1" applyFill="1" applyBorder="1" applyAlignment="1">
      <alignment horizontal="center" vertical="center"/>
    </xf>
    <xf numFmtId="167" fontId="10" fillId="4" borderId="6" xfId="2" applyNumberFormat="1" applyFont="1" applyFill="1" applyBorder="1" applyAlignment="1">
      <alignment horizontal="center" vertical="center"/>
    </xf>
    <xf numFmtId="167" fontId="10" fillId="4" borderId="7" xfId="2" applyNumberFormat="1" applyFont="1" applyFill="1" applyBorder="1" applyAlignment="1">
      <alignment horizontal="center" vertical="center"/>
    </xf>
    <xf numFmtId="167" fontId="10" fillId="4" borderId="4" xfId="2" applyNumberFormat="1" applyFont="1" applyFill="1" applyBorder="1" applyAlignment="1">
      <alignment vertical="center"/>
    </xf>
    <xf numFmtId="167" fontId="10" fillId="4" borderId="5" xfId="2" applyNumberFormat="1" applyFont="1" applyFill="1" applyBorder="1" applyAlignment="1">
      <alignment vertical="center"/>
    </xf>
    <xf numFmtId="3" fontId="10" fillId="4" borderId="4" xfId="2" applyNumberFormat="1" applyFont="1" applyFill="1" applyBorder="1" applyAlignment="1">
      <alignment vertical="center"/>
    </xf>
    <xf numFmtId="3" fontId="10" fillId="4" borderId="3" xfId="2" applyNumberFormat="1" applyFont="1" applyFill="1" applyBorder="1" applyAlignment="1">
      <alignment horizontal="center" vertical="center"/>
    </xf>
    <xf numFmtId="3" fontId="10" fillId="4" borderId="5" xfId="2" applyNumberFormat="1" applyFont="1" applyFill="1" applyBorder="1" applyAlignment="1">
      <alignment vertical="center"/>
    </xf>
    <xf numFmtId="3" fontId="10" fillId="4" borderId="6" xfId="2" applyNumberFormat="1" applyFont="1" applyFill="1" applyBorder="1" applyAlignment="1">
      <alignment horizontal="center" vertical="center"/>
    </xf>
    <xf numFmtId="3" fontId="10" fillId="4" borderId="7" xfId="2" applyNumberFormat="1" applyFont="1" applyFill="1" applyBorder="1" applyAlignment="1">
      <alignment horizontal="center" vertical="center"/>
    </xf>
    <xf numFmtId="3" fontId="10" fillId="4" borderId="0" xfId="2" quotePrefix="1" applyNumberFormat="1" applyFont="1" applyFill="1" applyAlignment="1">
      <alignment horizontal="center" vertical="center"/>
    </xf>
    <xf numFmtId="3" fontId="10" fillId="4" borderId="3" xfId="2" quotePrefix="1" applyNumberFormat="1" applyFont="1" applyFill="1" applyBorder="1" applyAlignment="1">
      <alignment horizontal="center" vertical="center"/>
    </xf>
    <xf numFmtId="3" fontId="10" fillId="4" borderId="6" xfId="2" quotePrefix="1" applyNumberFormat="1" applyFont="1" applyFill="1" applyBorder="1" applyAlignment="1">
      <alignment horizontal="center" vertical="center"/>
    </xf>
    <xf numFmtId="3" fontId="10" fillId="4" borderId="7" xfId="2" quotePrefix="1" applyNumberFormat="1" applyFont="1" applyFill="1" applyBorder="1" applyAlignment="1">
      <alignment horizontal="center" vertical="center"/>
    </xf>
    <xf numFmtId="0" fontId="16" fillId="12" borderId="41" xfId="0" applyFont="1" applyFill="1" applyBorder="1" applyAlignment="1">
      <alignment vertical="center" wrapText="1"/>
    </xf>
    <xf numFmtId="0" fontId="16" fillId="12" borderId="42" xfId="0" applyFont="1" applyFill="1" applyBorder="1" applyAlignment="1">
      <alignment horizontal="center" vertical="center"/>
    </xf>
    <xf numFmtId="0" fontId="16" fillId="12" borderId="43" xfId="0" applyFont="1" applyFill="1" applyBorder="1" applyAlignment="1">
      <alignment horizontal="center" vertical="center"/>
    </xf>
    <xf numFmtId="3" fontId="12" fillId="4" borderId="14" xfId="2" applyNumberFormat="1" applyFont="1" applyFill="1" applyBorder="1" applyAlignment="1">
      <alignment horizontal="center" vertical="center"/>
    </xf>
    <xf numFmtId="3" fontId="12" fillId="4" borderId="15" xfId="2" applyNumberFormat="1" applyFont="1" applyFill="1" applyBorder="1" applyAlignment="1">
      <alignment horizontal="center" vertical="center"/>
    </xf>
    <xf numFmtId="0" fontId="8" fillId="12" borderId="14" xfId="0" quotePrefix="1" applyFont="1" applyFill="1" applyBorder="1" applyAlignment="1">
      <alignment horizontal="center" vertical="center" wrapText="1"/>
    </xf>
    <xf numFmtId="0" fontId="9" fillId="12" borderId="14" xfId="0" quotePrefix="1" applyFont="1" applyFill="1" applyBorder="1" applyAlignment="1">
      <alignment horizontal="center" vertical="center" wrapText="1"/>
    </xf>
    <xf numFmtId="0" fontId="9" fillId="12" borderId="15" xfId="0" quotePrefix="1" applyFont="1" applyFill="1" applyBorder="1" applyAlignment="1">
      <alignment horizontal="center" vertical="center" wrapText="1"/>
    </xf>
    <xf numFmtId="0" fontId="8" fillId="12" borderId="15" xfId="0" quotePrefix="1" applyFont="1" applyFill="1" applyBorder="1" applyAlignment="1">
      <alignment horizontal="center" vertical="center" wrapText="1"/>
    </xf>
    <xf numFmtId="0" fontId="8" fillId="12" borderId="17" xfId="3" applyFont="1" applyFill="1" applyBorder="1" applyAlignment="1">
      <alignment horizontal="center" vertical="center" wrapText="1"/>
    </xf>
    <xf numFmtId="0" fontId="8" fillId="12" borderId="17" xfId="0" quotePrefix="1" applyFont="1" applyFill="1" applyBorder="1" applyAlignment="1">
      <alignment horizontal="center" vertical="center" wrapText="1"/>
    </xf>
    <xf numFmtId="0" fontId="8" fillId="12" borderId="18" xfId="0" quotePrefix="1" applyFont="1" applyFill="1" applyBorder="1" applyAlignment="1">
      <alignment horizontal="center" vertical="center" wrapText="1"/>
    </xf>
    <xf numFmtId="0" fontId="8" fillId="12" borderId="16" xfId="0" quotePrefix="1" applyFont="1" applyFill="1" applyBorder="1" applyAlignment="1">
      <alignment vertical="center" wrapText="1"/>
    </xf>
    <xf numFmtId="0" fontId="47" fillId="4" borderId="0" xfId="0" applyFont="1" applyFill="1"/>
    <xf numFmtId="170" fontId="10" fillId="4" borderId="11" xfId="2" applyNumberFormat="1" applyFont="1" applyFill="1" applyBorder="1"/>
    <xf numFmtId="165" fontId="11" fillId="4" borderId="0" xfId="1" applyNumberFormat="1" applyFont="1" applyFill="1" applyBorder="1" applyAlignment="1">
      <alignment horizontal="center"/>
    </xf>
    <xf numFmtId="165" fontId="11" fillId="4" borderId="12" xfId="1" applyNumberFormat="1" applyFont="1" applyFill="1" applyBorder="1" applyAlignment="1">
      <alignment horizontal="center"/>
    </xf>
    <xf numFmtId="170" fontId="10" fillId="4" borderId="13" xfId="2" applyNumberFormat="1" applyFont="1" applyFill="1" applyBorder="1"/>
    <xf numFmtId="3" fontId="10" fillId="4" borderId="14" xfId="2" applyNumberFormat="1" applyFont="1" applyFill="1" applyBorder="1" applyAlignment="1">
      <alignment horizontal="center"/>
    </xf>
    <xf numFmtId="165" fontId="11" fillId="4" borderId="14" xfId="1" applyNumberFormat="1" applyFont="1" applyFill="1" applyBorder="1" applyAlignment="1">
      <alignment horizontal="center"/>
    </xf>
    <xf numFmtId="165" fontId="11" fillId="4" borderId="15" xfId="1" applyNumberFormat="1" applyFont="1" applyFill="1" applyBorder="1" applyAlignment="1">
      <alignment horizontal="center"/>
    </xf>
    <xf numFmtId="170" fontId="12" fillId="14" borderId="13" xfId="2" applyNumberFormat="1" applyFont="1" applyFill="1" applyBorder="1"/>
    <xf numFmtId="3" fontId="12" fillId="14" borderId="14" xfId="2" applyNumberFormat="1" applyFont="1" applyFill="1" applyBorder="1" applyAlignment="1">
      <alignment horizontal="center"/>
    </xf>
    <xf numFmtId="165" fontId="45" fillId="14" borderId="14" xfId="1" applyNumberFormat="1" applyFont="1" applyFill="1" applyBorder="1" applyAlignment="1">
      <alignment horizontal="center"/>
    </xf>
    <xf numFmtId="165" fontId="45" fillId="14" borderId="15" xfId="1" applyNumberFormat="1" applyFont="1" applyFill="1" applyBorder="1" applyAlignment="1">
      <alignment horizontal="center"/>
    </xf>
    <xf numFmtId="170" fontId="11" fillId="4" borderId="0" xfId="2" quotePrefix="1" applyNumberFormat="1" applyFont="1" applyFill="1"/>
    <xf numFmtId="3" fontId="11" fillId="4" borderId="0" xfId="2" applyNumberFormat="1" applyFont="1" applyFill="1" applyAlignment="1">
      <alignment horizontal="center"/>
    </xf>
    <xf numFmtId="9" fontId="11" fillId="4" borderId="0" xfId="1" applyFont="1" applyFill="1" applyBorder="1" applyAlignment="1">
      <alignment horizontal="center"/>
    </xf>
    <xf numFmtId="170" fontId="10" fillId="14" borderId="13" xfId="2" applyNumberFormat="1" applyFont="1" applyFill="1" applyBorder="1"/>
    <xf numFmtId="3" fontId="10" fillId="14" borderId="14" xfId="2" applyNumberFormat="1" applyFont="1" applyFill="1" applyBorder="1" applyAlignment="1">
      <alignment horizontal="center"/>
    </xf>
    <xf numFmtId="165" fontId="10" fillId="14" borderId="14" xfId="1" applyNumberFormat="1" applyFont="1" applyFill="1" applyBorder="1" applyAlignment="1">
      <alignment horizontal="center"/>
    </xf>
    <xf numFmtId="165" fontId="10" fillId="14" borderId="15" xfId="1" applyNumberFormat="1" applyFont="1" applyFill="1" applyBorder="1" applyAlignment="1">
      <alignment horizontal="center"/>
    </xf>
    <xf numFmtId="9" fontId="7" fillId="4" borderId="0" xfId="1" applyFont="1" applyFill="1" applyAlignment="1">
      <alignment horizontal="center"/>
    </xf>
    <xf numFmtId="167" fontId="27" fillId="4" borderId="0" xfId="8" applyNumberFormat="1" applyFont="1" applyFill="1" applyAlignment="1">
      <alignment horizontal="center"/>
    </xf>
    <xf numFmtId="0" fontId="26" fillId="6" borderId="0" xfId="8" applyFont="1" applyFill="1" applyAlignment="1">
      <alignment horizontal="center" wrapText="1"/>
    </xf>
    <xf numFmtId="0" fontId="15" fillId="4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 wrapText="1"/>
    </xf>
    <xf numFmtId="0" fontId="8" fillId="12" borderId="30" xfId="0" applyFont="1" applyFill="1" applyBorder="1" applyAlignment="1">
      <alignment horizontal="left" vertical="center" wrapText="1"/>
    </xf>
    <xf numFmtId="0" fontId="8" fillId="12" borderId="31" xfId="0" applyFont="1" applyFill="1" applyBorder="1" applyAlignment="1">
      <alignment horizontal="center" vertical="center" wrapText="1"/>
    </xf>
    <xf numFmtId="0" fontId="13" fillId="13" borderId="0" xfId="0" applyFont="1" applyFill="1" applyAlignment="1">
      <alignment vertical="center"/>
    </xf>
    <xf numFmtId="3" fontId="7" fillId="4" borderId="26" xfId="2" applyNumberFormat="1" applyFont="1" applyFill="1" applyBorder="1" applyAlignment="1">
      <alignment horizontal="center" vertical="center"/>
    </xf>
    <xf numFmtId="3" fontId="7" fillId="4" borderId="28" xfId="2" applyNumberFormat="1" applyFont="1" applyFill="1" applyBorder="1" applyAlignment="1">
      <alignment horizontal="center" vertical="center"/>
    </xf>
    <xf numFmtId="3" fontId="7" fillId="4" borderId="29" xfId="2" applyNumberFormat="1" applyFont="1" applyFill="1" applyBorder="1" applyAlignment="1">
      <alignment horizontal="center" vertical="center"/>
    </xf>
    <xf numFmtId="0" fontId="7" fillId="14" borderId="25" xfId="2" applyFont="1" applyFill="1" applyBorder="1" applyAlignment="1">
      <alignment vertical="center"/>
    </xf>
    <xf numFmtId="0" fontId="7" fillId="14" borderId="0" xfId="2" applyFont="1" applyFill="1" applyAlignment="1">
      <alignment horizontal="center" vertical="center"/>
    </xf>
    <xf numFmtId="0" fontId="7" fillId="14" borderId="26" xfId="2" applyFont="1" applyFill="1" applyBorder="1" applyAlignment="1">
      <alignment horizontal="center" vertical="center"/>
    </xf>
    <xf numFmtId="0" fontId="7" fillId="14" borderId="33" xfId="2" applyFont="1" applyFill="1" applyBorder="1" applyAlignment="1">
      <alignment vertical="center"/>
    </xf>
    <xf numFmtId="3" fontId="7" fillId="14" borderId="34" xfId="2" applyNumberFormat="1" applyFont="1" applyFill="1" applyBorder="1" applyAlignment="1">
      <alignment horizontal="center" vertical="center"/>
    </xf>
    <xf numFmtId="3" fontId="7" fillId="14" borderId="35" xfId="2" applyNumberFormat="1" applyFont="1" applyFill="1" applyBorder="1" applyAlignment="1">
      <alignment horizontal="center" vertical="center"/>
    </xf>
    <xf numFmtId="3" fontId="10" fillId="14" borderId="0" xfId="2" applyNumberFormat="1" applyFont="1" applyFill="1" applyAlignment="1">
      <alignment horizontal="center" vertical="center"/>
    </xf>
    <xf numFmtId="3" fontId="10" fillId="14" borderId="26" xfId="2" applyNumberFormat="1" applyFont="1" applyFill="1" applyBorder="1" applyAlignment="1">
      <alignment horizontal="center" vertical="center"/>
    </xf>
    <xf numFmtId="0" fontId="15" fillId="4" borderId="25" xfId="2" applyFont="1" applyFill="1" applyBorder="1" applyAlignment="1">
      <alignment horizontal="left" vertical="center" indent="1"/>
    </xf>
    <xf numFmtId="0" fontId="11" fillId="4" borderId="27" xfId="0" applyFont="1" applyFill="1" applyBorder="1" applyAlignment="1">
      <alignment horizontal="left" vertical="center" indent="1"/>
    </xf>
    <xf numFmtId="0" fontId="10" fillId="4" borderId="33" xfId="0" applyFont="1" applyFill="1" applyBorder="1" applyAlignment="1">
      <alignment vertical="center"/>
    </xf>
    <xf numFmtId="0" fontId="10" fillId="4" borderId="25" xfId="0" applyFont="1" applyFill="1" applyBorder="1" applyAlignment="1">
      <alignment vertical="center"/>
    </xf>
    <xf numFmtId="0" fontId="10" fillId="4" borderId="0" xfId="0" applyFont="1" applyFill="1" applyAlignment="1">
      <alignment horizontal="left" vertical="center"/>
    </xf>
    <xf numFmtId="0" fontId="10" fillId="4" borderId="26" xfId="0" applyFont="1" applyFill="1" applyBorder="1" applyAlignment="1">
      <alignment horizontal="left" vertical="center"/>
    </xf>
    <xf numFmtId="0" fontId="10" fillId="4" borderId="25" xfId="0" applyFont="1" applyFill="1" applyBorder="1" applyAlignment="1">
      <alignment vertical="center" wrapText="1"/>
    </xf>
    <xf numFmtId="0" fontId="10" fillId="4" borderId="27" xfId="0" applyFont="1" applyFill="1" applyBorder="1" applyAlignment="1">
      <alignment vertical="center" wrapText="1"/>
    </xf>
    <xf numFmtId="171" fontId="10" fillId="4" borderId="0" xfId="0" applyNumberFormat="1" applyFont="1" applyFill="1" applyAlignment="1">
      <alignment horizontal="left" vertical="center"/>
    </xf>
    <xf numFmtId="171" fontId="10" fillId="4" borderId="26" xfId="0" applyNumberFormat="1" applyFont="1" applyFill="1" applyBorder="1" applyAlignment="1">
      <alignment horizontal="left" vertical="center"/>
    </xf>
    <xf numFmtId="0" fontId="10" fillId="4" borderId="27" xfId="0" applyFont="1" applyFill="1" applyBorder="1" applyAlignment="1">
      <alignment vertical="center"/>
    </xf>
    <xf numFmtId="171" fontId="10" fillId="4" borderId="28" xfId="0" applyNumberFormat="1" applyFont="1" applyFill="1" applyBorder="1" applyAlignment="1">
      <alignment horizontal="left" vertical="center"/>
    </xf>
    <xf numFmtId="171" fontId="10" fillId="4" borderId="29" xfId="0" applyNumberFormat="1" applyFont="1" applyFill="1" applyBorder="1" applyAlignment="1">
      <alignment horizontal="left" vertical="center"/>
    </xf>
    <xf numFmtId="0" fontId="10" fillId="14" borderId="25" xfId="0" applyFont="1" applyFill="1" applyBorder="1" applyAlignment="1">
      <alignment vertical="center"/>
    </xf>
    <xf numFmtId="0" fontId="10" fillId="14" borderId="0" xfId="0" applyFont="1" applyFill="1" applyAlignment="1">
      <alignment horizontal="left" vertical="center"/>
    </xf>
    <xf numFmtId="0" fontId="10" fillId="14" borderId="26" xfId="0" applyFont="1" applyFill="1" applyBorder="1" applyAlignment="1">
      <alignment horizontal="left" vertical="center"/>
    </xf>
    <xf numFmtId="0" fontId="10" fillId="14" borderId="33" xfId="0" applyFont="1" applyFill="1" applyBorder="1" applyAlignment="1">
      <alignment vertical="center"/>
    </xf>
    <xf numFmtId="0" fontId="48" fillId="4" borderId="0" xfId="0" applyFont="1" applyFill="1" applyAlignment="1">
      <alignment vertical="center"/>
    </xf>
    <xf numFmtId="0" fontId="11" fillId="4" borderId="0" xfId="0" applyFont="1" applyFill="1" applyAlignment="1">
      <alignment vertical="center"/>
    </xf>
    <xf numFmtId="3" fontId="10" fillId="4" borderId="26" xfId="2" applyNumberFormat="1" applyFont="1" applyFill="1" applyBorder="1" applyAlignment="1">
      <alignment horizontal="center" vertical="center" wrapText="1"/>
    </xf>
    <xf numFmtId="3" fontId="10" fillId="4" borderId="0" xfId="2" applyNumberFormat="1" applyFont="1" applyFill="1" applyAlignment="1">
      <alignment horizontal="center" vertical="center" wrapText="1"/>
    </xf>
    <xf numFmtId="0" fontId="7" fillId="9" borderId="33" xfId="2" applyFont="1" applyFill="1" applyBorder="1" applyAlignment="1">
      <alignment vertical="center"/>
    </xf>
    <xf numFmtId="3" fontId="10" fillId="9" borderId="34" xfId="2" applyNumberFormat="1" applyFont="1" applyFill="1" applyBorder="1" applyAlignment="1">
      <alignment horizontal="center" vertical="center"/>
    </xf>
    <xf numFmtId="3" fontId="10" fillId="9" borderId="35" xfId="2" applyNumberFormat="1" applyFont="1" applyFill="1" applyBorder="1" applyAlignment="1">
      <alignment horizontal="center" vertical="center"/>
    </xf>
    <xf numFmtId="0" fontId="10" fillId="9" borderId="25" xfId="2" applyFont="1" applyFill="1" applyBorder="1" applyAlignment="1">
      <alignment vertical="center" wrapText="1"/>
    </xf>
    <xf numFmtId="3" fontId="10" fillId="9" borderId="0" xfId="2" applyNumberFormat="1" applyFont="1" applyFill="1" applyAlignment="1">
      <alignment horizontal="center" vertical="center" wrapText="1"/>
    </xf>
    <xf numFmtId="3" fontId="10" fillId="9" borderId="26" xfId="2" applyNumberFormat="1" applyFont="1" applyFill="1" applyBorder="1" applyAlignment="1">
      <alignment horizontal="center" vertical="center" wrapText="1"/>
    </xf>
    <xf numFmtId="0" fontId="7" fillId="9" borderId="25" xfId="2" applyFont="1" applyFill="1" applyBorder="1" applyAlignment="1">
      <alignment vertical="center"/>
    </xf>
    <xf numFmtId="0" fontId="15" fillId="14" borderId="25" xfId="2" applyFont="1" applyFill="1" applyBorder="1" applyAlignment="1">
      <alignment vertical="center"/>
    </xf>
    <xf numFmtId="165" fontId="11" fillId="14" borderId="0" xfId="1" applyNumberFormat="1" applyFont="1" applyFill="1" applyBorder="1" applyAlignment="1">
      <alignment horizontal="center" vertical="center"/>
    </xf>
    <xf numFmtId="3" fontId="11" fillId="14" borderId="26" xfId="2" applyNumberFormat="1" applyFont="1" applyFill="1" applyBorder="1" applyAlignment="1">
      <alignment horizontal="center" vertical="center"/>
    </xf>
    <xf numFmtId="165" fontId="11" fillId="14" borderId="0" xfId="1" applyNumberFormat="1" applyFont="1" applyFill="1" applyBorder="1" applyAlignment="1">
      <alignment horizontal="center" vertical="center" wrapText="1"/>
    </xf>
    <xf numFmtId="3" fontId="11" fillId="14" borderId="26" xfId="2" applyNumberFormat="1" applyFont="1" applyFill="1" applyBorder="1" applyAlignment="1">
      <alignment horizontal="center" vertical="center" wrapText="1"/>
    </xf>
    <xf numFmtId="0" fontId="11" fillId="9" borderId="27" xfId="2" applyFont="1" applyFill="1" applyBorder="1" applyAlignment="1">
      <alignment vertical="center" wrapText="1"/>
    </xf>
    <xf numFmtId="3" fontId="11" fillId="9" borderId="29" xfId="2" applyNumberFormat="1" applyFont="1" applyFill="1" applyBorder="1" applyAlignment="1">
      <alignment horizontal="center" vertical="center" wrapText="1"/>
    </xf>
    <xf numFmtId="4" fontId="11" fillId="9" borderId="28" xfId="2" applyNumberFormat="1" applyFont="1" applyFill="1" applyBorder="1" applyAlignment="1">
      <alignment horizontal="center" vertical="center" wrapText="1"/>
    </xf>
    <xf numFmtId="0" fontId="50" fillId="4" borderId="0" xfId="11" applyFont="1" applyFill="1" applyAlignment="1">
      <alignment vertical="center"/>
    </xf>
    <xf numFmtId="0" fontId="10" fillId="14" borderId="25" xfId="2" applyFont="1" applyFill="1" applyBorder="1" applyAlignment="1">
      <alignment vertical="center" wrapText="1"/>
    </xf>
    <xf numFmtId="0" fontId="4" fillId="4" borderId="0" xfId="0" applyFont="1" applyFill="1" applyAlignment="1">
      <alignment horizontal="left"/>
    </xf>
    <xf numFmtId="0" fontId="34" fillId="4" borderId="0" xfId="0" applyFont="1" applyFill="1" applyAlignment="1">
      <alignment horizontal="center"/>
    </xf>
    <xf numFmtId="0" fontId="4" fillId="6" borderId="0" xfId="0" applyFont="1" applyFill="1" applyAlignment="1">
      <alignment horizontal="left"/>
    </xf>
    <xf numFmtId="0" fontId="0" fillId="6" borderId="0" xfId="0" applyFill="1"/>
    <xf numFmtId="0" fontId="0" fillId="12" borderId="0" xfId="0" applyFill="1"/>
    <xf numFmtId="0" fontId="10" fillId="14" borderId="4" xfId="2" applyFont="1" applyFill="1" applyBorder="1" applyAlignment="1">
      <alignment vertical="center"/>
    </xf>
    <xf numFmtId="167" fontId="7" fillId="14" borderId="26" xfId="0" applyNumberFormat="1" applyFont="1" applyFill="1" applyBorder="1" applyAlignment="1">
      <alignment horizontal="center" vertical="center"/>
    </xf>
    <xf numFmtId="0" fontId="15" fillId="4" borderId="27" xfId="2" applyFont="1" applyFill="1" applyBorder="1" applyAlignment="1">
      <alignment horizontal="left" vertical="center" indent="1"/>
    </xf>
    <xf numFmtId="167" fontId="7" fillId="9" borderId="0" xfId="0" applyNumberFormat="1" applyFont="1" applyFill="1" applyAlignment="1">
      <alignment horizontal="center" vertical="center"/>
    </xf>
    <xf numFmtId="0" fontId="13" fillId="18" borderId="0" xfId="0" applyFont="1" applyFill="1" applyAlignment="1">
      <alignment vertical="center"/>
    </xf>
    <xf numFmtId="0" fontId="15" fillId="15" borderId="0" xfId="0" applyFont="1" applyFill="1" applyAlignment="1">
      <alignment vertical="center"/>
    </xf>
    <xf numFmtId="167" fontId="7" fillId="14" borderId="3" xfId="0" applyNumberFormat="1" applyFont="1" applyFill="1" applyBorder="1" applyAlignment="1">
      <alignment horizontal="center" vertical="center"/>
    </xf>
    <xf numFmtId="10" fontId="15" fillId="4" borderId="28" xfId="0" applyNumberFormat="1" applyFont="1" applyFill="1" applyBorder="1" applyAlignment="1">
      <alignment horizontal="center" vertical="center"/>
    </xf>
    <xf numFmtId="10" fontId="15" fillId="4" borderId="29" xfId="0" applyNumberFormat="1" applyFont="1" applyFill="1" applyBorder="1" applyAlignment="1">
      <alignment horizontal="center" vertical="center"/>
    </xf>
    <xf numFmtId="10" fontId="36" fillId="4" borderId="0" xfId="0" applyNumberFormat="1" applyFont="1" applyFill="1" applyAlignment="1">
      <alignment horizontal="center" vertical="center"/>
    </xf>
    <xf numFmtId="0" fontId="36" fillId="4" borderId="0" xfId="2" applyFont="1" applyFill="1" applyAlignment="1">
      <alignment horizontal="left" vertical="center" indent="2"/>
    </xf>
    <xf numFmtId="0" fontId="35" fillId="4" borderId="0" xfId="2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42" fillId="4" borderId="0" xfId="0" applyFont="1" applyFill="1" applyAlignment="1">
      <alignment vertical="center"/>
    </xf>
    <xf numFmtId="0" fontId="7" fillId="16" borderId="0" xfId="0" applyFont="1" applyFill="1" applyAlignment="1">
      <alignment vertical="center"/>
    </xf>
    <xf numFmtId="0" fontId="7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left" vertical="center" wrapText="1"/>
    </xf>
    <xf numFmtId="0" fontId="0" fillId="13" borderId="0" xfId="0" applyFill="1" applyAlignment="1">
      <alignment vertical="center"/>
    </xf>
    <xf numFmtId="0" fontId="8" fillId="12" borderId="30" xfId="3" applyFont="1" applyFill="1" applyBorder="1" applyAlignment="1">
      <alignment horizontal="center" vertical="center"/>
    </xf>
    <xf numFmtId="0" fontId="8" fillId="12" borderId="36" xfId="3" applyFont="1" applyFill="1" applyBorder="1" applyAlignment="1">
      <alignment horizontal="center" vertical="center"/>
    </xf>
    <xf numFmtId="3" fontId="7" fillId="14" borderId="12" xfId="0" applyNumberFormat="1" applyFont="1" applyFill="1" applyBorder="1" applyAlignment="1">
      <alignment horizontal="center" vertical="center"/>
    </xf>
    <xf numFmtId="0" fontId="10" fillId="4" borderId="4" xfId="2" applyFont="1" applyFill="1" applyBorder="1" applyAlignment="1">
      <alignment horizontal="left" vertical="center" indent="2"/>
    </xf>
    <xf numFmtId="0" fontId="11" fillId="9" borderId="27" xfId="2" applyFont="1" applyFill="1" applyBorder="1" applyAlignment="1">
      <alignment horizontal="left" vertical="center" indent="2"/>
    </xf>
    <xf numFmtId="0" fontId="35" fillId="4" borderId="0" xfId="2" applyFont="1" applyFill="1" applyAlignment="1">
      <alignment vertical="center"/>
    </xf>
    <xf numFmtId="10" fontId="11" fillId="4" borderId="29" xfId="1" applyNumberFormat="1" applyFont="1" applyFill="1" applyBorder="1" applyAlignment="1">
      <alignment horizontal="center" vertical="center"/>
    </xf>
    <xf numFmtId="165" fontId="10" fillId="14" borderId="0" xfId="1" applyNumberFormat="1" applyFont="1" applyFill="1" applyBorder="1" applyAlignment="1">
      <alignment horizontal="center" vertical="center"/>
    </xf>
    <xf numFmtId="165" fontId="10" fillId="14" borderId="26" xfId="1" applyNumberFormat="1" applyFont="1" applyFill="1" applyBorder="1" applyAlignment="1">
      <alignment horizontal="center" vertical="center"/>
    </xf>
    <xf numFmtId="3" fontId="10" fillId="4" borderId="28" xfId="2" quotePrefix="1" applyNumberFormat="1" applyFont="1" applyFill="1" applyBorder="1" applyAlignment="1">
      <alignment horizontal="center" vertical="center"/>
    </xf>
    <xf numFmtId="3" fontId="10" fillId="4" borderId="28" xfId="2" applyNumberFormat="1" applyFont="1" applyFill="1" applyBorder="1" applyAlignment="1">
      <alignment horizontal="center" vertical="center"/>
    </xf>
    <xf numFmtId="3" fontId="10" fillId="4" borderId="29" xfId="2" applyNumberFormat="1" applyFont="1" applyFill="1" applyBorder="1" applyAlignment="1">
      <alignment horizontal="center" vertical="center"/>
    </xf>
    <xf numFmtId="10" fontId="10" fillId="4" borderId="0" xfId="1" applyNumberFormat="1" applyFont="1" applyFill="1" applyAlignment="1">
      <alignment horizontal="center" vertical="center" wrapText="1"/>
    </xf>
    <xf numFmtId="10" fontId="10" fillId="4" borderId="26" xfId="1" applyNumberFormat="1" applyFont="1" applyFill="1" applyBorder="1" applyAlignment="1">
      <alignment horizontal="center" vertical="center" wrapText="1"/>
    </xf>
    <xf numFmtId="3" fontId="10" fillId="14" borderId="0" xfId="2" applyNumberFormat="1" applyFont="1" applyFill="1" applyAlignment="1">
      <alignment horizontal="center" vertical="center" wrapText="1"/>
    </xf>
    <xf numFmtId="3" fontId="10" fillId="14" borderId="26" xfId="2" applyNumberFormat="1" applyFont="1" applyFill="1" applyBorder="1" applyAlignment="1">
      <alignment horizontal="center" vertical="center" wrapText="1"/>
    </xf>
    <xf numFmtId="10" fontId="11" fillId="4" borderId="0" xfId="1" applyNumberFormat="1" applyFont="1" applyFill="1" applyBorder="1" applyAlignment="1">
      <alignment horizontal="center" vertical="center"/>
    </xf>
    <xf numFmtId="0" fontId="36" fillId="4" borderId="0" xfId="2" applyFont="1" applyFill="1" applyAlignment="1">
      <alignment vertical="center"/>
    </xf>
    <xf numFmtId="167" fontId="7" fillId="14" borderId="28" xfId="0" applyNumberFormat="1" applyFont="1" applyFill="1" applyBorder="1" applyAlignment="1">
      <alignment horizontal="center" vertical="center"/>
    </xf>
    <xf numFmtId="167" fontId="7" fillId="14" borderId="29" xfId="0" applyNumberFormat="1" applyFont="1" applyFill="1" applyBorder="1" applyAlignment="1">
      <alignment horizontal="center" vertical="center"/>
    </xf>
    <xf numFmtId="10" fontId="15" fillId="4" borderId="0" xfId="0" applyNumberFormat="1" applyFont="1" applyFill="1" applyAlignment="1">
      <alignment horizontal="center" vertical="center"/>
    </xf>
    <xf numFmtId="165" fontId="11" fillId="4" borderId="0" xfId="1" applyNumberFormat="1" applyFont="1" applyFill="1" applyBorder="1" applyAlignment="1">
      <alignment horizontal="center" vertical="center"/>
    </xf>
    <xf numFmtId="165" fontId="11" fillId="9" borderId="26" xfId="2" applyNumberFormat="1" applyFont="1" applyFill="1" applyBorder="1" applyAlignment="1">
      <alignment horizontal="center" vertical="center"/>
    </xf>
    <xf numFmtId="167" fontId="6" fillId="17" borderId="0" xfId="0" applyNumberFormat="1" applyFont="1" applyFill="1" applyAlignment="1">
      <alignment horizontal="center" vertical="center"/>
    </xf>
    <xf numFmtId="0" fontId="11" fillId="9" borderId="25" xfId="2" applyFont="1" applyFill="1" applyBorder="1" applyAlignment="1">
      <alignment horizontal="right" vertical="center" indent="1"/>
    </xf>
    <xf numFmtId="165" fontId="11" fillId="9" borderId="0" xfId="1" applyNumberFormat="1" applyFont="1" applyFill="1" applyBorder="1" applyAlignment="1">
      <alignment horizontal="center" vertical="center"/>
    </xf>
    <xf numFmtId="165" fontId="11" fillId="17" borderId="26" xfId="2" applyNumberFormat="1" applyFont="1" applyFill="1" applyBorder="1" applyAlignment="1">
      <alignment horizontal="center" vertical="center"/>
    </xf>
    <xf numFmtId="165" fontId="11" fillId="9" borderId="0" xfId="1" quotePrefix="1" applyNumberFormat="1" applyFont="1" applyFill="1" applyBorder="1" applyAlignment="1">
      <alignment horizontal="center" vertical="center"/>
    </xf>
    <xf numFmtId="0" fontId="11" fillId="14" borderId="25" xfId="2" applyFont="1" applyFill="1" applyBorder="1" applyAlignment="1">
      <alignment horizontal="right" vertical="center"/>
    </xf>
    <xf numFmtId="0" fontId="11" fillId="14" borderId="27" xfId="2" applyFont="1" applyFill="1" applyBorder="1" applyAlignment="1">
      <alignment horizontal="right" vertical="center"/>
    </xf>
    <xf numFmtId="0" fontId="11" fillId="4" borderId="25" xfId="2" applyFont="1" applyFill="1" applyBorder="1" applyAlignment="1">
      <alignment horizontal="left" vertical="center" indent="4"/>
    </xf>
    <xf numFmtId="168" fontId="11" fillId="9" borderId="26" xfId="2" applyNumberFormat="1" applyFont="1" applyFill="1" applyBorder="1" applyAlignment="1">
      <alignment horizontal="center" vertical="center"/>
    </xf>
    <xf numFmtId="167" fontId="7" fillId="14" borderId="28" xfId="0" applyNumberFormat="1" applyFont="1" applyFill="1" applyBorder="1" applyAlignment="1">
      <alignment horizontal="center" vertical="center" wrapText="1"/>
    </xf>
    <xf numFmtId="167" fontId="7" fillId="14" borderId="29" xfId="0" applyNumberFormat="1" applyFont="1" applyFill="1" applyBorder="1" applyAlignment="1">
      <alignment horizontal="center" vertical="center" wrapText="1"/>
    </xf>
    <xf numFmtId="3" fontId="15" fillId="4" borderId="26" xfId="0" applyNumberFormat="1" applyFont="1" applyFill="1" applyBorder="1" applyAlignment="1">
      <alignment horizontal="center" vertical="center"/>
    </xf>
    <xf numFmtId="0" fontId="11" fillId="14" borderId="25" xfId="2" applyFont="1" applyFill="1" applyBorder="1" applyAlignment="1">
      <alignment horizontal="left" vertical="center"/>
    </xf>
    <xf numFmtId="167" fontId="7" fillId="14" borderId="34" xfId="0" applyNumberFormat="1" applyFont="1" applyFill="1" applyBorder="1" applyAlignment="1">
      <alignment horizontal="center" vertical="center"/>
    </xf>
    <xf numFmtId="165" fontId="15" fillId="14" borderId="35" xfId="0" applyNumberFormat="1" applyFont="1" applyFill="1" applyBorder="1" applyAlignment="1">
      <alignment horizontal="center" vertical="center"/>
    </xf>
    <xf numFmtId="165" fontId="15" fillId="14" borderId="29" xfId="0" applyNumberFormat="1" applyFont="1" applyFill="1" applyBorder="1" applyAlignment="1">
      <alignment horizontal="center" vertical="center"/>
    </xf>
    <xf numFmtId="3" fontId="10" fillId="4" borderId="0" xfId="2" quotePrefix="1" applyNumberFormat="1" applyFont="1" applyFill="1" applyAlignment="1">
      <alignment horizontal="center"/>
    </xf>
    <xf numFmtId="170" fontId="10" fillId="4" borderId="11" xfId="2" applyNumberFormat="1" applyFont="1" applyFill="1" applyBorder="1" applyAlignment="1">
      <alignment vertical="center"/>
    </xf>
    <xf numFmtId="165" fontId="11" fillId="4" borderId="12" xfId="1" applyNumberFormat="1" applyFont="1" applyFill="1" applyBorder="1" applyAlignment="1">
      <alignment horizontal="center" vertical="center"/>
    </xf>
    <xf numFmtId="170" fontId="12" fillId="14" borderId="13" xfId="2" applyNumberFormat="1" applyFont="1" applyFill="1" applyBorder="1" applyAlignment="1">
      <alignment vertical="center"/>
    </xf>
    <xf numFmtId="3" fontId="12" fillId="14" borderId="14" xfId="2" applyNumberFormat="1" applyFont="1" applyFill="1" applyBorder="1" applyAlignment="1">
      <alignment horizontal="center" vertical="center"/>
    </xf>
    <xf numFmtId="165" fontId="45" fillId="14" borderId="14" xfId="1" applyNumberFormat="1" applyFont="1" applyFill="1" applyBorder="1" applyAlignment="1">
      <alignment horizontal="center" vertical="center"/>
    </xf>
    <xf numFmtId="165" fontId="45" fillId="14" borderId="15" xfId="1" applyNumberFormat="1" applyFont="1" applyFill="1" applyBorder="1" applyAlignment="1">
      <alignment horizontal="center" vertical="center"/>
    </xf>
    <xf numFmtId="170" fontId="11" fillId="4" borderId="0" xfId="2" quotePrefix="1" applyNumberFormat="1" applyFont="1" applyFill="1" applyAlignment="1">
      <alignment vertical="center"/>
    </xf>
    <xf numFmtId="3" fontId="11" fillId="4" borderId="0" xfId="2" applyNumberFormat="1" applyFont="1" applyFill="1" applyAlignment="1">
      <alignment horizontal="center" vertical="center"/>
    </xf>
    <xf numFmtId="9" fontId="11" fillId="4" borderId="0" xfId="1" applyFont="1" applyFill="1" applyBorder="1" applyAlignment="1">
      <alignment horizontal="center" vertical="center"/>
    </xf>
    <xf numFmtId="165" fontId="12" fillId="14" borderId="14" xfId="1" applyNumberFormat="1" applyFont="1" applyFill="1" applyBorder="1" applyAlignment="1">
      <alignment horizontal="center" vertical="center"/>
    </xf>
    <xf numFmtId="165" fontId="12" fillId="14" borderId="15" xfId="1" applyNumberFormat="1" applyFont="1" applyFill="1" applyBorder="1" applyAlignment="1">
      <alignment horizontal="center" vertical="center"/>
    </xf>
    <xf numFmtId="170" fontId="10" fillId="4" borderId="0" xfId="2" applyNumberFormat="1" applyFont="1" applyFill="1" applyAlignment="1">
      <alignment vertical="center"/>
    </xf>
    <xf numFmtId="0" fontId="7" fillId="14" borderId="25" xfId="0" applyFont="1" applyFill="1" applyBorder="1" applyAlignment="1">
      <alignment horizontal="left" vertical="center" indent="2"/>
    </xf>
    <xf numFmtId="0" fontId="6" fillId="17" borderId="25" xfId="0" applyFont="1" applyFill="1" applyBorder="1" applyAlignment="1">
      <alignment vertical="center" wrapText="1"/>
    </xf>
    <xf numFmtId="9" fontId="20" fillId="17" borderId="26" xfId="0" applyNumberFormat="1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left" vertical="center" indent="4"/>
    </xf>
    <xf numFmtId="0" fontId="15" fillId="4" borderId="27" xfId="0" applyFont="1" applyFill="1" applyBorder="1" applyAlignment="1">
      <alignment horizontal="left" vertical="center" indent="4"/>
    </xf>
    <xf numFmtId="0" fontId="6" fillId="9" borderId="25" xfId="0" applyFont="1" applyFill="1" applyBorder="1" applyAlignment="1">
      <alignment vertical="center" wrapText="1"/>
    </xf>
    <xf numFmtId="9" fontId="20" fillId="9" borderId="26" xfId="0" applyNumberFormat="1" applyFont="1" applyFill="1" applyBorder="1" applyAlignment="1">
      <alignment horizontal="center" vertical="center"/>
    </xf>
    <xf numFmtId="0" fontId="6" fillId="17" borderId="27" xfId="0" applyFont="1" applyFill="1" applyBorder="1" applyAlignment="1">
      <alignment vertical="center" wrapText="1"/>
    </xf>
    <xf numFmtId="9" fontId="20" fillId="17" borderId="29" xfId="0" applyNumberFormat="1" applyFont="1" applyFill="1" applyBorder="1" applyAlignment="1">
      <alignment horizontal="center" vertical="center"/>
    </xf>
    <xf numFmtId="166" fontId="6" fillId="17" borderId="0" xfId="0" applyNumberFormat="1" applyFont="1" applyFill="1" applyAlignment="1">
      <alignment horizontal="center" vertical="center"/>
    </xf>
    <xf numFmtId="166" fontId="6" fillId="9" borderId="0" xfId="0" applyNumberFormat="1" applyFont="1" applyFill="1" applyAlignment="1">
      <alignment horizontal="center" vertical="center"/>
    </xf>
    <xf numFmtId="166" fontId="12" fillId="17" borderId="28" xfId="0" applyNumberFormat="1" applyFont="1" applyFill="1" applyBorder="1" applyAlignment="1">
      <alignment horizontal="center" vertical="center"/>
    </xf>
    <xf numFmtId="9" fontId="45" fillId="17" borderId="29" xfId="0" applyNumberFormat="1" applyFont="1" applyFill="1" applyBorder="1" applyAlignment="1">
      <alignment horizontal="center" vertical="center"/>
    </xf>
    <xf numFmtId="0" fontId="35" fillId="14" borderId="0" xfId="0" applyFont="1" applyFill="1" applyAlignment="1">
      <alignment horizontal="center" vertical="center"/>
    </xf>
    <xf numFmtId="166" fontId="7" fillId="9" borderId="26" xfId="0" applyNumberFormat="1" applyFont="1" applyFill="1" applyBorder="1" applyAlignment="1">
      <alignment horizontal="center" vertical="center"/>
    </xf>
    <xf numFmtId="166" fontId="7" fillId="9" borderId="0" xfId="0" applyNumberFormat="1" applyFont="1" applyFill="1" applyAlignment="1">
      <alignment horizontal="center" vertical="center"/>
    </xf>
    <xf numFmtId="0" fontId="7" fillId="4" borderId="25" xfId="0" applyFont="1" applyFill="1" applyBorder="1" applyAlignment="1">
      <alignment horizontal="left" vertical="center" indent="4"/>
    </xf>
    <xf numFmtId="0" fontId="7" fillId="4" borderId="27" xfId="0" applyFont="1" applyFill="1" applyBorder="1" applyAlignment="1">
      <alignment horizontal="left" vertical="center" indent="4"/>
    </xf>
    <xf numFmtId="166" fontId="7" fillId="14" borderId="28" xfId="0" applyNumberFormat="1" applyFont="1" applyFill="1" applyBorder="1" applyAlignment="1">
      <alignment horizontal="center" vertical="center"/>
    </xf>
    <xf numFmtId="3" fontId="7" fillId="14" borderId="29" xfId="0" applyNumberFormat="1" applyFont="1" applyFill="1" applyBorder="1" applyAlignment="1">
      <alignment horizontal="center" vertical="center"/>
    </xf>
    <xf numFmtId="0" fontId="7" fillId="4" borderId="25" xfId="5" quotePrefix="1" applyFont="1" applyFill="1" applyBorder="1" applyAlignment="1">
      <alignment horizontal="left" vertical="center" wrapText="1"/>
    </xf>
    <xf numFmtId="3" fontId="7" fillId="4" borderId="0" xfId="0" applyNumberFormat="1" applyFont="1" applyFill="1" applyAlignment="1">
      <alignment horizontal="center" vertical="center" wrapText="1"/>
    </xf>
    <xf numFmtId="9" fontId="7" fillId="4" borderId="26" xfId="0" applyNumberFormat="1" applyFont="1" applyFill="1" applyBorder="1" applyAlignment="1">
      <alignment horizontal="center" vertical="center" wrapText="1"/>
    </xf>
    <xf numFmtId="0" fontId="7" fillId="4" borderId="27" xfId="5" applyFont="1" applyFill="1" applyBorder="1" applyAlignment="1">
      <alignment horizontal="left" vertical="center" wrapText="1"/>
    </xf>
    <xf numFmtId="3" fontId="7" fillId="4" borderId="28" xfId="0" applyNumberFormat="1" applyFont="1" applyFill="1" applyBorder="1" applyAlignment="1">
      <alignment horizontal="center" vertical="center" wrapText="1"/>
    </xf>
    <xf numFmtId="9" fontId="7" fillId="4" borderId="29" xfId="0" applyNumberFormat="1" applyFont="1" applyFill="1" applyBorder="1" applyAlignment="1">
      <alignment horizontal="center" vertical="center" wrapText="1"/>
    </xf>
    <xf numFmtId="3" fontId="15" fillId="14" borderId="0" xfId="0" applyNumberFormat="1" applyFont="1" applyFill="1" applyAlignment="1">
      <alignment horizontal="center" vertical="center" wrapText="1"/>
    </xf>
    <xf numFmtId="9" fontId="15" fillId="14" borderId="26" xfId="0" applyNumberFormat="1" applyFont="1" applyFill="1" applyBorder="1" applyAlignment="1">
      <alignment horizontal="center" vertical="center" wrapText="1"/>
    </xf>
    <xf numFmtId="0" fontId="15" fillId="4" borderId="25" xfId="5" quotePrefix="1" applyFont="1" applyFill="1" applyBorder="1" applyAlignment="1">
      <alignment horizontal="left" vertical="center" wrapText="1" indent="2"/>
    </xf>
    <xf numFmtId="0" fontId="15" fillId="14" borderId="25" xfId="5" quotePrefix="1" applyFont="1" applyFill="1" applyBorder="1" applyAlignment="1">
      <alignment horizontal="left" vertical="center" wrapText="1" indent="2"/>
    </xf>
    <xf numFmtId="0" fontId="7" fillId="4" borderId="0" xfId="5" applyFont="1" applyFill="1" applyAlignment="1">
      <alignment horizontal="left" vertical="center" wrapText="1"/>
    </xf>
    <xf numFmtId="9" fontId="7" fillId="4" borderId="0" xfId="0" applyNumberFormat="1" applyFont="1" applyFill="1" applyAlignment="1">
      <alignment horizontal="center" vertical="center" wrapText="1"/>
    </xf>
    <xf numFmtId="0" fontId="15" fillId="4" borderId="27" xfId="5" quotePrefix="1" applyFont="1" applyFill="1" applyBorder="1" applyAlignment="1">
      <alignment horizontal="left" vertical="center" wrapText="1" indent="2"/>
    </xf>
    <xf numFmtId="9" fontId="15" fillId="4" borderId="29" xfId="0" applyNumberFormat="1" applyFont="1" applyFill="1" applyBorder="1" applyAlignment="1">
      <alignment horizontal="center" vertical="center" wrapText="1"/>
    </xf>
    <xf numFmtId="3" fontId="7" fillId="14" borderId="27" xfId="5" applyNumberFormat="1" applyFont="1" applyFill="1" applyBorder="1" applyAlignment="1">
      <alignment horizontal="left" vertical="center" wrapText="1"/>
    </xf>
    <xf numFmtId="3" fontId="10" fillId="4" borderId="0" xfId="0" applyNumberFormat="1" applyFont="1" applyFill="1" applyAlignment="1">
      <alignment horizontal="center" vertical="center"/>
    </xf>
    <xf numFmtId="3" fontId="11" fillId="14" borderId="28" xfId="0" applyNumberFormat="1" applyFont="1" applyFill="1" applyBorder="1" applyAlignment="1">
      <alignment horizontal="center" vertical="center"/>
    </xf>
    <xf numFmtId="3" fontId="10" fillId="14" borderId="28" xfId="0" applyNumberFormat="1" applyFont="1" applyFill="1" applyBorder="1" applyAlignment="1">
      <alignment horizontal="center" vertical="center"/>
    </xf>
    <xf numFmtId="165" fontId="11" fillId="14" borderId="29" xfId="1" applyNumberFormat="1" applyFont="1" applyFill="1" applyBorder="1" applyAlignment="1">
      <alignment horizontal="center" vertical="center"/>
    </xf>
    <xf numFmtId="3" fontId="10" fillId="14" borderId="34" xfId="1" applyNumberFormat="1" applyFont="1" applyFill="1" applyBorder="1" applyAlignment="1">
      <alignment horizontal="center" vertical="center"/>
    </xf>
    <xf numFmtId="3" fontId="10" fillId="14" borderId="35" xfId="1" applyNumberFormat="1" applyFont="1" applyFill="1" applyBorder="1" applyAlignment="1">
      <alignment horizontal="center" vertical="center"/>
    </xf>
    <xf numFmtId="3" fontId="10" fillId="14" borderId="28" xfId="1" quotePrefix="1" applyNumberFormat="1" applyFont="1" applyFill="1" applyBorder="1" applyAlignment="1">
      <alignment horizontal="center" vertical="center"/>
    </xf>
    <xf numFmtId="3" fontId="10" fillId="14" borderId="29" xfId="1" applyNumberFormat="1" applyFont="1" applyFill="1" applyBorder="1" applyAlignment="1">
      <alignment horizontal="center" vertical="center"/>
    </xf>
    <xf numFmtId="3" fontId="10" fillId="14" borderId="0" xfId="0" applyNumberFormat="1" applyFont="1" applyFill="1" applyAlignment="1">
      <alignment horizontal="center" vertical="center"/>
    </xf>
    <xf numFmtId="3" fontId="10" fillId="14" borderId="26" xfId="0" applyNumberFormat="1" applyFont="1" applyFill="1" applyBorder="1" applyAlignment="1">
      <alignment horizontal="center" vertical="center"/>
    </xf>
    <xf numFmtId="0" fontId="10" fillId="4" borderId="25" xfId="2" quotePrefix="1" applyFont="1" applyFill="1" applyBorder="1" applyAlignment="1">
      <alignment horizontal="left" vertical="center" indent="1"/>
    </xf>
    <xf numFmtId="3" fontId="10" fillId="4" borderId="26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4" borderId="27" xfId="2" quotePrefix="1" applyFont="1" applyFill="1" applyBorder="1" applyAlignment="1">
      <alignment horizontal="left" vertical="center" indent="1"/>
    </xf>
    <xf numFmtId="3" fontId="10" fillId="4" borderId="28" xfId="0" applyNumberFormat="1" applyFont="1" applyFill="1" applyBorder="1" applyAlignment="1">
      <alignment horizontal="center" vertical="center"/>
    </xf>
    <xf numFmtId="3" fontId="10" fillId="4" borderId="29" xfId="0" applyNumberFormat="1" applyFont="1" applyFill="1" applyBorder="1" applyAlignment="1">
      <alignment horizontal="center" vertical="center"/>
    </xf>
    <xf numFmtId="3" fontId="7" fillId="14" borderId="34" xfId="0" quotePrefix="1" applyNumberFormat="1" applyFont="1" applyFill="1" applyBorder="1" applyAlignment="1">
      <alignment horizontal="center" vertical="center"/>
    </xf>
    <xf numFmtId="3" fontId="11" fillId="4" borderId="0" xfId="0" applyNumberFormat="1" applyFont="1" applyFill="1" applyAlignment="1">
      <alignment horizontal="center" vertical="center"/>
    </xf>
    <xf numFmtId="0" fontId="10" fillId="4" borderId="52" xfId="2" applyFont="1" applyFill="1" applyBorder="1" applyAlignment="1">
      <alignment vertical="center"/>
    </xf>
    <xf numFmtId="165" fontId="10" fillId="14" borderId="0" xfId="2" applyNumberFormat="1" applyFont="1" applyFill="1" applyAlignment="1">
      <alignment horizontal="center" vertical="center"/>
    </xf>
    <xf numFmtId="3" fontId="10" fillId="4" borderId="51" xfId="3" applyNumberFormat="1" applyFont="1" applyFill="1" applyBorder="1" applyAlignment="1">
      <alignment horizontal="center" vertical="center"/>
    </xf>
    <xf numFmtId="165" fontId="10" fillId="14" borderId="51" xfId="2" applyNumberFormat="1" applyFont="1" applyFill="1" applyBorder="1" applyAlignment="1">
      <alignment horizontal="center" vertical="center"/>
    </xf>
    <xf numFmtId="3" fontId="10" fillId="4" borderId="49" xfId="3" applyNumberFormat="1" applyFont="1" applyFill="1" applyBorder="1" applyAlignment="1">
      <alignment horizontal="center" vertical="center"/>
    </xf>
    <xf numFmtId="165" fontId="10" fillId="14" borderId="53" xfId="2" applyNumberFormat="1" applyFont="1" applyFill="1" applyBorder="1" applyAlignment="1">
      <alignment horizontal="center" vertical="center"/>
    </xf>
    <xf numFmtId="165" fontId="10" fillId="14" borderId="54" xfId="2" applyNumberFormat="1" applyFont="1" applyFill="1" applyBorder="1" applyAlignment="1">
      <alignment horizontal="center" vertical="center"/>
    </xf>
    <xf numFmtId="165" fontId="10" fillId="14" borderId="55" xfId="2" applyNumberFormat="1" applyFont="1" applyFill="1" applyBorder="1" applyAlignment="1">
      <alignment horizontal="center" vertical="center"/>
    </xf>
    <xf numFmtId="10" fontId="11" fillId="4" borderId="28" xfId="0" applyNumberFormat="1" applyFont="1" applyFill="1" applyBorder="1" applyAlignment="1">
      <alignment horizontal="center" vertical="center"/>
    </xf>
    <xf numFmtId="0" fontId="11" fillId="4" borderId="5" xfId="2" applyFont="1" applyFill="1" applyBorder="1" applyAlignment="1">
      <alignment vertical="center"/>
    </xf>
    <xf numFmtId="167" fontId="11" fillId="4" borderId="6" xfId="0" applyNumberFormat="1" applyFont="1" applyFill="1" applyBorder="1" applyAlignment="1">
      <alignment horizontal="center" vertical="center"/>
    </xf>
    <xf numFmtId="167" fontId="11" fillId="4" borderId="7" xfId="0" applyNumberFormat="1" applyFont="1" applyFill="1" applyBorder="1" applyAlignment="1">
      <alignment horizontal="center" vertical="center"/>
    </xf>
    <xf numFmtId="167" fontId="10" fillId="4" borderId="0" xfId="0" applyNumberFormat="1" applyFont="1" applyFill="1" applyAlignment="1">
      <alignment horizontal="center" vertical="center"/>
    </xf>
    <xf numFmtId="167" fontId="10" fillId="4" borderId="26" xfId="0" applyNumberFormat="1" applyFont="1" applyFill="1" applyBorder="1" applyAlignment="1">
      <alignment horizontal="center" vertical="center"/>
    </xf>
    <xf numFmtId="0" fontId="11" fillId="4" borderId="27" xfId="2" applyFont="1" applyFill="1" applyBorder="1" applyAlignment="1">
      <alignment horizontal="left" vertical="center"/>
    </xf>
    <xf numFmtId="165" fontId="11" fillId="4" borderId="28" xfId="1" applyNumberFormat="1" applyFont="1" applyFill="1" applyBorder="1" applyAlignment="1">
      <alignment horizontal="center" vertical="center"/>
    </xf>
    <xf numFmtId="165" fontId="11" fillId="4" borderId="29" xfId="1" applyNumberFormat="1" applyFont="1" applyFill="1" applyBorder="1" applyAlignment="1">
      <alignment horizontal="center" vertical="center"/>
    </xf>
    <xf numFmtId="3" fontId="11" fillId="9" borderId="28" xfId="0" applyNumberFormat="1" applyFont="1" applyFill="1" applyBorder="1" applyAlignment="1">
      <alignment horizontal="center" vertical="center"/>
    </xf>
    <xf numFmtId="165" fontId="15" fillId="14" borderId="54" xfId="1" applyNumberFormat="1" applyFont="1" applyFill="1" applyBorder="1" applyAlignment="1">
      <alignment horizontal="center" vertical="center"/>
    </xf>
    <xf numFmtId="165" fontId="11" fillId="14" borderId="54" xfId="1" applyNumberFormat="1" applyFont="1" applyFill="1" applyBorder="1" applyAlignment="1">
      <alignment horizontal="center" vertical="center"/>
    </xf>
    <xf numFmtId="166" fontId="10" fillId="4" borderId="0" xfId="0" applyNumberFormat="1" applyFont="1" applyFill="1" applyAlignment="1">
      <alignment horizontal="center" vertical="center"/>
    </xf>
    <xf numFmtId="166" fontId="10" fillId="4" borderId="54" xfId="0" applyNumberFormat="1" applyFont="1" applyFill="1" applyBorder="1" applyAlignment="1">
      <alignment horizontal="center" vertical="center"/>
    </xf>
    <xf numFmtId="0" fontId="11" fillId="14" borderId="27" xfId="2" applyFont="1" applyFill="1" applyBorder="1" applyAlignment="1">
      <alignment horizontal="left" vertical="center"/>
    </xf>
    <xf numFmtId="165" fontId="11" fillId="14" borderId="28" xfId="1" applyNumberFormat="1" applyFont="1" applyFill="1" applyBorder="1" applyAlignment="1">
      <alignment horizontal="center" vertical="center"/>
    </xf>
    <xf numFmtId="165" fontId="11" fillId="14" borderId="56" xfId="1" applyNumberFormat="1" applyFont="1" applyFill="1" applyBorder="1" applyAlignment="1">
      <alignment horizontal="center" vertical="center"/>
    </xf>
    <xf numFmtId="167" fontId="7" fillId="4" borderId="0" xfId="0" applyNumberFormat="1" applyFont="1" applyFill="1" applyAlignment="1">
      <alignment vertical="center"/>
    </xf>
    <xf numFmtId="167" fontId="10" fillId="4" borderId="51" xfId="3" applyNumberFormat="1" applyFont="1" applyFill="1" applyBorder="1" applyAlignment="1">
      <alignment horizontal="center" vertical="center"/>
    </xf>
    <xf numFmtId="165" fontId="11" fillId="14" borderId="50" xfId="2" applyNumberFormat="1" applyFont="1" applyFill="1" applyBorder="1" applyAlignment="1">
      <alignment horizontal="center" vertical="center"/>
    </xf>
    <xf numFmtId="165" fontId="11" fillId="14" borderId="53" xfId="2" applyNumberFormat="1" applyFont="1" applyFill="1" applyBorder="1" applyAlignment="1">
      <alignment horizontal="center" vertical="center"/>
    </xf>
    <xf numFmtId="167" fontId="10" fillId="4" borderId="28" xfId="0" applyNumberFormat="1" applyFont="1" applyFill="1" applyBorder="1" applyAlignment="1">
      <alignment horizontal="center" vertical="center"/>
    </xf>
    <xf numFmtId="167" fontId="10" fillId="4" borderId="29" xfId="0" applyNumberFormat="1" applyFont="1" applyFill="1" applyBorder="1" applyAlignment="1">
      <alignment horizontal="center" vertical="center"/>
    </xf>
    <xf numFmtId="3" fontId="10" fillId="4" borderId="51" xfId="0" applyNumberFormat="1" applyFont="1" applyFill="1" applyBorder="1" applyAlignment="1">
      <alignment horizontal="center" vertical="center"/>
    </xf>
    <xf numFmtId="3" fontId="10" fillId="4" borderId="34" xfId="0" applyNumberFormat="1" applyFont="1" applyFill="1" applyBorder="1" applyAlignment="1">
      <alignment horizontal="center" vertical="center"/>
    </xf>
    <xf numFmtId="3" fontId="42" fillId="4" borderId="28" xfId="2" applyNumberFormat="1" applyFont="1" applyFill="1" applyBorder="1" applyAlignment="1">
      <alignment horizontal="center" vertical="center"/>
    </xf>
    <xf numFmtId="3" fontId="42" fillId="4" borderId="29" xfId="2" applyNumberFormat="1" applyFont="1" applyFill="1" applyBorder="1" applyAlignment="1">
      <alignment horizontal="center" vertical="center"/>
    </xf>
    <xf numFmtId="0" fontId="11" fillId="4" borderId="27" xfId="2" applyFont="1" applyFill="1" applyBorder="1" applyAlignment="1">
      <alignment horizontal="left" vertical="center" indent="1"/>
    </xf>
    <xf numFmtId="0" fontId="18" fillId="4" borderId="0" xfId="0" applyFont="1" applyFill="1" applyAlignment="1">
      <alignment horizontal="center"/>
    </xf>
    <xf numFmtId="10" fontId="10" fillId="4" borderId="51" xfId="0" applyNumberFormat="1" applyFont="1" applyFill="1" applyBorder="1" applyAlignment="1">
      <alignment horizontal="center" vertical="center"/>
    </xf>
    <xf numFmtId="10" fontId="10" fillId="14" borderId="34" xfId="0" applyNumberFormat="1" applyFont="1" applyFill="1" applyBorder="1" applyAlignment="1">
      <alignment horizontal="center" vertical="center"/>
    </xf>
    <xf numFmtId="10" fontId="10" fillId="14" borderId="35" xfId="0" applyNumberFormat="1" applyFont="1" applyFill="1" applyBorder="1" applyAlignment="1">
      <alignment horizontal="center" vertical="center"/>
    </xf>
    <xf numFmtId="10" fontId="11" fillId="4" borderId="0" xfId="0" applyNumberFormat="1" applyFont="1" applyFill="1" applyAlignment="1">
      <alignment horizontal="center" vertical="center"/>
    </xf>
    <xf numFmtId="10" fontId="11" fillId="4" borderId="54" xfId="0" applyNumberFormat="1" applyFont="1" applyFill="1" applyBorder="1" applyAlignment="1">
      <alignment horizontal="center" vertical="center"/>
    </xf>
    <xf numFmtId="10" fontId="10" fillId="14" borderId="0" xfId="0" applyNumberFormat="1" applyFont="1" applyFill="1" applyAlignment="1">
      <alignment horizontal="center" vertical="center"/>
    </xf>
    <xf numFmtId="10" fontId="10" fillId="14" borderId="54" xfId="0" applyNumberFormat="1" applyFont="1" applyFill="1" applyBorder="1" applyAlignment="1">
      <alignment horizontal="center" vertical="center"/>
    </xf>
    <xf numFmtId="10" fontId="11" fillId="4" borderId="26" xfId="0" applyNumberFormat="1" applyFont="1" applyFill="1" applyBorder="1" applyAlignment="1">
      <alignment horizontal="center" vertical="center"/>
    </xf>
    <xf numFmtId="10" fontId="11" fillId="4" borderId="29" xfId="0" applyNumberFormat="1" applyFont="1" applyFill="1" applyBorder="1" applyAlignment="1">
      <alignment horizontal="center" vertical="center"/>
    </xf>
    <xf numFmtId="171" fontId="10" fillId="15" borderId="28" xfId="0" applyNumberFormat="1" applyFont="1" applyFill="1" applyBorder="1" applyAlignment="1">
      <alignment horizontal="left" vertical="center"/>
    </xf>
    <xf numFmtId="171" fontId="10" fillId="15" borderId="0" xfId="0" applyNumberFormat="1" applyFont="1" applyFill="1" applyAlignment="1">
      <alignment horizontal="left" vertical="center"/>
    </xf>
    <xf numFmtId="3" fontId="10" fillId="5" borderId="0" xfId="0" applyNumberFormat="1" applyFont="1" applyFill="1" applyAlignment="1">
      <alignment horizontal="center" vertical="center"/>
    </xf>
    <xf numFmtId="10" fontId="10" fillId="5" borderId="51" xfId="0" applyNumberFormat="1" applyFont="1" applyFill="1" applyBorder="1" applyAlignment="1">
      <alignment horizontal="center" vertical="center"/>
    </xf>
    <xf numFmtId="165" fontId="7" fillId="14" borderId="0" xfId="1" applyNumberFormat="1" applyFont="1" applyFill="1" applyAlignment="1">
      <alignment horizontal="center" vertical="center"/>
    </xf>
    <xf numFmtId="0" fontId="35" fillId="0" borderId="0" xfId="2" applyFont="1" applyAlignment="1">
      <alignment horizontal="left" vertical="center"/>
    </xf>
    <xf numFmtId="10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0" fontId="0" fillId="5" borderId="0" xfId="0" applyFill="1" applyAlignment="1">
      <alignment vertical="center"/>
    </xf>
    <xf numFmtId="0" fontId="18" fillId="3" borderId="0" xfId="0" applyFont="1" applyFill="1" applyAlignment="1">
      <alignment horizontal="center"/>
    </xf>
    <xf numFmtId="0" fontId="8" fillId="12" borderId="57" xfId="0" quotePrefix="1" applyFont="1" applyFill="1" applyBorder="1" applyAlignment="1">
      <alignment horizontal="left" vertical="center" wrapText="1"/>
    </xf>
    <xf numFmtId="0" fontId="8" fillId="12" borderId="58" xfId="3" applyFont="1" applyFill="1" applyBorder="1" applyAlignment="1">
      <alignment horizontal="center" vertical="center"/>
    </xf>
    <xf numFmtId="0" fontId="8" fillId="12" borderId="59" xfId="3" applyFont="1" applyFill="1" applyBorder="1" applyAlignment="1">
      <alignment horizontal="center" vertical="center"/>
    </xf>
    <xf numFmtId="0" fontId="8" fillId="12" borderId="60" xfId="3" applyFont="1" applyFill="1" applyBorder="1" applyAlignment="1">
      <alignment horizontal="center" vertical="center"/>
    </xf>
    <xf numFmtId="0" fontId="7" fillId="4" borderId="61" xfId="0" applyFont="1" applyFill="1" applyBorder="1" applyAlignment="1">
      <alignment vertical="center"/>
    </xf>
    <xf numFmtId="0" fontId="15" fillId="14" borderId="61" xfId="0" applyFont="1" applyFill="1" applyBorder="1" applyAlignment="1">
      <alignment vertical="center"/>
    </xf>
    <xf numFmtId="2" fontId="10" fillId="14" borderId="0" xfId="0" applyNumberFormat="1" applyFont="1" applyFill="1" applyAlignment="1">
      <alignment horizontal="center" vertical="center" wrapText="1"/>
    </xf>
    <xf numFmtId="3" fontId="10" fillId="14" borderId="0" xfId="0" applyNumberFormat="1" applyFont="1" applyFill="1" applyAlignment="1">
      <alignment horizontal="center" vertical="center" wrapText="1"/>
    </xf>
    <xf numFmtId="166" fontId="10" fillId="14" borderId="28" xfId="0" applyNumberFormat="1" applyFont="1" applyFill="1" applyBorder="1" applyAlignment="1">
      <alignment horizontal="center" vertical="center"/>
    </xf>
    <xf numFmtId="166" fontId="12" fillId="17" borderId="0" xfId="0" applyNumberFormat="1" applyFont="1" applyFill="1" applyAlignment="1">
      <alignment horizontal="center" vertical="center"/>
    </xf>
    <xf numFmtId="166" fontId="10" fillId="9" borderId="0" xfId="0" applyNumberFormat="1" applyFont="1" applyFill="1" applyAlignment="1">
      <alignment horizontal="center" vertical="center"/>
    </xf>
    <xf numFmtId="166" fontId="10" fillId="14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66" fontId="11" fillId="4" borderId="28" xfId="0" applyNumberFormat="1" applyFont="1" applyFill="1" applyBorder="1" applyAlignment="1">
      <alignment horizontal="center" vertical="center"/>
    </xf>
    <xf numFmtId="0" fontId="49" fillId="4" borderId="0" xfId="0" applyFont="1" applyFill="1"/>
    <xf numFmtId="2" fontId="10" fillId="14" borderId="34" xfId="2" applyNumberFormat="1" applyFont="1" applyFill="1" applyBorder="1" applyAlignment="1">
      <alignment horizontal="center" vertical="center"/>
    </xf>
    <xf numFmtId="4" fontId="10" fillId="14" borderId="35" xfId="2" applyNumberFormat="1" applyFont="1" applyFill="1" applyBorder="1" applyAlignment="1">
      <alignment horizontal="center" vertical="center"/>
    </xf>
    <xf numFmtId="10" fontId="11" fillId="14" borderId="26" xfId="2" applyNumberFormat="1" applyFont="1" applyFill="1" applyBorder="1" applyAlignment="1">
      <alignment horizontal="center" vertical="center"/>
    </xf>
    <xf numFmtId="2" fontId="10" fillId="4" borderId="54" xfId="0" applyNumberFormat="1" applyFont="1" applyFill="1" applyBorder="1" applyAlignment="1">
      <alignment horizontal="center" vertical="center"/>
    </xf>
    <xf numFmtId="0" fontId="15" fillId="4" borderId="25" xfId="2" applyFont="1" applyFill="1" applyBorder="1" applyAlignment="1">
      <alignment vertical="center"/>
    </xf>
    <xf numFmtId="1" fontId="15" fillId="4" borderId="26" xfId="0" applyNumberFormat="1" applyFont="1" applyFill="1" applyBorder="1" applyAlignment="1">
      <alignment horizontal="center" vertical="center"/>
    </xf>
    <xf numFmtId="1" fontId="10" fillId="14" borderId="26" xfId="2" applyNumberFormat="1" applyFont="1" applyFill="1" applyBorder="1" applyAlignment="1">
      <alignment horizontal="center" vertical="center"/>
    </xf>
    <xf numFmtId="166" fontId="15" fillId="14" borderId="29" xfId="0" applyNumberFormat="1" applyFont="1" applyFill="1" applyBorder="1" applyAlignment="1">
      <alignment horizontal="center" vertical="center"/>
    </xf>
    <xf numFmtId="2" fontId="15" fillId="4" borderId="0" xfId="0" applyNumberFormat="1" applyFont="1" applyFill="1" applyAlignment="1">
      <alignment horizontal="center" vertical="center" wrapText="1"/>
    </xf>
    <xf numFmtId="1" fontId="15" fillId="4" borderId="0" xfId="0" applyNumberFormat="1" applyFont="1" applyFill="1" applyAlignment="1">
      <alignment horizontal="center" vertical="center" wrapText="1"/>
    </xf>
    <xf numFmtId="3" fontId="15" fillId="4" borderId="28" xfId="0" applyNumberFormat="1" applyFont="1" applyFill="1" applyBorder="1" applyAlignment="1">
      <alignment horizontal="center" vertical="center" wrapText="1"/>
    </xf>
    <xf numFmtId="166" fontId="15" fillId="14" borderId="26" xfId="0" applyNumberFormat="1" applyFont="1" applyFill="1" applyBorder="1" applyAlignment="1">
      <alignment horizontal="center" vertical="center" wrapText="1"/>
    </xf>
    <xf numFmtId="10" fontId="11" fillId="4" borderId="28" xfId="1" quotePrefix="1" applyNumberFormat="1" applyFont="1" applyFill="1" applyBorder="1" applyAlignment="1">
      <alignment horizontal="center" vertical="center"/>
    </xf>
    <xf numFmtId="10" fontId="11" fillId="4" borderId="29" xfId="1" quotePrefix="1" applyNumberFormat="1" applyFont="1" applyFill="1" applyBorder="1" applyAlignment="1">
      <alignment horizontal="center" vertical="center"/>
    </xf>
    <xf numFmtId="170" fontId="10" fillId="5" borderId="13" xfId="2" applyNumberFormat="1" applyFont="1" applyFill="1" applyBorder="1" applyAlignment="1">
      <alignment vertical="center"/>
    </xf>
    <xf numFmtId="3" fontId="7" fillId="5" borderId="14" xfId="2" applyNumberFormat="1" applyFont="1" applyFill="1" applyBorder="1" applyAlignment="1">
      <alignment horizontal="center" vertical="center"/>
    </xf>
    <xf numFmtId="10" fontId="15" fillId="5" borderId="14" xfId="2" applyNumberFormat="1" applyFont="1" applyFill="1" applyBorder="1" applyAlignment="1">
      <alignment horizontal="center" vertical="center"/>
    </xf>
    <xf numFmtId="165" fontId="11" fillId="5" borderId="15" xfId="1" applyNumberFormat="1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left" vertical="center"/>
    </xf>
    <xf numFmtId="0" fontId="10" fillId="4" borderId="35" xfId="0" applyFont="1" applyFill="1" applyBorder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0" fontId="10" fillId="4" borderId="26" xfId="0" applyFont="1" applyFill="1" applyBorder="1" applyAlignment="1">
      <alignment horizontal="left" vertical="center"/>
    </xf>
    <xf numFmtId="171" fontId="10" fillId="4" borderId="0" xfId="0" applyNumberFormat="1" applyFont="1" applyFill="1" applyAlignment="1">
      <alignment horizontal="left" vertical="center"/>
    </xf>
    <xf numFmtId="171" fontId="10" fillId="4" borderId="26" xfId="0" applyNumberFormat="1" applyFont="1" applyFill="1" applyBorder="1" applyAlignment="1">
      <alignment horizontal="left" vertical="center"/>
    </xf>
    <xf numFmtId="0" fontId="10" fillId="4" borderId="28" xfId="0" applyFont="1" applyFill="1" applyBorder="1" applyAlignment="1">
      <alignment horizontal="left" vertical="center"/>
    </xf>
    <xf numFmtId="0" fontId="10" fillId="4" borderId="29" xfId="0" applyFont="1" applyFill="1" applyBorder="1" applyAlignment="1">
      <alignment horizontal="left" vertical="center"/>
    </xf>
    <xf numFmtId="0" fontId="8" fillId="12" borderId="31" xfId="2" applyFont="1" applyFill="1" applyBorder="1" applyAlignment="1">
      <alignment horizontal="left" vertical="center" wrapText="1"/>
    </xf>
    <xf numFmtId="0" fontId="8" fillId="12" borderId="32" xfId="2" applyFont="1" applyFill="1" applyBorder="1" applyAlignment="1">
      <alignment horizontal="left" vertical="center" wrapText="1"/>
    </xf>
    <xf numFmtId="0" fontId="10" fillId="14" borderId="34" xfId="0" applyFont="1" applyFill="1" applyBorder="1" applyAlignment="1">
      <alignment horizontal="left" vertical="center"/>
    </xf>
    <xf numFmtId="0" fontId="10" fillId="14" borderId="35" xfId="0" applyFont="1" applyFill="1" applyBorder="1" applyAlignment="1">
      <alignment horizontal="left" vertical="center"/>
    </xf>
    <xf numFmtId="167" fontId="10" fillId="4" borderId="28" xfId="2" applyNumberFormat="1" applyFont="1" applyFill="1" applyBorder="1" applyAlignment="1">
      <alignment horizontal="center" vertical="center"/>
    </xf>
    <xf numFmtId="167" fontId="10" fillId="4" borderId="29" xfId="2" applyNumberFormat="1" applyFont="1" applyFill="1" applyBorder="1" applyAlignment="1">
      <alignment horizontal="center" vertical="center"/>
    </xf>
    <xf numFmtId="3" fontId="10" fillId="4" borderId="34" xfId="2" applyNumberFormat="1" applyFont="1" applyFill="1" applyBorder="1" applyAlignment="1">
      <alignment horizontal="center" vertical="center"/>
    </xf>
    <xf numFmtId="3" fontId="10" fillId="4" borderId="35" xfId="2" applyNumberFormat="1" applyFont="1" applyFill="1" applyBorder="1" applyAlignment="1">
      <alignment horizontal="center" vertical="center"/>
    </xf>
    <xf numFmtId="0" fontId="8" fillId="12" borderId="30" xfId="2" applyFont="1" applyFill="1" applyBorder="1" applyAlignment="1">
      <alignment horizontal="center" vertical="center" wrapText="1"/>
    </xf>
    <xf numFmtId="0" fontId="8" fillId="12" borderId="31" xfId="2" applyFont="1" applyFill="1" applyBorder="1" applyAlignment="1">
      <alignment horizontal="center" vertical="center" wrapText="1"/>
    </xf>
    <xf numFmtId="0" fontId="8" fillId="12" borderId="32" xfId="2" applyFont="1" applyFill="1" applyBorder="1" applyAlignment="1">
      <alignment horizontal="center" vertical="center" wrapText="1"/>
    </xf>
    <xf numFmtId="3" fontId="10" fillId="4" borderId="34" xfId="2" quotePrefix="1" applyNumberFormat="1" applyFont="1" applyFill="1" applyBorder="1" applyAlignment="1">
      <alignment horizontal="center" vertical="center"/>
    </xf>
    <xf numFmtId="3" fontId="11" fillId="4" borderId="0" xfId="2" applyNumberFormat="1" applyFont="1" applyFill="1" applyAlignment="1">
      <alignment horizontal="center" vertical="center"/>
    </xf>
    <xf numFmtId="3" fontId="11" fillId="4" borderId="54" xfId="2" applyNumberFormat="1" applyFont="1" applyFill="1" applyBorder="1" applyAlignment="1">
      <alignment horizontal="center" vertical="center"/>
    </xf>
    <xf numFmtId="3" fontId="11" fillId="4" borderId="26" xfId="2" applyNumberFormat="1" applyFont="1" applyFill="1" applyBorder="1" applyAlignment="1">
      <alignment horizontal="center" vertical="center"/>
    </xf>
    <xf numFmtId="167" fontId="10" fillId="4" borderId="56" xfId="2" applyNumberFormat="1" applyFont="1" applyFill="1" applyBorder="1" applyAlignment="1">
      <alignment horizontal="center" vertical="center"/>
    </xf>
    <xf numFmtId="0" fontId="8" fillId="12" borderId="8" xfId="0" quotePrefix="1" applyFont="1" applyFill="1" applyBorder="1" applyAlignment="1">
      <alignment vertical="center" wrapText="1"/>
    </xf>
    <xf numFmtId="0" fontId="8" fillId="12" borderId="13" xfId="0" quotePrefix="1" applyFont="1" applyFill="1" applyBorder="1" applyAlignment="1">
      <alignment vertical="center" wrapText="1"/>
    </xf>
    <xf numFmtId="0" fontId="8" fillId="12" borderId="9" xfId="0" quotePrefix="1" applyFont="1" applyFill="1" applyBorder="1" applyAlignment="1">
      <alignment horizontal="center" vertical="center" wrapText="1"/>
    </xf>
    <xf numFmtId="0" fontId="8" fillId="12" borderId="14" xfId="0" quotePrefix="1" applyFont="1" applyFill="1" applyBorder="1" applyAlignment="1">
      <alignment horizontal="center" vertical="center" wrapText="1"/>
    </xf>
    <xf numFmtId="0" fontId="8" fillId="12" borderId="10" xfId="0" quotePrefix="1" applyFont="1" applyFill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26" fillId="7" borderId="20" xfId="8" applyFont="1" applyFill="1" applyBorder="1" applyAlignment="1">
      <alignment horizontal="center" wrapText="1"/>
    </xf>
    <xf numFmtId="0" fontId="26" fillId="7" borderId="22" xfId="8" applyFont="1" applyFill="1" applyBorder="1" applyAlignment="1">
      <alignment horizontal="center" wrapText="1"/>
    </xf>
    <xf numFmtId="0" fontId="26" fillId="8" borderId="20" xfId="8" applyFont="1" applyFill="1" applyBorder="1" applyAlignment="1">
      <alignment horizontal="center" wrapText="1"/>
    </xf>
    <xf numFmtId="0" fontId="26" fillId="8" borderId="22" xfId="8" applyFont="1" applyFill="1" applyBorder="1" applyAlignment="1">
      <alignment horizontal="center" wrapText="1"/>
    </xf>
    <xf numFmtId="0" fontId="26" fillId="9" borderId="20" xfId="8" applyFont="1" applyFill="1" applyBorder="1" applyAlignment="1">
      <alignment horizontal="center" wrapText="1"/>
    </xf>
    <xf numFmtId="0" fontId="26" fillId="9" borderId="22" xfId="8" applyFont="1" applyFill="1" applyBorder="1" applyAlignment="1">
      <alignment horizontal="center" wrapText="1"/>
    </xf>
    <xf numFmtId="0" fontId="26" fillId="10" borderId="20" xfId="8" applyFont="1" applyFill="1" applyBorder="1" applyAlignment="1">
      <alignment horizontal="center" wrapText="1"/>
    </xf>
    <xf numFmtId="0" fontId="26" fillId="10" borderId="22" xfId="8" applyFont="1" applyFill="1" applyBorder="1" applyAlignment="1">
      <alignment horizontal="center" wrapText="1"/>
    </xf>
    <xf numFmtId="167" fontId="25" fillId="9" borderId="22" xfId="8" applyNumberFormat="1" applyFont="1" applyFill="1" applyBorder="1" applyAlignment="1">
      <alignment horizontal="center" vertical="top" wrapText="1"/>
    </xf>
    <xf numFmtId="167" fontId="25" fillId="9" borderId="23" xfId="8" applyNumberFormat="1" applyFont="1" applyFill="1" applyBorder="1" applyAlignment="1">
      <alignment horizontal="center" vertical="top" wrapText="1"/>
    </xf>
    <xf numFmtId="166" fontId="25" fillId="8" borderId="22" xfId="8" applyNumberFormat="1" applyFont="1" applyFill="1" applyBorder="1" applyAlignment="1">
      <alignment horizontal="center" vertical="top" wrapText="1"/>
    </xf>
    <xf numFmtId="166" fontId="25" fillId="8" borderId="23" xfId="8" applyNumberFormat="1" applyFont="1" applyFill="1" applyBorder="1" applyAlignment="1">
      <alignment horizontal="center" vertical="top" wrapText="1"/>
    </xf>
    <xf numFmtId="166" fontId="27" fillId="4" borderId="24" xfId="8" applyNumberFormat="1" applyFont="1" applyFill="1" applyBorder="1" applyAlignment="1">
      <alignment horizontal="center" vertical="top" wrapText="1"/>
    </xf>
    <xf numFmtId="166" fontId="27" fillId="4" borderId="0" xfId="8" applyNumberFormat="1" applyFont="1" applyFill="1" applyAlignment="1">
      <alignment horizontal="center" vertical="top" wrapText="1"/>
    </xf>
    <xf numFmtId="166" fontId="28" fillId="4" borderId="0" xfId="8" applyNumberFormat="1" applyFont="1" applyFill="1" applyAlignment="1">
      <alignment horizontal="center" vertical="top" wrapText="1"/>
    </xf>
    <xf numFmtId="166" fontId="25" fillId="7" borderId="22" xfId="8" applyNumberFormat="1" applyFont="1" applyFill="1" applyBorder="1" applyAlignment="1">
      <alignment horizontal="center" vertical="top"/>
    </xf>
    <xf numFmtId="166" fontId="25" fillId="7" borderId="23" xfId="8" applyNumberFormat="1" applyFont="1" applyFill="1" applyBorder="1" applyAlignment="1">
      <alignment horizontal="center" vertical="top"/>
    </xf>
    <xf numFmtId="167" fontId="26" fillId="11" borderId="20" xfId="8" applyNumberFormat="1" applyFont="1" applyFill="1" applyBorder="1" applyAlignment="1">
      <alignment horizontal="center" wrapText="1"/>
    </xf>
    <xf numFmtId="167" fontId="26" fillId="11" borderId="22" xfId="8" applyNumberFormat="1" applyFont="1" applyFill="1" applyBorder="1" applyAlignment="1">
      <alignment horizontal="center" wrapText="1"/>
    </xf>
    <xf numFmtId="0" fontId="18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</cellXfs>
  <cellStyles count="12">
    <cellStyle name="Currency" xfId="6" builtinId="4"/>
    <cellStyle name="Hyperlink" xfId="11" builtinId="8"/>
    <cellStyle name="Lien hypertexte 2" xfId="9" xr:uid="{C91A9961-0AD5-4BE8-8B60-23CD442F9B15}"/>
    <cellStyle name="Milliers 2" xfId="10" xr:uid="{00A32E8D-6384-4CB7-923F-3497413EC7EE}"/>
    <cellStyle name="Milliers 4" xfId="4" xr:uid="{DFB12FB4-002F-404B-9B73-2622EEC42F6A}"/>
    <cellStyle name="Normal" xfId="0" builtinId="0"/>
    <cellStyle name="Normal 2" xfId="2" xr:uid="{0BD0C5F3-2A8B-4356-9DA6-2D6278A9158A}"/>
    <cellStyle name="Normal 2 2 2" xfId="5" xr:uid="{8294F63C-8780-4C1E-9273-BC24D75D4EF8}"/>
    <cellStyle name="Normal 4" xfId="3" xr:uid="{9F433B82-CE7E-4B71-A6BA-2F6B930616F8}"/>
    <cellStyle name="Normal 4 2 2" xfId="7" xr:uid="{0335FF10-61E2-4BA5-83F1-37D11ED64556}"/>
    <cellStyle name="Normal 5" xfId="8" xr:uid="{D551091C-7255-4C9E-BD5C-B73E6ECCBB5A}"/>
    <cellStyle name="Percent" xfId="1" builtinId="5"/>
  </cellStyles>
  <dxfs count="1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ont>
        <b val="0"/>
      </font>
      <fill>
        <patternFill patternType="solid">
          <fgColor indexed="64"/>
          <bgColor rgb="FF0070C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ont>
        <b val="0"/>
      </font>
      <fill>
        <patternFill patternType="solid">
          <fgColor indexed="64"/>
          <bgColor rgb="FF0070C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</dxfs>
  <tableStyles count="0" defaultTableStyle="TableStyleMedium2" defaultPivotStyle="PivotStyleLight16"/>
  <colors>
    <mruColors>
      <color rgb="FF8DBAE3"/>
      <color rgb="FFA568D2"/>
      <color rgb="FF5497D4"/>
      <color rgb="FF9BB0E5"/>
      <color rgb="FFB889DB"/>
      <color rgb="FFBC8FDD"/>
      <color rgb="FF7391DB"/>
      <color rgb="FFACD593"/>
      <color rgb="FF961A23"/>
      <color rgb="FF582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Réseau BT</a:t>
            </a:r>
          </a:p>
          <a:p>
            <a:pPr>
              <a:defRPr sz="1200" b="1"/>
            </a:pPr>
            <a:r>
              <a:rPr lang="fr-FR" sz="1200" b="1"/>
              <a:t>Aérien nu (km)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C138-4FCD-8016-5BD33554ED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C138-4FCD-8016-5BD33554ED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1526560"/>
        <c:axId val="178630767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178630767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1526560"/>
        <c:crosses val="max"/>
        <c:crossBetween val="between"/>
      </c:valAx>
      <c:catAx>
        <c:axId val="43152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6307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Réseau BT</a:t>
            </a:r>
          </a:p>
          <a:p>
            <a:pPr>
              <a:defRPr sz="1200" b="1"/>
            </a:pPr>
            <a:r>
              <a:rPr lang="fr-FR" sz="1200" b="1"/>
              <a:t>Ancienneté ≥ 40 ans (km)</a:t>
            </a:r>
          </a:p>
        </c:rich>
      </c:tx>
      <c:layout>
        <c:manualLayout>
          <c:xMode val="edge"/>
          <c:yMode val="edge"/>
          <c:x val="0.37169281605480864"/>
          <c:y val="2.0539149991859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Pat_Tech!$B$467</c:f>
              <c:strCache>
                <c:ptCount val="1"/>
                <c:pt idx="0">
                  <c:v>Linéaire total BT ≥ 40 ans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Pat_Tech!$C$526:$G$526</c:f>
              <c:numCache>
                <c:formatCode>#\ ##0.0</c:formatCode>
                <c:ptCount val="5"/>
                <c:pt idx="0">
                  <c:v>26.64</c:v>
                </c:pt>
                <c:pt idx="1">
                  <c:v>24.08</c:v>
                </c:pt>
                <c:pt idx="2">
                  <c:v>18.920000000000002</c:v>
                </c:pt>
                <c:pt idx="3">
                  <c:v>16.98</c:v>
                </c:pt>
                <c:pt idx="4">
                  <c:v>15.95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202E-4718-BADA-C79E3BEA19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1"/>
          <c:order val="1"/>
          <c:tx>
            <c:strRef>
              <c:f>Pat_Tech!$B$468</c:f>
              <c:strCache>
                <c:ptCount val="1"/>
                <c:pt idx="0">
                  <c:v>% linéaire BT ≥ 40 ans - concession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Pat_Tech!#REF!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Pat_Tech!#REF!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202E-4718-BADA-C79E3BEA19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1526560"/>
        <c:axId val="178630767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178630767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1526560"/>
        <c:crosses val="max"/>
        <c:crossBetween val="between"/>
      </c:valAx>
      <c:catAx>
        <c:axId val="43152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6307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r>
              <a:rPr lang="fr-FR" sz="1200" b="1">
                <a:latin typeface="+mj-lt"/>
                <a:cs typeface="Arial" panose="020B0604020202020204" pitchFamily="34" charset="0"/>
              </a:rPr>
              <a:t>Evolution</a:t>
            </a:r>
            <a:r>
              <a:rPr lang="fr-FR" sz="1200" b="1" baseline="0">
                <a:latin typeface="+mj-lt"/>
                <a:cs typeface="Arial" panose="020B0604020202020204" pitchFamily="34" charset="0"/>
              </a:rPr>
              <a:t> du réseau HTA</a:t>
            </a:r>
            <a:endParaRPr lang="fr-FR" sz="1200" b="1">
              <a:latin typeface="+mj-lt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7110524664409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0037326943546777E-2"/>
          <c:y val="4.0055252547952801E-2"/>
          <c:w val="0.86353869427866436"/>
          <c:h val="0.70214888867685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Pat_Tech!$B$25</c:f>
              <c:strCache>
                <c:ptCount val="1"/>
                <c:pt idx="0">
                  <c:v>Taux réseau HTA souterrain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Pat_Tech!$C$25:$G$25</c:f>
              <c:numCache>
                <c:formatCode>0.0%</c:formatCode>
                <c:ptCount val="5"/>
                <c:pt idx="0">
                  <c:v>0</c:v>
                </c:pt>
                <c:pt idx="1">
                  <c:v>0.52021391736168587</c:v>
                </c:pt>
                <c:pt idx="2">
                  <c:v>0.53629123536311818</c:v>
                </c:pt>
                <c:pt idx="3">
                  <c:v>0.54054440675195159</c:v>
                </c:pt>
                <c:pt idx="4">
                  <c:v>0.54300038565368303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D-4A32-BC0F-CB326EDA898A}"/>
            </c:ext>
          </c:extLst>
        </c:ser>
        <c:ser>
          <c:idx val="1"/>
          <c:order val="1"/>
          <c:tx>
            <c:strRef>
              <c:f>Pat_Tech!$B$24</c:f>
              <c:strCache>
                <c:ptCount val="1"/>
                <c:pt idx="0">
                  <c:v>Taux réseau HTA aérien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Pat_Tech!$C$24:$G$24</c:f>
              <c:numCache>
                <c:formatCode>0.0%</c:formatCode>
                <c:ptCount val="5"/>
                <c:pt idx="0">
                  <c:v>0.48168509876622134</c:v>
                </c:pt>
                <c:pt idx="1">
                  <c:v>0.47872498461407864</c:v>
                </c:pt>
                <c:pt idx="2">
                  <c:v>0.46265923075340065</c:v>
                </c:pt>
                <c:pt idx="3">
                  <c:v>0.45845424449258187</c:v>
                </c:pt>
                <c:pt idx="4">
                  <c:v>0.4559035459841273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CD-4A32-BC0F-CB326EDA8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169839"/>
        <c:axId val="403610655"/>
      </c:barChart>
      <c:lineChart>
        <c:grouping val="standard"/>
        <c:varyColors val="0"/>
        <c:ser>
          <c:idx val="3"/>
          <c:order val="3"/>
          <c:tx>
            <c:strRef>
              <c:f>Pat_Tech!$B$26</c:f>
              <c:strCache>
                <c:ptCount val="1"/>
                <c:pt idx="0">
                  <c:v>Moy. nationale taux HTA souterrain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tar"/>
            <c:size val="5"/>
            <c:spPr>
              <a:solidFill>
                <a:srgbClr val="FF0000"/>
              </a:solidFill>
              <a:ln w="25400">
                <a:solidFill>
                  <a:srgbClr val="E72142">
                    <a:alpha val="95000"/>
                  </a:srgb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Pat_Tech!$C$26:$G$26</c:f>
              <c:numCache>
                <c:formatCode>0.0%</c:formatCode>
                <c:ptCount val="5"/>
                <c:pt idx="0">
                  <c:v>0.50432437732558322</c:v>
                </c:pt>
                <c:pt idx="1">
                  <c:v>0.51050218409188564</c:v>
                </c:pt>
                <c:pt idx="2">
                  <c:v>0.51807693563257651</c:v>
                </c:pt>
                <c:pt idx="3">
                  <c:v>0.52373771086500753</c:v>
                </c:pt>
                <c:pt idx="4">
                  <c:v>0.5299997908522216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6-4B84-8AD9-B145004CF809}"/>
            </c:ext>
          </c:extLst>
        </c:ser>
        <c:ser>
          <c:idx val="4"/>
          <c:order val="4"/>
          <c:tx>
            <c:strRef>
              <c:f>Pat_Tech!$B$27</c:f>
              <c:strCache>
                <c:ptCount val="1"/>
                <c:pt idx="0">
                  <c:v>Moy. nationale à densité population similaire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5"/>
              </a:solidFill>
              <a:ln w="25400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Pat_Tech!$C$27:$G$27</c:f>
              <c:numCache>
                <c:formatCode>0.0%</c:formatCode>
                <c:ptCount val="5"/>
                <c:pt idx="0">
                  <c:v>0.43859999999999999</c:v>
                </c:pt>
                <c:pt idx="1">
                  <c:v>0.438</c:v>
                </c:pt>
                <c:pt idx="2">
                  <c:v>0.437</c:v>
                </c:pt>
                <c:pt idx="3">
                  <c:v>0.436</c:v>
                </c:pt>
                <c:pt idx="4">
                  <c:v>0.43519999999999998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A6-4B84-8AD9-B145004C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169839"/>
        <c:axId val="403610655"/>
      </c:lineChart>
      <c:lineChart>
        <c:grouping val="standard"/>
        <c:varyColors val="0"/>
        <c:ser>
          <c:idx val="2"/>
          <c:order val="2"/>
          <c:tx>
            <c:strRef>
              <c:f>Pat_Tech!$B$20</c:f>
              <c:strCache>
                <c:ptCount val="1"/>
                <c:pt idx="0">
                  <c:v>Linéaire 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\ ##0&quot; km&quot;;\-#\ ##0&quot; km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Pat_Tech!$C$20:$G$20</c:f>
              <c:numCache>
                <c:formatCode>#,##0</c:formatCode>
                <c:ptCount val="5"/>
                <c:pt idx="0">
                  <c:v>4692.8999999999996</c:v>
                </c:pt>
                <c:pt idx="1">
                  <c:v>4712.1000000000004</c:v>
                </c:pt>
                <c:pt idx="2">
                  <c:v>4859.3</c:v>
                </c:pt>
                <c:pt idx="3">
                  <c:v>4893.3999999999996</c:v>
                </c:pt>
                <c:pt idx="4">
                  <c:v>4926.7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6-4B84-8AD9-B145004C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420512"/>
        <c:axId val="446428672"/>
      </c:lineChart>
      <c:catAx>
        <c:axId val="18111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10655"/>
        <c:crosses val="autoZero"/>
        <c:auto val="1"/>
        <c:lblAlgn val="ctr"/>
        <c:lblOffset val="100"/>
        <c:noMultiLvlLbl val="0"/>
      </c:catAx>
      <c:valAx>
        <c:axId val="4036106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69839"/>
        <c:crosses val="autoZero"/>
        <c:crossBetween val="between"/>
      </c:valAx>
      <c:valAx>
        <c:axId val="446428672"/>
        <c:scaling>
          <c:orientation val="minMax"/>
          <c:max val="9000"/>
        </c:scaling>
        <c:delete val="0"/>
        <c:axPos val="r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6420512"/>
        <c:crosses val="max"/>
        <c:crossBetween val="between"/>
      </c:valAx>
      <c:catAx>
        <c:axId val="446420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6428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479451894791413E-2"/>
          <c:y val="0.8445191024833979"/>
          <c:w val="0.86045019426516145"/>
          <c:h val="0.155480897516601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Réseau HTA</a:t>
            </a:r>
          </a:p>
          <a:p>
            <a:pPr>
              <a:defRPr sz="1100" b="1"/>
            </a:pPr>
            <a:r>
              <a:rPr lang="fr-FR" sz="1100" b="1"/>
              <a:t>Technologies HTA</a:t>
            </a:r>
            <a:r>
              <a:rPr lang="fr-FR" sz="1100" b="1" baseline="0"/>
              <a:t> souterraines incidentogènes (km)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Pat_Tech!$B$173</c:f>
              <c:strCache>
                <c:ptCount val="1"/>
                <c:pt idx="0">
                  <c:v>Linéaire HTA avec CPI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Pat_Tech!$C$172:$G$172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Pat_Tech!$C$173:$G$173</c:f>
              <c:numCache>
                <c:formatCode>#\ ##0.0</c:formatCode>
                <c:ptCount val="5"/>
                <c:pt idx="0">
                  <c:v>97.07</c:v>
                </c:pt>
                <c:pt idx="1">
                  <c:v>91.24</c:v>
                </c:pt>
                <c:pt idx="2">
                  <c:v>87.81</c:v>
                </c:pt>
                <c:pt idx="3">
                  <c:v>86.86</c:v>
                </c:pt>
                <c:pt idx="4">
                  <c:v>83.21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D-4B4D-839C-52DC6EA51E79}"/>
            </c:ext>
          </c:extLst>
        </c:ser>
        <c:ser>
          <c:idx val="2"/>
          <c:order val="2"/>
          <c:tx>
            <c:strRef>
              <c:f>Pat_Tech!$B$174</c:f>
              <c:strCache>
                <c:ptCount val="1"/>
                <c:pt idx="0">
                  <c:v>Linéaire HTA avec synthétique de 1ère génération (estimation)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Pat_Tech!$C$174:$G$174</c:f>
              <c:numCache>
                <c:formatCode>General</c:formatCode>
                <c:ptCount val="5"/>
                <c:pt idx="0">
                  <c:v>1.78</c:v>
                </c:pt>
                <c:pt idx="1">
                  <c:v>1.78</c:v>
                </c:pt>
                <c:pt idx="2">
                  <c:v>1.78</c:v>
                </c:pt>
                <c:pt idx="3">
                  <c:v>1.78</c:v>
                </c:pt>
                <c:pt idx="4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3-4D31-9AD3-257CB13475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11174239"/>
        <c:axId val="403611071"/>
      </c:barChart>
      <c:lineChart>
        <c:grouping val="standard"/>
        <c:varyColors val="0"/>
        <c:ser>
          <c:idx val="1"/>
          <c:order val="1"/>
          <c:tx>
            <c:strRef>
              <c:f>Pat_Tech!$B$175</c:f>
              <c:strCache>
                <c:ptCount val="1"/>
                <c:pt idx="0">
                  <c:v>% souterrain CPI-S1 / souterrain 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2.8344976783797278E-2"/>
                  <c:y val="-0.120954713384498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25-4F1D-8D51-70667EBF737C}"/>
                </c:ext>
              </c:extLst>
            </c:dLbl>
            <c:dLbl>
              <c:idx val="4"/>
              <c:layout>
                <c:manualLayout>
                  <c:x val="-2.2128973103140132E-2"/>
                  <c:y val="-0.131252009290269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25-4F1D-8D51-70667EBF73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Pat_Tech!$C$175:$G$175</c:f>
              <c:numCache>
                <c:formatCode>0.00%</c:formatCode>
                <c:ptCount val="5"/>
                <c:pt idx="0">
                  <c:v>0</c:v>
                </c:pt>
                <c:pt idx="1">
                  <c:v>3.7947211683596452E-2</c:v>
                </c:pt>
                <c:pt idx="2">
                  <c:v>3.4378357636224099E-2</c:v>
                </c:pt>
                <c:pt idx="3">
                  <c:v>3.3511020377301429E-2</c:v>
                </c:pt>
                <c:pt idx="4">
                  <c:v>3.1769587320574166E-2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D-4B4D-839C-52DC6EA51E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1185439"/>
        <c:axId val="403604415"/>
      </c:lineChart>
      <c:catAx>
        <c:axId val="18111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11071"/>
        <c:crosses val="autoZero"/>
        <c:auto val="1"/>
        <c:lblAlgn val="ctr"/>
        <c:lblOffset val="100"/>
        <c:noMultiLvlLbl val="0"/>
      </c:catAx>
      <c:valAx>
        <c:axId val="4036110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74239"/>
        <c:crosses val="autoZero"/>
        <c:crossBetween val="between"/>
      </c:valAx>
      <c:valAx>
        <c:axId val="403604415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85439"/>
        <c:crosses val="max"/>
        <c:crossBetween val="between"/>
      </c:valAx>
      <c:catAx>
        <c:axId val="1811185439"/>
        <c:scaling>
          <c:orientation val="minMax"/>
        </c:scaling>
        <c:delete val="1"/>
        <c:axPos val="b"/>
        <c:majorTickMark val="out"/>
        <c:minorTickMark val="none"/>
        <c:tickLblPos val="nextTo"/>
        <c:crossAx val="403604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 i="0" baseline="0">
                <a:effectLst/>
              </a:rPr>
              <a:t>Réseau HTA d'âge ≥ 40 ans (km)</a:t>
            </a:r>
          </a:p>
          <a:p>
            <a:pPr>
              <a:defRPr sz="1200" b="1"/>
            </a:pPr>
            <a:r>
              <a:rPr lang="fr-FR" sz="1200" b="0" i="1" baseline="0">
                <a:effectLst/>
              </a:rPr>
              <a:t> - Inventaire technique -</a:t>
            </a:r>
            <a:endParaRPr lang="fr-FR" sz="1200" b="0" i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Pat_Tech!$B$78</c:f>
              <c:strCache>
                <c:ptCount val="1"/>
                <c:pt idx="0">
                  <c:v>Linéaire total HTA ≥ 40 ans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Pat_Tech!$C$77:$G$77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Pat_Tech!$C$78:$G$78</c:f>
              <c:numCache>
                <c:formatCode>0.0</c:formatCode>
                <c:ptCount val="5"/>
                <c:pt idx="0" formatCode="#\ ##0.0">
                  <c:v>1135.5999999999999</c:v>
                </c:pt>
                <c:pt idx="1">
                  <c:v>1164.5</c:v>
                </c:pt>
                <c:pt idx="2">
                  <c:v>1192.4000000000001</c:v>
                </c:pt>
                <c:pt idx="3">
                  <c:v>1265</c:v>
                </c:pt>
                <c:pt idx="4">
                  <c:v>1328.6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F-4889-B397-33B17F53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2132645072"/>
        <c:axId val="178160559"/>
      </c:barChart>
      <c:lineChart>
        <c:grouping val="standard"/>
        <c:varyColors val="0"/>
        <c:ser>
          <c:idx val="1"/>
          <c:order val="1"/>
          <c:tx>
            <c:strRef>
              <c:f>Pat_Tech!$B$79</c:f>
              <c:strCache>
                <c:ptCount val="1"/>
                <c:pt idx="0">
                  <c:v>% linéaire HTA ≥ 40 ans  - concession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5.9582867616558607E-2"/>
                  <c:y val="-9.4119508825396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B4-42FB-9184-2E74E40AAB0A}"/>
                </c:ext>
              </c:extLst>
            </c:dLbl>
            <c:dLbl>
              <c:idx val="4"/>
              <c:layout>
                <c:manualLayout>
                  <c:x val="-5.6987794985175394E-2"/>
                  <c:y val="-0.113333438228276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B4-42FB-9184-2E74E40AAB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Pat_Tech!$C$77:$G$77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Pat_Tech!$C$79:$G$79</c:f>
              <c:numCache>
                <c:formatCode>0.0%</c:formatCode>
                <c:ptCount val="5"/>
                <c:pt idx="0">
                  <c:v>0.24199999999999999</c:v>
                </c:pt>
                <c:pt idx="1">
                  <c:v>0.24709999999999999</c:v>
                </c:pt>
                <c:pt idx="2">
                  <c:v>0.24540000000000001</c:v>
                </c:pt>
                <c:pt idx="3">
                  <c:v>0.25850000000000001</c:v>
                </c:pt>
                <c:pt idx="4">
                  <c:v>0.2697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F-4889-B397-33B17F53D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006767"/>
        <c:axId val="178629519"/>
      </c:lineChart>
      <c:catAx>
        <c:axId val="21326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160559"/>
        <c:crosses val="autoZero"/>
        <c:auto val="1"/>
        <c:lblAlgn val="ctr"/>
        <c:lblOffset val="100"/>
        <c:noMultiLvlLbl val="0"/>
      </c:catAx>
      <c:valAx>
        <c:axId val="1781605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2645072"/>
        <c:crosses val="autoZero"/>
        <c:crossBetween val="between"/>
      </c:valAx>
      <c:valAx>
        <c:axId val="17862951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6006767"/>
        <c:crosses val="max"/>
        <c:crossBetween val="between"/>
      </c:valAx>
      <c:catAx>
        <c:axId val="20660067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6295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 i="0" baseline="0">
                <a:effectLst/>
              </a:rPr>
              <a:t>Poste HTA/BT ≥ 40 ans </a:t>
            </a:r>
          </a:p>
          <a:p>
            <a:pPr>
              <a:defRPr sz="1200" b="1"/>
            </a:pPr>
            <a:r>
              <a:rPr lang="fr-FR" sz="1200" b="1" i="0" baseline="0">
                <a:effectLst/>
              </a:rPr>
              <a:t>- Inventaire technique -</a:t>
            </a:r>
            <a:endParaRPr lang="fr-FR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567147856517933E-2"/>
          <c:y val="0.20412037037037037"/>
          <c:w val="0.82556014873140859"/>
          <c:h val="0.5825769174686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Pat_Tech!$B$286</c:f>
              <c:strCache>
                <c:ptCount val="1"/>
                <c:pt idx="0">
                  <c:v>Nombre de postes ≥ 40 ans - concession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Pat_Tech!$C$283:$G$283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Pat_Tech!$C$286:$G$286</c:f>
              <c:numCache>
                <c:formatCode>#,##0</c:formatCode>
                <c:ptCount val="5"/>
                <c:pt idx="0">
                  <c:v>547872</c:v>
                </c:pt>
                <c:pt idx="1">
                  <c:v>584598</c:v>
                </c:pt>
                <c:pt idx="2">
                  <c:v>630168</c:v>
                </c:pt>
                <c:pt idx="3">
                  <c:v>577498</c:v>
                </c:pt>
                <c:pt idx="4">
                  <c:v>568629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0-4B22-ABE1-7FCF33B28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6647600"/>
        <c:axId val="724793904"/>
      </c:barChart>
      <c:lineChart>
        <c:grouping val="standard"/>
        <c:varyColors val="0"/>
        <c:ser>
          <c:idx val="1"/>
          <c:order val="1"/>
          <c:tx>
            <c:strRef>
              <c:f>Pat_Tech!$B$291</c:f>
              <c:strCache>
                <c:ptCount val="1"/>
                <c:pt idx="0">
                  <c:v>Taux de postes ≥ 40 ans - concession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Pat_Tech!$C$291:$G$291</c:f>
              <c:numCache>
                <c:formatCode>0.0%</c:formatCode>
                <c:ptCount val="5"/>
                <c:pt idx="0">
                  <c:v>0.31080000000000002</c:v>
                </c:pt>
                <c:pt idx="1">
                  <c:v>0.32290000000000002</c:v>
                </c:pt>
                <c:pt idx="2">
                  <c:v>0.33600000000000002</c:v>
                </c:pt>
                <c:pt idx="3">
                  <c:v>0.35489999999999999</c:v>
                </c:pt>
                <c:pt idx="4">
                  <c:v>0.3725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0-4B22-ABE1-7FCF33B28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5743264"/>
        <c:axId val="724810544"/>
      </c:lineChart>
      <c:catAx>
        <c:axId val="13966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4793904"/>
        <c:crosses val="autoZero"/>
        <c:auto val="1"/>
        <c:lblAlgn val="ctr"/>
        <c:lblOffset val="100"/>
        <c:noMultiLvlLbl val="0"/>
      </c:catAx>
      <c:valAx>
        <c:axId val="7247939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6647600"/>
        <c:crosses val="autoZero"/>
        <c:crossBetween val="between"/>
      </c:valAx>
      <c:valAx>
        <c:axId val="7248105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5743264"/>
        <c:crosses val="max"/>
        <c:crossBetween val="between"/>
      </c:valAx>
      <c:catAx>
        <c:axId val="1395743264"/>
        <c:scaling>
          <c:orientation val="minMax"/>
        </c:scaling>
        <c:delete val="1"/>
        <c:axPos val="b"/>
        <c:majorTickMark val="out"/>
        <c:minorTickMark val="none"/>
        <c:tickLblPos val="nextTo"/>
        <c:crossAx val="724810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0" i="0" baseline="0">
                <a:effectLst/>
              </a:rPr>
              <a:t>Transformateur HTA/BT ≥ 40 ans </a:t>
            </a:r>
            <a:endParaRPr lang="fr-FR" sz="1100">
              <a:effectLst/>
            </a:endParaRPr>
          </a:p>
          <a:p>
            <a:pPr>
              <a:defRPr sz="1100"/>
            </a:pPr>
            <a:r>
              <a:rPr lang="fr-FR" sz="1100" b="0" i="0" baseline="0">
                <a:effectLst/>
              </a:rPr>
              <a:t>- Inventaire technique -</a:t>
            </a:r>
            <a:endParaRPr lang="fr-FR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Pat_Tech!$B$337</c:f>
              <c:strCache>
                <c:ptCount val="1"/>
                <c:pt idx="0">
                  <c:v>Nombre transformateurs ≥ 40 ans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Pat_Tech!$C$353:$G$353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Pat_Tech!$C$337:$G$337</c:f>
              <c:numCache>
                <c:formatCode>#,##0</c:formatCode>
                <c:ptCount val="5"/>
                <c:pt idx="0">
                  <c:v>31</c:v>
                </c:pt>
                <c:pt idx="1">
                  <c:v>42</c:v>
                </c:pt>
                <c:pt idx="2">
                  <c:v>68</c:v>
                </c:pt>
                <c:pt idx="3">
                  <c:v>86</c:v>
                </c:pt>
                <c:pt idx="4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8-4F77-9C46-0B19826AA7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20938112"/>
        <c:axId val="1392856800"/>
      </c:barChart>
      <c:lineChart>
        <c:grouping val="standard"/>
        <c:varyColors val="0"/>
        <c:ser>
          <c:idx val="1"/>
          <c:order val="1"/>
          <c:tx>
            <c:strRef>
              <c:f>Pat_Tech!$B$338</c:f>
              <c:strCache>
                <c:ptCount val="1"/>
                <c:pt idx="0">
                  <c:v>% total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-5.4666666666666669E-2"/>
                  <c:y val="-0.1133912948381452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70E-4E9E-A85F-671EEBA131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Pat_Tech!$C$338:$G$338</c:f>
              <c:numCache>
                <c:formatCode>0.0%</c:formatCode>
                <c:ptCount val="5"/>
                <c:pt idx="0">
                  <c:v>7.7000000000000002E-3</c:v>
                </c:pt>
                <c:pt idx="1">
                  <c:v>1.04E-2</c:v>
                </c:pt>
                <c:pt idx="2">
                  <c:v>1.67E-2</c:v>
                </c:pt>
                <c:pt idx="3">
                  <c:v>2.1000000000000001E-2</c:v>
                </c:pt>
                <c:pt idx="4">
                  <c:v>2.8500000000000001E-2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8-4F77-9C46-0B19826AA7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5811264"/>
        <c:axId val="1392855552"/>
      </c:lineChart>
      <c:catAx>
        <c:axId val="72093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2856800"/>
        <c:crosses val="autoZero"/>
        <c:auto val="1"/>
        <c:lblAlgn val="ctr"/>
        <c:lblOffset val="100"/>
        <c:noMultiLvlLbl val="0"/>
      </c:catAx>
      <c:valAx>
        <c:axId val="1392856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0938112"/>
        <c:crosses val="autoZero"/>
        <c:crossBetween val="between"/>
      </c:valAx>
      <c:valAx>
        <c:axId val="139285555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5811264"/>
        <c:crosses val="max"/>
        <c:crossBetween val="between"/>
      </c:valAx>
      <c:catAx>
        <c:axId val="1395811264"/>
        <c:scaling>
          <c:orientation val="minMax"/>
        </c:scaling>
        <c:delete val="1"/>
        <c:axPos val="b"/>
        <c:majorTickMark val="out"/>
        <c:minorTickMark val="none"/>
        <c:tickLblPos val="nextTo"/>
        <c:crossAx val="139285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0"/>
              <a:t>Puissance des transformateurs</a:t>
            </a:r>
            <a:r>
              <a:rPr lang="fr-FR" b="0" baseline="0"/>
              <a:t> HTA/BT en service</a:t>
            </a:r>
            <a:endParaRPr lang="fr-FR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385527153498155"/>
          <c:y val="0.29348133775541668"/>
          <c:w val="0.82358345046589865"/>
          <c:h val="0.7037345546706375"/>
        </c:manualLayout>
      </c:layout>
      <c:pie3DChart>
        <c:varyColors val="1"/>
        <c:ser>
          <c:idx val="0"/>
          <c:order val="0"/>
          <c:explosion val="15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E62-44E8-9EB7-926CE7308F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E62-44E8-9EB7-926CE7308F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E62-44E8-9EB7-926CE7308F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E62-44E8-9EB7-926CE7308F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E62-44E8-9EB7-926CE7308F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9FC4-4DA9-962A-B9177906B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FC4-4DA9-962A-B9177906B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E62-44E8-9EB7-926CE7308F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9FC4-4DA9-962A-B9177906B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AE62-44E8-9EB7-926CE7308FE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AE62-44E8-9EB7-926CE7308FE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E52-4ADD-B312-52147A06DC8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E52-4ADD-B312-52147A06DC8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EE52-4ADD-B312-52147A06DC8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EE52-4ADD-B312-52147A06DC8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EE52-4ADD-B312-52147A06DC8C}"/>
              </c:ext>
            </c:extLst>
          </c:dPt>
          <c:dLbls>
            <c:dLbl>
              <c:idx val="5"/>
              <c:layout>
                <c:manualLayout>
                  <c:x val="1.8879045950194462E-2"/>
                  <c:y val="-3.64397716761049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C4-4DA9-962A-B9177906BBFD}"/>
                </c:ext>
              </c:extLst>
            </c:dLbl>
            <c:dLbl>
              <c:idx val="6"/>
              <c:layout>
                <c:manualLayout>
                  <c:x val="1.7643863265718492E-2"/>
                  <c:y val="7.775045311313163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C4-4DA9-962A-B9177906BBFD}"/>
                </c:ext>
              </c:extLst>
            </c:dLbl>
            <c:dLbl>
              <c:idx val="8"/>
              <c:layout>
                <c:manualLayout>
                  <c:x val="-2.3054044395174542E-2"/>
                  <c:y val="3.3234814129609156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C4-4DA9-962A-B9177906BB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Pat_Tech!$B$354:$B$369</c:f>
              <c:numCache>
                <c:formatCode>General</c:formatCode>
                <c:ptCount val="16"/>
                <c:pt idx="0">
                  <c:v>1250</c:v>
                </c:pt>
                <c:pt idx="1">
                  <c:v>1000</c:v>
                </c:pt>
                <c:pt idx="2">
                  <c:v>800</c:v>
                </c:pt>
                <c:pt idx="3">
                  <c:v>630</c:v>
                </c:pt>
                <c:pt idx="4">
                  <c:v>400</c:v>
                </c:pt>
                <c:pt idx="5">
                  <c:v>315</c:v>
                </c:pt>
                <c:pt idx="6">
                  <c:v>250</c:v>
                </c:pt>
                <c:pt idx="7">
                  <c:v>200</c:v>
                </c:pt>
                <c:pt idx="8">
                  <c:v>160</c:v>
                </c:pt>
                <c:pt idx="9">
                  <c:v>100</c:v>
                </c:pt>
                <c:pt idx="10">
                  <c:v>63</c:v>
                </c:pt>
                <c:pt idx="11">
                  <c:v>51</c:v>
                </c:pt>
                <c:pt idx="12">
                  <c:v>50</c:v>
                </c:pt>
                <c:pt idx="13">
                  <c:v>40</c:v>
                </c:pt>
                <c:pt idx="14">
                  <c:v>25</c:v>
                </c:pt>
                <c:pt idx="15">
                  <c:v>16</c:v>
                </c:pt>
              </c:numCache>
            </c:numRef>
          </c:cat>
          <c:val>
            <c:numRef>
              <c:f>Pat_Tech!$G$354:$G$369</c:f>
              <c:numCache>
                <c:formatCode>#,##0</c:formatCode>
                <c:ptCount val="16"/>
                <c:pt idx="0">
                  <c:v>0</c:v>
                </c:pt>
                <c:pt idx="1">
                  <c:v>52</c:v>
                </c:pt>
                <c:pt idx="2">
                  <c:v>0</c:v>
                </c:pt>
                <c:pt idx="3">
                  <c:v>323</c:v>
                </c:pt>
                <c:pt idx="4">
                  <c:v>672</c:v>
                </c:pt>
                <c:pt idx="5">
                  <c:v>0</c:v>
                </c:pt>
                <c:pt idx="6">
                  <c:v>1026</c:v>
                </c:pt>
                <c:pt idx="7">
                  <c:v>0</c:v>
                </c:pt>
                <c:pt idx="8">
                  <c:v>817</c:v>
                </c:pt>
                <c:pt idx="9">
                  <c:v>849</c:v>
                </c:pt>
                <c:pt idx="10">
                  <c:v>0</c:v>
                </c:pt>
                <c:pt idx="11">
                  <c:v>0</c:v>
                </c:pt>
                <c:pt idx="12">
                  <c:v>405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4-4DA9-962A-B9177906BBF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Nombre de transformateurs en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Nombre de transformateurs en service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Pat_Tech!$C$353:$G$353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Pat_Tech!$C$370:$G$370</c:f>
              <c:numCache>
                <c:formatCode>#,##0</c:formatCode>
                <c:ptCount val="5"/>
                <c:pt idx="0">
                  <c:v>4029</c:v>
                </c:pt>
                <c:pt idx="1">
                  <c:v>4045</c:v>
                </c:pt>
                <c:pt idx="2">
                  <c:v>4067</c:v>
                </c:pt>
                <c:pt idx="3">
                  <c:v>4099</c:v>
                </c:pt>
                <c:pt idx="4">
                  <c:v>4144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4-4800-BA5B-F92B91C203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7"/>
        <c:axId val="26278271"/>
        <c:axId val="18621503"/>
      </c:barChart>
      <c:catAx>
        <c:axId val="262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621503"/>
        <c:crosses val="autoZero"/>
        <c:auto val="1"/>
        <c:lblAlgn val="ctr"/>
        <c:lblOffset val="100"/>
        <c:noMultiLvlLbl val="0"/>
      </c:catAx>
      <c:valAx>
        <c:axId val="186215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27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Opérations de maintenance lourde</a:t>
            </a:r>
            <a:r>
              <a:rPr lang="fr-FR" sz="1100" b="1" baseline="0"/>
              <a:t> RP-PDV réalisées sur les réseaux HTA </a:t>
            </a:r>
          </a:p>
          <a:p>
            <a:pPr>
              <a:defRPr sz="1100" b="1"/>
            </a:pPr>
            <a:r>
              <a:rPr lang="fr-FR" sz="1100" b="1" baseline="0"/>
              <a:t>- valeurs annuelles</a:t>
            </a:r>
            <a:endParaRPr lang="fr-FR" sz="1100" b="1"/>
          </a:p>
        </c:rich>
      </c:tx>
      <c:layout>
        <c:manualLayout>
          <c:xMode val="edge"/>
          <c:yMode val="edge"/>
          <c:x val="0.16917095788858219"/>
          <c:y val="2.5206356368260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Pat_Tech!$B$125</c:f>
              <c:strCache>
                <c:ptCount val="1"/>
                <c:pt idx="0">
                  <c:v>Réseaux traités (valeur annuelle)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numFmt formatCode="#\ ##0&quot; km&quot;;\-#\ ##0&quot; km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Pat_Tech!$C$124:$N$124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Pat_Tech!$C$125:$N$125</c:f>
              <c:numCache>
                <c:formatCode>#\ ##0.0</c:formatCode>
                <c:ptCount val="12"/>
                <c:pt idx="0">
                  <c:v>0</c:v>
                </c:pt>
                <c:pt idx="1">
                  <c:v>12.95</c:v>
                </c:pt>
                <c:pt idx="2">
                  <c:v>7.41</c:v>
                </c:pt>
                <c:pt idx="3">
                  <c:v>8.61</c:v>
                </c:pt>
                <c:pt idx="4">
                  <c:v>20.63</c:v>
                </c:pt>
                <c:pt idx="5">
                  <c:v>13.09</c:v>
                </c:pt>
                <c:pt idx="6">
                  <c:v>18.34</c:v>
                </c:pt>
                <c:pt idx="7">
                  <c:v>34.090000000000003</c:v>
                </c:pt>
                <c:pt idx="8">
                  <c:v>32.19</c:v>
                </c:pt>
                <c:pt idx="9">
                  <c:v>39.86</c:v>
                </c:pt>
                <c:pt idx="10">
                  <c:v>23.68</c:v>
                </c:pt>
                <c:pt idx="11">
                  <c:v>41.59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D-4EA6-B9D0-25CA0A0991A4}"/>
            </c:ext>
          </c:extLst>
        </c:ser>
        <c:ser>
          <c:idx val="1"/>
          <c:order val="1"/>
          <c:tx>
            <c:strRef>
              <c:f>Pat_Tech!$B$126</c:f>
              <c:strCache>
                <c:ptCount val="1"/>
                <c:pt idx="0">
                  <c:v>Réseaux fiabilisés (valeur annuelle)</c:v>
                </c:pt>
              </c:strCache>
            </c:strRef>
          </c:tx>
          <c:spPr>
            <a:solidFill>
              <a:srgbClr val="BC8FDD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Pat_Tech!$C$124:$N$124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Pat_Tech!$C$126:$N$126</c:f>
              <c:numCache>
                <c:formatCode>#\ ##0.0</c:formatCode>
                <c:ptCount val="12"/>
                <c:pt idx="0">
                  <c:v>0</c:v>
                </c:pt>
                <c:pt idx="1">
                  <c:v>0.79</c:v>
                </c:pt>
                <c:pt idx="2">
                  <c:v>0.23</c:v>
                </c:pt>
                <c:pt idx="3">
                  <c:v>10.7</c:v>
                </c:pt>
                <c:pt idx="4">
                  <c:v>11.4</c:v>
                </c:pt>
                <c:pt idx="5">
                  <c:v>2.86</c:v>
                </c:pt>
                <c:pt idx="6">
                  <c:v>6.2</c:v>
                </c:pt>
                <c:pt idx="7">
                  <c:v>3.31</c:v>
                </c:pt>
                <c:pt idx="8">
                  <c:v>0.4</c:v>
                </c:pt>
                <c:pt idx="9">
                  <c:v>2.5499999999999998</c:v>
                </c:pt>
                <c:pt idx="10">
                  <c:v>2.2200000000000002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D-4EA6-B9D0-25CA0A0991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26503695"/>
        <c:axId val="650109263"/>
      </c:barChart>
      <c:catAx>
        <c:axId val="15265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0109263"/>
        <c:crosses val="autoZero"/>
        <c:auto val="1"/>
        <c:lblAlgn val="ctr"/>
        <c:lblOffset val="100"/>
        <c:noMultiLvlLbl val="0"/>
      </c:catAx>
      <c:valAx>
        <c:axId val="650109263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65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Opérations de maintenance lourde RP-PDV réalisées sur les réseaux HTA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fr-FR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- valeurs cumulées</a:t>
            </a:r>
          </a:p>
        </c:rich>
      </c:tx>
      <c:layout>
        <c:manualLayout>
          <c:xMode val="edge"/>
          <c:yMode val="edge"/>
          <c:x val="0.14210271035365654"/>
          <c:y val="2.28555591648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1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6261126082108716E-2"/>
          <c:y val="0.24235267298357235"/>
          <c:w val="0.91373887391789133"/>
          <c:h val="0.57641840117837972"/>
        </c:manualLayout>
      </c:layout>
      <c:lineChart>
        <c:grouping val="standard"/>
        <c:varyColors val="0"/>
        <c:ser>
          <c:idx val="0"/>
          <c:order val="0"/>
          <c:tx>
            <c:strRef>
              <c:f>Pat_Tech!$B$151</c:f>
              <c:strCache>
                <c:ptCount val="1"/>
                <c:pt idx="0">
                  <c:v>Réseaux traités (cumul)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8890506987240729E-2"/>
                  <c:y val="-6.75814008245870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897-4E6B-BAED-D5B776419AD1}"/>
                </c:ext>
              </c:extLst>
            </c:dLbl>
            <c:numFmt formatCode="#\ ##0&quot; km&quot;;\-#\ ##0&quot; km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58267E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Pat_Tech!$C$150:$N$150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Pat_Tech!$C$151:$N$151</c:f>
              <c:numCache>
                <c:formatCode>#\ ##0.0</c:formatCode>
                <c:ptCount val="12"/>
                <c:pt idx="0">
                  <c:v>0</c:v>
                </c:pt>
                <c:pt idx="1">
                  <c:v>12.95</c:v>
                </c:pt>
                <c:pt idx="2">
                  <c:v>20.36</c:v>
                </c:pt>
                <c:pt idx="3">
                  <c:v>28.97</c:v>
                </c:pt>
                <c:pt idx="4">
                  <c:v>49.599999999999994</c:v>
                </c:pt>
                <c:pt idx="5">
                  <c:v>62.69</c:v>
                </c:pt>
                <c:pt idx="6">
                  <c:v>81.03</c:v>
                </c:pt>
                <c:pt idx="7">
                  <c:v>115.12</c:v>
                </c:pt>
                <c:pt idx="8">
                  <c:v>147.31</c:v>
                </c:pt>
                <c:pt idx="9">
                  <c:v>187.17000000000002</c:v>
                </c:pt>
                <c:pt idx="10">
                  <c:v>210.85000000000002</c:v>
                </c:pt>
                <c:pt idx="11">
                  <c:v>252.44000000000003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8-4A77-82F1-2F533E40A79E}"/>
            </c:ext>
          </c:extLst>
        </c:ser>
        <c:ser>
          <c:idx val="1"/>
          <c:order val="1"/>
          <c:tx>
            <c:strRef>
              <c:f>Pat_Tech!$B$152</c:f>
              <c:strCache>
                <c:ptCount val="1"/>
                <c:pt idx="0">
                  <c:v>Réseaux fiabilisés (cumul)</c:v>
                </c:pt>
              </c:strCache>
            </c:strRef>
          </c:tx>
          <c:spPr>
            <a:ln w="28575" cap="rnd">
              <a:solidFill>
                <a:srgbClr val="BC8FDD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026993601284769E-3"/>
                  <c:y val="-2.395325259344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97-4E6B-BAED-D5B776419AD1}"/>
                </c:ext>
              </c:extLst>
            </c:dLbl>
            <c:numFmt formatCode="#\ ##0&quot; km&quot;;\-#\ ##0&quot; km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BC8FDD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Pat_Tech!$C$150:$N$150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Pat_Tech!$C$152:$N$152</c:f>
              <c:numCache>
                <c:formatCode>#\ ##0.0</c:formatCode>
                <c:ptCount val="12"/>
                <c:pt idx="0">
                  <c:v>0</c:v>
                </c:pt>
                <c:pt idx="1">
                  <c:v>0.79</c:v>
                </c:pt>
                <c:pt idx="2">
                  <c:v>1.02</c:v>
                </c:pt>
                <c:pt idx="3">
                  <c:v>11.719999999999999</c:v>
                </c:pt>
                <c:pt idx="4">
                  <c:v>23.119999999999997</c:v>
                </c:pt>
                <c:pt idx="5">
                  <c:v>25.979999999999997</c:v>
                </c:pt>
                <c:pt idx="6">
                  <c:v>32.18</c:v>
                </c:pt>
                <c:pt idx="7">
                  <c:v>35.49</c:v>
                </c:pt>
                <c:pt idx="8">
                  <c:v>35.89</c:v>
                </c:pt>
                <c:pt idx="9">
                  <c:v>38.44</c:v>
                </c:pt>
                <c:pt idx="10">
                  <c:v>40.659999999999997</c:v>
                </c:pt>
                <c:pt idx="11">
                  <c:v>40.659999999999997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8-4A77-82F1-2F533E40A79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8140047"/>
        <c:axId val="638342047"/>
      </c:lineChart>
      <c:catAx>
        <c:axId val="638140047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8342047"/>
        <c:crosses val="autoZero"/>
        <c:auto val="1"/>
        <c:lblAlgn val="ctr"/>
        <c:lblOffset val="100"/>
        <c:noMultiLvlLbl val="0"/>
      </c:catAx>
      <c:valAx>
        <c:axId val="63834204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814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Age moyen des réseaux BT par technologie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Pat_Tech!$B$689</c:f>
              <c:strCache>
                <c:ptCount val="1"/>
                <c:pt idx="0">
                  <c:v>Aérien 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Pat_Tech!$C$688:$G$688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Pat_Tech!$C$689:$G$689</c:f>
              <c:numCache>
                <c:formatCode>#\ ##0.0</c:formatCode>
                <c:ptCount val="5"/>
                <c:pt idx="0">
                  <c:v>53.62</c:v>
                </c:pt>
                <c:pt idx="1">
                  <c:v>54.69</c:v>
                </c:pt>
                <c:pt idx="2">
                  <c:v>55.62</c:v>
                </c:pt>
                <c:pt idx="3">
                  <c:v>56.57</c:v>
                </c:pt>
                <c:pt idx="4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3-45A8-9A39-687B925363D1}"/>
            </c:ext>
          </c:extLst>
        </c:ser>
        <c:ser>
          <c:idx val="1"/>
          <c:order val="1"/>
          <c:tx>
            <c:strRef>
              <c:f>Pat_Tech!$B$684</c:f>
              <c:strCache>
                <c:ptCount val="1"/>
                <c:pt idx="0">
                  <c:v>Dont aérien nu faibles sections - inventaire technique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Pat_Tech!$C$688:$G$688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Pat_Tech!$C$684:$G$684</c:f>
              <c:numCache>
                <c:formatCode>#\ ##0.0</c:formatCode>
                <c:ptCount val="5"/>
                <c:pt idx="0">
                  <c:v>38.99</c:v>
                </c:pt>
                <c:pt idx="1">
                  <c:v>39.880000000000003</c:v>
                </c:pt>
                <c:pt idx="2">
                  <c:v>41.54</c:v>
                </c:pt>
                <c:pt idx="3">
                  <c:v>42.02</c:v>
                </c:pt>
                <c:pt idx="4">
                  <c:v>43.12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3-45A8-9A39-687B925363D1}"/>
            </c:ext>
          </c:extLst>
        </c:ser>
        <c:ser>
          <c:idx val="2"/>
          <c:order val="2"/>
          <c:tx>
            <c:strRef>
              <c:f>Pat_Tech!$B$690</c:f>
              <c:strCache>
                <c:ptCount val="1"/>
                <c:pt idx="0">
                  <c:v>Aérien torsadé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Pat_Tech!$C$688:$G$688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Pat_Tech!$C$690:$G$690</c:f>
              <c:numCache>
                <c:formatCode>#\ ##0.0</c:formatCode>
                <c:ptCount val="5"/>
                <c:pt idx="0">
                  <c:v>26.94</c:v>
                </c:pt>
                <c:pt idx="1">
                  <c:v>27.76</c:v>
                </c:pt>
                <c:pt idx="2">
                  <c:v>28.53</c:v>
                </c:pt>
                <c:pt idx="3">
                  <c:v>29.28</c:v>
                </c:pt>
                <c:pt idx="4">
                  <c:v>30.04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3-45A8-9A39-687B925363D1}"/>
            </c:ext>
          </c:extLst>
        </c:ser>
        <c:ser>
          <c:idx val="3"/>
          <c:order val="3"/>
          <c:tx>
            <c:strRef>
              <c:f>Pat_Tech!$B$691</c:f>
              <c:strCache>
                <c:ptCount val="1"/>
                <c:pt idx="0">
                  <c:v>Souterrain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Pat_Tech!$C$688:$G$688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Pat_Tech!$C$691:$G$691</c:f>
              <c:numCache>
                <c:formatCode>#\ ##0.0</c:formatCode>
                <c:ptCount val="5"/>
                <c:pt idx="0">
                  <c:v>18.78</c:v>
                </c:pt>
                <c:pt idx="1">
                  <c:v>19.37</c:v>
                </c:pt>
                <c:pt idx="2">
                  <c:v>19.88</c:v>
                </c:pt>
                <c:pt idx="3">
                  <c:v>20.47</c:v>
                </c:pt>
                <c:pt idx="4">
                  <c:v>20.94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3-45A8-9A39-687B925363D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30734959"/>
        <c:axId val="2114550703"/>
      </c:lineChart>
      <c:catAx>
        <c:axId val="63073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14550703"/>
        <c:crosses val="autoZero"/>
        <c:auto val="1"/>
        <c:lblAlgn val="ctr"/>
        <c:lblOffset val="100"/>
        <c:noMultiLvlLbl val="0"/>
      </c:catAx>
      <c:valAx>
        <c:axId val="211455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73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Pyramide des âges des réseaux HTA (km)</a:t>
            </a:r>
            <a:r>
              <a:rPr lang="fr-FR" sz="1200" b="1" baseline="0"/>
              <a:t> </a:t>
            </a:r>
            <a:r>
              <a:rPr lang="fr-FR" sz="1200" b="1"/>
              <a:t>-</a:t>
            </a:r>
            <a:r>
              <a:rPr lang="fr-FR" sz="1200" b="1" baseline="0"/>
              <a:t> Inv. Tech.</a:t>
            </a:r>
          </a:p>
        </c:rich>
      </c:tx>
      <c:layout>
        <c:manualLayout>
          <c:xMode val="edge"/>
          <c:yMode val="edge"/>
          <c:x val="0.29670261324272518"/>
          <c:y val="3.3441897242717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Pat_Tech!$B$188:$B$194</c:f>
              <c:strCache>
                <c:ptCount val="7"/>
                <c:pt idx="0">
                  <c:v>&lt; 10 ans</c:v>
                </c:pt>
                <c:pt idx="1">
                  <c:v>de 10 à 20 ans</c:v>
                </c:pt>
                <c:pt idx="2">
                  <c:v>de 20 à 30 ans</c:v>
                </c:pt>
                <c:pt idx="3">
                  <c:v>de 30 à 40 ans</c:v>
                </c:pt>
                <c:pt idx="4">
                  <c:v>de 40 à 50 ans</c:v>
                </c:pt>
                <c:pt idx="5">
                  <c:v>de 50 à 60 ans</c:v>
                </c:pt>
                <c:pt idx="6">
                  <c:v>≥ 60 ans</c:v>
                </c:pt>
              </c:strCache>
            </c:strRef>
          </c:cat>
          <c:val>
            <c:numRef>
              <c:f>Pat_Tech!$K$188:$K$194</c:f>
              <c:numCache>
                <c:formatCode>#\ ##0.0</c:formatCode>
                <c:ptCount val="7"/>
                <c:pt idx="0">
                  <c:v>846.8</c:v>
                </c:pt>
                <c:pt idx="1">
                  <c:v>755.92</c:v>
                </c:pt>
                <c:pt idx="2">
                  <c:v>783.12</c:v>
                </c:pt>
                <c:pt idx="3">
                  <c:v>1212.32</c:v>
                </c:pt>
                <c:pt idx="4">
                  <c:v>515.38</c:v>
                </c:pt>
                <c:pt idx="5">
                  <c:v>616.16999999999996</c:v>
                </c:pt>
                <c:pt idx="6">
                  <c:v>197.03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4-4CA0-9711-0860BAC7A3FC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614831232"/>
        <c:axId val="961015680"/>
      </c:barChart>
      <c:catAx>
        <c:axId val="614831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1015680"/>
        <c:crosses val="autoZero"/>
        <c:auto val="1"/>
        <c:lblAlgn val="ctr"/>
        <c:lblOffset val="100"/>
        <c:noMultiLvlLbl val="0"/>
      </c:catAx>
      <c:valAx>
        <c:axId val="961015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crossAx val="61483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Nombre de postes HTA/BT par tranche</a:t>
            </a:r>
            <a:r>
              <a:rPr lang="fr-FR" sz="1200" b="1" baseline="0"/>
              <a:t> d'âge - Inv. Tech. -</a:t>
            </a:r>
            <a:endParaRPr lang="fr-FR" sz="1200" b="1"/>
          </a:p>
        </c:rich>
      </c:tx>
      <c:layout>
        <c:manualLayout>
          <c:xMode val="edge"/>
          <c:yMode val="edge"/>
          <c:x val="0.24689989346260313"/>
          <c:y val="3.33822836257110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Postes HTA/BT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Pat_Tech!$B$199:$B$205</c:f>
              <c:strCache>
                <c:ptCount val="7"/>
                <c:pt idx="0">
                  <c:v>&lt; 10 ans</c:v>
                </c:pt>
                <c:pt idx="1">
                  <c:v>de 10 à 20 ans</c:v>
                </c:pt>
                <c:pt idx="2">
                  <c:v>de 20 à 30 ans</c:v>
                </c:pt>
                <c:pt idx="3">
                  <c:v>de 30 à 40 ans</c:v>
                </c:pt>
                <c:pt idx="4">
                  <c:v>de 40 à 50 ans</c:v>
                </c:pt>
                <c:pt idx="5">
                  <c:v>de 50 à 60 ans</c:v>
                </c:pt>
                <c:pt idx="6">
                  <c:v>≥ 60 ans</c:v>
                </c:pt>
              </c:strCache>
            </c:strRef>
          </c:cat>
          <c:val>
            <c:numRef>
              <c:f>Pat_Tech!$K$320:$K$326</c:f>
              <c:numCache>
                <c:formatCode>#,##0</c:formatCode>
                <c:ptCount val="7"/>
                <c:pt idx="0">
                  <c:v>441</c:v>
                </c:pt>
                <c:pt idx="1">
                  <c:v>464</c:v>
                </c:pt>
                <c:pt idx="2">
                  <c:v>702</c:v>
                </c:pt>
                <c:pt idx="3">
                  <c:v>989</c:v>
                </c:pt>
                <c:pt idx="4">
                  <c:v>804</c:v>
                </c:pt>
                <c:pt idx="5">
                  <c:v>634</c:v>
                </c:pt>
                <c:pt idx="6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2-4405-82A0-51124BE5500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614831232"/>
        <c:axId val="961015680"/>
      </c:barChart>
      <c:catAx>
        <c:axId val="614831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1015680"/>
        <c:crosses val="autoZero"/>
        <c:auto val="1"/>
        <c:lblAlgn val="ctr"/>
        <c:lblOffset val="100"/>
        <c:noMultiLvlLbl val="0"/>
      </c:catAx>
      <c:valAx>
        <c:axId val="9610156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61483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baseline="0">
                <a:effectLst/>
              </a:rPr>
              <a:t>Transformateur ancienne génération (400V)</a:t>
            </a:r>
            <a:endParaRPr lang="fr-FR" sz="1100">
              <a:effectLst/>
            </a:endParaRPr>
          </a:p>
          <a:p>
            <a:pPr>
              <a:defRPr/>
            </a:pPr>
            <a:r>
              <a:rPr lang="fr-FR" sz="1400" b="0" i="0" baseline="0">
                <a:effectLst/>
              </a:rPr>
              <a:t>- Inventaire technique -</a:t>
            </a:r>
            <a:endParaRPr lang="fr-FR" sz="1100"/>
          </a:p>
        </c:rich>
      </c:tx>
      <c:layout>
        <c:manualLayout>
          <c:xMode val="edge"/>
          <c:yMode val="edge"/>
          <c:x val="0.20476047432780226"/>
          <c:y val="3.5674302049290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6848844999685551E-2"/>
          <c:y val="0.23771404034253493"/>
          <c:w val="0.84343425649618975"/>
          <c:h val="0.55186842040427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Pat_Tech!$B$331</c:f>
              <c:strCache>
                <c:ptCount val="1"/>
                <c:pt idx="0">
                  <c:v>Dont ancienne génération 400V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Pat_Tech!$C$353:$G$353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Pat_Tech!$C$331:$G$331</c:f>
              <c:numCache>
                <c:formatCode>#,##0</c:formatCode>
                <c:ptCount val="5"/>
                <c:pt idx="0">
                  <c:v>224</c:v>
                </c:pt>
                <c:pt idx="1">
                  <c:v>224</c:v>
                </c:pt>
                <c:pt idx="2">
                  <c:v>221</c:v>
                </c:pt>
                <c:pt idx="3">
                  <c:v>220</c:v>
                </c:pt>
                <c:pt idx="4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E-427B-9A58-7BFF9098E3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20938112"/>
        <c:axId val="1392856800"/>
      </c:barChart>
      <c:lineChart>
        <c:grouping val="standard"/>
        <c:varyColors val="0"/>
        <c:ser>
          <c:idx val="1"/>
          <c:order val="1"/>
          <c:tx>
            <c:strRef>
              <c:f>Pat_Tech!$B$332</c:f>
              <c:strCache>
                <c:ptCount val="1"/>
                <c:pt idx="0">
                  <c:v>Dont transformateurs utilisant l'ancien palier 15 kV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-4.32639458773489E-2"/>
                  <c:y val="-0.1287942179540678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D39-4344-8FA0-A6719BA228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Pat_Tech!$C$332:$G$332</c:f>
              <c:numCache>
                <c:formatCode>#,##0</c:formatCode>
                <c:ptCount val="5"/>
                <c:pt idx="0">
                  <c:v>137</c:v>
                </c:pt>
                <c:pt idx="1">
                  <c:v>142</c:v>
                </c:pt>
                <c:pt idx="2">
                  <c:v>141</c:v>
                </c:pt>
                <c:pt idx="3">
                  <c:v>141</c:v>
                </c:pt>
                <c:pt idx="4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EE-427B-9A58-7BFF9098E3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5811264"/>
        <c:axId val="1392855552"/>
      </c:lineChart>
      <c:catAx>
        <c:axId val="72093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2856800"/>
        <c:crosses val="autoZero"/>
        <c:auto val="1"/>
        <c:lblAlgn val="ctr"/>
        <c:lblOffset val="100"/>
        <c:noMultiLvlLbl val="0"/>
      </c:catAx>
      <c:valAx>
        <c:axId val="1392856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0938112"/>
        <c:crosses val="autoZero"/>
        <c:crossBetween val="between"/>
      </c:valAx>
      <c:valAx>
        <c:axId val="1392855552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5811264"/>
        <c:crosses val="max"/>
        <c:crossBetween val="between"/>
      </c:valAx>
      <c:catAx>
        <c:axId val="1395811264"/>
        <c:scaling>
          <c:orientation val="minMax"/>
        </c:scaling>
        <c:delete val="1"/>
        <c:axPos val="b"/>
        <c:majorTickMark val="out"/>
        <c:minorTickMark val="none"/>
        <c:tickLblPos val="nextTo"/>
        <c:crossAx val="1392855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effectLst/>
              </a:rPr>
              <a:t>Technologies</a:t>
            </a:r>
            <a:r>
              <a:rPr lang="fr-FR" sz="1100" b="1"/>
              <a:t> BT incidentogènes</a:t>
            </a:r>
            <a:r>
              <a:rPr lang="fr-FR" sz="1100" b="1" baseline="0"/>
              <a:t> (km) </a:t>
            </a:r>
            <a:r>
              <a:rPr lang="fr-FR" sz="1100" b="1"/>
              <a:t>- Régime</a:t>
            </a:r>
            <a:r>
              <a:rPr lang="fr-FR" sz="1100" b="1" baseline="0"/>
              <a:t> </a:t>
            </a:r>
            <a:r>
              <a:rPr lang="fr-FR" sz="1100" b="1"/>
              <a:t>Rural</a:t>
            </a:r>
          </a:p>
        </c:rich>
      </c:tx>
      <c:layout>
        <c:manualLayout>
          <c:xMode val="edge"/>
          <c:yMode val="edge"/>
          <c:x val="0.32226544556628778"/>
          <c:y val="2.8794986498098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23988968629254"/>
          <c:y val="0.20334246990977545"/>
          <c:w val="0.8307778440871183"/>
          <c:h val="0.565044338641517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Pat_Tech!$B$532</c:f>
              <c:strCache>
                <c:ptCount val="1"/>
                <c:pt idx="0">
                  <c:v>Faibles sections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Pat_Tech!$C$518:$G$518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Pat_Tech!$C$532:$G$532</c:f>
              <c:numCache>
                <c:formatCode>0.0</c:formatCode>
                <c:ptCount val="5"/>
                <c:pt idx="0">
                  <c:v>30.71</c:v>
                </c:pt>
                <c:pt idx="1">
                  <c:v>28.21</c:v>
                </c:pt>
                <c:pt idx="2">
                  <c:v>24.89</c:v>
                </c:pt>
                <c:pt idx="3">
                  <c:v>24.14</c:v>
                </c:pt>
                <c:pt idx="4">
                  <c:v>23.47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8-49B6-81BE-9C42C388142C}"/>
            </c:ext>
          </c:extLst>
        </c:ser>
        <c:ser>
          <c:idx val="2"/>
          <c:order val="1"/>
          <c:tx>
            <c:strRef>
              <c:f>Pat_Tech!$B$535</c:f>
              <c:strCache>
                <c:ptCount val="1"/>
                <c:pt idx="0">
                  <c:v>Dont souterrain câble à isolation neutre périphérique (NP)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Pat_Tech!$C$518:$G$518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Pat_Tech!$C$535:$G$535</c:f>
              <c:numCache>
                <c:formatCode>#\ ##0.0</c:formatCode>
                <c:ptCount val="5"/>
                <c:pt idx="0">
                  <c:v>0.68</c:v>
                </c:pt>
                <c:pt idx="1">
                  <c:v>0.68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098-49B6-81BE-9C42C3881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22879"/>
        <c:axId val="403609823"/>
        <c:extLst/>
      </c:barChart>
      <c:lineChart>
        <c:grouping val="standard"/>
        <c:varyColors val="0"/>
        <c:ser>
          <c:idx val="3"/>
          <c:order val="2"/>
          <c:tx>
            <c:strRef>
              <c:f>Pat_Tech!$B$530</c:f>
              <c:strCache>
                <c:ptCount val="1"/>
                <c:pt idx="0">
                  <c:v>Part des linéaires à techn. incidentogènes / linéaire BT rural (%)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cat>
          <c:val>
            <c:numRef>
              <c:f>Pat_Tech!$C$530:$G$530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5.104092617040723E-2</c:v>
                </c:pt>
                <c:pt idx="3">
                  <c:v>4.9361509042587674E-2</c:v>
                </c:pt>
                <c:pt idx="4">
                  <c:v>4.7972392071157111E-2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98-49B6-81BE-9C42C38814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1526560"/>
        <c:axId val="178630767"/>
        <c:extLst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178630767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1526560"/>
        <c:crosses val="max"/>
        <c:crossBetween val="between"/>
      </c:valAx>
      <c:catAx>
        <c:axId val="43152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6307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49922459853877E-2"/>
          <c:y val="0.87375958916243956"/>
          <c:w val="0.9637036773492782"/>
          <c:h val="0.1118600977054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Pyramide</a:t>
            </a:r>
            <a:r>
              <a:rPr lang="fr-FR" sz="1200" b="1" baseline="0"/>
              <a:t> des âges des transformateurs (nb)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Pat_Tech!$B$387</c:f>
              <c:strCache>
                <c:ptCount val="1"/>
                <c:pt idx="0">
                  <c:v>Transformateur 410V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Pat_Tech!$C$386:$BY$386</c:f>
              <c:numCache>
                <c:formatCode>General</c:formatCode>
                <c:ptCount val="75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</c:numCache>
            </c:numRef>
          </c:cat>
          <c:val>
            <c:numRef>
              <c:f>Pat_Tech!$C$387:$BY$387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  <c:pt idx="42">
                  <c:v>40</c:v>
                </c:pt>
                <c:pt idx="43">
                  <c:v>41</c:v>
                </c:pt>
                <c:pt idx="44">
                  <c:v>43</c:v>
                </c:pt>
                <c:pt idx="45">
                  <c:v>27</c:v>
                </c:pt>
                <c:pt idx="46">
                  <c:v>51</c:v>
                </c:pt>
                <c:pt idx="47">
                  <c:v>72</c:v>
                </c:pt>
                <c:pt idx="48">
                  <c:v>149</c:v>
                </c:pt>
                <c:pt idx="49">
                  <c:v>94</c:v>
                </c:pt>
                <c:pt idx="50">
                  <c:v>191</c:v>
                </c:pt>
                <c:pt idx="51">
                  <c:v>215</c:v>
                </c:pt>
                <c:pt idx="52">
                  <c:v>298</c:v>
                </c:pt>
                <c:pt idx="53">
                  <c:v>380</c:v>
                </c:pt>
                <c:pt idx="54">
                  <c:v>313</c:v>
                </c:pt>
                <c:pt idx="55">
                  <c:v>452</c:v>
                </c:pt>
                <c:pt idx="56">
                  <c:v>294</c:v>
                </c:pt>
                <c:pt idx="57">
                  <c:v>71</c:v>
                </c:pt>
                <c:pt idx="58">
                  <c:v>59</c:v>
                </c:pt>
                <c:pt idx="59">
                  <c:v>55</c:v>
                </c:pt>
                <c:pt idx="60">
                  <c:v>61</c:v>
                </c:pt>
                <c:pt idx="61">
                  <c:v>66</c:v>
                </c:pt>
                <c:pt idx="62">
                  <c:v>91</c:v>
                </c:pt>
                <c:pt idx="63">
                  <c:v>67</c:v>
                </c:pt>
                <c:pt idx="64">
                  <c:v>52</c:v>
                </c:pt>
                <c:pt idx="65">
                  <c:v>85</c:v>
                </c:pt>
                <c:pt idx="66">
                  <c:v>94</c:v>
                </c:pt>
                <c:pt idx="67">
                  <c:v>59</c:v>
                </c:pt>
                <c:pt idx="68">
                  <c:v>37</c:v>
                </c:pt>
                <c:pt idx="69">
                  <c:v>38</c:v>
                </c:pt>
                <c:pt idx="70">
                  <c:v>59</c:v>
                </c:pt>
                <c:pt idx="71">
                  <c:v>37</c:v>
                </c:pt>
                <c:pt idx="72">
                  <c:v>36</c:v>
                </c:pt>
                <c:pt idx="73">
                  <c:v>54</c:v>
                </c:pt>
                <c:pt idx="74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B-4ABD-83A7-63D76B307B5E}"/>
            </c:ext>
          </c:extLst>
        </c:ser>
        <c:ser>
          <c:idx val="1"/>
          <c:order val="1"/>
          <c:tx>
            <c:strRef>
              <c:f>Pat_Tech!$B$388</c:f>
              <c:strCache>
                <c:ptCount val="1"/>
                <c:pt idx="0">
                  <c:v>Ancienne génération 400V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Pat_Tech!$C$386:$BY$386</c:f>
              <c:numCache>
                <c:formatCode>General</c:formatCode>
                <c:ptCount val="75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</c:numCache>
            </c:numRef>
          </c:cat>
          <c:val>
            <c:numRef>
              <c:f>Pat_Tech!$C$388:$BY$388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10</c:v>
                </c:pt>
                <c:pt idx="35">
                  <c:v>23</c:v>
                </c:pt>
                <c:pt idx="36">
                  <c:v>17</c:v>
                </c:pt>
                <c:pt idx="37">
                  <c:v>35</c:v>
                </c:pt>
                <c:pt idx="38">
                  <c:v>27</c:v>
                </c:pt>
                <c:pt idx="39">
                  <c:v>20</c:v>
                </c:pt>
                <c:pt idx="40">
                  <c:v>30</c:v>
                </c:pt>
                <c:pt idx="41">
                  <c:v>33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B-4ABD-83A7-63D76B307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618555168"/>
        <c:axId val="618553088"/>
      </c:barChart>
      <c:catAx>
        <c:axId val="6185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8553088"/>
        <c:crosses val="autoZero"/>
        <c:auto val="1"/>
        <c:lblAlgn val="ctr"/>
        <c:lblOffset val="100"/>
        <c:noMultiLvlLbl val="0"/>
      </c:catAx>
      <c:valAx>
        <c:axId val="61855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1855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 (En-têtes)"/>
              </a:rPr>
              <a:t>Typologies du réseau BT par année de mise en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9091224216716349E-2"/>
          <c:y val="0.16276124306362008"/>
          <c:w val="0.94441398809108212"/>
          <c:h val="0.60929154073743041"/>
        </c:manualLayout>
      </c:layout>
      <c:barChart>
        <c:barDir val="col"/>
        <c:grouping val="stacked"/>
        <c:varyColors val="0"/>
        <c:ser>
          <c:idx val="2"/>
          <c:order val="1"/>
          <c:tx>
            <c:strRef>
              <c:f>Pat_Tech!$B$695</c:f>
              <c:strCache>
                <c:ptCount val="1"/>
                <c:pt idx="0">
                  <c:v>Souterrain CPI-NP (y.c. potentiellement)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Pat_Tech!$C$693:$CB$693</c:f>
              <c:numCache>
                <c:formatCode>General</c:formatCode>
                <c:ptCount val="78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Pat_Tech!$C$695:$CB$695</c:f>
              <c:numCache>
                <c:formatCode>#,##0</c:formatCode>
                <c:ptCount val="78"/>
                <c:pt idx="0">
                  <c:v>45.4</c:v>
                </c:pt>
                <c:pt idx="1">
                  <c:v>0.34</c:v>
                </c:pt>
                <c:pt idx="2">
                  <c:v>0</c:v>
                </c:pt>
                <c:pt idx="3">
                  <c:v>0</c:v>
                </c:pt>
                <c:pt idx="4">
                  <c:v>1.17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0.14000000000000001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0.39</c:v>
                </c:pt>
                <c:pt idx="14">
                  <c:v>0</c:v>
                </c:pt>
                <c:pt idx="15">
                  <c:v>0</c:v>
                </c:pt>
                <c:pt idx="16">
                  <c:v>0.09</c:v>
                </c:pt>
                <c:pt idx="17">
                  <c:v>0</c:v>
                </c:pt>
                <c:pt idx="18">
                  <c:v>0.25</c:v>
                </c:pt>
                <c:pt idx="19">
                  <c:v>0</c:v>
                </c:pt>
                <c:pt idx="20">
                  <c:v>0.64</c:v>
                </c:pt>
                <c:pt idx="21">
                  <c:v>0</c:v>
                </c:pt>
                <c:pt idx="22">
                  <c:v>0.02</c:v>
                </c:pt>
                <c:pt idx="23">
                  <c:v>0</c:v>
                </c:pt>
                <c:pt idx="24">
                  <c:v>1.2</c:v>
                </c:pt>
                <c:pt idx="25">
                  <c:v>0.03</c:v>
                </c:pt>
                <c:pt idx="26">
                  <c:v>0</c:v>
                </c:pt>
                <c:pt idx="27">
                  <c:v>0.62</c:v>
                </c:pt>
                <c:pt idx="28">
                  <c:v>0</c:v>
                </c:pt>
                <c:pt idx="29">
                  <c:v>7.0000000000000007E-2</c:v>
                </c:pt>
                <c:pt idx="30">
                  <c:v>0</c:v>
                </c:pt>
                <c:pt idx="31">
                  <c:v>0.01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9-4FC5-84F8-6182B86A22A1}"/>
            </c:ext>
          </c:extLst>
        </c:ser>
        <c:ser>
          <c:idx val="3"/>
          <c:order val="2"/>
          <c:tx>
            <c:strRef>
              <c:f>Pat_Tech!$B$696</c:f>
              <c:strCache>
                <c:ptCount val="1"/>
                <c:pt idx="0">
                  <c:v>Souterrain hors CPI-NP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Pat_Tech!$C$693:$CB$693</c:f>
              <c:numCache>
                <c:formatCode>General</c:formatCode>
                <c:ptCount val="78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Pat_Tech!$C$696:$CB$696</c:f>
              <c:numCache>
                <c:formatCode>#,##0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0.87</c:v>
                </c:pt>
                <c:pt idx="33">
                  <c:v>0.37</c:v>
                </c:pt>
                <c:pt idx="34">
                  <c:v>0.46</c:v>
                </c:pt>
                <c:pt idx="35">
                  <c:v>0.14000000000000001</c:v>
                </c:pt>
                <c:pt idx="36">
                  <c:v>0.26</c:v>
                </c:pt>
                <c:pt idx="37">
                  <c:v>1.1200000000000001</c:v>
                </c:pt>
                <c:pt idx="38">
                  <c:v>2.5499999999999998</c:v>
                </c:pt>
                <c:pt idx="39">
                  <c:v>9.33</c:v>
                </c:pt>
                <c:pt idx="40">
                  <c:v>50</c:v>
                </c:pt>
                <c:pt idx="41">
                  <c:v>90.65</c:v>
                </c:pt>
                <c:pt idx="42">
                  <c:v>0.24</c:v>
                </c:pt>
                <c:pt idx="43">
                  <c:v>62.56</c:v>
                </c:pt>
                <c:pt idx="44">
                  <c:v>35.01</c:v>
                </c:pt>
                <c:pt idx="45">
                  <c:v>71.569999999999993</c:v>
                </c:pt>
                <c:pt idx="46">
                  <c:v>110.38</c:v>
                </c:pt>
                <c:pt idx="47">
                  <c:v>50.07</c:v>
                </c:pt>
                <c:pt idx="48">
                  <c:v>59.54</c:v>
                </c:pt>
                <c:pt idx="49">
                  <c:v>55.77</c:v>
                </c:pt>
                <c:pt idx="50">
                  <c:v>68.290000000000006</c:v>
                </c:pt>
                <c:pt idx="51">
                  <c:v>58.6</c:v>
                </c:pt>
                <c:pt idx="52">
                  <c:v>73.900000000000006</c:v>
                </c:pt>
                <c:pt idx="53">
                  <c:v>64.41</c:v>
                </c:pt>
                <c:pt idx="54">
                  <c:v>57.33</c:v>
                </c:pt>
                <c:pt idx="55">
                  <c:v>68.88</c:v>
                </c:pt>
                <c:pt idx="56">
                  <c:v>53.42</c:v>
                </c:pt>
                <c:pt idx="57">
                  <c:v>64.489999999999995</c:v>
                </c:pt>
                <c:pt idx="58">
                  <c:v>54.55</c:v>
                </c:pt>
                <c:pt idx="59">
                  <c:v>66.430000000000007</c:v>
                </c:pt>
                <c:pt idx="60">
                  <c:v>63.41</c:v>
                </c:pt>
                <c:pt idx="61">
                  <c:v>88.61</c:v>
                </c:pt>
                <c:pt idx="62">
                  <c:v>76.58</c:v>
                </c:pt>
                <c:pt idx="63">
                  <c:v>65.05</c:v>
                </c:pt>
                <c:pt idx="64">
                  <c:v>70.52</c:v>
                </c:pt>
                <c:pt idx="65">
                  <c:v>75.87</c:v>
                </c:pt>
                <c:pt idx="66">
                  <c:v>71.739999999999995</c:v>
                </c:pt>
                <c:pt idx="67">
                  <c:v>57.03</c:v>
                </c:pt>
                <c:pt idx="68">
                  <c:v>59.44</c:v>
                </c:pt>
                <c:pt idx="69">
                  <c:v>41.3</c:v>
                </c:pt>
                <c:pt idx="70">
                  <c:v>43.3</c:v>
                </c:pt>
                <c:pt idx="71">
                  <c:v>55.46</c:v>
                </c:pt>
                <c:pt idx="72">
                  <c:v>43.81</c:v>
                </c:pt>
                <c:pt idx="73">
                  <c:v>51.32</c:v>
                </c:pt>
                <c:pt idx="74">
                  <c:v>45.67</c:v>
                </c:pt>
                <c:pt idx="75">
                  <c:v>48.35</c:v>
                </c:pt>
                <c:pt idx="76">
                  <c:v>44.57</c:v>
                </c:pt>
                <c:pt idx="77">
                  <c:v>45.09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9-4FC5-84F8-6182B86A22A1}"/>
            </c:ext>
          </c:extLst>
        </c:ser>
        <c:ser>
          <c:idx val="5"/>
          <c:order val="4"/>
          <c:tx>
            <c:strRef>
              <c:f>Pat_Tech!$B$700</c:f>
              <c:strCache>
                <c:ptCount val="1"/>
                <c:pt idx="0">
                  <c:v>Aérien torsadé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Pat_Tech!$C$693:$CB$693</c:f>
              <c:numCache>
                <c:formatCode>General</c:formatCode>
                <c:ptCount val="78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Pat_Tech!$C$700:$CB$700</c:f>
              <c:numCache>
                <c:formatCode>#,##0</c:formatCode>
                <c:ptCount val="78"/>
                <c:pt idx="0">
                  <c:v>64.040000000000006</c:v>
                </c:pt>
                <c:pt idx="1">
                  <c:v>2.2000000000000002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0.59</c:v>
                </c:pt>
                <c:pt idx="23">
                  <c:v>0</c:v>
                </c:pt>
                <c:pt idx="24">
                  <c:v>0.05</c:v>
                </c:pt>
                <c:pt idx="25">
                  <c:v>0.04</c:v>
                </c:pt>
                <c:pt idx="26">
                  <c:v>0.34</c:v>
                </c:pt>
                <c:pt idx="27">
                  <c:v>0.02</c:v>
                </c:pt>
                <c:pt idx="28">
                  <c:v>0.08</c:v>
                </c:pt>
                <c:pt idx="29">
                  <c:v>0.08</c:v>
                </c:pt>
                <c:pt idx="30">
                  <c:v>0</c:v>
                </c:pt>
                <c:pt idx="31">
                  <c:v>0</c:v>
                </c:pt>
                <c:pt idx="32">
                  <c:v>0.09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0.12</c:v>
                </c:pt>
                <c:pt idx="37">
                  <c:v>0.99</c:v>
                </c:pt>
                <c:pt idx="38">
                  <c:v>0.99</c:v>
                </c:pt>
                <c:pt idx="39">
                  <c:v>14.72</c:v>
                </c:pt>
                <c:pt idx="40">
                  <c:v>25.72</c:v>
                </c:pt>
                <c:pt idx="41">
                  <c:v>51.05</c:v>
                </c:pt>
                <c:pt idx="42">
                  <c:v>0.16</c:v>
                </c:pt>
                <c:pt idx="43">
                  <c:v>50.25</c:v>
                </c:pt>
                <c:pt idx="44">
                  <c:v>61.11</c:v>
                </c:pt>
                <c:pt idx="45">
                  <c:v>199.41</c:v>
                </c:pt>
                <c:pt idx="46">
                  <c:v>149.72</c:v>
                </c:pt>
                <c:pt idx="47">
                  <c:v>52.64</c:v>
                </c:pt>
                <c:pt idx="48">
                  <c:v>57.47</c:v>
                </c:pt>
                <c:pt idx="49">
                  <c:v>45.59</c:v>
                </c:pt>
                <c:pt idx="50">
                  <c:v>21.17</c:v>
                </c:pt>
                <c:pt idx="51">
                  <c:v>15.25</c:v>
                </c:pt>
                <c:pt idx="52">
                  <c:v>12.28</c:v>
                </c:pt>
                <c:pt idx="53">
                  <c:v>13.16</c:v>
                </c:pt>
                <c:pt idx="54">
                  <c:v>15.4</c:v>
                </c:pt>
                <c:pt idx="55">
                  <c:v>43.01</c:v>
                </c:pt>
                <c:pt idx="56">
                  <c:v>38.5</c:v>
                </c:pt>
                <c:pt idx="57">
                  <c:v>52.36</c:v>
                </c:pt>
                <c:pt idx="58">
                  <c:v>16.38</c:v>
                </c:pt>
                <c:pt idx="59">
                  <c:v>9.99</c:v>
                </c:pt>
                <c:pt idx="60">
                  <c:v>16.66</c:v>
                </c:pt>
                <c:pt idx="61">
                  <c:v>5.25</c:v>
                </c:pt>
                <c:pt idx="62">
                  <c:v>5.08</c:v>
                </c:pt>
                <c:pt idx="63">
                  <c:v>19.87</c:v>
                </c:pt>
                <c:pt idx="64">
                  <c:v>14.03</c:v>
                </c:pt>
                <c:pt idx="65">
                  <c:v>13.04</c:v>
                </c:pt>
                <c:pt idx="66">
                  <c:v>8</c:v>
                </c:pt>
                <c:pt idx="67">
                  <c:v>9.2100000000000009</c:v>
                </c:pt>
                <c:pt idx="68">
                  <c:v>15.9</c:v>
                </c:pt>
                <c:pt idx="69">
                  <c:v>14.01</c:v>
                </c:pt>
                <c:pt idx="70">
                  <c:v>7.56</c:v>
                </c:pt>
                <c:pt idx="71">
                  <c:v>7.36</c:v>
                </c:pt>
                <c:pt idx="72">
                  <c:v>4.3499999999999996</c:v>
                </c:pt>
                <c:pt idx="73">
                  <c:v>6.65</c:v>
                </c:pt>
                <c:pt idx="74">
                  <c:v>4.6500000000000004</c:v>
                </c:pt>
                <c:pt idx="75">
                  <c:v>7.22</c:v>
                </c:pt>
                <c:pt idx="76">
                  <c:v>6.81</c:v>
                </c:pt>
                <c:pt idx="77">
                  <c:v>4.91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49-4FC5-84F8-6182B86A22A1}"/>
            </c:ext>
          </c:extLst>
        </c:ser>
        <c:ser>
          <c:idx val="0"/>
          <c:order val="5"/>
          <c:tx>
            <c:strRef>
              <c:f>Pat_Tech!$B$698</c:f>
              <c:strCache>
                <c:ptCount val="1"/>
                <c:pt idx="0">
                  <c:v>Aérien nu faibles sections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Pat_Tech!$C$693:$CB$693</c:f>
              <c:numCache>
                <c:formatCode>General</c:formatCode>
                <c:ptCount val="78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Pat_Tech!$C$698:$CB$698</c:f>
              <c:numCache>
                <c:formatCode>#,##0</c:formatCode>
                <c:ptCount val="78"/>
                <c:pt idx="0">
                  <c:v>7.16</c:v>
                </c:pt>
                <c:pt idx="1">
                  <c:v>0.08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0.03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0.64</c:v>
                </c:pt>
                <c:pt idx="40">
                  <c:v>1.57</c:v>
                </c:pt>
                <c:pt idx="41">
                  <c:v>0.37</c:v>
                </c:pt>
                <c:pt idx="42">
                  <c:v>0</c:v>
                </c:pt>
                <c:pt idx="43">
                  <c:v>1.75</c:v>
                </c:pt>
                <c:pt idx="44">
                  <c:v>0.27</c:v>
                </c:pt>
                <c:pt idx="45">
                  <c:v>8.59</c:v>
                </c:pt>
                <c:pt idx="46">
                  <c:v>7.94</c:v>
                </c:pt>
                <c:pt idx="47">
                  <c:v>0.59</c:v>
                </c:pt>
                <c:pt idx="48">
                  <c:v>0.11</c:v>
                </c:pt>
                <c:pt idx="49">
                  <c:v>0.5</c:v>
                </c:pt>
                <c:pt idx="50">
                  <c:v>0.25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D46-82FD-0437CF2B2905}"/>
            </c:ext>
          </c:extLst>
        </c:ser>
        <c:ser>
          <c:idx val="6"/>
          <c:order val="6"/>
          <c:tx>
            <c:strRef>
              <c:f>Pat_Tech!$B$699</c:f>
              <c:strCache>
                <c:ptCount val="1"/>
                <c:pt idx="0">
                  <c:v>Aérien nu hors faibles sections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Pat_Tech!$C$693:$CB$693</c:f>
              <c:numCache>
                <c:formatCode>General</c:formatCode>
                <c:ptCount val="78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Pat_Tech!$C$699:$CB$699</c:f>
              <c:numCache>
                <c:formatCode>#,##0</c:formatCode>
                <c:ptCount val="78"/>
                <c:pt idx="0">
                  <c:v>44.11</c:v>
                </c:pt>
                <c:pt idx="1">
                  <c:v>0.15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0.03</c:v>
                </c:pt>
                <c:pt idx="37">
                  <c:v>0.08</c:v>
                </c:pt>
                <c:pt idx="38">
                  <c:v>0</c:v>
                </c:pt>
                <c:pt idx="39">
                  <c:v>4.7</c:v>
                </c:pt>
                <c:pt idx="40">
                  <c:v>26.03</c:v>
                </c:pt>
                <c:pt idx="41">
                  <c:v>6.01</c:v>
                </c:pt>
                <c:pt idx="42">
                  <c:v>0</c:v>
                </c:pt>
                <c:pt idx="43">
                  <c:v>25.43</c:v>
                </c:pt>
                <c:pt idx="44">
                  <c:v>9.15</c:v>
                </c:pt>
                <c:pt idx="45">
                  <c:v>26.25</c:v>
                </c:pt>
                <c:pt idx="46">
                  <c:v>36.799999999999997</c:v>
                </c:pt>
                <c:pt idx="47">
                  <c:v>11.31</c:v>
                </c:pt>
                <c:pt idx="48">
                  <c:v>2.08</c:v>
                </c:pt>
                <c:pt idx="49">
                  <c:v>1.49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D46-82FD-0437CF2B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518110495"/>
        <c:axId val="1518112159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Pat_Tech!$B$694</c15:sqref>
                        </c15:formulaRef>
                      </c:ext>
                    </c:extLst>
                    <c:strCache>
                      <c:ptCount val="1"/>
                      <c:pt idx="0">
                        <c:v>Souterrain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Pat_Tech!$C$693:$CB$693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1946</c:v>
                      </c:pt>
                      <c:pt idx="1">
                        <c:v>1947</c:v>
                      </c:pt>
                      <c:pt idx="2">
                        <c:v>1948</c:v>
                      </c:pt>
                      <c:pt idx="3">
                        <c:v>1949</c:v>
                      </c:pt>
                      <c:pt idx="4">
                        <c:v>1950</c:v>
                      </c:pt>
                      <c:pt idx="5">
                        <c:v>1951</c:v>
                      </c:pt>
                      <c:pt idx="6">
                        <c:v>1952</c:v>
                      </c:pt>
                      <c:pt idx="7">
                        <c:v>1953</c:v>
                      </c:pt>
                      <c:pt idx="8">
                        <c:v>1954</c:v>
                      </c:pt>
                      <c:pt idx="9">
                        <c:v>1955</c:v>
                      </c:pt>
                      <c:pt idx="10">
                        <c:v>1956</c:v>
                      </c:pt>
                      <c:pt idx="11">
                        <c:v>1957</c:v>
                      </c:pt>
                      <c:pt idx="12">
                        <c:v>1958</c:v>
                      </c:pt>
                      <c:pt idx="13">
                        <c:v>1959</c:v>
                      </c:pt>
                      <c:pt idx="14">
                        <c:v>1960</c:v>
                      </c:pt>
                      <c:pt idx="15">
                        <c:v>1961</c:v>
                      </c:pt>
                      <c:pt idx="16">
                        <c:v>1962</c:v>
                      </c:pt>
                      <c:pt idx="17">
                        <c:v>1963</c:v>
                      </c:pt>
                      <c:pt idx="18">
                        <c:v>1964</c:v>
                      </c:pt>
                      <c:pt idx="19">
                        <c:v>1965</c:v>
                      </c:pt>
                      <c:pt idx="20">
                        <c:v>1966</c:v>
                      </c:pt>
                      <c:pt idx="21">
                        <c:v>1967</c:v>
                      </c:pt>
                      <c:pt idx="22">
                        <c:v>1968</c:v>
                      </c:pt>
                      <c:pt idx="23">
                        <c:v>1969</c:v>
                      </c:pt>
                      <c:pt idx="24">
                        <c:v>1970</c:v>
                      </c:pt>
                      <c:pt idx="25">
                        <c:v>1971</c:v>
                      </c:pt>
                      <c:pt idx="26">
                        <c:v>1972</c:v>
                      </c:pt>
                      <c:pt idx="27">
                        <c:v>1973</c:v>
                      </c:pt>
                      <c:pt idx="28">
                        <c:v>1974</c:v>
                      </c:pt>
                      <c:pt idx="29">
                        <c:v>1975</c:v>
                      </c:pt>
                      <c:pt idx="30">
                        <c:v>1976</c:v>
                      </c:pt>
                      <c:pt idx="31">
                        <c:v>1977</c:v>
                      </c:pt>
                      <c:pt idx="32">
                        <c:v>1978</c:v>
                      </c:pt>
                      <c:pt idx="33">
                        <c:v>1979</c:v>
                      </c:pt>
                      <c:pt idx="34">
                        <c:v>1980</c:v>
                      </c:pt>
                      <c:pt idx="35">
                        <c:v>1981</c:v>
                      </c:pt>
                      <c:pt idx="36">
                        <c:v>1982</c:v>
                      </c:pt>
                      <c:pt idx="37">
                        <c:v>1983</c:v>
                      </c:pt>
                      <c:pt idx="38">
                        <c:v>1984</c:v>
                      </c:pt>
                      <c:pt idx="39">
                        <c:v>1985</c:v>
                      </c:pt>
                      <c:pt idx="40">
                        <c:v>1986</c:v>
                      </c:pt>
                      <c:pt idx="41">
                        <c:v>1987</c:v>
                      </c:pt>
                      <c:pt idx="42">
                        <c:v>1988</c:v>
                      </c:pt>
                      <c:pt idx="43">
                        <c:v>1989</c:v>
                      </c:pt>
                      <c:pt idx="44">
                        <c:v>1990</c:v>
                      </c:pt>
                      <c:pt idx="45">
                        <c:v>1991</c:v>
                      </c:pt>
                      <c:pt idx="46">
                        <c:v>1992</c:v>
                      </c:pt>
                      <c:pt idx="47">
                        <c:v>1993</c:v>
                      </c:pt>
                      <c:pt idx="48">
                        <c:v>1994</c:v>
                      </c:pt>
                      <c:pt idx="49">
                        <c:v>1995</c:v>
                      </c:pt>
                      <c:pt idx="50">
                        <c:v>1996</c:v>
                      </c:pt>
                      <c:pt idx="51">
                        <c:v>1997</c:v>
                      </c:pt>
                      <c:pt idx="52">
                        <c:v>1998</c:v>
                      </c:pt>
                      <c:pt idx="53">
                        <c:v>1999</c:v>
                      </c:pt>
                      <c:pt idx="54">
                        <c:v>2000</c:v>
                      </c:pt>
                      <c:pt idx="55">
                        <c:v>2001</c:v>
                      </c:pt>
                      <c:pt idx="56">
                        <c:v>2002</c:v>
                      </c:pt>
                      <c:pt idx="57">
                        <c:v>2003</c:v>
                      </c:pt>
                      <c:pt idx="58">
                        <c:v>2004</c:v>
                      </c:pt>
                      <c:pt idx="59">
                        <c:v>2005</c:v>
                      </c:pt>
                      <c:pt idx="60">
                        <c:v>2006</c:v>
                      </c:pt>
                      <c:pt idx="61">
                        <c:v>2007</c:v>
                      </c:pt>
                      <c:pt idx="62">
                        <c:v>2008</c:v>
                      </c:pt>
                      <c:pt idx="63">
                        <c:v>2009</c:v>
                      </c:pt>
                      <c:pt idx="64">
                        <c:v>2010</c:v>
                      </c:pt>
                      <c:pt idx="65">
                        <c:v>2011</c:v>
                      </c:pt>
                      <c:pt idx="66">
                        <c:v>2012</c:v>
                      </c:pt>
                      <c:pt idx="67">
                        <c:v>2013</c:v>
                      </c:pt>
                      <c:pt idx="68">
                        <c:v>2014</c:v>
                      </c:pt>
                      <c:pt idx="69">
                        <c:v>2015</c:v>
                      </c:pt>
                      <c:pt idx="70">
                        <c:v>2016</c:v>
                      </c:pt>
                      <c:pt idx="71">
                        <c:v>2017</c:v>
                      </c:pt>
                      <c:pt idx="72">
                        <c:v>2018</c:v>
                      </c:pt>
                      <c:pt idx="73">
                        <c:v>2019</c:v>
                      </c:pt>
                      <c:pt idx="74">
                        <c:v>2020</c:v>
                      </c:pt>
                      <c:pt idx="75">
                        <c:v>2021</c:v>
                      </c:pt>
                      <c:pt idx="76">
                        <c:v>2022</c:v>
                      </c:pt>
                      <c:pt idx="77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Pat_Tech!$C$694:$BY$694</c15:sqref>
                        </c15:formulaRef>
                      </c:ext>
                    </c:extLst>
                    <c:numCache>
                      <c:formatCode>#,##0</c:formatCode>
                      <c:ptCount val="75"/>
                      <c:pt idx="0">
                        <c:v>45.4</c:v>
                      </c:pt>
                      <c:pt idx="1">
                        <c:v>0.34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0.14000000000000001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0.39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0.09</c:v>
                      </c:pt>
                      <c:pt idx="17">
                        <c:v>0</c:v>
                      </c:pt>
                      <c:pt idx="18">
                        <c:v>0.25</c:v>
                      </c:pt>
                      <c:pt idx="19">
                        <c:v>0</c:v>
                      </c:pt>
                      <c:pt idx="20">
                        <c:v>0.64</c:v>
                      </c:pt>
                      <c:pt idx="21">
                        <c:v>0</c:v>
                      </c:pt>
                      <c:pt idx="22">
                        <c:v>0.02</c:v>
                      </c:pt>
                      <c:pt idx="23">
                        <c:v>0</c:v>
                      </c:pt>
                      <c:pt idx="24">
                        <c:v>1.2</c:v>
                      </c:pt>
                      <c:pt idx="25">
                        <c:v>0.03</c:v>
                      </c:pt>
                      <c:pt idx="26">
                        <c:v>0</c:v>
                      </c:pt>
                      <c:pt idx="27">
                        <c:v>0.62</c:v>
                      </c:pt>
                      <c:pt idx="28">
                        <c:v>0</c:v>
                      </c:pt>
                      <c:pt idx="29">
                        <c:v>7.0000000000000007E-2</c:v>
                      </c:pt>
                      <c:pt idx="30">
                        <c:v>0</c:v>
                      </c:pt>
                      <c:pt idx="31">
                        <c:v>0.01</c:v>
                      </c:pt>
                      <c:pt idx="32">
                        <c:v>0.87</c:v>
                      </c:pt>
                      <c:pt idx="33">
                        <c:v>0.37</c:v>
                      </c:pt>
                      <c:pt idx="34">
                        <c:v>0.46</c:v>
                      </c:pt>
                      <c:pt idx="35">
                        <c:v>0.14000000000000001</c:v>
                      </c:pt>
                      <c:pt idx="36">
                        <c:v>0.26</c:v>
                      </c:pt>
                      <c:pt idx="37">
                        <c:v>1.1200000000000001</c:v>
                      </c:pt>
                      <c:pt idx="38">
                        <c:v>2.5499999999999998</c:v>
                      </c:pt>
                      <c:pt idx="39">
                        <c:v>9.33</c:v>
                      </c:pt>
                      <c:pt idx="40">
                        <c:v>50</c:v>
                      </c:pt>
                      <c:pt idx="41">
                        <c:v>90.65</c:v>
                      </c:pt>
                      <c:pt idx="42">
                        <c:v>0.24</c:v>
                      </c:pt>
                      <c:pt idx="43">
                        <c:v>62.56</c:v>
                      </c:pt>
                      <c:pt idx="44">
                        <c:v>35.01</c:v>
                      </c:pt>
                      <c:pt idx="45">
                        <c:v>71.569999999999993</c:v>
                      </c:pt>
                      <c:pt idx="46">
                        <c:v>110.38</c:v>
                      </c:pt>
                      <c:pt idx="47">
                        <c:v>50.07</c:v>
                      </c:pt>
                      <c:pt idx="48">
                        <c:v>59.54</c:v>
                      </c:pt>
                      <c:pt idx="49">
                        <c:v>55.77</c:v>
                      </c:pt>
                      <c:pt idx="50">
                        <c:v>68.290000000000006</c:v>
                      </c:pt>
                      <c:pt idx="51">
                        <c:v>58.6</c:v>
                      </c:pt>
                      <c:pt idx="52">
                        <c:v>73.900000000000006</c:v>
                      </c:pt>
                      <c:pt idx="53">
                        <c:v>64.41</c:v>
                      </c:pt>
                      <c:pt idx="54">
                        <c:v>57.33</c:v>
                      </c:pt>
                      <c:pt idx="55">
                        <c:v>68.88</c:v>
                      </c:pt>
                      <c:pt idx="56">
                        <c:v>53.42</c:v>
                      </c:pt>
                      <c:pt idx="57">
                        <c:v>64.489999999999995</c:v>
                      </c:pt>
                      <c:pt idx="58">
                        <c:v>54.55</c:v>
                      </c:pt>
                      <c:pt idx="59">
                        <c:v>66.430000000000007</c:v>
                      </c:pt>
                      <c:pt idx="60">
                        <c:v>63.41</c:v>
                      </c:pt>
                      <c:pt idx="61">
                        <c:v>88.61</c:v>
                      </c:pt>
                      <c:pt idx="62">
                        <c:v>76.58</c:v>
                      </c:pt>
                      <c:pt idx="63">
                        <c:v>65.05</c:v>
                      </c:pt>
                      <c:pt idx="64">
                        <c:v>70.52</c:v>
                      </c:pt>
                      <c:pt idx="65">
                        <c:v>75.87</c:v>
                      </c:pt>
                      <c:pt idx="66">
                        <c:v>71.739999999999995</c:v>
                      </c:pt>
                      <c:pt idx="67">
                        <c:v>57.03</c:v>
                      </c:pt>
                      <c:pt idx="68">
                        <c:v>59.44</c:v>
                      </c:pt>
                      <c:pt idx="69">
                        <c:v>41.3</c:v>
                      </c:pt>
                      <c:pt idx="70">
                        <c:v>43.3</c:v>
                      </c:pt>
                      <c:pt idx="71">
                        <c:v>55.46</c:v>
                      </c:pt>
                      <c:pt idx="72">
                        <c:v>43.81</c:v>
                      </c:pt>
                      <c:pt idx="73">
                        <c:v>51.32</c:v>
                      </c:pt>
                      <c:pt idx="74">
                        <c:v>45.67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F49-4FC5-84F8-6182B86A22A1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Pat_Tech!$B$697</c15:sqref>
                        </c15:formulaRef>
                      </c:ext>
                    </c:extLst>
                    <c:strCache>
                      <c:ptCount val="1"/>
                      <c:pt idx="0">
                        <c:v>Aérien nu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Pat_Tech!$C$693:$CB$693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1946</c:v>
                      </c:pt>
                      <c:pt idx="1">
                        <c:v>1947</c:v>
                      </c:pt>
                      <c:pt idx="2">
                        <c:v>1948</c:v>
                      </c:pt>
                      <c:pt idx="3">
                        <c:v>1949</c:v>
                      </c:pt>
                      <c:pt idx="4">
                        <c:v>1950</c:v>
                      </c:pt>
                      <c:pt idx="5">
                        <c:v>1951</c:v>
                      </c:pt>
                      <c:pt idx="6">
                        <c:v>1952</c:v>
                      </c:pt>
                      <c:pt idx="7">
                        <c:v>1953</c:v>
                      </c:pt>
                      <c:pt idx="8">
                        <c:v>1954</c:v>
                      </c:pt>
                      <c:pt idx="9">
                        <c:v>1955</c:v>
                      </c:pt>
                      <c:pt idx="10">
                        <c:v>1956</c:v>
                      </c:pt>
                      <c:pt idx="11">
                        <c:v>1957</c:v>
                      </c:pt>
                      <c:pt idx="12">
                        <c:v>1958</c:v>
                      </c:pt>
                      <c:pt idx="13">
                        <c:v>1959</c:v>
                      </c:pt>
                      <c:pt idx="14">
                        <c:v>1960</c:v>
                      </c:pt>
                      <c:pt idx="15">
                        <c:v>1961</c:v>
                      </c:pt>
                      <c:pt idx="16">
                        <c:v>1962</c:v>
                      </c:pt>
                      <c:pt idx="17">
                        <c:v>1963</c:v>
                      </c:pt>
                      <c:pt idx="18">
                        <c:v>1964</c:v>
                      </c:pt>
                      <c:pt idx="19">
                        <c:v>1965</c:v>
                      </c:pt>
                      <c:pt idx="20">
                        <c:v>1966</c:v>
                      </c:pt>
                      <c:pt idx="21">
                        <c:v>1967</c:v>
                      </c:pt>
                      <c:pt idx="22">
                        <c:v>1968</c:v>
                      </c:pt>
                      <c:pt idx="23">
                        <c:v>1969</c:v>
                      </c:pt>
                      <c:pt idx="24">
                        <c:v>1970</c:v>
                      </c:pt>
                      <c:pt idx="25">
                        <c:v>1971</c:v>
                      </c:pt>
                      <c:pt idx="26">
                        <c:v>1972</c:v>
                      </c:pt>
                      <c:pt idx="27">
                        <c:v>1973</c:v>
                      </c:pt>
                      <c:pt idx="28">
                        <c:v>1974</c:v>
                      </c:pt>
                      <c:pt idx="29">
                        <c:v>1975</c:v>
                      </c:pt>
                      <c:pt idx="30">
                        <c:v>1976</c:v>
                      </c:pt>
                      <c:pt idx="31">
                        <c:v>1977</c:v>
                      </c:pt>
                      <c:pt idx="32">
                        <c:v>1978</c:v>
                      </c:pt>
                      <c:pt idx="33">
                        <c:v>1979</c:v>
                      </c:pt>
                      <c:pt idx="34">
                        <c:v>1980</c:v>
                      </c:pt>
                      <c:pt idx="35">
                        <c:v>1981</c:v>
                      </c:pt>
                      <c:pt idx="36">
                        <c:v>1982</c:v>
                      </c:pt>
                      <c:pt idx="37">
                        <c:v>1983</c:v>
                      </c:pt>
                      <c:pt idx="38">
                        <c:v>1984</c:v>
                      </c:pt>
                      <c:pt idx="39">
                        <c:v>1985</c:v>
                      </c:pt>
                      <c:pt idx="40">
                        <c:v>1986</c:v>
                      </c:pt>
                      <c:pt idx="41">
                        <c:v>1987</c:v>
                      </c:pt>
                      <c:pt idx="42">
                        <c:v>1988</c:v>
                      </c:pt>
                      <c:pt idx="43">
                        <c:v>1989</c:v>
                      </c:pt>
                      <c:pt idx="44">
                        <c:v>1990</c:v>
                      </c:pt>
                      <c:pt idx="45">
                        <c:v>1991</c:v>
                      </c:pt>
                      <c:pt idx="46">
                        <c:v>1992</c:v>
                      </c:pt>
                      <c:pt idx="47">
                        <c:v>1993</c:v>
                      </c:pt>
                      <c:pt idx="48">
                        <c:v>1994</c:v>
                      </c:pt>
                      <c:pt idx="49">
                        <c:v>1995</c:v>
                      </c:pt>
                      <c:pt idx="50">
                        <c:v>1996</c:v>
                      </c:pt>
                      <c:pt idx="51">
                        <c:v>1997</c:v>
                      </c:pt>
                      <c:pt idx="52">
                        <c:v>1998</c:v>
                      </c:pt>
                      <c:pt idx="53">
                        <c:v>1999</c:v>
                      </c:pt>
                      <c:pt idx="54">
                        <c:v>2000</c:v>
                      </c:pt>
                      <c:pt idx="55">
                        <c:v>2001</c:v>
                      </c:pt>
                      <c:pt idx="56">
                        <c:v>2002</c:v>
                      </c:pt>
                      <c:pt idx="57">
                        <c:v>2003</c:v>
                      </c:pt>
                      <c:pt idx="58">
                        <c:v>2004</c:v>
                      </c:pt>
                      <c:pt idx="59">
                        <c:v>2005</c:v>
                      </c:pt>
                      <c:pt idx="60">
                        <c:v>2006</c:v>
                      </c:pt>
                      <c:pt idx="61">
                        <c:v>2007</c:v>
                      </c:pt>
                      <c:pt idx="62">
                        <c:v>2008</c:v>
                      </c:pt>
                      <c:pt idx="63">
                        <c:v>2009</c:v>
                      </c:pt>
                      <c:pt idx="64">
                        <c:v>2010</c:v>
                      </c:pt>
                      <c:pt idx="65">
                        <c:v>2011</c:v>
                      </c:pt>
                      <c:pt idx="66">
                        <c:v>2012</c:v>
                      </c:pt>
                      <c:pt idx="67">
                        <c:v>2013</c:v>
                      </c:pt>
                      <c:pt idx="68">
                        <c:v>2014</c:v>
                      </c:pt>
                      <c:pt idx="69">
                        <c:v>2015</c:v>
                      </c:pt>
                      <c:pt idx="70">
                        <c:v>2016</c:v>
                      </c:pt>
                      <c:pt idx="71">
                        <c:v>2017</c:v>
                      </c:pt>
                      <c:pt idx="72">
                        <c:v>2018</c:v>
                      </c:pt>
                      <c:pt idx="73">
                        <c:v>2019</c:v>
                      </c:pt>
                      <c:pt idx="74">
                        <c:v>2020</c:v>
                      </c:pt>
                      <c:pt idx="75">
                        <c:v>2021</c:v>
                      </c:pt>
                      <c:pt idx="76">
                        <c:v>2022</c:v>
                      </c:pt>
                      <c:pt idx="77">
                        <c:v>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Pat_Tech!$C$697:$BY$697</c15:sqref>
                        </c15:formulaRef>
                      </c:ext>
                    </c:extLst>
                    <c:numCache>
                      <c:formatCode>#,##0</c:formatCode>
                      <c:ptCount val="75"/>
                      <c:pt idx="0">
                        <c:v>51.27</c:v>
                      </c:pt>
                      <c:pt idx="1">
                        <c:v>0.23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0.04</c:v>
                      </c:pt>
                      <c:pt idx="8">
                        <c:v>0</c:v>
                      </c:pt>
                      <c:pt idx="9">
                        <c:v>0.04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0.21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0.02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0.33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0.1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0.03</c:v>
                      </c:pt>
                      <c:pt idx="37">
                        <c:v>0.08</c:v>
                      </c:pt>
                      <c:pt idx="38">
                        <c:v>0.1</c:v>
                      </c:pt>
                      <c:pt idx="39">
                        <c:v>5.34</c:v>
                      </c:pt>
                      <c:pt idx="40">
                        <c:v>27.6</c:v>
                      </c:pt>
                      <c:pt idx="41">
                        <c:v>6.38</c:v>
                      </c:pt>
                      <c:pt idx="42">
                        <c:v>0</c:v>
                      </c:pt>
                      <c:pt idx="43">
                        <c:v>27.18</c:v>
                      </c:pt>
                      <c:pt idx="44">
                        <c:v>9.43</c:v>
                      </c:pt>
                      <c:pt idx="45">
                        <c:v>34.83</c:v>
                      </c:pt>
                      <c:pt idx="46">
                        <c:v>44.74</c:v>
                      </c:pt>
                      <c:pt idx="47">
                        <c:v>11.9</c:v>
                      </c:pt>
                      <c:pt idx="48">
                        <c:v>2.1800000000000002</c:v>
                      </c:pt>
                      <c:pt idx="49">
                        <c:v>1.99</c:v>
                      </c:pt>
                      <c:pt idx="50">
                        <c:v>0.25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49-4FC5-84F8-6182B86A22A1}"/>
                  </c:ext>
                </c:extLst>
              </c15:ser>
            </c15:filteredBarSeries>
          </c:ext>
        </c:extLst>
      </c:barChart>
      <c:catAx>
        <c:axId val="151811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8112159"/>
        <c:crosses val="autoZero"/>
        <c:auto val="1"/>
        <c:lblAlgn val="ctr"/>
        <c:lblOffset val="100"/>
        <c:noMultiLvlLbl val="0"/>
      </c:catAx>
      <c:valAx>
        <c:axId val="151811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811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126137158368738E-2"/>
          <c:y val="0.89410729911658104"/>
          <c:w val="0.97354915653939589"/>
          <c:h val="9.6320632630803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Technologies BT aériennes</a:t>
            </a:r>
            <a:r>
              <a:rPr lang="fr-FR" sz="1100" b="1" baseline="0"/>
              <a:t> incidentogènes (km)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23988968629254"/>
          <c:y val="0.1515652878435105"/>
          <c:w val="0.8307778440871183"/>
          <c:h val="0.6168215535536514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Pat_Tech!$B$531</c:f>
              <c:strCache>
                <c:ptCount val="1"/>
                <c:pt idx="0">
                  <c:v>Dont aérien nu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Pat_Tech!$C$531:$G$531</c:f>
              <c:numCache>
                <c:formatCode>#\ ##0.0</c:formatCode>
                <c:ptCount val="5"/>
                <c:pt idx="0">
                  <c:v>119.72</c:v>
                </c:pt>
                <c:pt idx="1">
                  <c:v>111.2</c:v>
                </c:pt>
                <c:pt idx="2">
                  <c:v>109.23</c:v>
                </c:pt>
                <c:pt idx="3">
                  <c:v>105.65</c:v>
                </c:pt>
                <c:pt idx="4">
                  <c:v>103.38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4-4A0F-9BAF-0D82CAD5A161}"/>
            </c:ext>
          </c:extLst>
        </c:ser>
        <c:ser>
          <c:idx val="1"/>
          <c:order val="1"/>
          <c:tx>
            <c:strRef>
              <c:f>Pat_Tech!$B$532</c:f>
              <c:strCache>
                <c:ptCount val="1"/>
                <c:pt idx="0">
                  <c:v>Faibles sections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Pat_Tech!$C$532:$G$532</c:f>
              <c:numCache>
                <c:formatCode>0.0</c:formatCode>
                <c:ptCount val="5"/>
                <c:pt idx="0">
                  <c:v>30.71</c:v>
                </c:pt>
                <c:pt idx="1">
                  <c:v>28.21</c:v>
                </c:pt>
                <c:pt idx="2">
                  <c:v>24.89</c:v>
                </c:pt>
                <c:pt idx="3">
                  <c:v>24.14</c:v>
                </c:pt>
                <c:pt idx="4">
                  <c:v>23.47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4-4A0F-9BAF-0D82CAD5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3"/>
          <c:order val="2"/>
          <c:tx>
            <c:strRef>
              <c:f>Pat_Tech!$B$533</c:f>
              <c:strCache>
                <c:ptCount val="1"/>
                <c:pt idx="0">
                  <c:v>Part de l'aérien nu par rapport au linéaire BT aérien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3.8945990394607716E-4"/>
                  <c:y val="9.1076154156287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10-4854-A4CE-2B67EDECA4A3}"/>
                </c:ext>
              </c:extLst>
            </c:dLbl>
            <c:dLbl>
              <c:idx val="4"/>
              <c:layout>
                <c:manualLayout>
                  <c:x val="3.8945990394591393E-4"/>
                  <c:y val="9.10761541562874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10-4854-A4CE-2B67EDECA4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Pat_Tech!$C$533:$G$533</c:f>
              <c:numCache>
                <c:formatCode>0.0%</c:formatCode>
                <c:ptCount val="5"/>
                <c:pt idx="0">
                  <c:v>0.10679999999999999</c:v>
                </c:pt>
                <c:pt idx="1">
                  <c:v>0.1007</c:v>
                </c:pt>
                <c:pt idx="2">
                  <c:v>0.1008</c:v>
                </c:pt>
                <c:pt idx="3">
                  <c:v>9.9299999999999999E-2</c:v>
                </c:pt>
                <c:pt idx="4">
                  <c:v>9.8000000000000004E-2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44-4A0F-9BAF-0D82CAD5A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772562602349345"/>
          <c:y val="0.86923301994010593"/>
          <c:w val="0.81974579240455037"/>
          <c:h val="0.12624076537773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effectLst/>
              </a:rPr>
              <a:t>Technologies</a:t>
            </a:r>
            <a:r>
              <a:rPr lang="fr-FR" sz="1100" b="1"/>
              <a:t> BT aériennes</a:t>
            </a:r>
            <a:r>
              <a:rPr lang="fr-FR" sz="1100" b="1" baseline="0"/>
              <a:t> incidentogènes (km) - Régime FACE urbain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23988968629254"/>
          <c:y val="0.1515652878435105"/>
          <c:w val="0.8307778440871183"/>
          <c:h val="0.6168215535536514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Pat_Tech!$B$510</c:f>
              <c:strCache>
                <c:ptCount val="1"/>
                <c:pt idx="0">
                  <c:v>Dont aérien nu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Pat_Tech!$C$510:$G$510</c:f>
              <c:numCache>
                <c:formatCode>#\ ##0.0</c:formatCode>
                <c:ptCount val="5"/>
                <c:pt idx="0">
                  <c:v>138.54</c:v>
                </c:pt>
                <c:pt idx="1">
                  <c:v>137.12</c:v>
                </c:pt>
                <c:pt idx="2">
                  <c:v>129.81</c:v>
                </c:pt>
                <c:pt idx="3">
                  <c:v>127.5</c:v>
                </c:pt>
                <c:pt idx="4">
                  <c:v>120.89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1-428D-AE40-259A28FF8C75}"/>
            </c:ext>
          </c:extLst>
        </c:ser>
        <c:ser>
          <c:idx val="1"/>
          <c:order val="1"/>
          <c:tx>
            <c:strRef>
              <c:f>Pat_Tech!$B$511</c:f>
              <c:strCache>
                <c:ptCount val="1"/>
                <c:pt idx="0">
                  <c:v>Faibles sections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Pat_Tech!$C$511:$G$511</c:f>
              <c:numCache>
                <c:formatCode>0.0</c:formatCode>
                <c:ptCount val="5"/>
                <c:pt idx="0">
                  <c:v>9.81</c:v>
                </c:pt>
                <c:pt idx="1">
                  <c:v>9.19</c:v>
                </c:pt>
                <c:pt idx="2">
                  <c:v>8.6</c:v>
                </c:pt>
                <c:pt idx="3">
                  <c:v>8.24</c:v>
                </c:pt>
                <c:pt idx="4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1-428D-AE40-259A28FF8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3"/>
          <c:order val="2"/>
          <c:tx>
            <c:strRef>
              <c:f>Pat_Tech!$B$512</c:f>
              <c:strCache>
                <c:ptCount val="1"/>
                <c:pt idx="0">
                  <c:v>Part de l'aérien nu par rapport au linéaire BT aérien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2.2103865205508454E-3"/>
                  <c:y val="7.00633147735483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7F-4347-82D7-9CFB4205025B}"/>
                </c:ext>
              </c:extLst>
            </c:dLbl>
            <c:dLbl>
              <c:idx val="4"/>
              <c:layout>
                <c:manualLayout>
                  <c:x val="2.2103865205508454E-3"/>
                  <c:y val="7.00633147735483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A7F-4347-82D7-9CFB42050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Pat_Tech!$C$512:$G$512</c:f>
              <c:numCache>
                <c:formatCode>0.0%</c:formatCode>
                <c:ptCount val="5"/>
                <c:pt idx="0">
                  <c:v>0.38290000000000002</c:v>
                </c:pt>
                <c:pt idx="1">
                  <c:v>0.38049999999999995</c:v>
                </c:pt>
                <c:pt idx="2">
                  <c:v>0.3574</c:v>
                </c:pt>
                <c:pt idx="3">
                  <c:v>0.35289999999999999</c:v>
                </c:pt>
                <c:pt idx="4">
                  <c:v>0.33909999999999996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F1-428D-AE40-259A28FF8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351076895194798"/>
          <c:y val="0.87375905472606608"/>
          <c:w val="0.5993731792949204"/>
          <c:h val="0.12624076537773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100" b="1"/>
            </a:pPr>
            <a:r>
              <a:rPr lang="fr-FR" sz="1100" b="1" i="0" u="none" strike="noStrike" baseline="0">
                <a:effectLst/>
              </a:rPr>
              <a:t>Technologies </a:t>
            </a:r>
            <a:r>
              <a:rPr lang="fr-FR" sz="1100" b="1"/>
              <a:t>BT</a:t>
            </a:r>
            <a:r>
              <a:rPr lang="fr-FR" sz="1100" b="1" baseline="0"/>
              <a:t> incidentogènes (km)</a:t>
            </a:r>
            <a:endParaRPr lang="fr-FR" sz="1100" b="1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23988968629254"/>
          <c:y val="0.1515652878435105"/>
          <c:w val="0.8307778440871183"/>
          <c:h val="0.6168215535536514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Pat_Tech!$B$573</c:f>
              <c:strCache>
                <c:ptCount val="1"/>
                <c:pt idx="0">
                  <c:v>Dont faibles sections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Pat_Tech!$C$573:$G$573</c:f>
              <c:numCache>
                <c:formatCode>0.0</c:formatCode>
                <c:ptCount val="5"/>
                <c:pt idx="0">
                  <c:v>40.520000000000003</c:v>
                </c:pt>
                <c:pt idx="1">
                  <c:v>37.4</c:v>
                </c:pt>
                <c:pt idx="2">
                  <c:v>33.49</c:v>
                </c:pt>
                <c:pt idx="3">
                  <c:v>32.380000000000003</c:v>
                </c:pt>
                <c:pt idx="4">
                  <c:v>30.09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8-4C26-99D8-6318B74682AE}"/>
            </c:ext>
          </c:extLst>
        </c:ser>
        <c:ser>
          <c:idx val="1"/>
          <c:order val="1"/>
          <c:tx>
            <c:strRef>
              <c:f>Pat_Tech!$B$577</c:f>
              <c:strCache>
                <c:ptCount val="1"/>
                <c:pt idx="0">
                  <c:v>Neutre périphérique (NP)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Pat_Tech!$C$577:$G$577</c:f>
              <c:numCache>
                <c:formatCode>#\ ##0.0</c:formatCode>
                <c:ptCount val="5"/>
                <c:pt idx="0">
                  <c:v>2.21</c:v>
                </c:pt>
                <c:pt idx="1">
                  <c:v>1.95</c:v>
                </c:pt>
                <c:pt idx="2">
                  <c:v>1.95</c:v>
                </c:pt>
                <c:pt idx="3">
                  <c:v>1.93</c:v>
                </c:pt>
                <c:pt idx="4">
                  <c:v>1.93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8-4C26-99D8-6318B7468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3"/>
          <c:order val="2"/>
          <c:tx>
            <c:strRef>
              <c:f>Pat_Tech!$B$580</c:f>
              <c:strCache>
                <c:ptCount val="1"/>
                <c:pt idx="0">
                  <c:v>% lignes incidentogènes / lignes total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Pat_Tech!$C$580:$G$580</c:f>
              <c:numCache>
                <c:formatCode>0.00%</c:formatCode>
                <c:ptCount val="5"/>
                <c:pt idx="0">
                  <c:v>1.2591979725290886E-2</c:v>
                </c:pt>
                <c:pt idx="1">
                  <c:v>1.1587906608194327E-2</c:v>
                </c:pt>
                <c:pt idx="2">
                  <c:v>1.0432893278897707E-2</c:v>
                </c:pt>
                <c:pt idx="3">
                  <c:v>1.0076212315370607E-2</c:v>
                </c:pt>
                <c:pt idx="4">
                  <c:v>9.3745571417494008E-3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8-4C26-99D8-6318B7468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/>
        <c:numFmt formatCode="0.0" sourceLinked="1"/>
        <c:majorTickMark val="none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3.160276864642881E-2"/>
          <c:y val="0.86227566923105214"/>
          <c:w val="0.9436225256624744"/>
          <c:h val="0.12624076537773066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 (En-têtes)"/>
                <a:ea typeface="+mn-ea"/>
                <a:cs typeface="+mn-cs"/>
              </a:defRPr>
            </a:pPr>
            <a:r>
              <a:rPr lang="fr-FR" sz="1200" b="1">
                <a:latin typeface="Calibri Light (En-têtes)"/>
              </a:rPr>
              <a:t>Taux d'enfouissement HTA en fonction de la densité de population</a:t>
            </a:r>
          </a:p>
          <a:p>
            <a:pPr>
              <a:defRPr sz="1200" b="1">
                <a:latin typeface="Calibri Light (En-têtes)"/>
              </a:defRPr>
            </a:pPr>
            <a:r>
              <a:rPr lang="fr-FR" sz="1200" b="1">
                <a:latin typeface="Calibri Light (En-têtes)"/>
              </a:rPr>
              <a:t>-</a:t>
            </a:r>
            <a:r>
              <a:rPr lang="fr-FR" sz="1200" b="1" baseline="0">
                <a:latin typeface="Calibri Light (En-têtes)"/>
              </a:rPr>
              <a:t> comparaison entre départements</a:t>
            </a:r>
            <a:endParaRPr lang="fr-FR" sz="1200" b="1">
              <a:latin typeface="Calibri Light (En-têtes)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 (En-têtes)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882559527730512"/>
          <c:y val="0.15102008003597039"/>
          <c:w val="0.86100105618192091"/>
          <c:h val="0.64600768951053922"/>
        </c:manualLayout>
      </c:layout>
      <c:scatterChart>
        <c:scatterStyle val="lineMarker"/>
        <c:varyColors val="0"/>
        <c:ser>
          <c:idx val="0"/>
          <c:order val="0"/>
          <c:tx>
            <c:v>Départements</c:v>
          </c:tx>
          <c:spPr>
            <a:ln w="25400" cap="rnd">
              <a:noFill/>
              <a:round/>
            </a:ln>
            <a:effectLst>
              <a:softEdge rad="0"/>
            </a:effectLst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407"/>
            <c:marker>
              <c:symbol val="circle"/>
              <c:size val="4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4F9D-49E0-A037-96CC8B2F9A46}"/>
              </c:ext>
            </c:extLst>
          </c:dPt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D_enf!$F$5:$F$484</c:f>
              <c:numCache>
                <c:formatCode>General</c:formatCode>
                <c:ptCount val="480"/>
                <c:pt idx="0">
                  <c:v>52.8078</c:v>
                </c:pt>
                <c:pt idx="1">
                  <c:v>52.508600000000001</c:v>
                </c:pt>
                <c:pt idx="2">
                  <c:v>52.077100000000002</c:v>
                </c:pt>
                <c:pt idx="3">
                  <c:v>51.6374</c:v>
                </c:pt>
                <c:pt idx="4">
                  <c:v>51.3065</c:v>
                </c:pt>
                <c:pt idx="5">
                  <c:v>64.556799999999996</c:v>
                </c:pt>
                <c:pt idx="6">
                  <c:v>64.293899999999994</c:v>
                </c:pt>
                <c:pt idx="7">
                  <c:v>62.345999999999997</c:v>
                </c:pt>
                <c:pt idx="8">
                  <c:v>61.910899999999998</c:v>
                </c:pt>
                <c:pt idx="9">
                  <c:v>61.576999999999998</c:v>
                </c:pt>
                <c:pt idx="10">
                  <c:v>97.913300000000007</c:v>
                </c:pt>
                <c:pt idx="11">
                  <c:v>97.913300000000007</c:v>
                </c:pt>
                <c:pt idx="12">
                  <c:v>97.913300000000007</c:v>
                </c:pt>
                <c:pt idx="13">
                  <c:v>97.913300000000007</c:v>
                </c:pt>
                <c:pt idx="14">
                  <c:v>97.913300000000007</c:v>
                </c:pt>
                <c:pt idx="15">
                  <c:v>64.227900000000005</c:v>
                </c:pt>
                <c:pt idx="16">
                  <c:v>64.227900000000005</c:v>
                </c:pt>
                <c:pt idx="17">
                  <c:v>64.227900000000005</c:v>
                </c:pt>
                <c:pt idx="18">
                  <c:v>64.227900000000005</c:v>
                </c:pt>
                <c:pt idx="19">
                  <c:v>64.227900000000005</c:v>
                </c:pt>
                <c:pt idx="20">
                  <c:v>60.826999999999998</c:v>
                </c:pt>
                <c:pt idx="21">
                  <c:v>60.826999999999998</c:v>
                </c:pt>
                <c:pt idx="22">
                  <c:v>60.826999999999998</c:v>
                </c:pt>
                <c:pt idx="23">
                  <c:v>60.826999999999998</c:v>
                </c:pt>
                <c:pt idx="24">
                  <c:v>60.826999999999998</c:v>
                </c:pt>
                <c:pt idx="25">
                  <c:v>31.266500000000001</c:v>
                </c:pt>
                <c:pt idx="26">
                  <c:v>31.266500000000001</c:v>
                </c:pt>
                <c:pt idx="27">
                  <c:v>31.266500000000001</c:v>
                </c:pt>
                <c:pt idx="28">
                  <c:v>31.266500000000001</c:v>
                </c:pt>
                <c:pt idx="29">
                  <c:v>31.266500000000001</c:v>
                </c:pt>
                <c:pt idx="30">
                  <c:v>201.35659999999999</c:v>
                </c:pt>
                <c:pt idx="31">
                  <c:v>201.35659999999999</c:v>
                </c:pt>
                <c:pt idx="32">
                  <c:v>201.35659999999999</c:v>
                </c:pt>
                <c:pt idx="33">
                  <c:v>201.35659999999999</c:v>
                </c:pt>
                <c:pt idx="34">
                  <c:v>201.35659999999999</c:v>
                </c:pt>
                <c:pt idx="35">
                  <c:v>80.185900000000004</c:v>
                </c:pt>
                <c:pt idx="36">
                  <c:v>80.185900000000004</c:v>
                </c:pt>
                <c:pt idx="37">
                  <c:v>80.185900000000004</c:v>
                </c:pt>
                <c:pt idx="38">
                  <c:v>80.185900000000004</c:v>
                </c:pt>
                <c:pt idx="39">
                  <c:v>80.185900000000004</c:v>
                </c:pt>
                <c:pt idx="40">
                  <c:v>27.482900000000001</c:v>
                </c:pt>
                <c:pt idx="41">
                  <c:v>27.482900000000001</c:v>
                </c:pt>
                <c:pt idx="42">
                  <c:v>27.482900000000001</c:v>
                </c:pt>
                <c:pt idx="43">
                  <c:v>27.482900000000001</c:v>
                </c:pt>
                <c:pt idx="44">
                  <c:v>27.482900000000001</c:v>
                </c:pt>
                <c:pt idx="45">
                  <c:v>41.795099999999998</c:v>
                </c:pt>
                <c:pt idx="46">
                  <c:v>41.795099999999998</c:v>
                </c:pt>
                <c:pt idx="47">
                  <c:v>41.795099999999998</c:v>
                </c:pt>
                <c:pt idx="48">
                  <c:v>41.795099999999998</c:v>
                </c:pt>
                <c:pt idx="49">
                  <c:v>41.795099999999998</c:v>
                </c:pt>
                <c:pt idx="50">
                  <c:v>61.758600000000001</c:v>
                </c:pt>
                <c:pt idx="51">
                  <c:v>61.758600000000001</c:v>
                </c:pt>
                <c:pt idx="52">
                  <c:v>61.758600000000001</c:v>
                </c:pt>
                <c:pt idx="53">
                  <c:v>61.758600000000001</c:v>
                </c:pt>
                <c:pt idx="54">
                  <c:v>61.758600000000001</c:v>
                </c:pt>
                <c:pt idx="55">
                  <c:v>38.655099999999997</c:v>
                </c:pt>
                <c:pt idx="56">
                  <c:v>38.655099999999997</c:v>
                </c:pt>
                <c:pt idx="57">
                  <c:v>38.655099999999997</c:v>
                </c:pt>
                <c:pt idx="58">
                  <c:v>38.655099999999997</c:v>
                </c:pt>
                <c:pt idx="59">
                  <c:v>38.655099999999997</c:v>
                </c:pt>
                <c:pt idx="60">
                  <c:v>35.613100000000003</c:v>
                </c:pt>
                <c:pt idx="61">
                  <c:v>35.613100000000003</c:v>
                </c:pt>
                <c:pt idx="62">
                  <c:v>35.613100000000003</c:v>
                </c:pt>
                <c:pt idx="63">
                  <c:v>35.613100000000003</c:v>
                </c:pt>
                <c:pt idx="64">
                  <c:v>35.613100000000003</c:v>
                </c:pt>
                <c:pt idx="65">
                  <c:v>73.436999999999998</c:v>
                </c:pt>
                <c:pt idx="66">
                  <c:v>73.436999999999998</c:v>
                </c:pt>
                <c:pt idx="67">
                  <c:v>73.436999999999998</c:v>
                </c:pt>
                <c:pt idx="68">
                  <c:v>73.436999999999998</c:v>
                </c:pt>
                <c:pt idx="69">
                  <c:v>73.436999999999998</c:v>
                </c:pt>
                <c:pt idx="70">
                  <c:v>78.265199999999993</c:v>
                </c:pt>
                <c:pt idx="71">
                  <c:v>78.265199999999993</c:v>
                </c:pt>
                <c:pt idx="72">
                  <c:v>78.265199999999993</c:v>
                </c:pt>
                <c:pt idx="73">
                  <c:v>78.265199999999993</c:v>
                </c:pt>
                <c:pt idx="74">
                  <c:v>78.265199999999993</c:v>
                </c:pt>
                <c:pt idx="75">
                  <c:v>51.610799999999998</c:v>
                </c:pt>
                <c:pt idx="76">
                  <c:v>51.610799999999998</c:v>
                </c:pt>
                <c:pt idx="77">
                  <c:v>51.610799999999998</c:v>
                </c:pt>
                <c:pt idx="78">
                  <c:v>51.610799999999998</c:v>
                </c:pt>
                <c:pt idx="79">
                  <c:v>51.610799999999998</c:v>
                </c:pt>
                <c:pt idx="80">
                  <c:v>19.162800000000001</c:v>
                </c:pt>
                <c:pt idx="81">
                  <c:v>19.162800000000001</c:v>
                </c:pt>
                <c:pt idx="82">
                  <c:v>19.162800000000001</c:v>
                </c:pt>
                <c:pt idx="83">
                  <c:v>19.162800000000001</c:v>
                </c:pt>
                <c:pt idx="84">
                  <c:v>19.162800000000001</c:v>
                </c:pt>
                <c:pt idx="85">
                  <c:v>35.656599999999997</c:v>
                </c:pt>
                <c:pt idx="86">
                  <c:v>35.656599999999997</c:v>
                </c:pt>
                <c:pt idx="87">
                  <c:v>35.656599999999997</c:v>
                </c:pt>
                <c:pt idx="88">
                  <c:v>35.656599999999997</c:v>
                </c:pt>
                <c:pt idx="89">
                  <c:v>35.656599999999997</c:v>
                </c:pt>
                <c:pt idx="90">
                  <c:v>102.8145</c:v>
                </c:pt>
                <c:pt idx="91">
                  <c:v>102.8145</c:v>
                </c:pt>
                <c:pt idx="92">
                  <c:v>102.8145</c:v>
                </c:pt>
                <c:pt idx="93">
                  <c:v>102.8145</c:v>
                </c:pt>
                <c:pt idx="94">
                  <c:v>102.8145</c:v>
                </c:pt>
                <c:pt idx="95">
                  <c:v>74.27</c:v>
                </c:pt>
                <c:pt idx="96">
                  <c:v>74.27</c:v>
                </c:pt>
                <c:pt idx="97">
                  <c:v>74.27</c:v>
                </c:pt>
                <c:pt idx="98">
                  <c:v>74.27</c:v>
                </c:pt>
                <c:pt idx="99">
                  <c:v>74.27</c:v>
                </c:pt>
                <c:pt idx="100">
                  <c:v>75.694199999999995</c:v>
                </c:pt>
                <c:pt idx="101">
                  <c:v>75.694199999999995</c:v>
                </c:pt>
                <c:pt idx="102">
                  <c:v>75.694199999999995</c:v>
                </c:pt>
                <c:pt idx="103">
                  <c:v>75.694199999999995</c:v>
                </c:pt>
                <c:pt idx="104">
                  <c:v>75.694199999999995</c:v>
                </c:pt>
                <c:pt idx="105">
                  <c:v>72.740899999999996</c:v>
                </c:pt>
                <c:pt idx="106">
                  <c:v>72.740899999999996</c:v>
                </c:pt>
                <c:pt idx="107">
                  <c:v>72.740899999999996</c:v>
                </c:pt>
                <c:pt idx="108">
                  <c:v>72.740899999999996</c:v>
                </c:pt>
                <c:pt idx="109">
                  <c:v>72.740899999999996</c:v>
                </c:pt>
                <c:pt idx="110">
                  <c:v>74.403599999999997</c:v>
                </c:pt>
                <c:pt idx="111">
                  <c:v>74.403599999999997</c:v>
                </c:pt>
                <c:pt idx="112">
                  <c:v>74.403599999999997</c:v>
                </c:pt>
                <c:pt idx="113">
                  <c:v>74.403599999999997</c:v>
                </c:pt>
                <c:pt idx="114">
                  <c:v>74.403599999999997</c:v>
                </c:pt>
                <c:pt idx="115">
                  <c:v>36.735599999999998</c:v>
                </c:pt>
                <c:pt idx="116">
                  <c:v>36.735599999999998</c:v>
                </c:pt>
                <c:pt idx="117">
                  <c:v>36.735599999999998</c:v>
                </c:pt>
                <c:pt idx="118">
                  <c:v>36.735599999999998</c:v>
                </c:pt>
                <c:pt idx="119">
                  <c:v>36.735599999999998</c:v>
                </c:pt>
                <c:pt idx="120">
                  <c:v>103.1253</c:v>
                </c:pt>
                <c:pt idx="121">
                  <c:v>103.1253</c:v>
                </c:pt>
                <c:pt idx="122">
                  <c:v>103.1253</c:v>
                </c:pt>
                <c:pt idx="123">
                  <c:v>103.1253</c:v>
                </c:pt>
                <c:pt idx="124">
                  <c:v>103.1253</c:v>
                </c:pt>
                <c:pt idx="125">
                  <c:v>129.4315</c:v>
                </c:pt>
                <c:pt idx="126">
                  <c:v>129.4315</c:v>
                </c:pt>
                <c:pt idx="127">
                  <c:v>129.4315</c:v>
                </c:pt>
                <c:pt idx="128">
                  <c:v>129.4315</c:v>
                </c:pt>
                <c:pt idx="129">
                  <c:v>129.4315</c:v>
                </c:pt>
                <c:pt idx="130">
                  <c:v>24.959499999999998</c:v>
                </c:pt>
                <c:pt idx="131">
                  <c:v>24.959499999999998</c:v>
                </c:pt>
                <c:pt idx="132">
                  <c:v>24.959499999999998</c:v>
                </c:pt>
                <c:pt idx="133">
                  <c:v>24.959499999999998</c:v>
                </c:pt>
                <c:pt idx="134">
                  <c:v>24.959499999999998</c:v>
                </c:pt>
                <c:pt idx="135">
                  <c:v>119.4573</c:v>
                </c:pt>
                <c:pt idx="136">
                  <c:v>119.4573</c:v>
                </c:pt>
                <c:pt idx="137">
                  <c:v>119.4573</c:v>
                </c:pt>
                <c:pt idx="138">
                  <c:v>119.4573</c:v>
                </c:pt>
                <c:pt idx="139">
                  <c:v>119.4573</c:v>
                </c:pt>
                <c:pt idx="140">
                  <c:v>154.00210000000001</c:v>
                </c:pt>
                <c:pt idx="141">
                  <c:v>154.00210000000001</c:v>
                </c:pt>
                <c:pt idx="142">
                  <c:v>154.00210000000001</c:v>
                </c:pt>
                <c:pt idx="143">
                  <c:v>154.00210000000001</c:v>
                </c:pt>
                <c:pt idx="144">
                  <c:v>154.00210000000001</c:v>
                </c:pt>
                <c:pt idx="145">
                  <c:v>90.649299999999997</c:v>
                </c:pt>
                <c:pt idx="146">
                  <c:v>90.649299999999997</c:v>
                </c:pt>
                <c:pt idx="147">
                  <c:v>90.649299999999997</c:v>
                </c:pt>
                <c:pt idx="148">
                  <c:v>90.649299999999997</c:v>
                </c:pt>
                <c:pt idx="149">
                  <c:v>90.649299999999997</c:v>
                </c:pt>
                <c:pt idx="150">
                  <c:v>29.060199999999998</c:v>
                </c:pt>
                <c:pt idx="151">
                  <c:v>29.060199999999998</c:v>
                </c:pt>
                <c:pt idx="152">
                  <c:v>29.060199999999998</c:v>
                </c:pt>
                <c:pt idx="153">
                  <c:v>29.060199999999998</c:v>
                </c:pt>
                <c:pt idx="154">
                  <c:v>29.060199999999998</c:v>
                </c:pt>
                <c:pt idx="155">
                  <c:v>71.584699999999998</c:v>
                </c:pt>
                <c:pt idx="156">
                  <c:v>71.584699999999998</c:v>
                </c:pt>
                <c:pt idx="157">
                  <c:v>71.584699999999998</c:v>
                </c:pt>
                <c:pt idx="158">
                  <c:v>71.584699999999998</c:v>
                </c:pt>
                <c:pt idx="159">
                  <c:v>71.584699999999998</c:v>
                </c:pt>
                <c:pt idx="160">
                  <c:v>144.56489999999999</c:v>
                </c:pt>
                <c:pt idx="161">
                  <c:v>144.56489999999999</c:v>
                </c:pt>
                <c:pt idx="162">
                  <c:v>144.56489999999999</c:v>
                </c:pt>
                <c:pt idx="163">
                  <c:v>144.56489999999999</c:v>
                </c:pt>
                <c:pt idx="164">
                  <c:v>144.56489999999999</c:v>
                </c:pt>
                <c:pt idx="165">
                  <c:v>62.045099999999998</c:v>
                </c:pt>
                <c:pt idx="166">
                  <c:v>62.045099999999998</c:v>
                </c:pt>
                <c:pt idx="167">
                  <c:v>62.045099999999998</c:v>
                </c:pt>
                <c:pt idx="168">
                  <c:v>62.045099999999998</c:v>
                </c:pt>
                <c:pt idx="169">
                  <c:v>62.045099999999998</c:v>
                </c:pt>
                <c:pt idx="170">
                  <c:v>40.596600000000002</c:v>
                </c:pt>
                <c:pt idx="171">
                  <c:v>40.596600000000002</c:v>
                </c:pt>
                <c:pt idx="172">
                  <c:v>40.596600000000002</c:v>
                </c:pt>
                <c:pt idx="173">
                  <c:v>40.596600000000002</c:v>
                </c:pt>
                <c:pt idx="174">
                  <c:v>40.596600000000002</c:v>
                </c:pt>
                <c:pt idx="175">
                  <c:v>44.229900000000001</c:v>
                </c:pt>
                <c:pt idx="176">
                  <c:v>44.229900000000001</c:v>
                </c:pt>
                <c:pt idx="177">
                  <c:v>44.229900000000001</c:v>
                </c:pt>
                <c:pt idx="178">
                  <c:v>44.229900000000001</c:v>
                </c:pt>
                <c:pt idx="179">
                  <c:v>44.229900000000001</c:v>
                </c:pt>
                <c:pt idx="180">
                  <c:v>42.077800000000003</c:v>
                </c:pt>
                <c:pt idx="181">
                  <c:v>42.077800000000003</c:v>
                </c:pt>
                <c:pt idx="182">
                  <c:v>42.077800000000003</c:v>
                </c:pt>
                <c:pt idx="183">
                  <c:v>42.077800000000003</c:v>
                </c:pt>
                <c:pt idx="184">
                  <c:v>42.077800000000003</c:v>
                </c:pt>
                <c:pt idx="185">
                  <c:v>110.9374</c:v>
                </c:pt>
                <c:pt idx="186">
                  <c:v>110.9374</c:v>
                </c:pt>
                <c:pt idx="187">
                  <c:v>110.9374</c:v>
                </c:pt>
                <c:pt idx="188">
                  <c:v>110.9374</c:v>
                </c:pt>
                <c:pt idx="189">
                  <c:v>110.9374</c:v>
                </c:pt>
                <c:pt idx="190">
                  <c:v>45.685000000000002</c:v>
                </c:pt>
                <c:pt idx="191">
                  <c:v>45.685000000000002</c:v>
                </c:pt>
                <c:pt idx="192">
                  <c:v>45.685000000000002</c:v>
                </c:pt>
                <c:pt idx="193">
                  <c:v>45.685000000000002</c:v>
                </c:pt>
                <c:pt idx="194">
                  <c:v>45.685000000000002</c:v>
                </c:pt>
                <c:pt idx="195">
                  <c:v>116.61669999999999</c:v>
                </c:pt>
                <c:pt idx="196">
                  <c:v>116.61669999999999</c:v>
                </c:pt>
                <c:pt idx="197">
                  <c:v>116.61669999999999</c:v>
                </c:pt>
                <c:pt idx="198">
                  <c:v>116.61669999999999</c:v>
                </c:pt>
                <c:pt idx="199">
                  <c:v>116.61669999999999</c:v>
                </c:pt>
                <c:pt idx="200">
                  <c:v>86.909700000000001</c:v>
                </c:pt>
                <c:pt idx="201">
                  <c:v>86.909700000000001</c:v>
                </c:pt>
                <c:pt idx="202">
                  <c:v>86.909700000000001</c:v>
                </c:pt>
                <c:pt idx="203">
                  <c:v>86.909700000000001</c:v>
                </c:pt>
                <c:pt idx="204">
                  <c:v>86.909700000000001</c:v>
                </c:pt>
                <c:pt idx="205">
                  <c:v>29.378399999999999</c:v>
                </c:pt>
                <c:pt idx="206">
                  <c:v>29.378399999999999</c:v>
                </c:pt>
                <c:pt idx="207">
                  <c:v>29.378399999999999</c:v>
                </c:pt>
                <c:pt idx="208">
                  <c:v>29.378399999999999</c:v>
                </c:pt>
                <c:pt idx="209">
                  <c:v>29.378399999999999</c:v>
                </c:pt>
                <c:pt idx="210">
                  <c:v>40.948500000000003</c:v>
                </c:pt>
                <c:pt idx="211">
                  <c:v>40.948500000000003</c:v>
                </c:pt>
                <c:pt idx="212">
                  <c:v>40.948500000000003</c:v>
                </c:pt>
                <c:pt idx="213">
                  <c:v>40.948500000000003</c:v>
                </c:pt>
                <c:pt idx="214">
                  <c:v>40.948500000000003</c:v>
                </c:pt>
                <c:pt idx="215">
                  <c:v>22.480499999999999</c:v>
                </c:pt>
                <c:pt idx="216">
                  <c:v>22.480499999999999</c:v>
                </c:pt>
                <c:pt idx="217">
                  <c:v>22.480499999999999</c:v>
                </c:pt>
                <c:pt idx="218">
                  <c:v>22.480499999999999</c:v>
                </c:pt>
                <c:pt idx="219">
                  <c:v>22.480499999999999</c:v>
                </c:pt>
                <c:pt idx="220">
                  <c:v>71.252399999999994</c:v>
                </c:pt>
                <c:pt idx="221">
                  <c:v>71.252399999999994</c:v>
                </c:pt>
                <c:pt idx="222">
                  <c:v>71.252399999999994</c:v>
                </c:pt>
                <c:pt idx="223">
                  <c:v>71.252399999999994</c:v>
                </c:pt>
                <c:pt idx="224">
                  <c:v>71.252399999999994</c:v>
                </c:pt>
                <c:pt idx="225">
                  <c:v>47.081899999999997</c:v>
                </c:pt>
                <c:pt idx="226">
                  <c:v>47.081899999999997</c:v>
                </c:pt>
                <c:pt idx="227">
                  <c:v>47.081899999999997</c:v>
                </c:pt>
                <c:pt idx="228">
                  <c:v>47.081899999999997</c:v>
                </c:pt>
                <c:pt idx="229">
                  <c:v>47.081899999999997</c:v>
                </c:pt>
                <c:pt idx="230">
                  <c:v>50.211500000000001</c:v>
                </c:pt>
                <c:pt idx="231">
                  <c:v>50.211500000000001</c:v>
                </c:pt>
                <c:pt idx="232">
                  <c:v>50.211500000000001</c:v>
                </c:pt>
                <c:pt idx="233">
                  <c:v>50.211500000000001</c:v>
                </c:pt>
                <c:pt idx="234">
                  <c:v>50.211500000000001</c:v>
                </c:pt>
                <c:pt idx="235">
                  <c:v>78.183800000000005</c:v>
                </c:pt>
                <c:pt idx="236">
                  <c:v>78.183800000000005</c:v>
                </c:pt>
                <c:pt idx="237">
                  <c:v>78.183800000000005</c:v>
                </c:pt>
                <c:pt idx="238">
                  <c:v>78.183800000000005</c:v>
                </c:pt>
                <c:pt idx="239">
                  <c:v>78.183800000000005</c:v>
                </c:pt>
                <c:pt idx="240">
                  <c:v>46.715499999999999</c:v>
                </c:pt>
                <c:pt idx="241">
                  <c:v>46.715499999999999</c:v>
                </c:pt>
                <c:pt idx="242">
                  <c:v>46.715499999999999</c:v>
                </c:pt>
                <c:pt idx="243">
                  <c:v>46.715499999999999</c:v>
                </c:pt>
                <c:pt idx="244">
                  <c:v>46.715499999999999</c:v>
                </c:pt>
                <c:pt idx="245">
                  <c:v>37.975200000000001</c:v>
                </c:pt>
                <c:pt idx="246">
                  <c:v>37.975200000000001</c:v>
                </c:pt>
                <c:pt idx="247">
                  <c:v>37.975200000000001</c:v>
                </c:pt>
                <c:pt idx="248">
                  <c:v>37.975200000000001</c:v>
                </c:pt>
                <c:pt idx="249">
                  <c:v>37.975200000000001</c:v>
                </c:pt>
                <c:pt idx="250">
                  <c:v>147.90940000000001</c:v>
                </c:pt>
                <c:pt idx="251">
                  <c:v>147.90940000000001</c:v>
                </c:pt>
                <c:pt idx="252">
                  <c:v>147.90940000000001</c:v>
                </c:pt>
                <c:pt idx="253">
                  <c:v>147.90940000000001</c:v>
                </c:pt>
                <c:pt idx="254">
                  <c:v>147.90940000000001</c:v>
                </c:pt>
                <c:pt idx="255">
                  <c:v>46.387300000000003</c:v>
                </c:pt>
                <c:pt idx="256">
                  <c:v>46.387300000000003</c:v>
                </c:pt>
                <c:pt idx="257">
                  <c:v>46.387300000000003</c:v>
                </c:pt>
                <c:pt idx="258">
                  <c:v>46.387300000000003</c:v>
                </c:pt>
                <c:pt idx="259">
                  <c:v>46.387300000000003</c:v>
                </c:pt>
                <c:pt idx="260">
                  <c:v>67.201700000000002</c:v>
                </c:pt>
                <c:pt idx="261">
                  <c:v>67.201700000000002</c:v>
                </c:pt>
                <c:pt idx="262">
                  <c:v>67.201700000000002</c:v>
                </c:pt>
                <c:pt idx="263">
                  <c:v>67.201700000000002</c:v>
                </c:pt>
                <c:pt idx="264">
                  <c:v>67.201700000000002</c:v>
                </c:pt>
                <c:pt idx="265">
                  <c:v>193.06559999999999</c:v>
                </c:pt>
                <c:pt idx="266">
                  <c:v>193.06559999999999</c:v>
                </c:pt>
                <c:pt idx="267">
                  <c:v>193.06559999999999</c:v>
                </c:pt>
                <c:pt idx="268">
                  <c:v>193.06559999999999</c:v>
                </c:pt>
                <c:pt idx="269">
                  <c:v>193.06559999999999</c:v>
                </c:pt>
                <c:pt idx="270">
                  <c:v>32.3611</c:v>
                </c:pt>
                <c:pt idx="271">
                  <c:v>32.3611</c:v>
                </c:pt>
                <c:pt idx="272">
                  <c:v>32.3611</c:v>
                </c:pt>
                <c:pt idx="273">
                  <c:v>32.3611</c:v>
                </c:pt>
                <c:pt idx="274">
                  <c:v>32.3611</c:v>
                </c:pt>
                <c:pt idx="275">
                  <c:v>196.3066</c:v>
                </c:pt>
                <c:pt idx="276">
                  <c:v>196.3066</c:v>
                </c:pt>
                <c:pt idx="277">
                  <c:v>196.3066</c:v>
                </c:pt>
                <c:pt idx="278">
                  <c:v>196.3066</c:v>
                </c:pt>
                <c:pt idx="279">
                  <c:v>196.3066</c:v>
                </c:pt>
                <c:pt idx="280">
                  <c:v>216.37370000000001</c:v>
                </c:pt>
                <c:pt idx="281">
                  <c:v>216.37370000000001</c:v>
                </c:pt>
                <c:pt idx="282">
                  <c:v>216.37370000000001</c:v>
                </c:pt>
                <c:pt idx="283">
                  <c:v>216.37370000000001</c:v>
                </c:pt>
                <c:pt idx="284">
                  <c:v>216.37370000000001</c:v>
                </c:pt>
                <c:pt idx="285">
                  <c:v>162.48269999999999</c:v>
                </c:pt>
                <c:pt idx="286">
                  <c:v>162.48269999999999</c:v>
                </c:pt>
                <c:pt idx="287">
                  <c:v>162.48269999999999</c:v>
                </c:pt>
                <c:pt idx="288">
                  <c:v>162.48269999999999</c:v>
                </c:pt>
                <c:pt idx="289">
                  <c:v>162.48269999999999</c:v>
                </c:pt>
                <c:pt idx="290">
                  <c:v>33.975000000000001</c:v>
                </c:pt>
                <c:pt idx="291">
                  <c:v>33.975000000000001</c:v>
                </c:pt>
                <c:pt idx="292">
                  <c:v>33.975000000000001</c:v>
                </c:pt>
                <c:pt idx="293">
                  <c:v>33.975000000000001</c:v>
                </c:pt>
                <c:pt idx="294">
                  <c:v>33.975000000000001</c:v>
                </c:pt>
                <c:pt idx="295">
                  <c:v>128.3151</c:v>
                </c:pt>
                <c:pt idx="296">
                  <c:v>128.3151</c:v>
                </c:pt>
                <c:pt idx="297">
                  <c:v>128.3151</c:v>
                </c:pt>
                <c:pt idx="298">
                  <c:v>128.3151</c:v>
                </c:pt>
                <c:pt idx="299">
                  <c:v>128.3151</c:v>
                </c:pt>
                <c:pt idx="300">
                  <c:v>71.576300000000003</c:v>
                </c:pt>
                <c:pt idx="301">
                  <c:v>71.576300000000003</c:v>
                </c:pt>
                <c:pt idx="302">
                  <c:v>71.576300000000003</c:v>
                </c:pt>
                <c:pt idx="303">
                  <c:v>71.576300000000003</c:v>
                </c:pt>
                <c:pt idx="304">
                  <c:v>71.576300000000003</c:v>
                </c:pt>
                <c:pt idx="305">
                  <c:v>82.8583</c:v>
                </c:pt>
                <c:pt idx="306">
                  <c:v>82.8583</c:v>
                </c:pt>
                <c:pt idx="307">
                  <c:v>82.8583</c:v>
                </c:pt>
                <c:pt idx="308">
                  <c:v>82.8583</c:v>
                </c:pt>
                <c:pt idx="309">
                  <c:v>82.8583</c:v>
                </c:pt>
                <c:pt idx="310">
                  <c:v>68.5685</c:v>
                </c:pt>
                <c:pt idx="311">
                  <c:v>68.5685</c:v>
                </c:pt>
                <c:pt idx="312">
                  <c:v>68.5685</c:v>
                </c:pt>
                <c:pt idx="313">
                  <c:v>68.5685</c:v>
                </c:pt>
                <c:pt idx="314">
                  <c:v>68.5685</c:v>
                </c:pt>
                <c:pt idx="315">
                  <c:v>121.4509</c:v>
                </c:pt>
                <c:pt idx="316">
                  <c:v>121.4509</c:v>
                </c:pt>
                <c:pt idx="317">
                  <c:v>121.4509</c:v>
                </c:pt>
                <c:pt idx="318">
                  <c:v>121.4509</c:v>
                </c:pt>
                <c:pt idx="319">
                  <c:v>121.4509</c:v>
                </c:pt>
                <c:pt idx="320">
                  <c:v>871.46709999999996</c:v>
                </c:pt>
                <c:pt idx="321">
                  <c:v>871.46709999999996</c:v>
                </c:pt>
                <c:pt idx="322">
                  <c:v>871.46709999999996</c:v>
                </c:pt>
                <c:pt idx="323">
                  <c:v>871.46709999999996</c:v>
                </c:pt>
                <c:pt idx="324">
                  <c:v>871.46709999999996</c:v>
                </c:pt>
                <c:pt idx="325">
                  <c:v>197.16730000000001</c:v>
                </c:pt>
                <c:pt idx="326">
                  <c:v>197.16730000000001</c:v>
                </c:pt>
                <c:pt idx="327">
                  <c:v>197.16730000000001</c:v>
                </c:pt>
                <c:pt idx="328">
                  <c:v>197.16730000000001</c:v>
                </c:pt>
                <c:pt idx="329">
                  <c:v>197.16730000000001</c:v>
                </c:pt>
                <c:pt idx="330">
                  <c:v>246.17779999999999</c:v>
                </c:pt>
                <c:pt idx="331">
                  <c:v>246.17779999999999</c:v>
                </c:pt>
                <c:pt idx="332">
                  <c:v>246.17779999999999</c:v>
                </c:pt>
                <c:pt idx="333">
                  <c:v>246.17779999999999</c:v>
                </c:pt>
                <c:pt idx="334">
                  <c:v>246.17779999999999</c:v>
                </c:pt>
                <c:pt idx="335">
                  <c:v>58.793900000000001</c:v>
                </c:pt>
                <c:pt idx="336">
                  <c:v>58.793900000000001</c:v>
                </c:pt>
                <c:pt idx="337">
                  <c:v>58.793900000000001</c:v>
                </c:pt>
                <c:pt idx="338">
                  <c:v>58.793900000000001</c:v>
                </c:pt>
                <c:pt idx="339">
                  <c:v>58.793900000000001</c:v>
                </c:pt>
                <c:pt idx="340">
                  <c:v>74.660600000000002</c:v>
                </c:pt>
                <c:pt idx="341">
                  <c:v>74.660600000000002</c:v>
                </c:pt>
                <c:pt idx="342">
                  <c:v>74.660600000000002</c:v>
                </c:pt>
                <c:pt idx="343">
                  <c:v>74.660600000000002</c:v>
                </c:pt>
                <c:pt idx="344">
                  <c:v>74.660600000000002</c:v>
                </c:pt>
                <c:pt idx="345">
                  <c:v>57.777000000000001</c:v>
                </c:pt>
                <c:pt idx="346">
                  <c:v>57.777000000000001</c:v>
                </c:pt>
                <c:pt idx="347">
                  <c:v>57.777000000000001</c:v>
                </c:pt>
                <c:pt idx="348">
                  <c:v>57.777000000000001</c:v>
                </c:pt>
                <c:pt idx="349">
                  <c:v>57.777000000000001</c:v>
                </c:pt>
                <c:pt idx="350">
                  <c:v>59.194699999999997</c:v>
                </c:pt>
                <c:pt idx="351">
                  <c:v>59.194699999999997</c:v>
                </c:pt>
                <c:pt idx="352">
                  <c:v>59.194699999999997</c:v>
                </c:pt>
                <c:pt idx="353">
                  <c:v>59.194699999999997</c:v>
                </c:pt>
                <c:pt idx="354">
                  <c:v>59.194699999999997</c:v>
                </c:pt>
                <c:pt idx="355">
                  <c:v>102.2642</c:v>
                </c:pt>
                <c:pt idx="356">
                  <c:v>102.2642</c:v>
                </c:pt>
                <c:pt idx="357">
                  <c:v>102.2642</c:v>
                </c:pt>
                <c:pt idx="358">
                  <c:v>102.2642</c:v>
                </c:pt>
                <c:pt idx="359">
                  <c:v>102.2642</c:v>
                </c:pt>
                <c:pt idx="360">
                  <c:v>163.04089999999999</c:v>
                </c:pt>
                <c:pt idx="361">
                  <c:v>163.04089999999999</c:v>
                </c:pt>
                <c:pt idx="362">
                  <c:v>163.04089999999999</c:v>
                </c:pt>
                <c:pt idx="363">
                  <c:v>163.04089999999999</c:v>
                </c:pt>
                <c:pt idx="364">
                  <c:v>163.04089999999999</c:v>
                </c:pt>
                <c:pt idx="365">
                  <c:v>433.99869999999999</c:v>
                </c:pt>
                <c:pt idx="366">
                  <c:v>433.99869999999999</c:v>
                </c:pt>
                <c:pt idx="367">
                  <c:v>433.99869999999999</c:v>
                </c:pt>
                <c:pt idx="368">
                  <c:v>433.99869999999999</c:v>
                </c:pt>
                <c:pt idx="369">
                  <c:v>433.99869999999999</c:v>
                </c:pt>
                <c:pt idx="370">
                  <c:v>112.1604</c:v>
                </c:pt>
                <c:pt idx="371">
                  <c:v>112.1604</c:v>
                </c:pt>
                <c:pt idx="372">
                  <c:v>112.1604</c:v>
                </c:pt>
                <c:pt idx="373">
                  <c:v>112.1604</c:v>
                </c:pt>
                <c:pt idx="374">
                  <c:v>112.1604</c:v>
                </c:pt>
                <c:pt idx="375">
                  <c:v>157.4255</c:v>
                </c:pt>
                <c:pt idx="376">
                  <c:v>157.4255</c:v>
                </c:pt>
                <c:pt idx="377">
                  <c:v>157.4255</c:v>
                </c:pt>
                <c:pt idx="378">
                  <c:v>157.4255</c:v>
                </c:pt>
                <c:pt idx="379">
                  <c:v>157.4255</c:v>
                </c:pt>
                <c:pt idx="380">
                  <c:v>257.77480000000003</c:v>
                </c:pt>
                <c:pt idx="381">
                  <c:v>257.77480000000003</c:v>
                </c:pt>
                <c:pt idx="382">
                  <c:v>257.77480000000003</c:v>
                </c:pt>
                <c:pt idx="383">
                  <c:v>257.77480000000003</c:v>
                </c:pt>
                <c:pt idx="384">
                  <c:v>257.77480000000003</c:v>
                </c:pt>
                <c:pt idx="385">
                  <c:v>575.53229999999996</c:v>
                </c:pt>
                <c:pt idx="386">
                  <c:v>575.53229999999996</c:v>
                </c:pt>
                <c:pt idx="387">
                  <c:v>575.53229999999996</c:v>
                </c:pt>
                <c:pt idx="388">
                  <c:v>575.53229999999996</c:v>
                </c:pt>
                <c:pt idx="389">
                  <c:v>575.53229999999996</c:v>
                </c:pt>
                <c:pt idx="390">
                  <c:v>60.4895</c:v>
                </c:pt>
                <c:pt idx="391">
                  <c:v>60.4895</c:v>
                </c:pt>
                <c:pt idx="392">
                  <c:v>60.4895</c:v>
                </c:pt>
                <c:pt idx="393">
                  <c:v>60.4895</c:v>
                </c:pt>
                <c:pt idx="394">
                  <c:v>60.4895</c:v>
                </c:pt>
                <c:pt idx="395">
                  <c:v>85.030199999999994</c:v>
                </c:pt>
                <c:pt idx="396">
                  <c:v>85.030199999999994</c:v>
                </c:pt>
                <c:pt idx="397">
                  <c:v>85.030199999999994</c:v>
                </c:pt>
                <c:pt idx="398">
                  <c:v>85.030199999999994</c:v>
                </c:pt>
                <c:pt idx="399">
                  <c:v>85.030199999999994</c:v>
                </c:pt>
                <c:pt idx="400">
                  <c:v>53.763199999999998</c:v>
                </c:pt>
                <c:pt idx="401">
                  <c:v>53.763199999999998</c:v>
                </c:pt>
                <c:pt idx="402">
                  <c:v>53.763199999999998</c:v>
                </c:pt>
                <c:pt idx="403">
                  <c:v>53.763199999999998</c:v>
                </c:pt>
                <c:pt idx="404">
                  <c:v>53.763199999999998</c:v>
                </c:pt>
                <c:pt idx="405">
                  <c:v>45.062899999999999</c:v>
                </c:pt>
                <c:pt idx="406">
                  <c:v>45.062899999999999</c:v>
                </c:pt>
                <c:pt idx="407">
                  <c:v>45.062899999999999</c:v>
                </c:pt>
                <c:pt idx="408">
                  <c:v>45.062899999999999</c:v>
                </c:pt>
                <c:pt idx="409">
                  <c:v>45.062899999999999</c:v>
                </c:pt>
                <c:pt idx="410">
                  <c:v>130.6061</c:v>
                </c:pt>
                <c:pt idx="411">
                  <c:v>130.6061</c:v>
                </c:pt>
                <c:pt idx="412">
                  <c:v>130.6061</c:v>
                </c:pt>
                <c:pt idx="413">
                  <c:v>130.6061</c:v>
                </c:pt>
                <c:pt idx="414">
                  <c:v>130.6061</c:v>
                </c:pt>
                <c:pt idx="415">
                  <c:v>105.63339999999999</c:v>
                </c:pt>
                <c:pt idx="416">
                  <c:v>105.63339999999999</c:v>
                </c:pt>
                <c:pt idx="417">
                  <c:v>105.63339999999999</c:v>
                </c:pt>
                <c:pt idx="418">
                  <c:v>105.63339999999999</c:v>
                </c:pt>
                <c:pt idx="419">
                  <c:v>105.63339999999999</c:v>
                </c:pt>
                <c:pt idx="420">
                  <c:v>60.2333</c:v>
                </c:pt>
                <c:pt idx="421">
                  <c:v>60.2333</c:v>
                </c:pt>
                <c:pt idx="422">
                  <c:v>60.2333</c:v>
                </c:pt>
                <c:pt idx="423">
                  <c:v>60.2333</c:v>
                </c:pt>
                <c:pt idx="424">
                  <c:v>60.2333</c:v>
                </c:pt>
                <c:pt idx="425">
                  <c:v>264.68369999999999</c:v>
                </c:pt>
                <c:pt idx="426">
                  <c:v>264.68369999999999</c:v>
                </c:pt>
                <c:pt idx="427">
                  <c:v>264.68369999999999</c:v>
                </c:pt>
                <c:pt idx="428">
                  <c:v>264.68369999999999</c:v>
                </c:pt>
                <c:pt idx="429">
                  <c:v>264.68369999999999</c:v>
                </c:pt>
                <c:pt idx="430">
                  <c:v>49.747700000000002</c:v>
                </c:pt>
                <c:pt idx="431">
                  <c:v>49.747700000000002</c:v>
                </c:pt>
                <c:pt idx="432">
                  <c:v>49.747700000000002</c:v>
                </c:pt>
                <c:pt idx="433">
                  <c:v>49.747700000000002</c:v>
                </c:pt>
                <c:pt idx="434">
                  <c:v>49.747700000000002</c:v>
                </c:pt>
                <c:pt idx="435">
                  <c:v>72.997600000000006</c:v>
                </c:pt>
                <c:pt idx="436">
                  <c:v>72.997600000000006</c:v>
                </c:pt>
                <c:pt idx="437">
                  <c:v>72.997600000000006</c:v>
                </c:pt>
                <c:pt idx="438">
                  <c:v>72.997600000000006</c:v>
                </c:pt>
                <c:pt idx="439">
                  <c:v>72.997600000000006</c:v>
                </c:pt>
                <c:pt idx="440">
                  <c:v>49.386000000000003</c:v>
                </c:pt>
                <c:pt idx="441">
                  <c:v>49.386000000000003</c:v>
                </c:pt>
                <c:pt idx="442">
                  <c:v>49.386000000000003</c:v>
                </c:pt>
                <c:pt idx="443">
                  <c:v>49.386000000000003</c:v>
                </c:pt>
                <c:pt idx="444">
                  <c:v>49.386000000000003</c:v>
                </c:pt>
                <c:pt idx="445">
                  <c:v>48.904400000000003</c:v>
                </c:pt>
                <c:pt idx="446">
                  <c:v>48.904400000000003</c:v>
                </c:pt>
                <c:pt idx="447">
                  <c:v>48.904400000000003</c:v>
                </c:pt>
                <c:pt idx="448">
                  <c:v>48.904400000000003</c:v>
                </c:pt>
                <c:pt idx="449">
                  <c:v>48.904400000000003</c:v>
                </c:pt>
                <c:pt idx="450">
                  <c:v>157.7516</c:v>
                </c:pt>
                <c:pt idx="451">
                  <c:v>157.7516</c:v>
                </c:pt>
                <c:pt idx="452">
                  <c:v>157.7516</c:v>
                </c:pt>
                <c:pt idx="453">
                  <c:v>157.7516</c:v>
                </c:pt>
                <c:pt idx="454">
                  <c:v>157.7516</c:v>
                </c:pt>
                <c:pt idx="455">
                  <c:v>263.0154</c:v>
                </c:pt>
                <c:pt idx="456">
                  <c:v>263.0154</c:v>
                </c:pt>
                <c:pt idx="457">
                  <c:v>263.0154</c:v>
                </c:pt>
                <c:pt idx="458">
                  <c:v>263.0154</c:v>
                </c:pt>
                <c:pt idx="459">
                  <c:v>263.0154</c:v>
                </c:pt>
                <c:pt idx="460">
                  <c:v>475.48169999999999</c:v>
                </c:pt>
                <c:pt idx="461">
                  <c:v>475.48169999999999</c:v>
                </c:pt>
                <c:pt idx="462">
                  <c:v>475.48169999999999</c:v>
                </c:pt>
                <c:pt idx="463">
                  <c:v>475.48169999999999</c:v>
                </c:pt>
                <c:pt idx="464">
                  <c:v>475.48169999999999</c:v>
                </c:pt>
                <c:pt idx="465">
                  <c:v>477.08699999999999</c:v>
                </c:pt>
                <c:pt idx="466">
                  <c:v>477.08699999999999</c:v>
                </c:pt>
                <c:pt idx="467">
                  <c:v>477.08699999999999</c:v>
                </c:pt>
                <c:pt idx="468">
                  <c:v>477.08699999999999</c:v>
                </c:pt>
                <c:pt idx="469">
                  <c:v>477.08699999999999</c:v>
                </c:pt>
                <c:pt idx="470">
                  <c:v>475.96080000000001</c:v>
                </c:pt>
                <c:pt idx="471">
                  <c:v>475.96080000000001</c:v>
                </c:pt>
                <c:pt idx="472">
                  <c:v>475.96080000000001</c:v>
                </c:pt>
                <c:pt idx="473">
                  <c:v>475.96080000000001</c:v>
                </c:pt>
                <c:pt idx="474">
                  <c:v>475.96080000000001</c:v>
                </c:pt>
                <c:pt idx="475">
                  <c:v>337.71859999999998</c:v>
                </c:pt>
                <c:pt idx="476">
                  <c:v>337.71859999999998</c:v>
                </c:pt>
                <c:pt idx="477">
                  <c:v>337.71859999999998</c:v>
                </c:pt>
                <c:pt idx="478">
                  <c:v>337.71859999999998</c:v>
                </c:pt>
                <c:pt idx="479">
                  <c:v>337.71859999999998</c:v>
                </c:pt>
              </c:numCache>
            </c:numRef>
          </c:xVal>
          <c:yVal>
            <c:numRef>
              <c:f>D_enf!$E$5:$E$484</c:f>
              <c:numCache>
                <c:formatCode>General</c:formatCode>
                <c:ptCount val="480"/>
                <c:pt idx="5">
                  <c:v>0.51719999999999999</c:v>
                </c:pt>
                <c:pt idx="6">
                  <c:v>0.5202</c:v>
                </c:pt>
                <c:pt idx="7">
                  <c:v>0.5363</c:v>
                </c:pt>
                <c:pt idx="8">
                  <c:v>0.5403</c:v>
                </c:pt>
                <c:pt idx="9">
                  <c:v>0.54300000000000004</c:v>
                </c:pt>
                <c:pt idx="10">
                  <c:v>0.46529999999999999</c:v>
                </c:pt>
                <c:pt idx="11">
                  <c:v>0.46939999999999998</c:v>
                </c:pt>
                <c:pt idx="12">
                  <c:v>0.4748</c:v>
                </c:pt>
                <c:pt idx="13">
                  <c:v>0.47760000000000002</c:v>
                </c:pt>
                <c:pt idx="14">
                  <c:v>0.48280000000000001</c:v>
                </c:pt>
                <c:pt idx="15">
                  <c:v>0.51800000000000002</c:v>
                </c:pt>
                <c:pt idx="16">
                  <c:v>0.52100000000000002</c:v>
                </c:pt>
                <c:pt idx="17">
                  <c:v>0.53680000000000005</c:v>
                </c:pt>
                <c:pt idx="18">
                  <c:v>0.54079999999999995</c:v>
                </c:pt>
                <c:pt idx="19">
                  <c:v>0.54379999999999995</c:v>
                </c:pt>
                <c:pt idx="20">
                  <c:v>0.52010000000000001</c:v>
                </c:pt>
                <c:pt idx="21">
                  <c:v>0.52949999999999997</c:v>
                </c:pt>
                <c:pt idx="22">
                  <c:v>0.53720000000000001</c:v>
                </c:pt>
                <c:pt idx="23">
                  <c:v>0.53990000000000005</c:v>
                </c:pt>
                <c:pt idx="24">
                  <c:v>0.54800000000000004</c:v>
                </c:pt>
                <c:pt idx="25">
                  <c:v>0.31530000000000002</c:v>
                </c:pt>
                <c:pt idx="26">
                  <c:v>0.3246</c:v>
                </c:pt>
                <c:pt idx="27">
                  <c:v>0.33229999999999998</c:v>
                </c:pt>
                <c:pt idx="28">
                  <c:v>0.34739999999999999</c:v>
                </c:pt>
                <c:pt idx="29">
                  <c:v>0.35489999999999999</c:v>
                </c:pt>
                <c:pt idx="30">
                  <c:v>0.76049999999999995</c:v>
                </c:pt>
                <c:pt idx="31">
                  <c:v>0.76539999999999997</c:v>
                </c:pt>
                <c:pt idx="32">
                  <c:v>0.77059999999999995</c:v>
                </c:pt>
                <c:pt idx="33">
                  <c:v>0.77429999999999999</c:v>
                </c:pt>
                <c:pt idx="34">
                  <c:v>0.77749999999999997</c:v>
                </c:pt>
                <c:pt idx="35">
                  <c:v>0.44879999999999998</c:v>
                </c:pt>
                <c:pt idx="36">
                  <c:v>0.45810000000000001</c:v>
                </c:pt>
                <c:pt idx="37">
                  <c:v>0.46560000000000001</c:v>
                </c:pt>
                <c:pt idx="38">
                  <c:v>0.47099999999999997</c:v>
                </c:pt>
                <c:pt idx="39">
                  <c:v>0.4748</c:v>
                </c:pt>
                <c:pt idx="40">
                  <c:v>0.37840000000000001</c:v>
                </c:pt>
                <c:pt idx="41">
                  <c:v>0.3921</c:v>
                </c:pt>
                <c:pt idx="42">
                  <c:v>0.40570000000000001</c:v>
                </c:pt>
                <c:pt idx="43">
                  <c:v>0.41810000000000003</c:v>
                </c:pt>
                <c:pt idx="44">
                  <c:v>0.42949999999999999</c:v>
                </c:pt>
                <c:pt idx="45">
                  <c:v>0.32090000000000002</c:v>
                </c:pt>
                <c:pt idx="46">
                  <c:v>0.32340000000000002</c:v>
                </c:pt>
                <c:pt idx="47">
                  <c:v>0.3281</c:v>
                </c:pt>
                <c:pt idx="48">
                  <c:v>0.33510000000000001</c:v>
                </c:pt>
                <c:pt idx="49">
                  <c:v>0.35099999999999998</c:v>
                </c:pt>
                <c:pt idx="50">
                  <c:v>0.46750000000000003</c:v>
                </c:pt>
                <c:pt idx="51">
                  <c:v>0.47289999999999999</c:v>
                </c:pt>
                <c:pt idx="52">
                  <c:v>0.48010000000000003</c:v>
                </c:pt>
                <c:pt idx="53">
                  <c:v>0.48499999999999999</c:v>
                </c:pt>
                <c:pt idx="54">
                  <c:v>0.49149999999999999</c:v>
                </c:pt>
                <c:pt idx="55">
                  <c:v>0.43680000000000002</c:v>
                </c:pt>
                <c:pt idx="56">
                  <c:v>0.44490000000000002</c:v>
                </c:pt>
                <c:pt idx="57">
                  <c:v>0.4521</c:v>
                </c:pt>
                <c:pt idx="58">
                  <c:v>0.45579999999999998</c:v>
                </c:pt>
                <c:pt idx="59">
                  <c:v>0.4602</c:v>
                </c:pt>
                <c:pt idx="60">
                  <c:v>0.46389999999999998</c:v>
                </c:pt>
                <c:pt idx="61">
                  <c:v>0.4763</c:v>
                </c:pt>
                <c:pt idx="62">
                  <c:v>0.49530000000000002</c:v>
                </c:pt>
                <c:pt idx="63">
                  <c:v>0.50670000000000004</c:v>
                </c:pt>
                <c:pt idx="64">
                  <c:v>0.51529999999999998</c:v>
                </c:pt>
                <c:pt idx="65">
                  <c:v>0.50900000000000001</c:v>
                </c:pt>
                <c:pt idx="66">
                  <c:v>0.51849999999999996</c:v>
                </c:pt>
                <c:pt idx="67">
                  <c:v>0.53349999999999997</c:v>
                </c:pt>
                <c:pt idx="68">
                  <c:v>0.55030000000000001</c:v>
                </c:pt>
                <c:pt idx="69">
                  <c:v>0.55769999999999997</c:v>
                </c:pt>
                <c:pt idx="70">
                  <c:v>0.4244</c:v>
                </c:pt>
                <c:pt idx="71">
                  <c:v>0.42599999999999999</c:v>
                </c:pt>
                <c:pt idx="72">
                  <c:v>0.43090000000000001</c:v>
                </c:pt>
                <c:pt idx="73">
                  <c:v>0.44</c:v>
                </c:pt>
                <c:pt idx="74">
                  <c:v>0.44669999999999999</c:v>
                </c:pt>
                <c:pt idx="75">
                  <c:v>0.37119999999999997</c:v>
                </c:pt>
                <c:pt idx="76">
                  <c:v>0.37919999999999998</c:v>
                </c:pt>
                <c:pt idx="77">
                  <c:v>0.38550000000000001</c:v>
                </c:pt>
                <c:pt idx="78">
                  <c:v>0.39190000000000003</c:v>
                </c:pt>
                <c:pt idx="79">
                  <c:v>0.3977</c:v>
                </c:pt>
                <c:pt idx="80">
                  <c:v>0.43530000000000002</c:v>
                </c:pt>
                <c:pt idx="81">
                  <c:v>0.43759999999999999</c:v>
                </c:pt>
                <c:pt idx="82">
                  <c:v>0.44590000000000002</c:v>
                </c:pt>
                <c:pt idx="83">
                  <c:v>0.45319999999999999</c:v>
                </c:pt>
                <c:pt idx="84">
                  <c:v>0.46300000000000002</c:v>
                </c:pt>
                <c:pt idx="85">
                  <c:v>0.41520000000000001</c:v>
                </c:pt>
                <c:pt idx="86">
                  <c:v>0.4234</c:v>
                </c:pt>
                <c:pt idx="87">
                  <c:v>0.43120000000000003</c:v>
                </c:pt>
                <c:pt idx="88">
                  <c:v>0.43809999999999999</c:v>
                </c:pt>
                <c:pt idx="89">
                  <c:v>0.44340000000000002</c:v>
                </c:pt>
                <c:pt idx="90">
                  <c:v>0.51790000000000003</c:v>
                </c:pt>
                <c:pt idx="91">
                  <c:v>0.51929999999999998</c:v>
                </c:pt>
                <c:pt idx="92">
                  <c:v>0.52639999999999998</c:v>
                </c:pt>
                <c:pt idx="93">
                  <c:v>0.53259999999999996</c:v>
                </c:pt>
                <c:pt idx="94">
                  <c:v>0.53879999999999995</c:v>
                </c:pt>
                <c:pt idx="95">
                  <c:v>0.50149999999999995</c:v>
                </c:pt>
                <c:pt idx="96">
                  <c:v>0.51380000000000003</c:v>
                </c:pt>
                <c:pt idx="97">
                  <c:v>0.52700000000000002</c:v>
                </c:pt>
                <c:pt idx="98">
                  <c:v>0.54239999999999999</c:v>
                </c:pt>
                <c:pt idx="99">
                  <c:v>0.55530000000000002</c:v>
                </c:pt>
                <c:pt idx="100">
                  <c:v>0.45229999999999998</c:v>
                </c:pt>
                <c:pt idx="101">
                  <c:v>0.45679999999999998</c:v>
                </c:pt>
                <c:pt idx="102">
                  <c:v>0.46729999999999999</c:v>
                </c:pt>
                <c:pt idx="103">
                  <c:v>0.47049999999999997</c:v>
                </c:pt>
                <c:pt idx="104">
                  <c:v>0.47549999999999998</c:v>
                </c:pt>
                <c:pt idx="105">
                  <c:v>0.4229</c:v>
                </c:pt>
                <c:pt idx="106">
                  <c:v>0.4279</c:v>
                </c:pt>
                <c:pt idx="107">
                  <c:v>0.44240000000000002</c:v>
                </c:pt>
                <c:pt idx="108">
                  <c:v>0.4486</c:v>
                </c:pt>
                <c:pt idx="109">
                  <c:v>0.46060000000000001</c:v>
                </c:pt>
                <c:pt idx="110">
                  <c:v>0.48420000000000002</c:v>
                </c:pt>
                <c:pt idx="111">
                  <c:v>0.49180000000000001</c:v>
                </c:pt>
                <c:pt idx="112">
                  <c:v>0.49840000000000001</c:v>
                </c:pt>
                <c:pt idx="113">
                  <c:v>0.50600000000000001</c:v>
                </c:pt>
                <c:pt idx="114">
                  <c:v>0.5111</c:v>
                </c:pt>
                <c:pt idx="115">
                  <c:v>0.35439999999999999</c:v>
                </c:pt>
                <c:pt idx="116">
                  <c:v>0.3639</c:v>
                </c:pt>
                <c:pt idx="117">
                  <c:v>0.37009999999999998</c:v>
                </c:pt>
                <c:pt idx="118">
                  <c:v>0.37319999999999998</c:v>
                </c:pt>
                <c:pt idx="119">
                  <c:v>0.37890000000000001</c:v>
                </c:pt>
                <c:pt idx="120">
                  <c:v>0.5403</c:v>
                </c:pt>
                <c:pt idx="121">
                  <c:v>0.54800000000000004</c:v>
                </c:pt>
                <c:pt idx="122">
                  <c:v>0.5615</c:v>
                </c:pt>
                <c:pt idx="123">
                  <c:v>0.56499999999999995</c:v>
                </c:pt>
                <c:pt idx="124">
                  <c:v>0.57399999999999995</c:v>
                </c:pt>
                <c:pt idx="125">
                  <c:v>0.5343</c:v>
                </c:pt>
                <c:pt idx="126">
                  <c:v>0.53759999999999997</c:v>
                </c:pt>
                <c:pt idx="127">
                  <c:v>0.55049999999999999</c:v>
                </c:pt>
                <c:pt idx="128">
                  <c:v>0.56130000000000002</c:v>
                </c:pt>
                <c:pt idx="129">
                  <c:v>0.56620000000000004</c:v>
                </c:pt>
                <c:pt idx="130">
                  <c:v>0.25219999999999998</c:v>
                </c:pt>
                <c:pt idx="131">
                  <c:v>0.25509999999999999</c:v>
                </c:pt>
                <c:pt idx="132">
                  <c:v>0.26100000000000001</c:v>
                </c:pt>
                <c:pt idx="133">
                  <c:v>0.2666</c:v>
                </c:pt>
                <c:pt idx="134">
                  <c:v>0.27510000000000001</c:v>
                </c:pt>
                <c:pt idx="135">
                  <c:v>0.71430000000000005</c:v>
                </c:pt>
                <c:pt idx="136">
                  <c:v>0.72189999999999999</c:v>
                </c:pt>
                <c:pt idx="137">
                  <c:v>0.72760000000000002</c:v>
                </c:pt>
                <c:pt idx="138">
                  <c:v>0.72989999999999999</c:v>
                </c:pt>
                <c:pt idx="139">
                  <c:v>0.73360000000000003</c:v>
                </c:pt>
                <c:pt idx="140">
                  <c:v>0.62339999999999995</c:v>
                </c:pt>
                <c:pt idx="141">
                  <c:v>0.63300000000000001</c:v>
                </c:pt>
                <c:pt idx="142">
                  <c:v>0.64100000000000001</c:v>
                </c:pt>
                <c:pt idx="143">
                  <c:v>0.64439999999999997</c:v>
                </c:pt>
                <c:pt idx="144">
                  <c:v>0.64980000000000004</c:v>
                </c:pt>
                <c:pt idx="145">
                  <c:v>0.372</c:v>
                </c:pt>
                <c:pt idx="146">
                  <c:v>0.37909999999999999</c:v>
                </c:pt>
                <c:pt idx="147">
                  <c:v>0.38779999999999998</c:v>
                </c:pt>
                <c:pt idx="148">
                  <c:v>0.39140000000000003</c:v>
                </c:pt>
                <c:pt idx="149">
                  <c:v>0.39650000000000002</c:v>
                </c:pt>
                <c:pt idx="150">
                  <c:v>0.36420000000000002</c:v>
                </c:pt>
                <c:pt idx="151">
                  <c:v>0.36969999999999997</c:v>
                </c:pt>
                <c:pt idx="152">
                  <c:v>0.38009999999999999</c:v>
                </c:pt>
                <c:pt idx="153">
                  <c:v>0.38829999999999998</c:v>
                </c:pt>
                <c:pt idx="154">
                  <c:v>0.39839999999999998</c:v>
                </c:pt>
                <c:pt idx="155">
                  <c:v>0.42199999999999999</c:v>
                </c:pt>
                <c:pt idx="156">
                  <c:v>0.4269</c:v>
                </c:pt>
                <c:pt idx="157">
                  <c:v>0.43459999999999999</c:v>
                </c:pt>
                <c:pt idx="158">
                  <c:v>0.4395</c:v>
                </c:pt>
                <c:pt idx="159">
                  <c:v>0.44790000000000002</c:v>
                </c:pt>
                <c:pt idx="160">
                  <c:v>0.52149999999999996</c:v>
                </c:pt>
                <c:pt idx="161">
                  <c:v>0.52669999999999995</c:v>
                </c:pt>
                <c:pt idx="162">
                  <c:v>0.53259999999999996</c:v>
                </c:pt>
                <c:pt idx="163">
                  <c:v>0.5413</c:v>
                </c:pt>
                <c:pt idx="164">
                  <c:v>0.55779999999999996</c:v>
                </c:pt>
                <c:pt idx="165">
                  <c:v>0.39400000000000002</c:v>
                </c:pt>
                <c:pt idx="166">
                  <c:v>0.39889999999999998</c:v>
                </c:pt>
                <c:pt idx="167">
                  <c:v>0.4042</c:v>
                </c:pt>
                <c:pt idx="168">
                  <c:v>0.4118</c:v>
                </c:pt>
                <c:pt idx="169">
                  <c:v>0.4199</c:v>
                </c:pt>
                <c:pt idx="170">
                  <c:v>0.4214</c:v>
                </c:pt>
                <c:pt idx="171">
                  <c:v>0.42799999999999999</c:v>
                </c:pt>
                <c:pt idx="172">
                  <c:v>0.43580000000000002</c:v>
                </c:pt>
                <c:pt idx="173">
                  <c:v>0.44190000000000002</c:v>
                </c:pt>
                <c:pt idx="174">
                  <c:v>0.44929999999999998</c:v>
                </c:pt>
                <c:pt idx="175">
                  <c:v>0.68559999999999999</c:v>
                </c:pt>
                <c:pt idx="176">
                  <c:v>0.6905</c:v>
                </c:pt>
                <c:pt idx="177">
                  <c:v>0.70189999999999997</c:v>
                </c:pt>
                <c:pt idx="178">
                  <c:v>0.70550000000000002</c:v>
                </c:pt>
                <c:pt idx="179">
                  <c:v>0.71150000000000002</c:v>
                </c:pt>
                <c:pt idx="180">
                  <c:v>0.46150000000000002</c:v>
                </c:pt>
                <c:pt idx="181">
                  <c:v>0.46700000000000003</c:v>
                </c:pt>
                <c:pt idx="182">
                  <c:v>0.47449999999999998</c:v>
                </c:pt>
                <c:pt idx="183">
                  <c:v>0.47860000000000003</c:v>
                </c:pt>
                <c:pt idx="184">
                  <c:v>0.48220000000000002</c:v>
                </c:pt>
                <c:pt idx="185">
                  <c:v>0.42720000000000002</c:v>
                </c:pt>
                <c:pt idx="186">
                  <c:v>0.4299</c:v>
                </c:pt>
                <c:pt idx="187">
                  <c:v>0.43180000000000002</c:v>
                </c:pt>
                <c:pt idx="188">
                  <c:v>0.43480000000000002</c:v>
                </c:pt>
                <c:pt idx="189">
                  <c:v>0.44069999999999998</c:v>
                </c:pt>
                <c:pt idx="190">
                  <c:v>0.5585</c:v>
                </c:pt>
                <c:pt idx="191">
                  <c:v>0.56289999999999996</c:v>
                </c:pt>
                <c:pt idx="192">
                  <c:v>0.5756</c:v>
                </c:pt>
                <c:pt idx="193">
                  <c:v>0.58350000000000002</c:v>
                </c:pt>
                <c:pt idx="194">
                  <c:v>0.59279999999999999</c:v>
                </c:pt>
                <c:pt idx="195">
                  <c:v>0.46350000000000002</c:v>
                </c:pt>
                <c:pt idx="196">
                  <c:v>0.4703</c:v>
                </c:pt>
                <c:pt idx="197">
                  <c:v>0.4763</c:v>
                </c:pt>
                <c:pt idx="198">
                  <c:v>0.4824</c:v>
                </c:pt>
                <c:pt idx="199">
                  <c:v>0.48849999999999999</c:v>
                </c:pt>
                <c:pt idx="200">
                  <c:v>0.49780000000000002</c:v>
                </c:pt>
                <c:pt idx="201">
                  <c:v>0.50280000000000002</c:v>
                </c:pt>
                <c:pt idx="202">
                  <c:v>0.50829999999999997</c:v>
                </c:pt>
                <c:pt idx="203">
                  <c:v>0.51470000000000005</c:v>
                </c:pt>
                <c:pt idx="204">
                  <c:v>0.52049999999999996</c:v>
                </c:pt>
                <c:pt idx="205">
                  <c:v>0.38119999999999998</c:v>
                </c:pt>
                <c:pt idx="206">
                  <c:v>0.38640000000000002</c:v>
                </c:pt>
                <c:pt idx="207">
                  <c:v>0.39629999999999999</c:v>
                </c:pt>
                <c:pt idx="208">
                  <c:v>0.39889999999999998</c:v>
                </c:pt>
                <c:pt idx="209">
                  <c:v>0.40389999999999998</c:v>
                </c:pt>
                <c:pt idx="210">
                  <c:v>0.40129999999999999</c:v>
                </c:pt>
                <c:pt idx="211">
                  <c:v>0.40550000000000003</c:v>
                </c:pt>
                <c:pt idx="212">
                  <c:v>0.41310000000000002</c:v>
                </c:pt>
                <c:pt idx="213">
                  <c:v>0.41399999999999998</c:v>
                </c:pt>
                <c:pt idx="214">
                  <c:v>0.41810000000000003</c:v>
                </c:pt>
                <c:pt idx="215">
                  <c:v>0.44330000000000003</c:v>
                </c:pt>
                <c:pt idx="216">
                  <c:v>0.4486</c:v>
                </c:pt>
                <c:pt idx="217">
                  <c:v>0.45500000000000002</c:v>
                </c:pt>
                <c:pt idx="218">
                  <c:v>0.46389999999999998</c:v>
                </c:pt>
                <c:pt idx="219">
                  <c:v>0.47060000000000002</c:v>
                </c:pt>
                <c:pt idx="220">
                  <c:v>0.35499999999999998</c:v>
                </c:pt>
                <c:pt idx="221">
                  <c:v>0.36299999999999999</c:v>
                </c:pt>
                <c:pt idx="222">
                  <c:v>0.3695</c:v>
                </c:pt>
                <c:pt idx="223">
                  <c:v>0.37580000000000002</c:v>
                </c:pt>
                <c:pt idx="224">
                  <c:v>0.38169999999999998</c:v>
                </c:pt>
                <c:pt idx="225">
                  <c:v>0.49780000000000002</c:v>
                </c:pt>
                <c:pt idx="226">
                  <c:v>0.50480000000000003</c:v>
                </c:pt>
                <c:pt idx="227">
                  <c:v>0.51339999999999997</c:v>
                </c:pt>
                <c:pt idx="228">
                  <c:v>0.51870000000000005</c:v>
                </c:pt>
                <c:pt idx="229">
                  <c:v>0.52659999999999996</c:v>
                </c:pt>
                <c:pt idx="230">
                  <c:v>0.33119999999999999</c:v>
                </c:pt>
                <c:pt idx="231">
                  <c:v>0.33679999999999999</c:v>
                </c:pt>
                <c:pt idx="232">
                  <c:v>0.3468</c:v>
                </c:pt>
                <c:pt idx="233">
                  <c:v>0.3498</c:v>
                </c:pt>
                <c:pt idx="234">
                  <c:v>0.35260000000000002</c:v>
                </c:pt>
                <c:pt idx="235">
                  <c:v>0.52810000000000001</c:v>
                </c:pt>
                <c:pt idx="236">
                  <c:v>0.53959999999999997</c:v>
                </c:pt>
                <c:pt idx="237">
                  <c:v>0.55049999999999999</c:v>
                </c:pt>
                <c:pt idx="238">
                  <c:v>0.56289999999999996</c:v>
                </c:pt>
                <c:pt idx="239">
                  <c:v>0.57089999999999996</c:v>
                </c:pt>
                <c:pt idx="240">
                  <c:v>0.38790000000000002</c:v>
                </c:pt>
                <c:pt idx="241">
                  <c:v>0.3967</c:v>
                </c:pt>
                <c:pt idx="242">
                  <c:v>0.40250000000000002</c:v>
                </c:pt>
                <c:pt idx="243">
                  <c:v>0.40649999999999997</c:v>
                </c:pt>
                <c:pt idx="244">
                  <c:v>0.40920000000000001</c:v>
                </c:pt>
                <c:pt idx="245">
                  <c:v>0.29149999999999998</c:v>
                </c:pt>
                <c:pt idx="246">
                  <c:v>0.29870000000000002</c:v>
                </c:pt>
                <c:pt idx="247">
                  <c:v>0.3039</c:v>
                </c:pt>
                <c:pt idx="248">
                  <c:v>0.30940000000000001</c:v>
                </c:pt>
                <c:pt idx="249">
                  <c:v>0.31469999999999998</c:v>
                </c:pt>
                <c:pt idx="250">
                  <c:v>0.5444</c:v>
                </c:pt>
                <c:pt idx="251">
                  <c:v>0.54690000000000005</c:v>
                </c:pt>
                <c:pt idx="252">
                  <c:v>0.54979999999999996</c:v>
                </c:pt>
                <c:pt idx="253">
                  <c:v>0.55149999999999999</c:v>
                </c:pt>
                <c:pt idx="254">
                  <c:v>0.55410000000000004</c:v>
                </c:pt>
                <c:pt idx="255">
                  <c:v>0.39040000000000002</c:v>
                </c:pt>
                <c:pt idx="256">
                  <c:v>0.39639999999999997</c:v>
                </c:pt>
                <c:pt idx="257">
                  <c:v>0.40629999999999999</c:v>
                </c:pt>
                <c:pt idx="258">
                  <c:v>0.4118</c:v>
                </c:pt>
                <c:pt idx="259">
                  <c:v>0.42099999999999999</c:v>
                </c:pt>
                <c:pt idx="260">
                  <c:v>0.43569999999999998</c:v>
                </c:pt>
                <c:pt idx="261">
                  <c:v>0.4451</c:v>
                </c:pt>
                <c:pt idx="262">
                  <c:v>0.45369999999999999</c:v>
                </c:pt>
                <c:pt idx="263">
                  <c:v>0.45729999999999998</c:v>
                </c:pt>
                <c:pt idx="264">
                  <c:v>0.4612</c:v>
                </c:pt>
                <c:pt idx="265">
                  <c:v>0.53649999999999998</c:v>
                </c:pt>
                <c:pt idx="266">
                  <c:v>0.53969999999999996</c:v>
                </c:pt>
                <c:pt idx="267">
                  <c:v>0.54559999999999997</c:v>
                </c:pt>
                <c:pt idx="268">
                  <c:v>0.54890000000000005</c:v>
                </c:pt>
                <c:pt idx="269">
                  <c:v>0.55220000000000002</c:v>
                </c:pt>
                <c:pt idx="270">
                  <c:v>0.36559999999999998</c:v>
                </c:pt>
                <c:pt idx="271">
                  <c:v>0.36599999999999999</c:v>
                </c:pt>
                <c:pt idx="272">
                  <c:v>0.36899999999999999</c:v>
                </c:pt>
                <c:pt idx="273">
                  <c:v>0.37040000000000001</c:v>
                </c:pt>
                <c:pt idx="274">
                  <c:v>0.375</c:v>
                </c:pt>
                <c:pt idx="275">
                  <c:v>0.71409999999999996</c:v>
                </c:pt>
                <c:pt idx="276">
                  <c:v>0.71719999999999995</c:v>
                </c:pt>
                <c:pt idx="277">
                  <c:v>0.72289999999999999</c:v>
                </c:pt>
                <c:pt idx="278">
                  <c:v>0.72640000000000005</c:v>
                </c:pt>
                <c:pt idx="279">
                  <c:v>0.73080000000000001</c:v>
                </c:pt>
                <c:pt idx="280">
                  <c:v>0.72929999999999995</c:v>
                </c:pt>
                <c:pt idx="281">
                  <c:v>0.7349</c:v>
                </c:pt>
                <c:pt idx="282">
                  <c:v>0.74019999999999997</c:v>
                </c:pt>
                <c:pt idx="283">
                  <c:v>0.75090000000000001</c:v>
                </c:pt>
                <c:pt idx="284">
                  <c:v>0.75519999999999998</c:v>
                </c:pt>
                <c:pt idx="285">
                  <c:v>0.65369999999999995</c:v>
                </c:pt>
                <c:pt idx="286">
                  <c:v>0.65920000000000001</c:v>
                </c:pt>
                <c:pt idx="287">
                  <c:v>0.67390000000000005</c:v>
                </c:pt>
                <c:pt idx="288">
                  <c:v>0.68079999999999996</c:v>
                </c:pt>
                <c:pt idx="289">
                  <c:v>0.68510000000000004</c:v>
                </c:pt>
                <c:pt idx="290">
                  <c:v>0.2296</c:v>
                </c:pt>
                <c:pt idx="291">
                  <c:v>0.2334</c:v>
                </c:pt>
                <c:pt idx="292">
                  <c:v>0.23580000000000001</c:v>
                </c:pt>
                <c:pt idx="293">
                  <c:v>0.2379</c:v>
                </c:pt>
                <c:pt idx="294">
                  <c:v>0.24399999999999999</c:v>
                </c:pt>
                <c:pt idx="295">
                  <c:v>0.66690000000000005</c:v>
                </c:pt>
                <c:pt idx="296">
                  <c:v>0.67210000000000003</c:v>
                </c:pt>
                <c:pt idx="297">
                  <c:v>0.6764</c:v>
                </c:pt>
                <c:pt idx="298">
                  <c:v>0.68459999999999999</c:v>
                </c:pt>
                <c:pt idx="299">
                  <c:v>0.69110000000000005</c:v>
                </c:pt>
                <c:pt idx="300">
                  <c:v>0.55510000000000004</c:v>
                </c:pt>
                <c:pt idx="301">
                  <c:v>0.56940000000000002</c:v>
                </c:pt>
                <c:pt idx="302">
                  <c:v>0.58420000000000005</c:v>
                </c:pt>
                <c:pt idx="303">
                  <c:v>0.58950000000000002</c:v>
                </c:pt>
                <c:pt idx="304">
                  <c:v>0.60219999999999996</c:v>
                </c:pt>
                <c:pt idx="305">
                  <c:v>0.50790000000000002</c:v>
                </c:pt>
                <c:pt idx="306">
                  <c:v>0.51439999999999997</c:v>
                </c:pt>
                <c:pt idx="307">
                  <c:v>0.52400000000000002</c:v>
                </c:pt>
                <c:pt idx="308">
                  <c:v>0.53129999999999999</c:v>
                </c:pt>
                <c:pt idx="309">
                  <c:v>0.53790000000000004</c:v>
                </c:pt>
                <c:pt idx="310">
                  <c:v>0.51439999999999997</c:v>
                </c:pt>
                <c:pt idx="311">
                  <c:v>0.51829999999999998</c:v>
                </c:pt>
                <c:pt idx="312">
                  <c:v>0.52239999999999998</c:v>
                </c:pt>
                <c:pt idx="313">
                  <c:v>0.52700000000000002</c:v>
                </c:pt>
                <c:pt idx="314">
                  <c:v>0.53349999999999997</c:v>
                </c:pt>
                <c:pt idx="315">
                  <c:v>0.63139999999999996</c:v>
                </c:pt>
                <c:pt idx="316">
                  <c:v>0.6351</c:v>
                </c:pt>
                <c:pt idx="317">
                  <c:v>0.63880000000000003</c:v>
                </c:pt>
                <c:pt idx="318">
                  <c:v>0.64059999999999995</c:v>
                </c:pt>
                <c:pt idx="319">
                  <c:v>0.64670000000000005</c:v>
                </c:pt>
                <c:pt idx="320">
                  <c:v>0.55000000000000004</c:v>
                </c:pt>
                <c:pt idx="321">
                  <c:v>0.56089999999999995</c:v>
                </c:pt>
                <c:pt idx="322">
                  <c:v>0.5655</c:v>
                </c:pt>
                <c:pt idx="323">
                  <c:v>0.56989999999999996</c:v>
                </c:pt>
                <c:pt idx="324">
                  <c:v>0.57489999999999997</c:v>
                </c:pt>
                <c:pt idx="325">
                  <c:v>0.70740000000000003</c:v>
                </c:pt>
                <c:pt idx="326">
                  <c:v>0.70889999999999997</c:v>
                </c:pt>
                <c:pt idx="327">
                  <c:v>0.71389999999999998</c:v>
                </c:pt>
                <c:pt idx="328">
                  <c:v>0.71830000000000005</c:v>
                </c:pt>
                <c:pt idx="329">
                  <c:v>0.72450000000000003</c:v>
                </c:pt>
                <c:pt idx="330">
                  <c:v>0.66100000000000003</c:v>
                </c:pt>
                <c:pt idx="331">
                  <c:v>0.66439999999999999</c:v>
                </c:pt>
                <c:pt idx="332">
                  <c:v>0.66920000000000002</c:v>
                </c:pt>
                <c:pt idx="333">
                  <c:v>0.66890000000000005</c:v>
                </c:pt>
                <c:pt idx="334">
                  <c:v>0.6724</c:v>
                </c:pt>
                <c:pt idx="335">
                  <c:v>0.43930000000000002</c:v>
                </c:pt>
                <c:pt idx="336">
                  <c:v>0.45379999999999998</c:v>
                </c:pt>
                <c:pt idx="337">
                  <c:v>0.46350000000000002</c:v>
                </c:pt>
                <c:pt idx="338">
                  <c:v>0.47310000000000002</c:v>
                </c:pt>
                <c:pt idx="339">
                  <c:v>0.4824</c:v>
                </c:pt>
                <c:pt idx="340">
                  <c:v>0.41870000000000002</c:v>
                </c:pt>
                <c:pt idx="341">
                  <c:v>0.42459999999999998</c:v>
                </c:pt>
                <c:pt idx="342">
                  <c:v>0.4294</c:v>
                </c:pt>
                <c:pt idx="343">
                  <c:v>0.4345</c:v>
                </c:pt>
                <c:pt idx="344">
                  <c:v>0.44290000000000002</c:v>
                </c:pt>
                <c:pt idx="345">
                  <c:v>0.3241</c:v>
                </c:pt>
                <c:pt idx="346">
                  <c:v>0.32379999999999998</c:v>
                </c:pt>
                <c:pt idx="347">
                  <c:v>0.32719999999999999</c:v>
                </c:pt>
                <c:pt idx="348">
                  <c:v>0.32919999999999999</c:v>
                </c:pt>
                <c:pt idx="349">
                  <c:v>0.3327</c:v>
                </c:pt>
                <c:pt idx="350">
                  <c:v>0.3463</c:v>
                </c:pt>
                <c:pt idx="351">
                  <c:v>0.35239999999999999</c:v>
                </c:pt>
                <c:pt idx="352">
                  <c:v>0.3609</c:v>
                </c:pt>
                <c:pt idx="353">
                  <c:v>0.36399999999999999</c:v>
                </c:pt>
                <c:pt idx="354">
                  <c:v>0.37259999999999999</c:v>
                </c:pt>
                <c:pt idx="355">
                  <c:v>0.6542</c:v>
                </c:pt>
                <c:pt idx="356">
                  <c:v>0.6663</c:v>
                </c:pt>
                <c:pt idx="357">
                  <c:v>0.67310000000000003</c:v>
                </c:pt>
                <c:pt idx="358">
                  <c:v>0.6835</c:v>
                </c:pt>
                <c:pt idx="359">
                  <c:v>0.69179999999999997</c:v>
                </c:pt>
                <c:pt idx="360">
                  <c:v>0.6804</c:v>
                </c:pt>
                <c:pt idx="361">
                  <c:v>0.69120000000000004</c:v>
                </c:pt>
                <c:pt idx="362">
                  <c:v>0.70450000000000002</c:v>
                </c:pt>
                <c:pt idx="363">
                  <c:v>0.7137</c:v>
                </c:pt>
                <c:pt idx="364">
                  <c:v>0.72219999999999995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0.60540000000000005</c:v>
                </c:pt>
                <c:pt idx="371">
                  <c:v>0.60980000000000001</c:v>
                </c:pt>
                <c:pt idx="372">
                  <c:v>0.61570000000000003</c:v>
                </c:pt>
                <c:pt idx="373">
                  <c:v>0.62009999999999998</c:v>
                </c:pt>
                <c:pt idx="374">
                  <c:v>0.62460000000000004</c:v>
                </c:pt>
                <c:pt idx="375">
                  <c:v>0.65190000000000003</c:v>
                </c:pt>
                <c:pt idx="376">
                  <c:v>0.65639999999999998</c:v>
                </c:pt>
                <c:pt idx="377">
                  <c:v>0.66020000000000001</c:v>
                </c:pt>
                <c:pt idx="378">
                  <c:v>0.66459999999999997</c:v>
                </c:pt>
                <c:pt idx="379">
                  <c:v>0.66749999999999998</c:v>
                </c:pt>
                <c:pt idx="380">
                  <c:v>0.87619999999999998</c:v>
                </c:pt>
                <c:pt idx="381">
                  <c:v>0.87919999999999998</c:v>
                </c:pt>
                <c:pt idx="382">
                  <c:v>0.88380000000000003</c:v>
                </c:pt>
                <c:pt idx="383">
                  <c:v>0.88739999999999997</c:v>
                </c:pt>
                <c:pt idx="384">
                  <c:v>0.89049999999999996</c:v>
                </c:pt>
                <c:pt idx="385">
                  <c:v>0.67710000000000004</c:v>
                </c:pt>
                <c:pt idx="386">
                  <c:v>0.68100000000000005</c:v>
                </c:pt>
                <c:pt idx="387">
                  <c:v>0.68340000000000001</c:v>
                </c:pt>
                <c:pt idx="388">
                  <c:v>0.6875</c:v>
                </c:pt>
                <c:pt idx="389">
                  <c:v>0.69440000000000002</c:v>
                </c:pt>
                <c:pt idx="390">
                  <c:v>0.433</c:v>
                </c:pt>
                <c:pt idx="391">
                  <c:v>0.45569999999999999</c:v>
                </c:pt>
                <c:pt idx="392">
                  <c:v>0.46179999999999999</c:v>
                </c:pt>
                <c:pt idx="393">
                  <c:v>0.46400000000000002</c:v>
                </c:pt>
                <c:pt idx="394">
                  <c:v>0.47020000000000001</c:v>
                </c:pt>
                <c:pt idx="395">
                  <c:v>0.6321</c:v>
                </c:pt>
                <c:pt idx="396">
                  <c:v>0.64100000000000001</c:v>
                </c:pt>
                <c:pt idx="397">
                  <c:v>0.65459999999999996</c:v>
                </c:pt>
                <c:pt idx="398">
                  <c:v>0.66120000000000001</c:v>
                </c:pt>
                <c:pt idx="399">
                  <c:v>0.67290000000000005</c:v>
                </c:pt>
                <c:pt idx="400">
                  <c:v>0.46500000000000002</c:v>
                </c:pt>
                <c:pt idx="401">
                  <c:v>0.47349999999999998</c:v>
                </c:pt>
                <c:pt idx="402">
                  <c:v>0.48049999999999998</c:v>
                </c:pt>
                <c:pt idx="403">
                  <c:v>0.48780000000000001</c:v>
                </c:pt>
                <c:pt idx="404">
                  <c:v>0.4985</c:v>
                </c:pt>
                <c:pt idx="405">
                  <c:v>0.4022</c:v>
                </c:pt>
                <c:pt idx="406">
                  <c:v>0.41020000000000001</c:v>
                </c:pt>
                <c:pt idx="407">
                  <c:v>0.41930000000000001</c:v>
                </c:pt>
                <c:pt idx="408">
                  <c:v>0.42959999999999998</c:v>
                </c:pt>
                <c:pt idx="409">
                  <c:v>0.436</c:v>
                </c:pt>
                <c:pt idx="410">
                  <c:v>0.69410000000000005</c:v>
                </c:pt>
                <c:pt idx="411">
                  <c:v>0.69979999999999998</c:v>
                </c:pt>
                <c:pt idx="412">
                  <c:v>0.70499999999999996</c:v>
                </c:pt>
                <c:pt idx="413">
                  <c:v>0.71089999999999998</c:v>
                </c:pt>
                <c:pt idx="414">
                  <c:v>0.71489999999999998</c:v>
                </c:pt>
                <c:pt idx="415">
                  <c:v>0.59440000000000004</c:v>
                </c:pt>
                <c:pt idx="416">
                  <c:v>0.59770000000000001</c:v>
                </c:pt>
                <c:pt idx="417">
                  <c:v>0.59940000000000004</c:v>
                </c:pt>
                <c:pt idx="418">
                  <c:v>0.60289999999999999</c:v>
                </c:pt>
                <c:pt idx="419">
                  <c:v>0.60499999999999998</c:v>
                </c:pt>
                <c:pt idx="420">
                  <c:v>0.43290000000000001</c:v>
                </c:pt>
                <c:pt idx="421">
                  <c:v>0.43919999999999998</c:v>
                </c:pt>
                <c:pt idx="422">
                  <c:v>0.44419999999999998</c:v>
                </c:pt>
                <c:pt idx="423">
                  <c:v>0.45150000000000001</c:v>
                </c:pt>
                <c:pt idx="424">
                  <c:v>0.45879999999999999</c:v>
                </c:pt>
                <c:pt idx="425">
                  <c:v>0.62739999999999996</c:v>
                </c:pt>
                <c:pt idx="426">
                  <c:v>0.63100000000000001</c:v>
                </c:pt>
                <c:pt idx="427">
                  <c:v>0.6371</c:v>
                </c:pt>
                <c:pt idx="428">
                  <c:v>0.6391</c:v>
                </c:pt>
                <c:pt idx="429">
                  <c:v>0.64100000000000001</c:v>
                </c:pt>
                <c:pt idx="430">
                  <c:v>0.39489999999999997</c:v>
                </c:pt>
                <c:pt idx="431">
                  <c:v>0.40510000000000002</c:v>
                </c:pt>
                <c:pt idx="432">
                  <c:v>0.41749999999999998</c:v>
                </c:pt>
                <c:pt idx="433">
                  <c:v>0.42449999999999999</c:v>
                </c:pt>
                <c:pt idx="434">
                  <c:v>0.42859999999999998</c:v>
                </c:pt>
                <c:pt idx="435">
                  <c:v>0.38929999999999998</c:v>
                </c:pt>
                <c:pt idx="436">
                  <c:v>0.39379999999999998</c:v>
                </c:pt>
                <c:pt idx="437">
                  <c:v>0.39789999999999998</c:v>
                </c:pt>
                <c:pt idx="438">
                  <c:v>0.40920000000000001</c:v>
                </c:pt>
                <c:pt idx="439">
                  <c:v>0.41499999999999998</c:v>
                </c:pt>
                <c:pt idx="440">
                  <c:v>0.3836</c:v>
                </c:pt>
                <c:pt idx="441">
                  <c:v>0.39</c:v>
                </c:pt>
                <c:pt idx="442">
                  <c:v>0.3931</c:v>
                </c:pt>
                <c:pt idx="443">
                  <c:v>0.3972</c:v>
                </c:pt>
                <c:pt idx="444">
                  <c:v>0.40200000000000002</c:v>
                </c:pt>
                <c:pt idx="445">
                  <c:v>0.45279999999999998</c:v>
                </c:pt>
                <c:pt idx="446">
                  <c:v>0.45429999999999998</c:v>
                </c:pt>
                <c:pt idx="447">
                  <c:v>0.46029999999999999</c:v>
                </c:pt>
                <c:pt idx="448">
                  <c:v>0.46729999999999999</c:v>
                </c:pt>
                <c:pt idx="449">
                  <c:v>0.4713</c:v>
                </c:pt>
                <c:pt idx="450">
                  <c:v>0.622</c:v>
                </c:pt>
                <c:pt idx="451">
                  <c:v>0.62039999999999995</c:v>
                </c:pt>
                <c:pt idx="452">
                  <c:v>0.625</c:v>
                </c:pt>
                <c:pt idx="453">
                  <c:v>0.62790000000000001</c:v>
                </c:pt>
                <c:pt idx="454">
                  <c:v>0.64459999999999995</c:v>
                </c:pt>
                <c:pt idx="455">
                  <c:v>0.91620000000000001</c:v>
                </c:pt>
                <c:pt idx="456">
                  <c:v>0.91769999999999996</c:v>
                </c:pt>
                <c:pt idx="457">
                  <c:v>0.91959999999999997</c:v>
                </c:pt>
                <c:pt idx="458">
                  <c:v>0.92110000000000003</c:v>
                </c:pt>
                <c:pt idx="459">
                  <c:v>0.92220000000000002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0.99990000000000001</c:v>
                </c:pt>
                <c:pt idx="471">
                  <c:v>0.99990000000000001</c:v>
                </c:pt>
                <c:pt idx="472">
                  <c:v>0.99990000000000001</c:v>
                </c:pt>
                <c:pt idx="473">
                  <c:v>0.99990000000000001</c:v>
                </c:pt>
                <c:pt idx="474">
                  <c:v>0.99990000000000001</c:v>
                </c:pt>
                <c:pt idx="475">
                  <c:v>0.91879999999999995</c:v>
                </c:pt>
                <c:pt idx="476">
                  <c:v>0.92100000000000004</c:v>
                </c:pt>
                <c:pt idx="477">
                  <c:v>0.92279999999999995</c:v>
                </c:pt>
                <c:pt idx="478">
                  <c:v>0.92410000000000003</c:v>
                </c:pt>
                <c:pt idx="479">
                  <c:v>0.92579999999999996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14-4595-BABD-6A7A8E335B4D}"/>
            </c:ext>
          </c:extLst>
        </c:ser>
        <c:ser>
          <c:idx val="1"/>
          <c:order val="1"/>
          <c:tx>
            <c:strRef>
              <c:f>Enfouissement!$B$40</c:f>
              <c:strCache>
                <c:ptCount val="1"/>
                <c:pt idx="0">
                  <c:v>HTA du dpt.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Enfouissement!$C$40</c:f>
              <c:numCache>
                <c:formatCode>#\ ##0.0</c:formatCode>
                <c:ptCount val="1"/>
                <c:pt idx="0">
                  <c:v>321.1395</c:v>
                </c:pt>
              </c:numCache>
            </c:numRef>
          </c:xVal>
          <c:yVal>
            <c:numRef>
              <c:f>Enfouissement!$D$40</c:f>
              <c:numCache>
                <c:formatCode>0.0%</c:formatCode>
                <c:ptCount val="1"/>
                <c:pt idx="0">
                  <c:v>2.6604000000000001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14-4595-BABD-6A7A8E335B4D}"/>
            </c:ext>
          </c:extLst>
        </c:ser>
        <c:ser>
          <c:idx val="2"/>
          <c:order val="2"/>
          <c:tx>
            <c:strRef>
              <c:f>Enfouissement!$B$42</c:f>
              <c:strCache>
                <c:ptCount val="1"/>
                <c:pt idx="0">
                  <c:v>HTA concession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Enfouissement!$C$42</c:f>
              <c:numCache>
                <c:formatCode>#\ ##0.0</c:formatCode>
                <c:ptCount val="1"/>
                <c:pt idx="0">
                  <c:v>314.68459999999999</c:v>
                </c:pt>
              </c:numCache>
            </c:numRef>
          </c:xVal>
          <c:yVal>
            <c:numRef>
              <c:f>Enfouissement!$D$42</c:f>
              <c:numCache>
                <c:formatCode>0.0%</c:formatCode>
                <c:ptCount val="1"/>
                <c:pt idx="0">
                  <c:v>0.54300000000000004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14-4595-BABD-6A7A8E33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23599"/>
        <c:axId val="742332255"/>
      </c:scatterChart>
      <c:valAx>
        <c:axId val="62752359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900"/>
                  <a:t>Densité de population sur le réseau HTA (hab/km HTA)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2332255"/>
        <c:crosses val="autoZero"/>
        <c:crossBetween val="midCat"/>
      </c:valAx>
      <c:valAx>
        <c:axId val="742332255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900"/>
                  <a:t>Taux d'enfouissement</a:t>
                </a:r>
                <a:r>
                  <a:rPr lang="fr-FR" sz="900" baseline="0"/>
                  <a:t> HTA (open data Enedis)</a:t>
                </a:r>
                <a:endParaRPr lang="fr-FR" sz="900"/>
              </a:p>
            </c:rich>
          </c:tx>
          <c:layout>
            <c:manualLayout>
              <c:xMode val="edge"/>
              <c:yMode val="edge"/>
              <c:x val="5.5471755090138134E-3"/>
              <c:y val="0.166171558100691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523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 (En-têtes)"/>
                <a:ea typeface="+mn-ea"/>
                <a:cs typeface="+mn-cs"/>
              </a:defRPr>
            </a:pPr>
            <a:r>
              <a:rPr lang="fr-FR" sz="1200" b="1">
                <a:latin typeface="Calibri Light (En-têtes)"/>
              </a:rPr>
              <a:t>Age moyen du réseau HTA par technologie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 (En-têtes)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74877130669247"/>
          <c:y val="0.13195566843685061"/>
          <c:w val="0.85675471564526307"/>
          <c:h val="0.69258561803008811"/>
        </c:manualLayout>
      </c:layout>
      <c:lineChart>
        <c:grouping val="standard"/>
        <c:varyColors val="0"/>
        <c:ser>
          <c:idx val="0"/>
          <c:order val="0"/>
          <c:tx>
            <c:strRef>
              <c:f>Pat_Tech!$B$208</c:f>
              <c:strCache>
                <c:ptCount val="1"/>
                <c:pt idx="0">
                  <c:v>Réseau HTA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Pat_Tech!$C$208:$G$208</c:f>
              <c:numCache>
                <c:formatCode>#\ ##0.0</c:formatCode>
                <c:ptCount val="5"/>
                <c:pt idx="0">
                  <c:v>26.99</c:v>
                </c:pt>
                <c:pt idx="1">
                  <c:v>27.76</c:v>
                </c:pt>
                <c:pt idx="2">
                  <c:v>27.78</c:v>
                </c:pt>
                <c:pt idx="3">
                  <c:v>28.51</c:v>
                </c:pt>
                <c:pt idx="4">
                  <c:v>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00-46E4-B30E-7253932448DA}"/>
            </c:ext>
          </c:extLst>
        </c:ser>
        <c:ser>
          <c:idx val="1"/>
          <c:order val="1"/>
          <c:tx>
            <c:strRef>
              <c:f>Pat_Tech!$B$210</c:f>
              <c:strCache>
                <c:ptCount val="1"/>
                <c:pt idx="0">
                  <c:v>Dont aérien nu faibles sections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Pat_Tech!$C$210:$G$210</c:f>
              <c:numCache>
                <c:formatCode>#\ ##0.0</c:formatCode>
                <c:ptCount val="5"/>
                <c:pt idx="0">
                  <c:v>45.91</c:v>
                </c:pt>
                <c:pt idx="1">
                  <c:v>46.85</c:v>
                </c:pt>
                <c:pt idx="2">
                  <c:v>47.85</c:v>
                </c:pt>
                <c:pt idx="3">
                  <c:v>48.85</c:v>
                </c:pt>
                <c:pt idx="4">
                  <c:v>49.72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00-46E4-B30E-7253932448DA}"/>
            </c:ext>
          </c:extLst>
        </c:ser>
        <c:ser>
          <c:idx val="3"/>
          <c:order val="3"/>
          <c:tx>
            <c:strRef>
              <c:f>Pat_Tech!$B$212</c:f>
              <c:strCache>
                <c:ptCount val="1"/>
                <c:pt idx="0">
                  <c:v>Souterrain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Pat_Tech!$C$212:$G$212</c:f>
              <c:numCache>
                <c:formatCode>#\ ##0.0</c:formatCode>
                <c:ptCount val="5"/>
                <c:pt idx="0">
                  <c:v>15.53</c:v>
                </c:pt>
                <c:pt idx="1">
                  <c:v>16.23</c:v>
                </c:pt>
                <c:pt idx="2">
                  <c:v>16.12</c:v>
                </c:pt>
                <c:pt idx="3">
                  <c:v>16.84</c:v>
                </c:pt>
                <c:pt idx="4">
                  <c:v>17.559999999999999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00-46E4-B30E-7253932448DA}"/>
            </c:ext>
          </c:extLst>
        </c:ser>
        <c:ser>
          <c:idx val="4"/>
          <c:order val="4"/>
          <c:tx>
            <c:strRef>
              <c:f>Pat_Tech!$B$213</c:f>
              <c:strCache>
                <c:ptCount val="1"/>
                <c:pt idx="0">
                  <c:v>Dont souterrain CPI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2084084985816638E-2"/>
                  <c:y val="-5.29420747576700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00-46E4-B30E-7253932448DA}"/>
                </c:ext>
              </c:extLst>
            </c:dLbl>
            <c:dLbl>
              <c:idx val="3"/>
              <c:layout>
                <c:manualLayout>
                  <c:x val="2.0636916336287715E-2"/>
                  <c:y val="-6.38366327745013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00-46E4-B30E-7253932448DA}"/>
                </c:ext>
              </c:extLst>
            </c:dLbl>
            <c:dLbl>
              <c:idx val="4"/>
              <c:layout>
                <c:manualLayout>
                  <c:x val="2.1459906232338871E-2"/>
                  <c:y val="-4.89669303825591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00-46E4-B30E-7253932448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Pat_Tech!$C$213:$G$213</c:f>
              <c:numCache>
                <c:formatCode>0.0</c:formatCode>
                <c:ptCount val="5"/>
                <c:pt idx="0">
                  <c:v>46.98</c:v>
                </c:pt>
                <c:pt idx="1">
                  <c:v>47.86</c:v>
                </c:pt>
                <c:pt idx="2">
                  <c:v>48.67</c:v>
                </c:pt>
                <c:pt idx="3">
                  <c:v>49.69</c:v>
                </c:pt>
                <c:pt idx="4">
                  <c:v>50.64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00-46E4-B30E-7253932448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3938047"/>
        <c:axId val="62411367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Pat_Tech!$B$211</c15:sqref>
                        </c15:formulaRef>
                      </c:ext>
                    </c:extLst>
                    <c:strCache>
                      <c:ptCount val="1"/>
                      <c:pt idx="0">
                        <c:v>Aérien torsadé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Pat_Tech!$C$207:$G$207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Pat_Tech!$C$211:$G$211</c15:sqref>
                        </c15:formulaRef>
                      </c:ext>
                    </c:extLst>
                    <c:numCache>
                      <c:formatCode>#\ ##0.0</c:formatCode>
                      <c:ptCount val="5"/>
                      <c:pt idx="0">
                        <c:v>34.119999999999997</c:v>
                      </c:pt>
                      <c:pt idx="1">
                        <c:v>35.119999999999997</c:v>
                      </c:pt>
                      <c:pt idx="2">
                        <c:v>35.79</c:v>
                      </c:pt>
                      <c:pt idx="3">
                        <c:v>37.119999999999997</c:v>
                      </c:pt>
                      <c:pt idx="4">
                        <c:v>36.92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F500-46E4-B30E-7253932448DA}"/>
                  </c:ext>
                </c:extLst>
              </c15:ser>
            </c15:filteredLineSeries>
          </c:ext>
        </c:extLst>
      </c:lineChart>
      <c:catAx>
        <c:axId val="6839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4113679"/>
        <c:crosses val="autoZero"/>
        <c:auto val="1"/>
        <c:lblAlgn val="ctr"/>
        <c:lblOffset val="100"/>
        <c:noMultiLvlLbl val="0"/>
      </c:catAx>
      <c:valAx>
        <c:axId val="62411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moyen selon inventaire technique (ans)</a:t>
                </a:r>
              </a:p>
            </c:rich>
          </c:tx>
          <c:layout>
            <c:manualLayout>
              <c:xMode val="edge"/>
              <c:yMode val="edge"/>
              <c:x val="2.1074376508209973E-2"/>
              <c:y val="0.1395721572355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39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37066553526773"/>
          <c:y val="0.90869233939228633"/>
          <c:w val="0.71069524935049211"/>
          <c:h val="8.00119775746597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>
                <a:latin typeface="Calibri Light (En-têtes)"/>
              </a:rPr>
              <a:t>Typologies du réseau HTA par année de mise en service</a:t>
            </a:r>
          </a:p>
        </c:rich>
      </c:tx>
      <c:layout>
        <c:manualLayout>
          <c:xMode val="edge"/>
          <c:yMode val="edge"/>
          <c:x val="0.30447409290268174"/>
          <c:y val="3.6717525043660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Pat_Tech!$B$217</c:f>
              <c:strCache>
                <c:ptCount val="1"/>
                <c:pt idx="0">
                  <c:v>Souterrain CPI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Pat_Tech!$C$215</c:f>
              <c:numCache>
                <c:formatCode>General</c:formatCode>
                <c:ptCount val="1"/>
                <c:pt idx="0">
                  <c:v>1946</c:v>
                </c:pt>
              </c:numCache>
            </c:numRef>
          </c:cat>
          <c:val>
            <c:numRef>
              <c:f>Pat_Tech!$C$217:$CB$217</c:f>
              <c:numCache>
                <c:formatCode>#\ 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25.14</c:v>
                </c:pt>
                <c:pt idx="15">
                  <c:v>2.09</c:v>
                </c:pt>
                <c:pt idx="16">
                  <c:v>0</c:v>
                </c:pt>
                <c:pt idx="17">
                  <c:v>0</c:v>
                </c:pt>
                <c:pt idx="18">
                  <c:v>0.8</c:v>
                </c:pt>
                <c:pt idx="19">
                  <c:v>0.28999999999999998</c:v>
                </c:pt>
                <c:pt idx="20">
                  <c:v>17.899999999999999</c:v>
                </c:pt>
                <c:pt idx="21">
                  <c:v>1.1200000000000001</c:v>
                </c:pt>
                <c:pt idx="22">
                  <c:v>0.14000000000000001</c:v>
                </c:pt>
                <c:pt idx="23">
                  <c:v>0.97</c:v>
                </c:pt>
                <c:pt idx="24">
                  <c:v>0.43</c:v>
                </c:pt>
                <c:pt idx="25">
                  <c:v>0.67</c:v>
                </c:pt>
                <c:pt idx="26">
                  <c:v>0.43</c:v>
                </c:pt>
                <c:pt idx="27">
                  <c:v>0.94</c:v>
                </c:pt>
                <c:pt idx="28">
                  <c:v>0.04</c:v>
                </c:pt>
                <c:pt idx="29">
                  <c:v>1.61</c:v>
                </c:pt>
                <c:pt idx="30">
                  <c:v>0.56999999999999995</c:v>
                </c:pt>
                <c:pt idx="31">
                  <c:v>3.7</c:v>
                </c:pt>
                <c:pt idx="32">
                  <c:v>4.9000000000000004</c:v>
                </c:pt>
                <c:pt idx="33">
                  <c:v>0.74</c:v>
                </c:pt>
                <c:pt idx="34">
                  <c:v>0</c:v>
                </c:pt>
                <c:pt idx="35">
                  <c:v>0.34</c:v>
                </c:pt>
                <c:pt idx="36">
                  <c:v>1.1299999999999999</c:v>
                </c:pt>
                <c:pt idx="37">
                  <c:v>0</c:v>
                </c:pt>
                <c:pt idx="38">
                  <c:v>0.4</c:v>
                </c:pt>
                <c:pt idx="39">
                  <c:v>2.12</c:v>
                </c:pt>
                <c:pt idx="40">
                  <c:v>2.15</c:v>
                </c:pt>
                <c:pt idx="41">
                  <c:v>0.74</c:v>
                </c:pt>
                <c:pt idx="42">
                  <c:v>0.75</c:v>
                </c:pt>
                <c:pt idx="43">
                  <c:v>0.95</c:v>
                </c:pt>
                <c:pt idx="44">
                  <c:v>0.48</c:v>
                </c:pt>
                <c:pt idx="45">
                  <c:v>0.62</c:v>
                </c:pt>
                <c:pt idx="46">
                  <c:v>0.93</c:v>
                </c:pt>
                <c:pt idx="47">
                  <c:v>0.67</c:v>
                </c:pt>
                <c:pt idx="48">
                  <c:v>0.26</c:v>
                </c:pt>
                <c:pt idx="49">
                  <c:v>0.8</c:v>
                </c:pt>
                <c:pt idx="50">
                  <c:v>1.39</c:v>
                </c:pt>
                <c:pt idx="51">
                  <c:v>1.35</c:v>
                </c:pt>
                <c:pt idx="52">
                  <c:v>0.63</c:v>
                </c:pt>
                <c:pt idx="53">
                  <c:v>2.57</c:v>
                </c:pt>
                <c:pt idx="54">
                  <c:v>0.26</c:v>
                </c:pt>
                <c:pt idx="55">
                  <c:v>0.43</c:v>
                </c:pt>
                <c:pt idx="56">
                  <c:v>1.37</c:v>
                </c:pt>
                <c:pt idx="57">
                  <c:v>0</c:v>
                </c:pt>
                <c:pt idx="58">
                  <c:v>0.31</c:v>
                </c:pt>
                <c:pt idx="59">
                  <c:v>0</c:v>
                </c:pt>
                <c:pt idx="60">
                  <c:v>0</c:v>
                </c:pt>
                <c:pt idx="61">
                  <c:v>0.09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7-44EC-BC12-7AB6F57523A8}"/>
            </c:ext>
          </c:extLst>
        </c:ser>
        <c:ser>
          <c:idx val="2"/>
          <c:order val="2"/>
          <c:tx>
            <c:strRef>
              <c:f>Pat_Tech!$B$218</c:f>
              <c:strCache>
                <c:ptCount val="1"/>
                <c:pt idx="0">
                  <c:v>Souterrain hors CPI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Pat_Tech!$C$215</c:f>
              <c:numCache>
                <c:formatCode>General</c:formatCode>
                <c:ptCount val="1"/>
                <c:pt idx="0">
                  <c:v>1946</c:v>
                </c:pt>
              </c:numCache>
            </c:numRef>
          </c:cat>
          <c:val>
            <c:numRef>
              <c:f>Pat_Tech!$C$218:$CB$218</c:f>
              <c:numCache>
                <c:formatCode>#\ 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1.629999999999999</c:v>
                </c:pt>
                <c:pt idx="15">
                  <c:v>8.0000000000000071E-2</c:v>
                </c:pt>
                <c:pt idx="16">
                  <c:v>0</c:v>
                </c:pt>
                <c:pt idx="17">
                  <c:v>0</c:v>
                </c:pt>
                <c:pt idx="18">
                  <c:v>0.10999999999999999</c:v>
                </c:pt>
                <c:pt idx="19">
                  <c:v>0.90999999999999992</c:v>
                </c:pt>
                <c:pt idx="20">
                  <c:v>1.7000000000000028</c:v>
                </c:pt>
                <c:pt idx="21">
                  <c:v>0.3899999999999999</c:v>
                </c:pt>
                <c:pt idx="22">
                  <c:v>3.999999999999998E-2</c:v>
                </c:pt>
                <c:pt idx="23">
                  <c:v>0</c:v>
                </c:pt>
                <c:pt idx="24">
                  <c:v>0.18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0.93999999999999972</c:v>
                </c:pt>
                <c:pt idx="30">
                  <c:v>0</c:v>
                </c:pt>
                <c:pt idx="31">
                  <c:v>0.85999999999999943</c:v>
                </c:pt>
                <c:pt idx="32">
                  <c:v>45.54</c:v>
                </c:pt>
                <c:pt idx="33">
                  <c:v>2.34</c:v>
                </c:pt>
                <c:pt idx="34">
                  <c:v>9.31</c:v>
                </c:pt>
                <c:pt idx="35">
                  <c:v>15.1</c:v>
                </c:pt>
                <c:pt idx="36">
                  <c:v>14.830000000000002</c:v>
                </c:pt>
                <c:pt idx="37">
                  <c:v>12.73</c:v>
                </c:pt>
                <c:pt idx="38">
                  <c:v>17.860000000000003</c:v>
                </c:pt>
                <c:pt idx="39">
                  <c:v>14.959999999999997</c:v>
                </c:pt>
                <c:pt idx="40">
                  <c:v>15.179999999999998</c:v>
                </c:pt>
                <c:pt idx="41">
                  <c:v>15.520000000000001</c:v>
                </c:pt>
                <c:pt idx="42">
                  <c:v>23.66</c:v>
                </c:pt>
                <c:pt idx="43">
                  <c:v>18.62</c:v>
                </c:pt>
                <c:pt idx="44">
                  <c:v>15.36</c:v>
                </c:pt>
                <c:pt idx="45">
                  <c:v>17.239999999999998</c:v>
                </c:pt>
                <c:pt idx="46">
                  <c:v>29.41</c:v>
                </c:pt>
                <c:pt idx="47">
                  <c:v>46.98</c:v>
                </c:pt>
                <c:pt idx="48">
                  <c:v>49.61</c:v>
                </c:pt>
                <c:pt idx="49">
                  <c:v>39.32</c:v>
                </c:pt>
                <c:pt idx="50">
                  <c:v>88.81</c:v>
                </c:pt>
                <c:pt idx="51">
                  <c:v>60.28</c:v>
                </c:pt>
                <c:pt idx="52">
                  <c:v>51.26</c:v>
                </c:pt>
                <c:pt idx="53">
                  <c:v>89.79</c:v>
                </c:pt>
                <c:pt idx="54">
                  <c:v>82.449999999999989</c:v>
                </c:pt>
                <c:pt idx="55">
                  <c:v>79.279999999999987</c:v>
                </c:pt>
                <c:pt idx="56">
                  <c:v>110.69</c:v>
                </c:pt>
                <c:pt idx="57">
                  <c:v>31.51</c:v>
                </c:pt>
                <c:pt idx="58">
                  <c:v>38.15</c:v>
                </c:pt>
                <c:pt idx="59">
                  <c:v>55.87</c:v>
                </c:pt>
                <c:pt idx="60">
                  <c:v>22.86</c:v>
                </c:pt>
                <c:pt idx="61">
                  <c:v>42.169999999999995</c:v>
                </c:pt>
                <c:pt idx="62">
                  <c:v>78.39</c:v>
                </c:pt>
                <c:pt idx="63">
                  <c:v>92.06</c:v>
                </c:pt>
                <c:pt idx="64">
                  <c:v>106.5</c:v>
                </c:pt>
                <c:pt idx="65">
                  <c:v>90.02</c:v>
                </c:pt>
                <c:pt idx="66">
                  <c:v>180.73</c:v>
                </c:pt>
                <c:pt idx="67">
                  <c:v>38.22</c:v>
                </c:pt>
                <c:pt idx="68">
                  <c:v>84.13</c:v>
                </c:pt>
                <c:pt idx="69">
                  <c:v>109.74</c:v>
                </c:pt>
                <c:pt idx="70">
                  <c:v>73.849999999999994</c:v>
                </c:pt>
                <c:pt idx="71">
                  <c:v>91.45</c:v>
                </c:pt>
                <c:pt idx="72">
                  <c:v>187.25</c:v>
                </c:pt>
                <c:pt idx="73">
                  <c:v>34.380000000000003</c:v>
                </c:pt>
                <c:pt idx="74">
                  <c:v>36.08</c:v>
                </c:pt>
                <c:pt idx="75">
                  <c:v>155.13999999999999</c:v>
                </c:pt>
                <c:pt idx="76">
                  <c:v>38.56</c:v>
                </c:pt>
                <c:pt idx="77">
                  <c:v>31.99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7-44EC-BC12-7AB6F57523A8}"/>
            </c:ext>
          </c:extLst>
        </c:ser>
        <c:ser>
          <c:idx val="5"/>
          <c:order val="3"/>
          <c:tx>
            <c:strRef>
              <c:f>Pat_Tech!$B$220</c:f>
              <c:strCache>
                <c:ptCount val="1"/>
                <c:pt idx="0">
                  <c:v>Aérien nu faibles sections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Pat_Tech!$C$215</c:f>
              <c:numCache>
                <c:formatCode>General</c:formatCode>
                <c:ptCount val="1"/>
                <c:pt idx="0">
                  <c:v>1946</c:v>
                </c:pt>
              </c:numCache>
            </c:numRef>
          </c:cat>
          <c:val>
            <c:numRef>
              <c:f>Pat_Tech!$C$220:$CB$220</c:f>
              <c:numCache>
                <c:formatCode>#\ 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0.13</c:v>
                </c:pt>
                <c:pt idx="3">
                  <c:v>0</c:v>
                </c:pt>
                <c:pt idx="4">
                  <c:v>0.3</c:v>
                </c:pt>
                <c:pt idx="5">
                  <c:v>0</c:v>
                </c:pt>
                <c:pt idx="6">
                  <c:v>0.66</c:v>
                </c:pt>
                <c:pt idx="7">
                  <c:v>0.67</c:v>
                </c:pt>
                <c:pt idx="8">
                  <c:v>0</c:v>
                </c:pt>
                <c:pt idx="9">
                  <c:v>0</c:v>
                </c:pt>
                <c:pt idx="10">
                  <c:v>3.11</c:v>
                </c:pt>
                <c:pt idx="11">
                  <c:v>0</c:v>
                </c:pt>
                <c:pt idx="12">
                  <c:v>0.17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0.08</c:v>
                </c:pt>
                <c:pt idx="17">
                  <c:v>0.23</c:v>
                </c:pt>
                <c:pt idx="18">
                  <c:v>0.12</c:v>
                </c:pt>
                <c:pt idx="19">
                  <c:v>0.03</c:v>
                </c:pt>
                <c:pt idx="20">
                  <c:v>0</c:v>
                </c:pt>
                <c:pt idx="21">
                  <c:v>0.47</c:v>
                </c:pt>
                <c:pt idx="22">
                  <c:v>7.0000000000000007E-2</c:v>
                </c:pt>
                <c:pt idx="23">
                  <c:v>0</c:v>
                </c:pt>
                <c:pt idx="24">
                  <c:v>0</c:v>
                </c:pt>
                <c:pt idx="25">
                  <c:v>1.0900000000000001</c:v>
                </c:pt>
                <c:pt idx="26">
                  <c:v>0.25</c:v>
                </c:pt>
                <c:pt idx="27">
                  <c:v>0.45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</c:v>
                </c:pt>
                <c:pt idx="33">
                  <c:v>0.27</c:v>
                </c:pt>
                <c:pt idx="34">
                  <c:v>0.43</c:v>
                </c:pt>
                <c:pt idx="35">
                  <c:v>0</c:v>
                </c:pt>
                <c:pt idx="36">
                  <c:v>0.28000000000000003</c:v>
                </c:pt>
                <c:pt idx="37">
                  <c:v>0.49</c:v>
                </c:pt>
                <c:pt idx="38">
                  <c:v>0.95</c:v>
                </c:pt>
                <c:pt idx="39">
                  <c:v>0.42</c:v>
                </c:pt>
                <c:pt idx="40">
                  <c:v>0</c:v>
                </c:pt>
                <c:pt idx="41">
                  <c:v>7.0000000000000007E-2</c:v>
                </c:pt>
                <c:pt idx="42">
                  <c:v>0.02</c:v>
                </c:pt>
                <c:pt idx="43">
                  <c:v>0.79</c:v>
                </c:pt>
                <c:pt idx="44">
                  <c:v>1.26</c:v>
                </c:pt>
                <c:pt idx="45">
                  <c:v>0</c:v>
                </c:pt>
                <c:pt idx="46">
                  <c:v>2.3199999999999998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4-43FB-8C0B-A14332604265}"/>
            </c:ext>
          </c:extLst>
        </c:ser>
        <c:ser>
          <c:idx val="3"/>
          <c:order val="4"/>
          <c:tx>
            <c:strRef>
              <c:f>Pat_Tech!$B$221</c:f>
              <c:strCache>
                <c:ptCount val="1"/>
                <c:pt idx="0">
                  <c:v>Aérien nu hors faibles sections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Pat_Tech!$C$215</c:f>
              <c:numCache>
                <c:formatCode>General</c:formatCode>
                <c:ptCount val="1"/>
                <c:pt idx="0">
                  <c:v>1946</c:v>
                </c:pt>
              </c:numCache>
            </c:numRef>
          </c:cat>
          <c:val>
            <c:numRef>
              <c:f>Pat_Tech!$C$221:$CB$221</c:f>
              <c:numCache>
                <c:formatCode>#\ ##0.0</c:formatCode>
                <c:ptCount val="78"/>
                <c:pt idx="0">
                  <c:v>0.48</c:v>
                </c:pt>
                <c:pt idx="1">
                  <c:v>2.31</c:v>
                </c:pt>
                <c:pt idx="2">
                  <c:v>1.65</c:v>
                </c:pt>
                <c:pt idx="3">
                  <c:v>1.75</c:v>
                </c:pt>
                <c:pt idx="4">
                  <c:v>4.17</c:v>
                </c:pt>
                <c:pt idx="5">
                  <c:v>1.56</c:v>
                </c:pt>
                <c:pt idx="6">
                  <c:v>0.32</c:v>
                </c:pt>
                <c:pt idx="7">
                  <c:v>0.09</c:v>
                </c:pt>
                <c:pt idx="8">
                  <c:v>0.27</c:v>
                </c:pt>
                <c:pt idx="9">
                  <c:v>4.28</c:v>
                </c:pt>
                <c:pt idx="10">
                  <c:v>3.89</c:v>
                </c:pt>
                <c:pt idx="11">
                  <c:v>14.33</c:v>
                </c:pt>
                <c:pt idx="12">
                  <c:v>3.22</c:v>
                </c:pt>
                <c:pt idx="13">
                  <c:v>8.34</c:v>
                </c:pt>
                <c:pt idx="14">
                  <c:v>19.88</c:v>
                </c:pt>
                <c:pt idx="15">
                  <c:v>17.93</c:v>
                </c:pt>
                <c:pt idx="16">
                  <c:v>37.1</c:v>
                </c:pt>
                <c:pt idx="17">
                  <c:v>41.16</c:v>
                </c:pt>
                <c:pt idx="18">
                  <c:v>52.53</c:v>
                </c:pt>
                <c:pt idx="19">
                  <c:v>68.36</c:v>
                </c:pt>
                <c:pt idx="20">
                  <c:v>77.94</c:v>
                </c:pt>
                <c:pt idx="21">
                  <c:v>78.92</c:v>
                </c:pt>
                <c:pt idx="22">
                  <c:v>47.78</c:v>
                </c:pt>
                <c:pt idx="23">
                  <c:v>46.83</c:v>
                </c:pt>
                <c:pt idx="24">
                  <c:v>60.58</c:v>
                </c:pt>
                <c:pt idx="25">
                  <c:v>46.82</c:v>
                </c:pt>
                <c:pt idx="26">
                  <c:v>42.17</c:v>
                </c:pt>
                <c:pt idx="27">
                  <c:v>64.510000000000005</c:v>
                </c:pt>
                <c:pt idx="28">
                  <c:v>51.13</c:v>
                </c:pt>
                <c:pt idx="29">
                  <c:v>32.1</c:v>
                </c:pt>
                <c:pt idx="30">
                  <c:v>34.65</c:v>
                </c:pt>
                <c:pt idx="31">
                  <c:v>25.12</c:v>
                </c:pt>
                <c:pt idx="32">
                  <c:v>43.28</c:v>
                </c:pt>
                <c:pt idx="33">
                  <c:v>52.23</c:v>
                </c:pt>
                <c:pt idx="34">
                  <c:v>28.67</c:v>
                </c:pt>
                <c:pt idx="35">
                  <c:v>19.29</c:v>
                </c:pt>
                <c:pt idx="36">
                  <c:v>59.36</c:v>
                </c:pt>
                <c:pt idx="37">
                  <c:v>52.11</c:v>
                </c:pt>
                <c:pt idx="38">
                  <c:v>83.77</c:v>
                </c:pt>
                <c:pt idx="39">
                  <c:v>89.03</c:v>
                </c:pt>
                <c:pt idx="40">
                  <c:v>60.55</c:v>
                </c:pt>
                <c:pt idx="41">
                  <c:v>98.16</c:v>
                </c:pt>
                <c:pt idx="42">
                  <c:v>168.86</c:v>
                </c:pt>
                <c:pt idx="43">
                  <c:v>133.66999999999999</c:v>
                </c:pt>
                <c:pt idx="44">
                  <c:v>96.57</c:v>
                </c:pt>
                <c:pt idx="45">
                  <c:v>108.36</c:v>
                </c:pt>
                <c:pt idx="46">
                  <c:v>101.83</c:v>
                </c:pt>
                <c:pt idx="47">
                  <c:v>38.03</c:v>
                </c:pt>
                <c:pt idx="48">
                  <c:v>17.739999999999998</c:v>
                </c:pt>
                <c:pt idx="49">
                  <c:v>15.78</c:v>
                </c:pt>
                <c:pt idx="50">
                  <c:v>16.48</c:v>
                </c:pt>
                <c:pt idx="51">
                  <c:v>6.38</c:v>
                </c:pt>
                <c:pt idx="52">
                  <c:v>7.19</c:v>
                </c:pt>
                <c:pt idx="53">
                  <c:v>7.53</c:v>
                </c:pt>
                <c:pt idx="54">
                  <c:v>13.79</c:v>
                </c:pt>
                <c:pt idx="55">
                  <c:v>2.65</c:v>
                </c:pt>
                <c:pt idx="56">
                  <c:v>1.72</c:v>
                </c:pt>
                <c:pt idx="57">
                  <c:v>1.02</c:v>
                </c:pt>
                <c:pt idx="58">
                  <c:v>1.2</c:v>
                </c:pt>
                <c:pt idx="59">
                  <c:v>2.35</c:v>
                </c:pt>
                <c:pt idx="60">
                  <c:v>1.54</c:v>
                </c:pt>
                <c:pt idx="61">
                  <c:v>1.27</c:v>
                </c:pt>
                <c:pt idx="62">
                  <c:v>1.78</c:v>
                </c:pt>
                <c:pt idx="63">
                  <c:v>0.15</c:v>
                </c:pt>
                <c:pt idx="64">
                  <c:v>0.87</c:v>
                </c:pt>
                <c:pt idx="65">
                  <c:v>0.27</c:v>
                </c:pt>
                <c:pt idx="66">
                  <c:v>0.42</c:v>
                </c:pt>
                <c:pt idx="67">
                  <c:v>0.73</c:v>
                </c:pt>
                <c:pt idx="68">
                  <c:v>0.28000000000000003</c:v>
                </c:pt>
                <c:pt idx="69">
                  <c:v>0.92</c:v>
                </c:pt>
                <c:pt idx="70">
                  <c:v>0.35</c:v>
                </c:pt>
                <c:pt idx="71">
                  <c:v>0.23</c:v>
                </c:pt>
                <c:pt idx="72">
                  <c:v>2.19</c:v>
                </c:pt>
                <c:pt idx="73">
                  <c:v>0.25</c:v>
                </c:pt>
                <c:pt idx="74">
                  <c:v>0</c:v>
                </c:pt>
                <c:pt idx="75">
                  <c:v>0</c:v>
                </c:pt>
                <c:pt idx="76">
                  <c:v>0.01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7-44EC-BC12-7AB6F57523A8}"/>
            </c:ext>
          </c:extLst>
        </c:ser>
        <c:ser>
          <c:idx val="4"/>
          <c:order val="5"/>
          <c:tx>
            <c:strRef>
              <c:f>Pat_Tech!$B$222</c:f>
              <c:strCache>
                <c:ptCount val="1"/>
                <c:pt idx="0">
                  <c:v>Aérien torsadé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Pat_Tech!$C$215</c:f>
              <c:numCache>
                <c:formatCode>General</c:formatCode>
                <c:ptCount val="1"/>
                <c:pt idx="0">
                  <c:v>1946</c:v>
                </c:pt>
              </c:numCache>
            </c:numRef>
          </c:cat>
          <c:val>
            <c:numRef>
              <c:f>Pat_Tech!$C$222:$CB$222</c:f>
              <c:numCache>
                <c:formatCode>#\ ##0.0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1.28</c:v>
                </c:pt>
                <c:pt idx="42">
                  <c:v>0.83</c:v>
                </c:pt>
                <c:pt idx="43">
                  <c:v>0.96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0.46</c:v>
                </c:pt>
                <c:pt idx="54">
                  <c:v>0.32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7-44EC-BC12-7AB6F575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388512304"/>
        <c:axId val="3885014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Pat_Tech!$B$216</c15:sqref>
                        </c15:formulaRef>
                      </c:ext>
                    </c:extLst>
                    <c:strCache>
                      <c:ptCount val="1"/>
                      <c:pt idx="0">
                        <c:v>Souterrain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Pat_Tech!$C$215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1946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Pat_Tech!$C$216:$CB$216</c15:sqref>
                        </c15:formulaRef>
                      </c:ext>
                    </c:extLst>
                    <c:numCache>
                      <c:formatCode>#\ ##0.0</c:formatCode>
                      <c:ptCount val="7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0.01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26.77</c:v>
                      </c:pt>
                      <c:pt idx="15">
                        <c:v>2.17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0.91</c:v>
                      </c:pt>
                      <c:pt idx="19">
                        <c:v>1.2</c:v>
                      </c:pt>
                      <c:pt idx="20">
                        <c:v>19.600000000000001</c:v>
                      </c:pt>
                      <c:pt idx="21">
                        <c:v>1.51</c:v>
                      </c:pt>
                      <c:pt idx="22">
                        <c:v>0.18</c:v>
                      </c:pt>
                      <c:pt idx="23">
                        <c:v>0.97</c:v>
                      </c:pt>
                      <c:pt idx="24">
                        <c:v>0.61</c:v>
                      </c:pt>
                      <c:pt idx="25">
                        <c:v>0.67</c:v>
                      </c:pt>
                      <c:pt idx="26">
                        <c:v>0.43</c:v>
                      </c:pt>
                      <c:pt idx="27">
                        <c:v>0.94</c:v>
                      </c:pt>
                      <c:pt idx="28">
                        <c:v>0.04</c:v>
                      </c:pt>
                      <c:pt idx="29">
                        <c:v>2.5499999999999998</c:v>
                      </c:pt>
                      <c:pt idx="30">
                        <c:v>0.56999999999999995</c:v>
                      </c:pt>
                      <c:pt idx="31">
                        <c:v>4.5599999999999996</c:v>
                      </c:pt>
                      <c:pt idx="32">
                        <c:v>50.44</c:v>
                      </c:pt>
                      <c:pt idx="33">
                        <c:v>3.08</c:v>
                      </c:pt>
                      <c:pt idx="34">
                        <c:v>9.31</c:v>
                      </c:pt>
                      <c:pt idx="35">
                        <c:v>15.44</c:v>
                      </c:pt>
                      <c:pt idx="36">
                        <c:v>15.96</c:v>
                      </c:pt>
                      <c:pt idx="37">
                        <c:v>12.73</c:v>
                      </c:pt>
                      <c:pt idx="38">
                        <c:v>18.260000000000002</c:v>
                      </c:pt>
                      <c:pt idx="39">
                        <c:v>17.079999999999998</c:v>
                      </c:pt>
                      <c:pt idx="40">
                        <c:v>17.329999999999998</c:v>
                      </c:pt>
                      <c:pt idx="41">
                        <c:v>16.260000000000002</c:v>
                      </c:pt>
                      <c:pt idx="42">
                        <c:v>24.41</c:v>
                      </c:pt>
                      <c:pt idx="43">
                        <c:v>19.57</c:v>
                      </c:pt>
                      <c:pt idx="44">
                        <c:v>15.84</c:v>
                      </c:pt>
                      <c:pt idx="45">
                        <c:v>17.86</c:v>
                      </c:pt>
                      <c:pt idx="46">
                        <c:v>30.34</c:v>
                      </c:pt>
                      <c:pt idx="47">
                        <c:v>47.65</c:v>
                      </c:pt>
                      <c:pt idx="48">
                        <c:v>49.87</c:v>
                      </c:pt>
                      <c:pt idx="49">
                        <c:v>40.119999999999997</c:v>
                      </c:pt>
                      <c:pt idx="50">
                        <c:v>90.2</c:v>
                      </c:pt>
                      <c:pt idx="51">
                        <c:v>61.63</c:v>
                      </c:pt>
                      <c:pt idx="52">
                        <c:v>51.89</c:v>
                      </c:pt>
                      <c:pt idx="53">
                        <c:v>92.36</c:v>
                      </c:pt>
                      <c:pt idx="54">
                        <c:v>82.71</c:v>
                      </c:pt>
                      <c:pt idx="55">
                        <c:v>79.709999999999994</c:v>
                      </c:pt>
                      <c:pt idx="56">
                        <c:v>112.06</c:v>
                      </c:pt>
                      <c:pt idx="57">
                        <c:v>31.51</c:v>
                      </c:pt>
                      <c:pt idx="58">
                        <c:v>38.46</c:v>
                      </c:pt>
                      <c:pt idx="59">
                        <c:v>55.87</c:v>
                      </c:pt>
                      <c:pt idx="60">
                        <c:v>22.86</c:v>
                      </c:pt>
                      <c:pt idx="61">
                        <c:v>42.26</c:v>
                      </c:pt>
                      <c:pt idx="62">
                        <c:v>78.39</c:v>
                      </c:pt>
                      <c:pt idx="63">
                        <c:v>92.06</c:v>
                      </c:pt>
                      <c:pt idx="64">
                        <c:v>106.5</c:v>
                      </c:pt>
                      <c:pt idx="65">
                        <c:v>90.02</c:v>
                      </c:pt>
                      <c:pt idx="66">
                        <c:v>180.73</c:v>
                      </c:pt>
                      <c:pt idx="67">
                        <c:v>38.22</c:v>
                      </c:pt>
                      <c:pt idx="68">
                        <c:v>84.13</c:v>
                      </c:pt>
                      <c:pt idx="69">
                        <c:v>109.74</c:v>
                      </c:pt>
                      <c:pt idx="70">
                        <c:v>73.849999999999994</c:v>
                      </c:pt>
                      <c:pt idx="71">
                        <c:v>91.45</c:v>
                      </c:pt>
                      <c:pt idx="72">
                        <c:v>187.25</c:v>
                      </c:pt>
                      <c:pt idx="73">
                        <c:v>34.380000000000003</c:v>
                      </c:pt>
                      <c:pt idx="74">
                        <c:v>36.08</c:v>
                      </c:pt>
                      <c:pt idx="75">
                        <c:v>155.13999999999999</c:v>
                      </c:pt>
                      <c:pt idx="76">
                        <c:v>38.56</c:v>
                      </c:pt>
                      <c:pt idx="77">
                        <c:v>31.99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7-44EC-BC12-7AB6F57523A8}"/>
                  </c:ext>
                </c:extLst>
              </c15:ser>
            </c15:filteredBarSeries>
          </c:ext>
        </c:extLst>
      </c:barChart>
      <c:catAx>
        <c:axId val="38851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8501488"/>
        <c:crosses val="autoZero"/>
        <c:auto val="1"/>
        <c:lblAlgn val="ctr"/>
        <c:lblOffset val="100"/>
        <c:noMultiLvlLbl val="0"/>
      </c:catAx>
      <c:valAx>
        <c:axId val="38850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Linéaire de réseau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851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Evolution</a:t>
            </a:r>
            <a:r>
              <a:rPr lang="en-US" sz="1200" b="1" baseline="0"/>
              <a:t> des postes HTA/BT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5906301260293184E-2"/>
          <c:y val="7.7660634384189312E-2"/>
          <c:w val="0.92818739747941359"/>
          <c:h val="0.70430003960197329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Pat_Tech!$B$243</c:f>
              <c:strCache>
                <c:ptCount val="1"/>
                <c:pt idx="0">
                  <c:v>Postes maçonnés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Pat_Tech!$C$243:$G$243</c:f>
              <c:numCache>
                <c:formatCode>#,##0</c:formatCode>
                <c:ptCount val="5"/>
                <c:pt idx="0">
                  <c:v>455</c:v>
                </c:pt>
                <c:pt idx="1">
                  <c:v>455</c:v>
                </c:pt>
                <c:pt idx="2">
                  <c:v>456</c:v>
                </c:pt>
                <c:pt idx="3">
                  <c:v>455</c:v>
                </c:pt>
                <c:pt idx="4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5-40C0-9231-9ABAACDB4B02}"/>
            </c:ext>
          </c:extLst>
        </c:ser>
        <c:ser>
          <c:idx val="3"/>
          <c:order val="1"/>
          <c:tx>
            <c:strRef>
              <c:f>Pat_Tech!$B$244</c:f>
              <c:strCache>
                <c:ptCount val="1"/>
                <c:pt idx="0">
                  <c:v>Postes préfabriqués</c:v>
                </c:pt>
              </c:strCache>
            </c:strRef>
          </c:tx>
          <c:spPr>
            <a:solidFill>
              <a:srgbClr val="ACD59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Pat_Tech!$C$244:$G$244</c:f>
              <c:numCache>
                <c:formatCode>#,##0</c:formatCode>
                <c:ptCount val="5"/>
                <c:pt idx="0">
                  <c:v>1681</c:v>
                </c:pt>
                <c:pt idx="1">
                  <c:v>1706</c:v>
                </c:pt>
                <c:pt idx="2">
                  <c:v>1732</c:v>
                </c:pt>
                <c:pt idx="3">
                  <c:v>1778</c:v>
                </c:pt>
                <c:pt idx="4">
                  <c:v>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5-40C0-9231-9ABAACDB4B02}"/>
            </c:ext>
          </c:extLst>
        </c:ser>
        <c:ser>
          <c:idx val="1"/>
          <c:order val="2"/>
          <c:tx>
            <c:strRef>
              <c:f>Pat_Tech!$B$242</c:f>
              <c:strCache>
                <c:ptCount val="1"/>
                <c:pt idx="0">
                  <c:v>Postes sur poteau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Pat_Tech!$C$243:$G$243</c:f>
              <c:numCache>
                <c:formatCode>#,##0</c:formatCode>
                <c:ptCount val="5"/>
                <c:pt idx="0">
                  <c:v>455</c:v>
                </c:pt>
                <c:pt idx="1">
                  <c:v>455</c:v>
                </c:pt>
                <c:pt idx="2">
                  <c:v>456</c:v>
                </c:pt>
                <c:pt idx="3">
                  <c:v>455</c:v>
                </c:pt>
                <c:pt idx="4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5-40C0-9231-9ABAACDB4B02}"/>
            </c:ext>
          </c:extLst>
        </c:ser>
        <c:ser>
          <c:idx val="4"/>
          <c:order val="3"/>
          <c:tx>
            <c:strRef>
              <c:f>Pat_Tech!$B$245</c:f>
              <c:strCache>
                <c:ptCount val="1"/>
                <c:pt idx="0">
                  <c:v>Autres</c:v>
                </c:pt>
              </c:strCache>
            </c:strRef>
          </c:tx>
          <c:spPr>
            <a:solidFill>
              <a:srgbClr val="961A2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Pat_Tech!$C$245:$G$245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5-40C0-9231-9ABAACDB4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5709264"/>
        <c:axId val="1392882592"/>
      </c:barChart>
      <c:lineChart>
        <c:grouping val="standard"/>
        <c:varyColors val="0"/>
        <c:ser>
          <c:idx val="0"/>
          <c:order val="4"/>
          <c:tx>
            <c:strRef>
              <c:f>Pat_Tech!$B$241</c:f>
              <c:strCache>
                <c:ptCount val="1"/>
                <c:pt idx="0">
                  <c:v>Nombre de postes HTA DP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Pat_Tech!$C$241:$G$241</c:f>
              <c:numCache>
                <c:formatCode>#,##0</c:formatCode>
                <c:ptCount val="5"/>
                <c:pt idx="0">
                  <c:v>4016</c:v>
                </c:pt>
                <c:pt idx="1">
                  <c:v>4032</c:v>
                </c:pt>
                <c:pt idx="2">
                  <c:v>4059</c:v>
                </c:pt>
                <c:pt idx="3">
                  <c:v>4089</c:v>
                </c:pt>
                <c:pt idx="4">
                  <c:v>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B5-40C0-9231-9ABAACDB4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92511"/>
        <c:axId val="2098001151"/>
      </c:lineChart>
      <c:catAx>
        <c:axId val="13957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2882592"/>
        <c:crosses val="autoZero"/>
        <c:auto val="1"/>
        <c:lblAlgn val="ctr"/>
        <c:lblOffset val="100"/>
        <c:noMultiLvlLbl val="0"/>
      </c:catAx>
      <c:valAx>
        <c:axId val="1392882592"/>
        <c:scaling>
          <c:orientation val="minMax"/>
          <c:min val="0"/>
        </c:scaling>
        <c:delete val="1"/>
        <c:axPos val="l"/>
        <c:numFmt formatCode="#,##0" sourceLinked="1"/>
        <c:majorTickMark val="none"/>
        <c:minorTickMark val="none"/>
        <c:tickLblPos val="nextTo"/>
        <c:crossAx val="1395709264"/>
        <c:crosses val="autoZero"/>
        <c:crossBetween val="between"/>
      </c:valAx>
      <c:valAx>
        <c:axId val="2098001151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7992511"/>
        <c:crosses val="max"/>
        <c:crossBetween val="between"/>
      </c:valAx>
      <c:catAx>
        <c:axId val="2097992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8001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259979612828805E-2"/>
          <c:y val="0.8741194832748862"/>
          <c:w val="0.97421583156886127"/>
          <c:h val="0.12019109296070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Fonction</a:t>
            </a:r>
            <a:r>
              <a:rPr lang="en-US" sz="1200" b="1" baseline="0"/>
              <a:t> des postes HTA/BT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3.5906301260293184E-2"/>
          <c:y val="3.6981254468661496E-3"/>
          <c:w val="0.92818739747941359"/>
          <c:h val="0.78537298428643887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Pat_Tech!$B$249</c:f>
              <c:strCache>
                <c:ptCount val="1"/>
                <c:pt idx="0">
                  <c:v>DP BT</c:v>
                </c:pt>
              </c:strCache>
            </c:strRef>
          </c:tx>
          <c:spPr>
            <a:solidFill>
              <a:srgbClr val="A568D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Pat_Tech!$C$249:$G$249</c:f>
              <c:numCache>
                <c:formatCode>#,##0</c:formatCode>
                <c:ptCount val="5"/>
                <c:pt idx="0">
                  <c:v>4008</c:v>
                </c:pt>
                <c:pt idx="1">
                  <c:v>4031</c:v>
                </c:pt>
                <c:pt idx="2">
                  <c:v>4058</c:v>
                </c:pt>
                <c:pt idx="3">
                  <c:v>4088</c:v>
                </c:pt>
                <c:pt idx="4">
                  <c:v>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B-4351-B959-70236AB00B98}"/>
            </c:ext>
          </c:extLst>
        </c:ser>
        <c:ser>
          <c:idx val="2"/>
          <c:order val="2"/>
          <c:tx>
            <c:strRef>
              <c:f>Pat_Tech!$B$250</c:f>
              <c:strCache>
                <c:ptCount val="1"/>
                <c:pt idx="0">
                  <c:v>DP-Prod BT</c:v>
                </c:pt>
              </c:strCache>
            </c:strRef>
          </c:tx>
          <c:spPr>
            <a:solidFill>
              <a:srgbClr val="B889D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Pat_Tech!$C$250:$G$250</c:f>
              <c:numCache>
                <c:formatCode>#,##0</c:formatCode>
                <c:ptCount val="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B-4351-B959-70236AB00B98}"/>
            </c:ext>
          </c:extLst>
        </c:ser>
        <c:ser>
          <c:idx val="3"/>
          <c:order val="3"/>
          <c:tx>
            <c:strRef>
              <c:f>Pat_Tech!$B$251</c:f>
              <c:strCache>
                <c:ptCount val="1"/>
                <c:pt idx="0">
                  <c:v>Mixte HTA et DP BT</c:v>
                </c:pt>
              </c:strCache>
            </c:strRef>
          </c:tx>
          <c:spPr>
            <a:solidFill>
              <a:srgbClr val="5497D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Pat_Tech!$C$251:$G$251</c:f>
              <c:numCache>
                <c:formatCode>#,##0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B-4351-B959-70236AB00B98}"/>
            </c:ext>
          </c:extLst>
        </c:ser>
        <c:ser>
          <c:idx val="4"/>
          <c:order val="4"/>
          <c:tx>
            <c:strRef>
              <c:f>Pat_Tech!$B$252</c:f>
              <c:strCache>
                <c:ptCount val="1"/>
                <c:pt idx="0">
                  <c:v>Mixte HTA et DP-Prod BT</c:v>
                </c:pt>
              </c:strCache>
            </c:strRef>
          </c:tx>
          <c:spPr>
            <a:solidFill>
              <a:srgbClr val="8DBA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Pat_Tech!$C$252:$G$252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B-4351-B959-70236AB0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5709264"/>
        <c:axId val="1392882592"/>
      </c:barChart>
      <c:lineChart>
        <c:grouping val="standard"/>
        <c:varyColors val="0"/>
        <c:ser>
          <c:idx val="0"/>
          <c:order val="0"/>
          <c:tx>
            <c:strRef>
              <c:f>Pat_Tech!$B$253</c:f>
              <c:strCache>
                <c:ptCount val="1"/>
                <c:pt idx="0">
                  <c:v>Nombre d'usagers consommateurs raccordés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Pat_Tech!$C$247:$G$247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Pat_Tech!$C$253:$G$253</c:f>
              <c:numCache>
                <c:formatCode>#,##0</c:formatCode>
                <c:ptCount val="5"/>
                <c:pt idx="0">
                  <c:v>176242</c:v>
                </c:pt>
                <c:pt idx="1">
                  <c:v>177288</c:v>
                </c:pt>
                <c:pt idx="2">
                  <c:v>178881</c:v>
                </c:pt>
                <c:pt idx="3">
                  <c:v>179880</c:v>
                </c:pt>
                <c:pt idx="4">
                  <c:v>181232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EB-4351-B959-70236AB0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92511"/>
        <c:axId val="2098001151"/>
      </c:lineChart>
      <c:catAx>
        <c:axId val="13957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2882592"/>
        <c:crosses val="autoZero"/>
        <c:auto val="1"/>
        <c:lblAlgn val="ctr"/>
        <c:lblOffset val="100"/>
        <c:noMultiLvlLbl val="0"/>
      </c:catAx>
      <c:valAx>
        <c:axId val="1392882592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95709264"/>
        <c:crosses val="autoZero"/>
        <c:crossBetween val="between"/>
      </c:valAx>
      <c:valAx>
        <c:axId val="2098001151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7992511"/>
        <c:crosses val="max"/>
        <c:crossBetween val="between"/>
      </c:valAx>
      <c:catAx>
        <c:axId val="2097992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8001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122991902202841"/>
          <c:w val="1"/>
          <c:h val="0.11308065721356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r>
              <a:rPr lang="fr-FR" sz="1200" b="1">
                <a:latin typeface="+mj-lt"/>
                <a:cs typeface="Arial" panose="020B0604020202020204" pitchFamily="34" charset="0"/>
              </a:rPr>
              <a:t>Evolution</a:t>
            </a:r>
            <a:r>
              <a:rPr lang="fr-FR" sz="1200" b="1" baseline="0">
                <a:latin typeface="+mj-lt"/>
                <a:cs typeface="Arial" panose="020B0604020202020204" pitchFamily="34" charset="0"/>
              </a:rPr>
              <a:t> du réseau BT</a:t>
            </a:r>
            <a:endParaRPr lang="fr-FR" sz="1200" b="1">
              <a:latin typeface="+mj-lt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66473061833124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0037326943546777E-2"/>
          <c:y val="8.180071944958614E-2"/>
          <c:w val="0.86353869427866436"/>
          <c:h val="0.660403360170597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Pat_Tech!$B$405</c:f>
              <c:strCache>
                <c:ptCount val="1"/>
                <c:pt idx="0">
                  <c:v>Taux réseau BT souterrain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7C-4132-A9C0-95512961FE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Pat_Tech!$C$405:$G$405</c:f>
              <c:numCache>
                <c:formatCode>0.0%</c:formatCode>
                <c:ptCount val="5"/>
                <c:pt idx="0">
                  <c:v>0.59232056909921027</c:v>
                </c:pt>
                <c:pt idx="1">
                  <c:v>0.59974862357746894</c:v>
                </c:pt>
                <c:pt idx="2">
                  <c:v>0.60792531446327902</c:v>
                </c:pt>
                <c:pt idx="3">
                  <c:v>0.61546907668442707</c:v>
                </c:pt>
                <c:pt idx="4">
                  <c:v>0.62264867336379759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C-4132-A9C0-95512961FEE9}"/>
            </c:ext>
          </c:extLst>
        </c:ser>
        <c:ser>
          <c:idx val="5"/>
          <c:order val="1"/>
          <c:tx>
            <c:strRef>
              <c:f>Pat_Tech!$B$404</c:f>
              <c:strCache>
                <c:ptCount val="1"/>
                <c:pt idx="0">
                  <c:v>Taux réseau BT aérien torsadé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Pat_Tech!$C$402:$G$402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Pat_Tech!$C$404:$G$404</c:f>
              <c:numCache>
                <c:formatCode>0.0%</c:formatCode>
                <c:ptCount val="5"/>
                <c:pt idx="0">
                  <c:v>0.33669046159597366</c:v>
                </c:pt>
                <c:pt idx="1">
                  <c:v>0.33239886880609859</c:v>
                </c:pt>
                <c:pt idx="2">
                  <c:v>0.32731543315064709</c:v>
                </c:pt>
                <c:pt idx="3">
                  <c:v>0.32163485533148983</c:v>
                </c:pt>
                <c:pt idx="4">
                  <c:v>0.31738464294595325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7C-4132-A9C0-95512961FEE9}"/>
            </c:ext>
          </c:extLst>
        </c:ser>
        <c:ser>
          <c:idx val="1"/>
          <c:order val="2"/>
          <c:tx>
            <c:strRef>
              <c:f>Pat_Tech!$B$403</c:f>
              <c:strCache>
                <c:ptCount val="1"/>
                <c:pt idx="0">
                  <c:v>Taux réseau BT aérien nu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Pat_Tech!$C$15:$G$15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Pat_Tech!$C$403:$G$403</c:f>
              <c:numCache>
                <c:formatCode>0.0%</c:formatCode>
                <c:ptCount val="5"/>
                <c:pt idx="0">
                  <c:v>7.098896930481606E-2</c:v>
                </c:pt>
                <c:pt idx="1">
                  <c:v>6.7849775264013548E-2</c:v>
                </c:pt>
                <c:pt idx="2">
                  <c:v>6.4761961524811645E-2</c:v>
                </c:pt>
                <c:pt idx="3">
                  <c:v>6.2898765765158154E-2</c:v>
                </c:pt>
                <c:pt idx="4">
                  <c:v>5.9966683690249233E-2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7C-4132-A9C0-95512961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169839"/>
        <c:axId val="403610655"/>
      </c:barChart>
      <c:lineChart>
        <c:grouping val="standard"/>
        <c:varyColors val="0"/>
        <c:ser>
          <c:idx val="3"/>
          <c:order val="4"/>
          <c:tx>
            <c:strRef>
              <c:f>Pat_Tech!$B$406</c:f>
              <c:strCache>
                <c:ptCount val="1"/>
                <c:pt idx="0">
                  <c:v>Moy. nationale taux BT souterrain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70C0"/>
              </a:solidFill>
              <a:ln w="254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Pat_Tech!$C$395:$G$395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Pat_Tech!$C$406:$G$406</c:f>
              <c:numCache>
                <c:formatCode>0.0%</c:formatCode>
                <c:ptCount val="5"/>
                <c:pt idx="0">
                  <c:v>0.46541438463527496</c:v>
                </c:pt>
                <c:pt idx="1">
                  <c:v>0.47244708785925382</c:v>
                </c:pt>
                <c:pt idx="2">
                  <c:v>0.48015010912870426</c:v>
                </c:pt>
                <c:pt idx="3">
                  <c:v>0.48752719155415314</c:v>
                </c:pt>
                <c:pt idx="4">
                  <c:v>0.49435922525697334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132-A9C0-95512961FEE9}"/>
            </c:ext>
          </c:extLst>
        </c:ser>
        <c:ser>
          <c:idx val="4"/>
          <c:order val="5"/>
          <c:tx>
            <c:strRef>
              <c:f>Pat_Tech!$B$407</c:f>
              <c:strCache>
                <c:ptCount val="1"/>
                <c:pt idx="0">
                  <c:v>Moy. nationale à densité population similaire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5"/>
              </a:solidFill>
              <a:ln w="25400">
                <a:solidFill>
                  <a:schemeClr val="accent5"/>
                </a:solidFill>
              </a:ln>
              <a:effectLst/>
            </c:spPr>
          </c:marker>
          <c:cat>
            <c:numRef>
              <c:f>Pat_Tech!$C$395:$G$395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Pat_Tech!$C$407:$G$407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132-A9C0-95512961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169839"/>
        <c:axId val="403610655"/>
      </c:lineChart>
      <c:lineChart>
        <c:grouping val="stacked"/>
        <c:varyColors val="0"/>
        <c:ser>
          <c:idx val="2"/>
          <c:order val="3"/>
          <c:tx>
            <c:strRef>
              <c:f>Pat_Tech!$B$399</c:f>
              <c:strCache>
                <c:ptCount val="1"/>
                <c:pt idx="0">
                  <c:v>Linéaire 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Pat_Tech!$C$402:$G$402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Pat_Tech!$C$399:$G$399</c:f>
              <c:numCache>
                <c:formatCode>#,##0</c:formatCode>
                <c:ptCount val="5"/>
                <c:pt idx="0">
                  <c:v>3638.03</c:v>
                </c:pt>
                <c:pt idx="1">
                  <c:v>3659.85</c:v>
                </c:pt>
                <c:pt idx="2">
                  <c:v>3691.21</c:v>
                </c:pt>
                <c:pt idx="3">
                  <c:v>3706.75</c:v>
                </c:pt>
                <c:pt idx="4">
                  <c:v>3739.91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132-A9C0-95512961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420512"/>
        <c:axId val="446428672"/>
      </c:lineChart>
      <c:catAx>
        <c:axId val="1811169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10655"/>
        <c:crosses val="autoZero"/>
        <c:auto val="1"/>
        <c:lblAlgn val="ctr"/>
        <c:lblOffset val="100"/>
        <c:noMultiLvlLbl val="0"/>
      </c:catAx>
      <c:valAx>
        <c:axId val="4036106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69839"/>
        <c:crosses val="autoZero"/>
        <c:crossBetween val="between"/>
      </c:valAx>
      <c:valAx>
        <c:axId val="446428672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6420512"/>
        <c:crosses val="max"/>
        <c:crossBetween val="between"/>
      </c:valAx>
      <c:catAx>
        <c:axId val="446420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464286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479451894791413E-2"/>
          <c:y val="0.83408284558541035"/>
          <c:w val="0.90814158686832192"/>
          <c:h val="0.16591715441458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 Light (En-têtes)"/>
                <a:ea typeface="+mn-ea"/>
                <a:cs typeface="+mn-cs"/>
              </a:defRPr>
            </a:pPr>
            <a:r>
              <a:rPr lang="fr-FR" sz="1200" b="1">
                <a:latin typeface="Calibri Light (En-têtes)"/>
              </a:rPr>
              <a:t>Age moyen du réseau BT par technologie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 Light (En-têtes)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74877130669247"/>
          <c:y val="0.13195566843685061"/>
          <c:w val="0.85675471564526307"/>
          <c:h val="0.69258561803008811"/>
        </c:manualLayout>
      </c:layout>
      <c:lineChart>
        <c:grouping val="standard"/>
        <c:varyColors val="0"/>
        <c:ser>
          <c:idx val="0"/>
          <c:order val="0"/>
          <c:tx>
            <c:strRef>
              <c:f>Pat_Tech!$B$208</c:f>
              <c:strCache>
                <c:ptCount val="1"/>
                <c:pt idx="0">
                  <c:v>Réseau HTA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Pat_Tech!$C$208:$G$208</c:f>
              <c:numCache>
                <c:formatCode>#\ ##0.0</c:formatCode>
                <c:ptCount val="5"/>
                <c:pt idx="0">
                  <c:v>26.99</c:v>
                </c:pt>
                <c:pt idx="1">
                  <c:v>27.76</c:v>
                </c:pt>
                <c:pt idx="2">
                  <c:v>27.78</c:v>
                </c:pt>
                <c:pt idx="3">
                  <c:v>28.51</c:v>
                </c:pt>
                <c:pt idx="4">
                  <c:v>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D-4301-B19A-FAD501491F34}"/>
            </c:ext>
          </c:extLst>
        </c:ser>
        <c:ser>
          <c:idx val="1"/>
          <c:order val="1"/>
          <c:tx>
            <c:strRef>
              <c:f>Pat_Tech!$B$210</c:f>
              <c:strCache>
                <c:ptCount val="1"/>
                <c:pt idx="0">
                  <c:v>Dont aérien nu faibles sections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Pat_Tech!$C$210:$G$210</c:f>
              <c:numCache>
                <c:formatCode>#\ ##0.0</c:formatCode>
                <c:ptCount val="5"/>
                <c:pt idx="0">
                  <c:v>45.91</c:v>
                </c:pt>
                <c:pt idx="1">
                  <c:v>46.85</c:v>
                </c:pt>
                <c:pt idx="2">
                  <c:v>47.85</c:v>
                </c:pt>
                <c:pt idx="3">
                  <c:v>48.85</c:v>
                </c:pt>
                <c:pt idx="4">
                  <c:v>49.72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D-4301-B19A-FAD501491F34}"/>
            </c:ext>
          </c:extLst>
        </c:ser>
        <c:ser>
          <c:idx val="3"/>
          <c:order val="3"/>
          <c:tx>
            <c:strRef>
              <c:f>Pat_Tech!$B$212</c:f>
              <c:strCache>
                <c:ptCount val="1"/>
                <c:pt idx="0">
                  <c:v>Souterrain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Pat_Tech!$C$212:$G$212</c:f>
              <c:numCache>
                <c:formatCode>#\ ##0.0</c:formatCode>
                <c:ptCount val="5"/>
                <c:pt idx="0">
                  <c:v>15.53</c:v>
                </c:pt>
                <c:pt idx="1">
                  <c:v>16.23</c:v>
                </c:pt>
                <c:pt idx="2">
                  <c:v>16.12</c:v>
                </c:pt>
                <c:pt idx="3">
                  <c:v>16.84</c:v>
                </c:pt>
                <c:pt idx="4">
                  <c:v>17.559999999999999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D-4301-B19A-FAD501491F34}"/>
            </c:ext>
          </c:extLst>
        </c:ser>
        <c:ser>
          <c:idx val="4"/>
          <c:order val="4"/>
          <c:tx>
            <c:strRef>
              <c:f>Pat_Tech!$B$213</c:f>
              <c:strCache>
                <c:ptCount val="1"/>
                <c:pt idx="0">
                  <c:v>Dont souterrain CPI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2084084985816638E-2"/>
                  <c:y val="-5.29420747576700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4D-4301-B19A-FAD501491F34}"/>
                </c:ext>
              </c:extLst>
            </c:dLbl>
            <c:dLbl>
              <c:idx val="3"/>
              <c:layout>
                <c:manualLayout>
                  <c:x val="2.0636916336287715E-2"/>
                  <c:y val="-6.38366327745013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4D-4301-B19A-FAD501491F34}"/>
                </c:ext>
              </c:extLst>
            </c:dLbl>
            <c:dLbl>
              <c:idx val="4"/>
              <c:layout>
                <c:manualLayout>
                  <c:x val="2.1459906232338871E-2"/>
                  <c:y val="-4.89669303825591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4D-4301-B19A-FAD50149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Pat_Tech!$C$207:$G$207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Pat_Tech!$C$213:$G$213</c:f>
              <c:numCache>
                <c:formatCode>0.0</c:formatCode>
                <c:ptCount val="5"/>
                <c:pt idx="0">
                  <c:v>46.98</c:v>
                </c:pt>
                <c:pt idx="1">
                  <c:v>47.86</c:v>
                </c:pt>
                <c:pt idx="2">
                  <c:v>48.67</c:v>
                </c:pt>
                <c:pt idx="3">
                  <c:v>49.69</c:v>
                </c:pt>
                <c:pt idx="4">
                  <c:v>50.64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4D-4301-B19A-FAD501491F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83938047"/>
        <c:axId val="62411367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Pat_Tech!$B$211</c15:sqref>
                        </c15:formulaRef>
                      </c:ext>
                    </c:extLst>
                    <c:strCache>
                      <c:ptCount val="1"/>
                      <c:pt idx="0">
                        <c:v>Aérien torsadé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Pat_Tech!$C$207:$G$207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Pat_Tech!$C$211:$G$211</c15:sqref>
                        </c15:formulaRef>
                      </c:ext>
                    </c:extLst>
                    <c:numCache>
                      <c:formatCode>#\ ##0.0</c:formatCode>
                      <c:ptCount val="5"/>
                      <c:pt idx="0">
                        <c:v>34.119999999999997</c:v>
                      </c:pt>
                      <c:pt idx="1">
                        <c:v>35.119999999999997</c:v>
                      </c:pt>
                      <c:pt idx="2">
                        <c:v>35.79</c:v>
                      </c:pt>
                      <c:pt idx="3">
                        <c:v>37.119999999999997</c:v>
                      </c:pt>
                      <c:pt idx="4">
                        <c:v>36.92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44D-4301-B19A-FAD501491F34}"/>
                  </c:ext>
                </c:extLst>
              </c15:ser>
            </c15:filteredLineSeries>
          </c:ext>
        </c:extLst>
      </c:lineChart>
      <c:catAx>
        <c:axId val="6839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4113679"/>
        <c:crosses val="autoZero"/>
        <c:auto val="1"/>
        <c:lblAlgn val="ctr"/>
        <c:lblOffset val="100"/>
        <c:noMultiLvlLbl val="0"/>
      </c:catAx>
      <c:valAx>
        <c:axId val="62411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moyen selon inventaire technique (ans)</a:t>
                </a:r>
              </a:p>
            </c:rich>
          </c:tx>
          <c:layout>
            <c:manualLayout>
              <c:xMode val="edge"/>
              <c:yMode val="edge"/>
              <c:x val="2.1074376508209973E-2"/>
              <c:y val="0.1395721572355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39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6461378222407704E-2"/>
          <c:y val="0.90764917373091014"/>
          <c:w val="0.85910821867017362"/>
          <c:h val="8.0926093071094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r>
              <a:rPr lang="fr-FR" sz="1200" b="1">
                <a:latin typeface="+mj-lt"/>
                <a:cs typeface="Arial" panose="020B0604020202020204" pitchFamily="34" charset="0"/>
              </a:rPr>
              <a:t>Sécurisation des linéaires BT</a:t>
            </a:r>
          </a:p>
        </c:rich>
      </c:tx>
      <c:layout>
        <c:manualLayout>
          <c:xMode val="edge"/>
          <c:yMode val="edge"/>
          <c:x val="0.366473061833124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0037326943546777E-2"/>
          <c:y val="8.180071944958614E-2"/>
          <c:w val="0.86353869427866436"/>
          <c:h val="0.660403360170597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Pat_Tech!$B$462</c:f>
              <c:strCache>
                <c:ptCount val="1"/>
                <c:pt idx="0">
                  <c:v>Taux de réseau BT sécurisé - concession</c:v>
                </c:pt>
              </c:strCache>
            </c:strRef>
          </c:tx>
          <c:spPr>
            <a:solidFill>
              <a:srgbClr val="A568D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Pat_Tech!$C$458:$G$458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Pat_Tech!$C$462:$G$462</c:f>
              <c:numCache>
                <c:formatCode>0.0%</c:formatCode>
                <c:ptCount val="5"/>
                <c:pt idx="0">
                  <c:v>0.92901103069518398</c:v>
                </c:pt>
                <c:pt idx="1">
                  <c:v>0.93214749238356753</c:v>
                </c:pt>
                <c:pt idx="2">
                  <c:v>0.93524074761392606</c:v>
                </c:pt>
                <c:pt idx="3">
                  <c:v>0.9371039320159168</c:v>
                </c:pt>
                <c:pt idx="4">
                  <c:v>0.94003331630975084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3-465A-A167-76A12CCE88BC}"/>
            </c:ext>
          </c:extLst>
        </c:ser>
        <c:ser>
          <c:idx val="5"/>
          <c:order val="1"/>
          <c:tx>
            <c:strRef>
              <c:f>Pat_Tech!$B$463</c:f>
              <c:strCache>
                <c:ptCount val="1"/>
                <c:pt idx="0">
                  <c:v>Moy. nationale taux réseau BT sécurisé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Pat_Tech!$C$458:$G$458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Pat_Tech!$C$463:$G$463</c:f>
              <c:numCache>
                <c:formatCode>0.0%</c:formatCode>
                <c:ptCount val="5"/>
                <c:pt idx="0">
                  <c:v>0.92046572537967797</c:v>
                </c:pt>
                <c:pt idx="1">
                  <c:v>0.92565750439723904</c:v>
                </c:pt>
                <c:pt idx="2">
                  <c:v>0.93101015131103104</c:v>
                </c:pt>
                <c:pt idx="3">
                  <c:v>0.93705340924578695</c:v>
                </c:pt>
                <c:pt idx="4">
                  <c:v>0.94414848911966398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3-465A-A167-76A12CCE88BC}"/>
            </c:ext>
          </c:extLst>
        </c:ser>
        <c:ser>
          <c:idx val="1"/>
          <c:order val="2"/>
          <c:tx>
            <c:strRef>
              <c:f>Pat_Tech!$B$464</c:f>
              <c:strCache>
                <c:ptCount val="1"/>
                <c:pt idx="0">
                  <c:v>Moy. nationale selon densité de population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Pat_Tech!$C$458:$G$458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Pat_Tech!$C$464:$G$464</c:f>
              <c:numCache>
                <c:formatCode>0.0%</c:formatCode>
                <c:ptCount val="5"/>
                <c:pt idx="0">
                  <c:v>0.93669999999999998</c:v>
                </c:pt>
                <c:pt idx="1">
                  <c:v>0.93669999999999998</c:v>
                </c:pt>
                <c:pt idx="2">
                  <c:v>0.93669999999999998</c:v>
                </c:pt>
                <c:pt idx="3">
                  <c:v>0.93659999999999999</c:v>
                </c:pt>
                <c:pt idx="4" formatCode="0.00%">
                  <c:v>0.93659999999999999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C3-465A-A167-76A12CCE8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169839"/>
        <c:axId val="403610655"/>
      </c:barChart>
      <c:catAx>
        <c:axId val="18111698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10655"/>
        <c:crosses val="autoZero"/>
        <c:auto val="1"/>
        <c:lblAlgn val="ctr"/>
        <c:lblOffset val="100"/>
        <c:noMultiLvlLbl val="0"/>
      </c:catAx>
      <c:valAx>
        <c:axId val="4036106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479451894791413E-2"/>
          <c:y val="0.83408284558541035"/>
          <c:w val="0.90814158686832192"/>
          <c:h val="0.165917154414589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Cohérence des inventaires technique et comptable : nombre de communes en écart</a:t>
            </a:r>
            <a:endParaRPr lang="fr-F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6886274082502367E-2"/>
          <c:y val="0.16330399796909018"/>
          <c:w val="0.92118004163474876"/>
          <c:h val="0.600027309582971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Cohérence_inv!$B$31</c:f>
              <c:strCache>
                <c:ptCount val="1"/>
                <c:pt idx="0">
                  <c:v>Ecart nul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Cohérence_inv!$C$31:$F$31</c15:sqref>
                  </c15:fullRef>
                </c:ext>
              </c:extLst>
              <c:f>(Cohérence_inv!$C$31:$D$31,Cohérence_inv!$F$31)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B-4BEF-B8D2-99B2D4D1C86A}"/>
            </c:ext>
          </c:extLst>
        </c:ser>
        <c:ser>
          <c:idx val="1"/>
          <c:order val="1"/>
          <c:tx>
            <c:strRef>
              <c:f>Cohérence_inv!$B$32</c:f>
              <c:strCache>
                <c:ptCount val="1"/>
                <c:pt idx="0">
                  <c:v>Ecart entre 0% et 2%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Cohérence_inv!$C$32:$F$32</c15:sqref>
                  </c15:fullRef>
                </c:ext>
              </c:extLst>
              <c:f>(Cohérence_inv!$C$32:$D$32,Cohérence_inv!$F$32)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B-4BEF-B8D2-99B2D4D1C86A}"/>
            </c:ext>
          </c:extLst>
        </c:ser>
        <c:ser>
          <c:idx val="2"/>
          <c:order val="2"/>
          <c:tx>
            <c:strRef>
              <c:f>Cohérence_inv!$B$33</c:f>
              <c:strCache>
                <c:ptCount val="1"/>
                <c:pt idx="0">
                  <c:v>Ecart entre 2% et 5%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Cohérence_inv!$C$33:$F$33</c15:sqref>
                  </c15:fullRef>
                </c:ext>
              </c:extLst>
              <c:f>(Cohérence_inv!$C$33:$D$33,Cohérence_inv!$F$33)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6B-4BEF-B8D2-99B2D4D1C86A}"/>
            </c:ext>
          </c:extLst>
        </c:ser>
        <c:ser>
          <c:idx val="3"/>
          <c:order val="3"/>
          <c:tx>
            <c:strRef>
              <c:f>Cohérence_inv!$B$34</c:f>
              <c:strCache>
                <c:ptCount val="1"/>
                <c:pt idx="0">
                  <c:v>Ecart entre 5% et 10%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Cohérence_inv!$C$34:$F$34</c15:sqref>
                  </c15:fullRef>
                </c:ext>
              </c:extLst>
              <c:f>(Cohérence_inv!$C$34:$D$34,Cohérence_inv!$F$34)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6B-4BEF-B8D2-99B2D4D1C86A}"/>
            </c:ext>
          </c:extLst>
        </c:ser>
        <c:ser>
          <c:idx val="4"/>
          <c:order val="4"/>
          <c:tx>
            <c:strRef>
              <c:f>Cohérence_inv!$B$35</c:f>
              <c:strCache>
                <c:ptCount val="1"/>
                <c:pt idx="0">
                  <c:v>Ecart entre 10% et 25%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Cohérence_inv!$C$35:$F$35</c15:sqref>
                  </c15:fullRef>
                </c:ext>
              </c:extLst>
              <c:f>(Cohérence_inv!$C$35:$D$35,Cohérence_inv!$F$35)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6B-4BEF-B8D2-99B2D4D1C86A}"/>
            </c:ext>
          </c:extLst>
        </c:ser>
        <c:ser>
          <c:idx val="5"/>
          <c:order val="5"/>
          <c:tx>
            <c:strRef>
              <c:f>Cohérence_inv!$B$36</c:f>
              <c:strCache>
                <c:ptCount val="1"/>
                <c:pt idx="0">
                  <c:v>Ecart entre 25% et 50%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Cohérence_inv!$C$36:$F$36</c15:sqref>
                  </c15:fullRef>
                </c:ext>
              </c:extLst>
              <c:f>(Cohérence_inv!$C$36:$D$36,Cohérence_inv!$F$36)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6B-4BEF-B8D2-99B2D4D1C86A}"/>
            </c:ext>
          </c:extLst>
        </c:ser>
        <c:ser>
          <c:idx val="6"/>
          <c:order val="6"/>
          <c:tx>
            <c:strRef>
              <c:f>Cohérence_inv!$B$37</c:f>
              <c:strCache>
                <c:ptCount val="1"/>
                <c:pt idx="0">
                  <c:v>Ecart supérieur à 50%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Cohérence_inv!$C$30:$F$30</c15:sqref>
                  </c15:fullRef>
                </c:ext>
              </c:extLst>
              <c:f>(Cohérence_inv!$C$30:$D$30,Cohérence_inv!$F$30)</c:f>
              <c:strCache>
                <c:ptCount val="3"/>
                <c:pt idx="0">
                  <c:v>Linéaires HTA</c:v>
                </c:pt>
                <c:pt idx="1">
                  <c:v>Linéaires BT</c:v>
                </c:pt>
                <c:pt idx="2">
                  <c:v>Transformateurs HTA/BT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Cohérence_inv!$C$37:$F$37</c15:sqref>
                  </c15:fullRef>
                </c:ext>
              </c:extLst>
              <c:f>(Cohérence_inv!$C$37:$D$37,Cohérence_inv!$F$37)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6B-4BEF-B8D2-99B2D4D1C8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1248800"/>
        <c:axId val="961003200"/>
      </c:barChart>
      <c:catAx>
        <c:axId val="6912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1003200"/>
        <c:crosses val="autoZero"/>
        <c:auto val="1"/>
        <c:lblAlgn val="ctr"/>
        <c:lblOffset val="100"/>
        <c:noMultiLvlLbl val="0"/>
      </c:catAx>
      <c:valAx>
        <c:axId val="9610032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12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850504121475872E-2"/>
          <c:y val="0.85711395404297219"/>
          <c:w val="0.89642543748436809"/>
          <c:h val="0.12823118523590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Cohérence des inventaires : focus sur les réseaux HTA</a:t>
            </a:r>
            <a:endParaRPr lang="fr-FR" sz="1100">
              <a:effectLst/>
            </a:endParaRPr>
          </a:p>
        </c:rich>
      </c:tx>
      <c:layout>
        <c:manualLayout>
          <c:xMode val="edge"/>
          <c:yMode val="edge"/>
          <c:x val="0.26845630855291008"/>
          <c:y val="2.6507989351556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Cohérence_inv!$B$31</c:f>
              <c:strCache>
                <c:ptCount val="1"/>
                <c:pt idx="0">
                  <c:v>Ecart nul</c:v>
                </c:pt>
              </c:strCache>
            </c:strRef>
          </c:tx>
          <c:spPr>
            <a:solidFill>
              <a:schemeClr val="accent3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Cohérence_inv!$G$31:$I$31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A-4D0E-91B4-450E6180F38E}"/>
            </c:ext>
          </c:extLst>
        </c:ser>
        <c:ser>
          <c:idx val="1"/>
          <c:order val="1"/>
          <c:tx>
            <c:strRef>
              <c:f>Cohérence_inv!$B$32</c:f>
              <c:strCache>
                <c:ptCount val="1"/>
                <c:pt idx="0">
                  <c:v>Ecart entre 0% et 2%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Cohérence_inv!$G$32:$I$32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A-4D0E-91B4-450E6180F38E}"/>
            </c:ext>
          </c:extLst>
        </c:ser>
        <c:ser>
          <c:idx val="2"/>
          <c:order val="2"/>
          <c:tx>
            <c:strRef>
              <c:f>Cohérence_inv!$B$34</c:f>
              <c:strCache>
                <c:ptCount val="1"/>
                <c:pt idx="0">
                  <c:v>Ecart entre 5% et 10%</c:v>
                </c:pt>
              </c:strCache>
            </c:strRef>
          </c:tx>
          <c:spPr>
            <a:solidFill>
              <a:schemeClr val="accent3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Cohérence_inv!$G$33:$I$33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A-4D0E-91B4-450E6180F38E}"/>
            </c:ext>
          </c:extLst>
        </c:ser>
        <c:ser>
          <c:idx val="3"/>
          <c:order val="3"/>
          <c:tx>
            <c:strRef>
              <c:f>Cohérence_inv!$B$35</c:f>
              <c:strCache>
                <c:ptCount val="1"/>
                <c:pt idx="0">
                  <c:v>Ecart entre 10% et 25%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Cohérence_inv!$G$34:$I$34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BA-4D0E-91B4-450E6180F38E}"/>
            </c:ext>
          </c:extLst>
        </c:ser>
        <c:ser>
          <c:idx val="4"/>
          <c:order val="4"/>
          <c:tx>
            <c:strRef>
              <c:f>Cohérence_inv!$B$36</c:f>
              <c:strCache>
                <c:ptCount val="1"/>
                <c:pt idx="0">
                  <c:v>Ecart entre 25% et 50%</c:v>
                </c:pt>
              </c:strCache>
            </c:strRef>
          </c:tx>
          <c:spPr>
            <a:solidFill>
              <a:schemeClr val="accent3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Cohérence_inv!$G$35:$I$35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BA-4D0E-91B4-450E6180F38E}"/>
            </c:ext>
          </c:extLst>
        </c:ser>
        <c:ser>
          <c:idx val="5"/>
          <c:order val="5"/>
          <c:tx>
            <c:strRef>
              <c:f>Cohérence_inv!$B$36</c:f>
              <c:strCache>
                <c:ptCount val="1"/>
                <c:pt idx="0">
                  <c:v>Ecart entre 25% et 50%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Cohérence_inv!$G$36:$I$36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BA-4D0E-91B4-450E6180F38E}"/>
            </c:ext>
          </c:extLst>
        </c:ser>
        <c:ser>
          <c:idx val="6"/>
          <c:order val="6"/>
          <c:tx>
            <c:strRef>
              <c:f>Cohérence_inv!$B$37</c:f>
              <c:strCache>
                <c:ptCount val="1"/>
                <c:pt idx="0">
                  <c:v>Ecart supérieur à 50%</c:v>
                </c:pt>
              </c:strCache>
            </c:strRef>
          </c:tx>
          <c:spPr>
            <a:solidFill>
              <a:schemeClr val="accent3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Cohérence_inv!$G$30:$I$30</c:f>
              <c:strCache>
                <c:ptCount val="3"/>
                <c:pt idx="0">
                  <c:v>Détail aérien nu HTA</c:v>
                </c:pt>
                <c:pt idx="1">
                  <c:v>Détail aérien torsadé HTA</c:v>
                </c:pt>
                <c:pt idx="2">
                  <c:v>Détail souterrain HTA</c:v>
                </c:pt>
              </c:strCache>
            </c:strRef>
          </c:cat>
          <c:val>
            <c:numRef>
              <c:f>Cohérence_inv!$G$37:$I$37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A-4D0E-91B4-450E6180F3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53701392"/>
        <c:axId val="961006112"/>
      </c:barChart>
      <c:catAx>
        <c:axId val="6537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1006112"/>
        <c:crosses val="autoZero"/>
        <c:auto val="1"/>
        <c:lblAlgn val="ctr"/>
        <c:lblOffset val="100"/>
        <c:noMultiLvlLbl val="0"/>
      </c:catAx>
      <c:valAx>
        <c:axId val="9610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37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Cohérence des inventaires : focus sur les réseaux BT</a:t>
            </a:r>
            <a:endParaRPr lang="fr-FR" sz="1100">
              <a:effectLst/>
            </a:endParaRPr>
          </a:p>
        </c:rich>
      </c:tx>
      <c:layout>
        <c:manualLayout>
          <c:xMode val="edge"/>
          <c:yMode val="edge"/>
          <c:x val="0.27857522817994995"/>
          <c:y val="3.1578947368421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Cohérence_inv!$B$31</c:f>
              <c:strCache>
                <c:ptCount val="1"/>
                <c:pt idx="0">
                  <c:v>Ecart nul</c:v>
                </c:pt>
              </c:strCache>
            </c:strRef>
          </c:tx>
          <c:spPr>
            <a:solidFill>
              <a:schemeClr val="accent3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Cohérence_inv!$J$31:$L$31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C-41AF-A95E-C06154916C9F}"/>
            </c:ext>
          </c:extLst>
        </c:ser>
        <c:ser>
          <c:idx val="1"/>
          <c:order val="1"/>
          <c:tx>
            <c:strRef>
              <c:f>Cohérence_inv!$B$32</c:f>
              <c:strCache>
                <c:ptCount val="1"/>
                <c:pt idx="0">
                  <c:v>Ecart entre 0% et 2%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Cohérence_inv!$J$32:$L$32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1C-41AF-A95E-C06154916C9F}"/>
            </c:ext>
          </c:extLst>
        </c:ser>
        <c:ser>
          <c:idx val="2"/>
          <c:order val="2"/>
          <c:tx>
            <c:strRef>
              <c:f>Cohérence_inv!$B$34</c:f>
              <c:strCache>
                <c:ptCount val="1"/>
                <c:pt idx="0">
                  <c:v>Ecart entre 5% et 10%</c:v>
                </c:pt>
              </c:strCache>
            </c:strRef>
          </c:tx>
          <c:spPr>
            <a:solidFill>
              <a:schemeClr val="accent3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Cohérence_inv!$J$33:$L$33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C-41AF-A95E-C06154916C9F}"/>
            </c:ext>
          </c:extLst>
        </c:ser>
        <c:ser>
          <c:idx val="3"/>
          <c:order val="3"/>
          <c:tx>
            <c:strRef>
              <c:f>Cohérence_inv!$B$35</c:f>
              <c:strCache>
                <c:ptCount val="1"/>
                <c:pt idx="0">
                  <c:v>Ecart entre 10% et 25%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Cohérence_inv!$J$34:$L$34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1C-41AF-A95E-C06154916C9F}"/>
            </c:ext>
          </c:extLst>
        </c:ser>
        <c:ser>
          <c:idx val="4"/>
          <c:order val="4"/>
          <c:tx>
            <c:strRef>
              <c:f>Cohérence_inv!$B$36</c:f>
              <c:strCache>
                <c:ptCount val="1"/>
                <c:pt idx="0">
                  <c:v>Ecart entre 25% et 50%</c:v>
                </c:pt>
              </c:strCache>
            </c:strRef>
          </c:tx>
          <c:spPr>
            <a:solidFill>
              <a:schemeClr val="accent3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Cohérence_inv!$J$35:$L$35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1C-41AF-A95E-C06154916C9F}"/>
            </c:ext>
          </c:extLst>
        </c:ser>
        <c:ser>
          <c:idx val="5"/>
          <c:order val="5"/>
          <c:tx>
            <c:strRef>
              <c:f>Cohérence_inv!$B$36</c:f>
              <c:strCache>
                <c:ptCount val="1"/>
                <c:pt idx="0">
                  <c:v>Ecart entre 25% et 50%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Cohérence_inv!$J$36:$L$36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1C-41AF-A95E-C06154916C9F}"/>
            </c:ext>
          </c:extLst>
        </c:ser>
        <c:ser>
          <c:idx val="6"/>
          <c:order val="6"/>
          <c:tx>
            <c:strRef>
              <c:f>Cohérence_inv!$B$37</c:f>
              <c:strCache>
                <c:ptCount val="1"/>
                <c:pt idx="0">
                  <c:v>Ecart supérieur à 50%</c:v>
                </c:pt>
              </c:strCache>
            </c:strRef>
          </c:tx>
          <c:spPr>
            <a:solidFill>
              <a:schemeClr val="accent3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Cohérence_inv!$J$30:$L$30</c:f>
              <c:strCache>
                <c:ptCount val="3"/>
                <c:pt idx="0">
                  <c:v>Détail aérien nu BT</c:v>
                </c:pt>
                <c:pt idx="1">
                  <c:v>Détail aérien torsadé BT</c:v>
                </c:pt>
                <c:pt idx="2">
                  <c:v>Détail souterrain BT</c:v>
                </c:pt>
              </c:strCache>
            </c:strRef>
          </c:cat>
          <c:val>
            <c:numRef>
              <c:f>Cohérence_inv!$J$37:$L$37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1C-41AF-A95E-C06154916C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53701392"/>
        <c:axId val="961006112"/>
      </c:barChart>
      <c:catAx>
        <c:axId val="6537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61006112"/>
        <c:crosses val="autoZero"/>
        <c:auto val="1"/>
        <c:lblAlgn val="ctr"/>
        <c:lblOffset val="100"/>
        <c:noMultiLvlLbl val="0"/>
      </c:catAx>
      <c:valAx>
        <c:axId val="9610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37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Linéaires de réseau BT par</a:t>
            </a:r>
            <a:r>
              <a:rPr lang="fr-FR" baseline="0"/>
              <a:t> tranche d'âge (km) - Inv. compt -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Pat_Tech!$B$649:$B$655</c:f>
              <c:strCache>
                <c:ptCount val="7"/>
                <c:pt idx="0">
                  <c:v>&lt; 10 ans</c:v>
                </c:pt>
                <c:pt idx="1">
                  <c:v>de 10 à 20 ans</c:v>
                </c:pt>
                <c:pt idx="2">
                  <c:v>de 20 à 30 ans</c:v>
                </c:pt>
                <c:pt idx="3">
                  <c:v>de 30 à 40 ans</c:v>
                </c:pt>
                <c:pt idx="4">
                  <c:v>de 40 à 50 ans</c:v>
                </c:pt>
                <c:pt idx="5">
                  <c:v>de 50 à 60 ans</c:v>
                </c:pt>
                <c:pt idx="6">
                  <c:v>≥ 60 ans</c:v>
                </c:pt>
              </c:strCache>
            </c:strRef>
          </c:cat>
          <c:val>
            <c:numRef>
              <c:f>Pat_Tech!$K$649:$K$655</c:f>
              <c:numCache>
                <c:formatCode>#\ ##0.0</c:formatCode>
                <c:ptCount val="7"/>
                <c:pt idx="0">
                  <c:v>557.71</c:v>
                </c:pt>
                <c:pt idx="1">
                  <c:v>807.29</c:v>
                </c:pt>
                <c:pt idx="2">
                  <c:v>943.22</c:v>
                </c:pt>
                <c:pt idx="3">
                  <c:v>1255.6300000000001</c:v>
                </c:pt>
                <c:pt idx="4">
                  <c:v>4.87</c:v>
                </c:pt>
                <c:pt idx="5">
                  <c:v>4.1500000000000004</c:v>
                </c:pt>
                <c:pt idx="6">
                  <c:v>167.04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5-4F13-8270-03BA510B0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6793888"/>
        <c:axId val="1188344383"/>
      </c:barChart>
      <c:catAx>
        <c:axId val="1606793888"/>
        <c:scaling>
          <c:orientation val="minMax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8344383"/>
        <c:crosses val="autoZero"/>
        <c:auto val="1"/>
        <c:lblAlgn val="ctr"/>
        <c:lblOffset val="100"/>
        <c:noMultiLvlLbl val="0"/>
      </c:catAx>
      <c:valAx>
        <c:axId val="118834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67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Réseau HTA</a:t>
            </a:r>
          </a:p>
          <a:p>
            <a:pPr>
              <a:defRPr sz="1100" b="1"/>
            </a:pPr>
            <a:r>
              <a:rPr lang="fr-FR" sz="1100" b="1"/>
              <a:t>Technologies HTA</a:t>
            </a:r>
            <a:r>
              <a:rPr lang="fr-FR" sz="1100" b="1" baseline="0"/>
              <a:t> aériennes incidentogènes (km)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Pat_Tech!$B$155</c:f>
              <c:strCache>
                <c:ptCount val="1"/>
                <c:pt idx="0">
                  <c:v>Linéaire aérien nu de faibles sections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Pat_Tech!$C$172:$G$172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Pat_Tech!$C$155:$G$155</c:f>
              <c:numCache>
                <c:formatCode>#\ ##0.0</c:formatCode>
                <c:ptCount val="5"/>
                <c:pt idx="0">
                  <c:v>15.1</c:v>
                </c:pt>
                <c:pt idx="1">
                  <c:v>14.9</c:v>
                </c:pt>
                <c:pt idx="2">
                  <c:v>14.9</c:v>
                </c:pt>
                <c:pt idx="3">
                  <c:v>14.8</c:v>
                </c:pt>
                <c:pt idx="4">
                  <c:v>15.1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5-4623-9042-2E91E855F050}"/>
            </c:ext>
          </c:extLst>
        </c:ser>
        <c:ser>
          <c:idx val="2"/>
          <c:order val="2"/>
          <c:tx>
            <c:strRef>
              <c:f>Pat_Tech!$B$156</c:f>
              <c:strCache>
                <c:ptCount val="1"/>
                <c:pt idx="0">
                  <c:v>Linéaire aérien nu de sections réduites ≤ 50 mm² hors FS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Pat_Tech!$C$156:$G$156</c:f>
              <c:numCache>
                <c:formatCode>#\ ##0.0</c:formatCode>
                <c:ptCount val="5"/>
                <c:pt idx="0">
                  <c:v>698.1</c:v>
                </c:pt>
                <c:pt idx="1">
                  <c:v>694.4</c:v>
                </c:pt>
                <c:pt idx="2">
                  <c:v>694.4</c:v>
                </c:pt>
                <c:pt idx="3">
                  <c:v>689.80000000000007</c:v>
                </c:pt>
                <c:pt idx="4">
                  <c:v>688.69999999999993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5-4623-9042-2E91E855F0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11174239"/>
        <c:axId val="403611071"/>
      </c:barChart>
      <c:lineChart>
        <c:grouping val="standard"/>
        <c:varyColors val="0"/>
        <c:ser>
          <c:idx val="1"/>
          <c:order val="1"/>
          <c:tx>
            <c:strRef>
              <c:f>Pat_Tech!$B$157</c:f>
              <c:strCache>
                <c:ptCount val="1"/>
                <c:pt idx="0">
                  <c:v>% aérien nu FS / aérien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Pat_Tech!$C$157:$G$157</c:f>
              <c:numCache>
                <c:formatCode>0.00%</c:formatCode>
                <c:ptCount val="5"/>
                <c:pt idx="0">
                  <c:v>6.6E-3</c:v>
                </c:pt>
                <c:pt idx="1">
                  <c:v>6.6E-3</c:v>
                </c:pt>
                <c:pt idx="2">
                  <c:v>6.6E-3</c:v>
                </c:pt>
                <c:pt idx="3">
                  <c:v>6.6E-3</c:v>
                </c:pt>
                <c:pt idx="4">
                  <c:v>6.7000000000000002E-3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25-4623-9042-2E91E855F0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1185439"/>
        <c:axId val="403604415"/>
      </c:lineChart>
      <c:catAx>
        <c:axId val="18111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11071"/>
        <c:crosses val="autoZero"/>
        <c:auto val="1"/>
        <c:lblAlgn val="ctr"/>
        <c:lblOffset val="100"/>
        <c:noMultiLvlLbl val="0"/>
      </c:catAx>
      <c:valAx>
        <c:axId val="4036110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74239"/>
        <c:crosses val="autoZero"/>
        <c:crossBetween val="between"/>
      </c:valAx>
      <c:valAx>
        <c:axId val="403604415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1185439"/>
        <c:crosses val="max"/>
        <c:crossBetween val="between"/>
      </c:valAx>
      <c:catAx>
        <c:axId val="1811185439"/>
        <c:scaling>
          <c:orientation val="minMax"/>
        </c:scaling>
        <c:delete val="1"/>
        <c:axPos val="b"/>
        <c:majorTickMark val="out"/>
        <c:minorTickMark val="none"/>
        <c:tickLblPos val="nextTo"/>
        <c:crossAx val="403604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100" b="1"/>
            </a:pPr>
            <a:r>
              <a:rPr lang="fr-FR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Technologies</a:t>
            </a:r>
            <a:r>
              <a:rPr lang="fr-FR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BT incidentogènes (km) - Régime Urbain</a:t>
            </a:r>
          </a:p>
        </c:rich>
      </c:tx>
      <c:layout>
        <c:manualLayout>
          <c:xMode val="edge"/>
          <c:yMode val="edge"/>
          <c:x val="0.28679437458377399"/>
          <c:y val="4.969180552147695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23988968629254"/>
          <c:y val="0.1515652878435105"/>
          <c:w val="0.8307778440871183"/>
          <c:h val="0.6168215535536514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Pat_Tech!$B$511</c:f>
              <c:strCache>
                <c:ptCount val="1"/>
                <c:pt idx="0">
                  <c:v>Faibles sections</c:v>
                </c:pt>
              </c:strCache>
            </c:strRef>
          </c:tx>
          <c:spPr>
            <a:solidFill>
              <a:schemeClr val="bg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Pat_Tech!$C$511:$G$511</c:f>
              <c:numCache>
                <c:formatCode>0.0</c:formatCode>
                <c:ptCount val="5"/>
                <c:pt idx="0">
                  <c:v>9.81</c:v>
                </c:pt>
                <c:pt idx="1">
                  <c:v>9.19</c:v>
                </c:pt>
                <c:pt idx="2">
                  <c:v>8.6</c:v>
                </c:pt>
                <c:pt idx="3">
                  <c:v>8.24</c:v>
                </c:pt>
                <c:pt idx="4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3-4521-94C3-6FCE8E148BE4}"/>
            </c:ext>
          </c:extLst>
        </c:ser>
        <c:ser>
          <c:idx val="1"/>
          <c:order val="1"/>
          <c:tx>
            <c:strRef>
              <c:f>Pat_Tech!$B$514</c:f>
              <c:strCache>
                <c:ptCount val="1"/>
                <c:pt idx="0">
                  <c:v>Dont souterrain câble à isolation neutre périphérique (NP)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Pat_Tech!$C$514:$G$514</c:f>
              <c:numCache>
                <c:formatCode>#\ ##0.0</c:formatCode>
                <c:ptCount val="5"/>
                <c:pt idx="0">
                  <c:v>1.52</c:v>
                </c:pt>
                <c:pt idx="1">
                  <c:v>1.27</c:v>
                </c:pt>
                <c:pt idx="2">
                  <c:v>1.81</c:v>
                </c:pt>
                <c:pt idx="3">
                  <c:v>1.78</c:v>
                </c:pt>
                <c:pt idx="4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3-4521-94C3-6FCE8E14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22879"/>
        <c:axId val="403609823"/>
      </c:barChart>
      <c:lineChart>
        <c:grouping val="standard"/>
        <c:varyColors val="0"/>
        <c:ser>
          <c:idx val="3"/>
          <c:order val="2"/>
          <c:tx>
            <c:strRef>
              <c:f>Pat_Tech!$B$509</c:f>
              <c:strCache>
                <c:ptCount val="1"/>
                <c:pt idx="0">
                  <c:v>Part des linéaires à techn. incidentogènes / linéaire BT urbain (%)</c:v>
                </c:pt>
              </c:strCache>
            </c:strRef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Pat_Tech!$C$509:$G$509</c:f>
              <c:numCache>
                <c:formatCode>0.0%</c:formatCode>
                <c:ptCount val="5"/>
                <c:pt idx="0">
                  <c:v>0.14108925689005797</c:v>
                </c:pt>
                <c:pt idx="1">
                  <c:v>0.13806475648580915</c:v>
                </c:pt>
                <c:pt idx="2">
                  <c:v>0.13407512241146521</c:v>
                </c:pt>
                <c:pt idx="3">
                  <c:v>0.13083395239171861</c:v>
                </c:pt>
                <c:pt idx="4">
                  <c:v>0.12393165809861124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3-4521-94C3-6FCE8E148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/>
        <c:numFmt formatCode="0.0" sourceLinked="1"/>
        <c:majorTickMark val="none"/>
        <c:minorTickMark val="none"/>
        <c:tickLblPos val="nextTo"/>
        <c:txPr>
          <a:bodyPr/>
          <a:lstStyle/>
          <a:p>
            <a:pPr>
              <a:defRPr>
                <a:solidFill>
                  <a:sysClr val="windowText" lastClr="000000"/>
                </a:solidFill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5.1080245180685206E-2"/>
          <c:y val="0.86227566923105214"/>
          <c:w val="0.94855791175584492"/>
          <c:h val="0.12624076537773066"/>
        </c:manualLayout>
      </c:layout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effectLst/>
              </a:rPr>
              <a:t>Technologies</a:t>
            </a:r>
            <a:r>
              <a:rPr lang="fr-FR" sz="1100" b="1"/>
              <a:t> BT souterrains</a:t>
            </a:r>
            <a:r>
              <a:rPr lang="fr-FR" sz="1100" b="1" baseline="0"/>
              <a:t> incidentogènes (km) </a:t>
            </a:r>
            <a:endParaRPr lang="fr-FR" sz="1100" b="1"/>
          </a:p>
        </c:rich>
      </c:tx>
      <c:layout>
        <c:manualLayout>
          <c:xMode val="edge"/>
          <c:yMode val="edge"/>
          <c:x val="0.24903039003771688"/>
          <c:y val="3.0536305894438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3451049251073115E-2"/>
          <c:y val="0.15156520298700296"/>
          <c:w val="0.8307778440871183"/>
          <c:h val="0.61979678264490057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Pat_Tech!$B$576</c:f>
              <c:strCache>
                <c:ptCount val="1"/>
                <c:pt idx="0">
                  <c:v>Câble à papier imprégné (CPI)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Pat_Tech!$C$576:$G$576</c:f>
              <c:numCache>
                <c:formatCode>#\ ##0.0</c:formatCode>
                <c:ptCount val="5"/>
                <c:pt idx="0">
                  <c:v>3.08</c:v>
                </c:pt>
                <c:pt idx="1">
                  <c:v>3.06</c:v>
                </c:pt>
                <c:pt idx="2">
                  <c:v>3.07</c:v>
                </c:pt>
                <c:pt idx="3">
                  <c:v>3.04</c:v>
                </c:pt>
                <c:pt idx="4">
                  <c:v>3.04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8-4C6E-AC89-A5C643070486}"/>
            </c:ext>
          </c:extLst>
        </c:ser>
        <c:ser>
          <c:idx val="2"/>
          <c:order val="1"/>
          <c:tx>
            <c:strRef>
              <c:f>Pat_Tech!$B$578</c:f>
              <c:strCache>
                <c:ptCount val="1"/>
                <c:pt idx="0">
                  <c:v>Potentiellement CPI-NP (non datés "1946")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Pat_Tech!$C$578:$G$578</c:f>
              <c:numCache>
                <c:formatCode>#\ ##0.0</c:formatCode>
                <c:ptCount val="5"/>
                <c:pt idx="0">
                  <c:v>47.16</c:v>
                </c:pt>
                <c:pt idx="1">
                  <c:v>46.68</c:v>
                </c:pt>
                <c:pt idx="2">
                  <c:v>46.4</c:v>
                </c:pt>
                <c:pt idx="3">
                  <c:v>45.74</c:v>
                </c:pt>
                <c:pt idx="4">
                  <c:v>45.19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8-4C6E-AC89-A5C643070486}"/>
            </c:ext>
          </c:extLst>
        </c:ser>
        <c:ser>
          <c:idx val="1"/>
          <c:order val="2"/>
          <c:tx>
            <c:strRef>
              <c:f>Pat_Tech!$B$577</c:f>
              <c:strCache>
                <c:ptCount val="1"/>
                <c:pt idx="0">
                  <c:v>Neutre périphérique (NP)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Pat_Tech!$C$577:$G$577</c:f>
              <c:numCache>
                <c:formatCode>#\ ##0.0</c:formatCode>
                <c:ptCount val="5"/>
                <c:pt idx="0">
                  <c:v>2.21</c:v>
                </c:pt>
                <c:pt idx="1">
                  <c:v>1.95</c:v>
                </c:pt>
                <c:pt idx="2">
                  <c:v>1.95</c:v>
                </c:pt>
                <c:pt idx="3">
                  <c:v>1.93</c:v>
                </c:pt>
                <c:pt idx="4">
                  <c:v>1.93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78-4C6E-AC89-A5C64307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822879"/>
        <c:axId val="403609823"/>
      </c:barChart>
      <c:lineChart>
        <c:grouping val="standard"/>
        <c:varyColors val="0"/>
        <c:ser>
          <c:idx val="3"/>
          <c:order val="3"/>
          <c:tx>
            <c:strRef>
              <c:f>Pat_Tech!$B$579</c:f>
              <c:strCache>
                <c:ptCount val="1"/>
                <c:pt idx="0">
                  <c:v>% lignes CPI-NP / souterrain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Pat_Tech!$C$579:$G$579</c:f>
              <c:numCache>
                <c:formatCode>0.0%</c:formatCode>
                <c:ptCount val="5"/>
                <c:pt idx="0">
                  <c:v>2.4300000000000002E-2</c:v>
                </c:pt>
                <c:pt idx="1">
                  <c:v>2.3599999999999999E-2</c:v>
                </c:pt>
                <c:pt idx="2">
                  <c:v>2.3E-2</c:v>
                </c:pt>
                <c:pt idx="3">
                  <c:v>2.2199999999999998E-2</c:v>
                </c:pt>
                <c:pt idx="4">
                  <c:v>2.1499999999999998E-2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78-4C6E-AC89-A5C64307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126872142821766"/>
          <c:y val="0.86438805803855534"/>
          <c:w val="0.87735471520081298"/>
          <c:h val="0.13561206978139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effectLst/>
              </a:rPr>
              <a:t>Technologies</a:t>
            </a:r>
            <a:r>
              <a:rPr lang="fr-FR" sz="1100" b="1"/>
              <a:t> BT souterrains</a:t>
            </a:r>
            <a:r>
              <a:rPr lang="fr-FR" sz="1100" b="1" baseline="0"/>
              <a:t> incidentogènes (km) - Régime FACE rural - </a:t>
            </a:r>
            <a:endParaRPr lang="fr-FR" sz="1100" b="1"/>
          </a:p>
        </c:rich>
      </c:tx>
      <c:layout>
        <c:manualLayout>
          <c:xMode val="edge"/>
          <c:yMode val="edge"/>
          <c:x val="0.1676861678704912"/>
          <c:y val="3.0536305894438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3451049251073115E-2"/>
          <c:y val="0.15156520298700296"/>
          <c:w val="0.8307778440871183"/>
          <c:h val="0.61979678264490057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Pat_Tech!$B$534</c:f>
              <c:strCache>
                <c:ptCount val="1"/>
                <c:pt idx="0">
                  <c:v>Dont souterrain câble à isolation papier imprégné (CPI)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val>
            <c:numRef>
              <c:f>Pat_Tech!$C$534:$G$534</c:f>
              <c:numCache>
                <c:formatCode>#\ ##0.0</c:formatCode>
                <c:ptCount val="5"/>
                <c:pt idx="0">
                  <c:v>0.53</c:v>
                </c:pt>
                <c:pt idx="1">
                  <c:v>0.51</c:v>
                </c:pt>
                <c:pt idx="2">
                  <c:v>0.53</c:v>
                </c:pt>
                <c:pt idx="3">
                  <c:v>0.53</c:v>
                </c:pt>
                <c:pt idx="4">
                  <c:v>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F-432B-BB87-D963C44C6384}"/>
            </c:ext>
          </c:extLst>
        </c:ser>
        <c:ser>
          <c:idx val="2"/>
          <c:order val="1"/>
          <c:tx>
            <c:strRef>
              <c:f>Pat_Tech!$B$536</c:f>
              <c:strCache>
                <c:ptCount val="1"/>
                <c:pt idx="0">
                  <c:v>Dont souterrain câble potentiellement CPI-NP (non datés "1946")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Pat_Tech!$C$536:$G$536</c:f>
              <c:numCache>
                <c:formatCode>#\ ##0.0</c:formatCode>
                <c:ptCount val="5"/>
                <c:pt idx="0">
                  <c:v>24.58</c:v>
                </c:pt>
                <c:pt idx="1">
                  <c:v>24.56</c:v>
                </c:pt>
                <c:pt idx="2">
                  <c:v>15.74</c:v>
                </c:pt>
                <c:pt idx="3">
                  <c:v>15.51</c:v>
                </c:pt>
                <c:pt idx="4">
                  <c:v>15.37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F-432B-BB87-D963C44C6384}"/>
            </c:ext>
          </c:extLst>
        </c:ser>
        <c:ser>
          <c:idx val="1"/>
          <c:order val="2"/>
          <c:tx>
            <c:strRef>
              <c:f>Pat_Tech!$B$535</c:f>
              <c:strCache>
                <c:ptCount val="1"/>
                <c:pt idx="0">
                  <c:v>Dont souterrain câble à isolation neutre périphérique (NP)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Pat_Tech!$C$535:$G$535</c:f>
              <c:numCache>
                <c:formatCode>#\ ##0.0</c:formatCode>
                <c:ptCount val="5"/>
                <c:pt idx="0">
                  <c:v>0.68</c:v>
                </c:pt>
                <c:pt idx="1">
                  <c:v>0.68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F-432B-BB87-D963C44C6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822879"/>
        <c:axId val="403609823"/>
      </c:barChart>
      <c:lineChart>
        <c:grouping val="standard"/>
        <c:varyColors val="0"/>
        <c:ser>
          <c:idx val="3"/>
          <c:order val="3"/>
          <c:tx>
            <c:strRef>
              <c:f>Pat_Tech!$B$537</c:f>
              <c:strCache>
                <c:ptCount val="1"/>
                <c:pt idx="0">
                  <c:v>Part du CPI-NP par rapport au linéaire BT souterrain (%)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Pat_Tech!$C$537:$G$537</c:f>
              <c:numCache>
                <c:formatCode>0.0%</c:formatCode>
                <c:ptCount val="5"/>
                <c:pt idx="0">
                  <c:v>1.9199999999999998E-2</c:v>
                </c:pt>
                <c:pt idx="1">
                  <c:v>1.8500000000000003E-2</c:v>
                </c:pt>
                <c:pt idx="2">
                  <c:v>2.4300000000000002E-2</c:v>
                </c:pt>
                <c:pt idx="3">
                  <c:v>2.35E-2</c:v>
                </c:pt>
                <c:pt idx="4">
                  <c:v>2.2700000000000001E-2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7F-432B-BB87-D963C44C6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755628372540391E-2"/>
          <c:y val="0.83943984264056903"/>
          <c:w val="0.89841818685707764"/>
          <c:h val="0.139617743226764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u="none" strike="noStrike" baseline="0">
                <a:effectLst/>
              </a:rPr>
              <a:t>Technologies</a:t>
            </a:r>
            <a:r>
              <a:rPr lang="fr-FR" sz="1100" b="1"/>
              <a:t> BT souterrains</a:t>
            </a:r>
            <a:r>
              <a:rPr lang="fr-FR" sz="1100" b="1" baseline="0"/>
              <a:t> incidentogènes (km) - Régime FACE urbain - </a:t>
            </a:r>
            <a:endParaRPr lang="fr-FR" sz="1100" b="1"/>
          </a:p>
        </c:rich>
      </c:tx>
      <c:layout>
        <c:manualLayout>
          <c:xMode val="edge"/>
          <c:yMode val="edge"/>
          <c:x val="0.1676861678704912"/>
          <c:y val="3.0536305894438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3451049251073115E-2"/>
          <c:y val="0.15156520298700296"/>
          <c:w val="0.8307778440871183"/>
          <c:h val="0.61979678264490057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Pat_Tech!$B$513</c:f>
              <c:strCache>
                <c:ptCount val="1"/>
                <c:pt idx="0">
                  <c:v>Dont souterrain câble à isolation papier imprégné (CPI)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Pat_Tech!$C$513:$G$513</c:f>
              <c:numCache>
                <c:formatCode>#\ ##0.0</c:formatCode>
                <c:ptCount val="5"/>
                <c:pt idx="0">
                  <c:v>2.56</c:v>
                </c:pt>
                <c:pt idx="1">
                  <c:v>2.5499999999999998</c:v>
                </c:pt>
                <c:pt idx="2">
                  <c:v>2.5499999999999998</c:v>
                </c:pt>
                <c:pt idx="3">
                  <c:v>2.52</c:v>
                </c:pt>
                <c:pt idx="4">
                  <c:v>2.52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9-4A64-8283-74263D3A548C}"/>
            </c:ext>
          </c:extLst>
        </c:ser>
        <c:ser>
          <c:idx val="2"/>
          <c:order val="1"/>
          <c:tx>
            <c:strRef>
              <c:f>Pat_Tech!$B$515</c:f>
              <c:strCache>
                <c:ptCount val="1"/>
                <c:pt idx="0">
                  <c:v>Dont souterrain câble potentiellement CPI-NP (non datés "1946")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Pat_Tech!$C$515:$G$515</c:f>
              <c:numCache>
                <c:formatCode>#\ ##0.0</c:formatCode>
                <c:ptCount val="5"/>
                <c:pt idx="0">
                  <c:v>22.58</c:v>
                </c:pt>
                <c:pt idx="1">
                  <c:v>22.12</c:v>
                </c:pt>
                <c:pt idx="2">
                  <c:v>30.67</c:v>
                </c:pt>
                <c:pt idx="3">
                  <c:v>30.23</c:v>
                </c:pt>
                <c:pt idx="4">
                  <c:v>29.82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9-4A64-8283-74263D3A548C}"/>
            </c:ext>
          </c:extLst>
        </c:ser>
        <c:ser>
          <c:idx val="1"/>
          <c:order val="2"/>
          <c:tx>
            <c:strRef>
              <c:f>Pat_Tech!$B$514</c:f>
              <c:strCache>
                <c:ptCount val="1"/>
                <c:pt idx="0">
                  <c:v>Dont souterrain câble à isolation neutre périphérique (NP)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Pat_Tech!$C$514:$G$514</c:f>
              <c:numCache>
                <c:formatCode>#\ ##0.0</c:formatCode>
                <c:ptCount val="5"/>
                <c:pt idx="0">
                  <c:v>1.52</c:v>
                </c:pt>
                <c:pt idx="1">
                  <c:v>1.27</c:v>
                </c:pt>
                <c:pt idx="2">
                  <c:v>1.81</c:v>
                </c:pt>
                <c:pt idx="3">
                  <c:v>1.78</c:v>
                </c:pt>
                <c:pt idx="4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9-4A64-8283-74263D3A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822879"/>
        <c:axId val="403609823"/>
      </c:barChart>
      <c:lineChart>
        <c:grouping val="standard"/>
        <c:varyColors val="0"/>
        <c:ser>
          <c:idx val="3"/>
          <c:order val="3"/>
          <c:tx>
            <c:strRef>
              <c:f>Pat_Tech!$B$516</c:f>
              <c:strCache>
                <c:ptCount val="1"/>
                <c:pt idx="0">
                  <c:v>Part du CPI-NP par rapport au linéaire BT souterrain (%)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Pat_Tech!$C$570:$G$570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Pat_Tech!$C$516:$G$516</c:f>
              <c:numCache>
                <c:formatCode>0.0%</c:formatCode>
                <c:ptCount val="5"/>
                <c:pt idx="0">
                  <c:v>3.3000000000000002E-2</c:v>
                </c:pt>
                <c:pt idx="1">
                  <c:v>3.1600000000000003E-2</c:v>
                </c:pt>
                <c:pt idx="2">
                  <c:v>4.0299999999999996E-2</c:v>
                </c:pt>
                <c:pt idx="3">
                  <c:v>3.9299999999999995E-2</c:v>
                </c:pt>
                <c:pt idx="4">
                  <c:v>3.8100000000000002E-2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9-4A64-8283-74263D3A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659248"/>
        <c:axId val="391189008"/>
      </c:lineChart>
      <c:catAx>
        <c:axId val="2298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3609823"/>
        <c:crosses val="autoZero"/>
        <c:auto val="1"/>
        <c:lblAlgn val="ctr"/>
        <c:lblOffset val="100"/>
        <c:noMultiLvlLbl val="0"/>
      </c:catAx>
      <c:valAx>
        <c:axId val="40360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22879"/>
        <c:crosses val="autoZero"/>
        <c:crossBetween val="between"/>
      </c:valAx>
      <c:valAx>
        <c:axId val="39118900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30659248"/>
        <c:crosses val="max"/>
        <c:crossBetween val="between"/>
      </c:valAx>
      <c:catAx>
        <c:axId val="93065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118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755628372540391E-2"/>
          <c:y val="0.83943984264056903"/>
          <c:w val="0.89841818685707764"/>
          <c:h val="0.139617743226764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Durée cumulée</a:t>
            </a:r>
            <a:r>
              <a:rPr lang="fr-FR" sz="1100" b="1" baseline="0"/>
              <a:t> de coupure </a:t>
            </a:r>
            <a:r>
              <a:rPr lang="fr-FR" sz="1100" b="1"/>
              <a:t>pour incidents HTA HIX par technologie</a:t>
            </a:r>
          </a:p>
          <a:p>
            <a:pPr>
              <a:defRPr sz="1100" b="1"/>
            </a:pPr>
            <a:r>
              <a:rPr lang="fr-FR" sz="1100" b="0" i="1"/>
              <a:t>(en</a:t>
            </a:r>
            <a:r>
              <a:rPr lang="fr-FR" sz="1100" b="0" i="1" baseline="0"/>
              <a:t> % de la durée cumulée de coupure pour incidents Hix)</a:t>
            </a:r>
            <a:endParaRPr lang="fr-FR" sz="1100" b="0" i="1"/>
          </a:p>
        </c:rich>
      </c:tx>
      <c:layout>
        <c:manualLayout>
          <c:xMode val="edge"/>
          <c:yMode val="edge"/>
          <c:x val="0.13088344891833142"/>
          <c:y val="3.09797646806949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Continuité!$B$106</c:f>
              <c:strCache>
                <c:ptCount val="1"/>
                <c:pt idx="0">
                  <c:v>HTA autre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991065705562125E-3"/>
                  <c:y val="-0.1100096178892739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5D-434C-98BC-162E82AFC7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Continuité!$C$106</c:f>
              <c:numCache>
                <c:formatCode>0.0%</c:formatCode>
                <c:ptCount val="1"/>
                <c:pt idx="0">
                  <c:v>3.0099999999999998E-2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D-434C-98BC-162E82AFC74F}"/>
            </c:ext>
          </c:extLst>
        </c:ser>
        <c:ser>
          <c:idx val="1"/>
          <c:order val="1"/>
          <c:tx>
            <c:strRef>
              <c:f>Continuité!$B$107</c:f>
              <c:strCache>
                <c:ptCount val="1"/>
                <c:pt idx="0">
                  <c:v>HTA aérien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Continuité!$C$107</c:f>
              <c:numCache>
                <c:formatCode>0.0%</c:formatCode>
                <c:ptCount val="1"/>
                <c:pt idx="0">
                  <c:v>0.61019999999999996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D-434C-98BC-162E82AFC74F}"/>
            </c:ext>
          </c:extLst>
        </c:ser>
        <c:ser>
          <c:idx val="2"/>
          <c:order val="2"/>
          <c:tx>
            <c:strRef>
              <c:f>Continuité!$B$108</c:f>
              <c:strCache>
                <c:ptCount val="1"/>
                <c:pt idx="0">
                  <c:v>HTA Postes HTA/BT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522362090774015E-2"/>
                  <c:y val="-8.586262114199082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5D-434C-98BC-162E82AFC7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Continuité!$C$108</c:f>
              <c:numCache>
                <c:formatCode>0.0%</c:formatCode>
                <c:ptCount val="1"/>
                <c:pt idx="0">
                  <c:v>5.33E-2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D-434C-98BC-162E82AFC74F}"/>
            </c:ext>
          </c:extLst>
        </c:ser>
        <c:ser>
          <c:idx val="3"/>
          <c:order val="3"/>
          <c:tx>
            <c:strRef>
              <c:f>Continuité!$B$109</c:f>
              <c:strCache>
                <c:ptCount val="1"/>
                <c:pt idx="0">
                  <c:v>HTA sans dégât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1076485596542903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5D-434C-98BC-162E82AFC7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Continuité!$C$109</c:f>
              <c:numCache>
                <c:formatCode>0.0%</c:formatCode>
                <c:ptCount val="1"/>
                <c:pt idx="0">
                  <c:v>2.2499999999999999E-2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5D-434C-98BC-162E82AFC74F}"/>
            </c:ext>
          </c:extLst>
        </c:ser>
        <c:ser>
          <c:idx val="4"/>
          <c:order val="4"/>
          <c:tx>
            <c:strRef>
              <c:f>Continuité!$B$110</c:f>
              <c:strCache>
                <c:ptCount val="1"/>
                <c:pt idx="0">
                  <c:v>HTA souterrain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6.4302581059159875E-17"/>
                  <c:y val="-8.059615885547118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5D-434C-98BC-162E82AFC7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Continuité!$C$110</c:f>
              <c:numCache>
                <c:formatCode>0.0%</c:formatCode>
                <c:ptCount val="1"/>
                <c:pt idx="0">
                  <c:v>0.1265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5D-434C-98BC-162E82AFC74F}"/>
            </c:ext>
          </c:extLst>
        </c:ser>
        <c:ser>
          <c:idx val="5"/>
          <c:order val="5"/>
          <c:tx>
            <c:strRef>
              <c:f>Continuité!$B$111</c:f>
              <c:strCache>
                <c:ptCount val="1"/>
                <c:pt idx="0">
                  <c:v>HTA inconnu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Continuité!$C$111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E-430E-93CB-207C6F0DAB9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1602010192"/>
        <c:axId val="1631274304"/>
      </c:barChart>
      <c:catAx>
        <c:axId val="160201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1274304"/>
        <c:crosses val="autoZero"/>
        <c:auto val="1"/>
        <c:lblAlgn val="ctr"/>
        <c:lblOffset val="100"/>
        <c:noMultiLvlLbl val="0"/>
      </c:catAx>
      <c:valAx>
        <c:axId val="16312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20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Durée cumulée de coupure pour incidents BT HIX par technologie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fr-FR" sz="1100" b="0" i="1" baseline="0">
                <a:effectLst/>
              </a:rPr>
              <a:t>(en % de la durée cumulée de coupure pour incidents Hix)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1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Continuité!$B$112</c:f>
              <c:strCache>
                <c:ptCount val="1"/>
                <c:pt idx="0">
                  <c:v>BT autre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958322868134994E-7"/>
                  <c:y val="-0.1034071249912790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6245253402449661E-2"/>
                      <c:h val="0.11134130532233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EE1-4B5F-AE4D-F9C1D30FE5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Continuité!$C$112</c:f>
              <c:numCache>
                <c:formatCode>0.0%</c:formatCode>
                <c:ptCount val="1"/>
                <c:pt idx="0">
                  <c:v>1.6400000000000001E-2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1-4B5F-AE4D-F9C1D30FE5AD}"/>
            </c:ext>
          </c:extLst>
        </c:ser>
        <c:ser>
          <c:idx val="1"/>
          <c:order val="1"/>
          <c:tx>
            <c:strRef>
              <c:f>Continuité!$B$113</c:f>
              <c:strCache>
                <c:ptCount val="1"/>
                <c:pt idx="0">
                  <c:v>BT aérien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Continuité!$C$113</c:f>
              <c:numCache>
                <c:formatCode>0.0%</c:formatCode>
                <c:ptCount val="1"/>
                <c:pt idx="0">
                  <c:v>3.4599999999999999E-2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1-4B5F-AE4D-F9C1D30FE5AD}"/>
            </c:ext>
          </c:extLst>
        </c:ser>
        <c:ser>
          <c:idx val="2"/>
          <c:order val="2"/>
          <c:tx>
            <c:strRef>
              <c:f>Continuité!$B$114</c:f>
              <c:strCache>
                <c:ptCount val="1"/>
                <c:pt idx="0">
                  <c:v>BT Postes HTA/BT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Continuité!$C$114</c:f>
              <c:numCache>
                <c:formatCode>0.0%</c:formatCode>
                <c:ptCount val="1"/>
                <c:pt idx="0">
                  <c:v>2.8899999999999999E-2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E1-4B5F-AE4D-F9C1D30FE5AD}"/>
            </c:ext>
          </c:extLst>
        </c:ser>
        <c:ser>
          <c:idx val="3"/>
          <c:order val="3"/>
          <c:tx>
            <c:strRef>
              <c:f>Continuité!$B$115</c:f>
              <c:strCache>
                <c:ptCount val="1"/>
                <c:pt idx="0">
                  <c:v>BT sans dégât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Continuité!$C$115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E1-4B5F-AE4D-F9C1D30FE5AD}"/>
            </c:ext>
          </c:extLst>
        </c:ser>
        <c:ser>
          <c:idx val="4"/>
          <c:order val="4"/>
          <c:tx>
            <c:strRef>
              <c:f>Continuité!$B$116</c:f>
              <c:strCache>
                <c:ptCount val="1"/>
                <c:pt idx="0">
                  <c:v>BT souterrain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Continuité!$C$116</c:f>
              <c:numCache>
                <c:formatCode>0.0%</c:formatCode>
                <c:ptCount val="1"/>
                <c:pt idx="0">
                  <c:v>5.2900000000000003E-2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E1-4B5F-AE4D-F9C1D30FE5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1602010192"/>
        <c:axId val="1631274304"/>
      </c:barChart>
      <c:catAx>
        <c:axId val="160201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1274304"/>
        <c:crosses val="autoZero"/>
        <c:auto val="1"/>
        <c:lblAlgn val="ctr"/>
        <c:lblOffset val="100"/>
        <c:noMultiLvlLbl val="0"/>
      </c:catAx>
      <c:valAx>
        <c:axId val="16312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20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Durée cumulée de coupure pour travaux HTA HIX par technologie</a:t>
            </a:r>
          </a:p>
          <a:p>
            <a:pPr>
              <a:defRPr sz="1100" b="1"/>
            </a:pPr>
            <a:r>
              <a:rPr lang="fr-FR" sz="1100" b="0" i="1" u="none" strike="noStrike" baseline="0">
                <a:effectLst/>
              </a:rPr>
              <a:t>(en % de la durée cumulée de coupure pour travaux Hix)</a:t>
            </a:r>
            <a:endParaRPr lang="fr-FR" sz="1100" b="1" i="0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Continuité!$B$106</c:f>
              <c:strCache>
                <c:ptCount val="1"/>
                <c:pt idx="0">
                  <c:v>HTA autre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7598249360258823E-17"/>
                  <c:y val="-3.71106925548187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D2-4D8F-9E36-3185AB3AD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Continuité!$D$106</c:f>
              <c:numCache>
                <c:formatCode>0.0%</c:formatCode>
                <c:ptCount val="1"/>
                <c:pt idx="0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2-4D8F-9E36-3185AB3AD160}"/>
            </c:ext>
          </c:extLst>
        </c:ser>
        <c:ser>
          <c:idx val="1"/>
          <c:order val="1"/>
          <c:tx>
            <c:strRef>
              <c:f>Continuité!$B$107</c:f>
              <c:strCache>
                <c:ptCount val="1"/>
                <c:pt idx="0">
                  <c:v>HTA aérien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8078030180545605E-2"/>
                  <c:y val="-0.2862824854228865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ED2-4D8F-9E36-3185AB3AD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Continuité!$D$107</c:f>
              <c:numCache>
                <c:formatCode>0.0%</c:formatCode>
                <c:ptCount val="1"/>
                <c:pt idx="0">
                  <c:v>0.2858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2-4D8F-9E36-3185AB3AD160}"/>
            </c:ext>
          </c:extLst>
        </c:ser>
        <c:ser>
          <c:idx val="2"/>
          <c:order val="2"/>
          <c:tx>
            <c:strRef>
              <c:f>Continuité!$B$108</c:f>
              <c:strCache>
                <c:ptCount val="1"/>
                <c:pt idx="0">
                  <c:v>HTA Postes HTA/BT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5.5321418060082278E-17"/>
                  <c:y val="-0.1484427702192745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D2-4D8F-9E36-3185AB3AD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Continuité!$D$108</c:f>
              <c:numCache>
                <c:formatCode>0.0%</c:formatCode>
                <c:ptCount val="1"/>
                <c:pt idx="0">
                  <c:v>0.22500000000000001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2-4D8F-9E36-3185AB3AD160}"/>
            </c:ext>
          </c:extLst>
        </c:ser>
        <c:ser>
          <c:idx val="3"/>
          <c:order val="3"/>
          <c:tx>
            <c:strRef>
              <c:f>Continuité!$B$109</c:f>
              <c:strCache>
                <c:ptCount val="1"/>
                <c:pt idx="0">
                  <c:v>HTA sans dégât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0107528921007251E-3"/>
                  <c:y val="-6.891985760180602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ED2-4D8F-9E36-3185AB3AD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Continuité!$D$109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D2-4D8F-9E36-3185AB3AD160}"/>
            </c:ext>
          </c:extLst>
        </c:ser>
        <c:ser>
          <c:idx val="4"/>
          <c:order val="4"/>
          <c:tx>
            <c:strRef>
              <c:f>Continuité!$B$110</c:f>
              <c:strCache>
                <c:ptCount val="1"/>
                <c:pt idx="0">
                  <c:v>HTA souterrain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4.771374757048112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ED2-4D8F-9E36-3185AB3AD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Continuité!$D$110</c:f>
              <c:numCache>
                <c:formatCode>0.0%</c:formatCode>
                <c:ptCount val="1"/>
                <c:pt idx="0">
                  <c:v>1.9199999999999998E-2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D2-4D8F-9E36-3185AB3AD160}"/>
            </c:ext>
          </c:extLst>
        </c:ser>
        <c:ser>
          <c:idx val="5"/>
          <c:order val="5"/>
          <c:tx>
            <c:strRef>
              <c:f>Continuité!$B$111</c:f>
              <c:strCache>
                <c:ptCount val="1"/>
                <c:pt idx="0">
                  <c:v>HTA inconnu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Continuité!$D$111</c:f>
              <c:numCache>
                <c:formatCode>0.0%</c:formatCode>
                <c:ptCount val="1"/>
                <c:pt idx="0">
                  <c:v>4.5999999999999999E-3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D-4D1C-B529-6B5DFE7109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1602010192"/>
        <c:axId val="1631274304"/>
      </c:barChart>
      <c:catAx>
        <c:axId val="160201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1274304"/>
        <c:crosses val="autoZero"/>
        <c:auto val="1"/>
        <c:lblAlgn val="ctr"/>
        <c:lblOffset val="100"/>
        <c:noMultiLvlLbl val="0"/>
      </c:catAx>
      <c:valAx>
        <c:axId val="16312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20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 i="0" baseline="0">
                <a:effectLst/>
              </a:rPr>
              <a:t>Durée cumulée de coupure pour travaux BT HIX par technologie</a:t>
            </a:r>
          </a:p>
          <a:p>
            <a:pPr>
              <a:defRPr sz="1100" b="1"/>
            </a:pPr>
            <a:r>
              <a:rPr lang="fr-FR" sz="1100" b="0" i="1" u="none" strike="noStrike" baseline="0">
                <a:effectLst/>
              </a:rPr>
              <a:t>(en % de la durée cumulée de coupure pour travaux Hix)</a:t>
            </a:r>
            <a:endParaRPr lang="fr-FR" sz="1100" b="1">
              <a:effectLst/>
            </a:endParaRPr>
          </a:p>
        </c:rich>
      </c:tx>
      <c:layout>
        <c:manualLayout>
          <c:xMode val="edge"/>
          <c:yMode val="edge"/>
          <c:x val="0.14461202254894795"/>
          <c:y val="2.6206228820396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Continuité!$B$112</c:f>
              <c:strCache>
                <c:ptCount val="1"/>
                <c:pt idx="0">
                  <c:v>BT autre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5.301527507831232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3C-489F-8E7C-EED5BBD41C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Continuité!$D$112</c:f>
              <c:numCache>
                <c:formatCode>0.0%</c:formatCode>
                <c:ptCount val="1"/>
                <c:pt idx="0">
                  <c:v>8.4500000000000006E-2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C-489F-8E7C-EED5BBD41C0D}"/>
            </c:ext>
          </c:extLst>
        </c:ser>
        <c:ser>
          <c:idx val="1"/>
          <c:order val="1"/>
          <c:tx>
            <c:strRef>
              <c:f>Continuité!$B$113</c:f>
              <c:strCache>
                <c:ptCount val="1"/>
                <c:pt idx="0">
                  <c:v>BT aérien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2569106839418849E-2"/>
                  <c:y val="-8.259629832283767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3C-489F-8E7C-EED5BBD41C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Continuité!$D$113</c:f>
              <c:numCache>
                <c:formatCode>0.0%</c:formatCode>
                <c:ptCount val="1"/>
                <c:pt idx="0">
                  <c:v>0.15820000000000001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C-489F-8E7C-EED5BBD41C0D}"/>
            </c:ext>
          </c:extLst>
        </c:ser>
        <c:ser>
          <c:idx val="2"/>
          <c:order val="2"/>
          <c:tx>
            <c:strRef>
              <c:f>Continuité!$B$114</c:f>
              <c:strCache>
                <c:ptCount val="1"/>
                <c:pt idx="0">
                  <c:v>BT Postes HTA/BT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0.1166336051722872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3C-489F-8E7C-EED5BBD41C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Continuité!$D$114</c:f>
              <c:numCache>
                <c:formatCode>0.0%</c:formatCode>
                <c:ptCount val="1"/>
                <c:pt idx="0">
                  <c:v>5.9299999999999999E-2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C-489F-8E7C-EED5BBD41C0D}"/>
            </c:ext>
          </c:extLst>
        </c:ser>
        <c:ser>
          <c:idx val="3"/>
          <c:order val="3"/>
          <c:tx>
            <c:strRef>
              <c:f>Continuité!$B$115</c:f>
              <c:strCache>
                <c:ptCount val="1"/>
                <c:pt idx="0">
                  <c:v>BT sans dégât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Continuité!$D$115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3C-489F-8E7C-EED5BBD41C0D}"/>
            </c:ext>
          </c:extLst>
        </c:ser>
        <c:ser>
          <c:idx val="4"/>
          <c:order val="4"/>
          <c:tx>
            <c:strRef>
              <c:f>Continuité!$B$116</c:f>
              <c:strCache>
                <c:ptCount val="1"/>
                <c:pt idx="0">
                  <c:v>BT souterrain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Continuité!$D$116</c:f>
              <c:numCache>
                <c:formatCode>0.0%</c:formatCode>
                <c:ptCount val="1"/>
                <c:pt idx="0">
                  <c:v>0.1285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3C-489F-8E7C-EED5BBD41C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1602010192"/>
        <c:axId val="1631274304"/>
      </c:barChart>
      <c:catAx>
        <c:axId val="160201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1274304"/>
        <c:crosses val="autoZero"/>
        <c:auto val="1"/>
        <c:lblAlgn val="ctr"/>
        <c:lblOffset val="100"/>
        <c:noMultiLvlLbl val="0"/>
      </c:catAx>
      <c:valAx>
        <c:axId val="16312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0201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 la décomposition du</a:t>
            </a:r>
            <a:r>
              <a:rPr lang="fr-FR" sz="1100" b="1" baseline="0"/>
              <a:t> critère B HIX reconstitué (min)</a:t>
            </a:r>
            <a:endParaRPr lang="fr-FR" sz="1100" b="1"/>
          </a:p>
        </c:rich>
      </c:tx>
      <c:layout>
        <c:manualLayout>
          <c:xMode val="edge"/>
          <c:yMode val="edge"/>
          <c:x val="0.18854620558937749"/>
          <c:y val="2.1108670994907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2472791155635957E-2"/>
          <c:y val="0.11088138570604415"/>
          <c:w val="0.91210703219933031"/>
          <c:h val="0.6784370401740667"/>
        </c:manualLayout>
      </c:layout>
      <c:barChart>
        <c:barDir val="col"/>
        <c:grouping val="stacked"/>
        <c:varyColors val="0"/>
        <c:ser>
          <c:idx val="1"/>
          <c:order val="1"/>
          <c:tx>
            <c:v>Transport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FC-4124-BC3E-571A1A748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Continuité!$C$34:$G$34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33.590000000000003</c:v>
                </c:pt>
                <c:pt idx="4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7-4F0E-9F1D-68A75A59F9FC}"/>
            </c:ext>
          </c:extLst>
        </c:ser>
        <c:ser>
          <c:idx val="3"/>
          <c:order val="3"/>
          <c:tx>
            <c:v>Postes source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Continuité!$C$36:$G$36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0.24</c:v>
                </c:pt>
                <c:pt idx="4">
                  <c:v>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B7-4F0E-9F1D-68A75A59F9FC}"/>
            </c:ext>
          </c:extLst>
        </c:ser>
        <c:ser>
          <c:idx val="4"/>
          <c:order val="4"/>
          <c:tx>
            <c:v>Incidents HTA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Continuité!$C$37:$G$37</c:f>
              <c:numCache>
                <c:formatCode>0.0</c:formatCode>
                <c:ptCount val="5"/>
                <c:pt idx="0">
                  <c:v>18.66</c:v>
                </c:pt>
                <c:pt idx="1">
                  <c:v>31.7</c:v>
                </c:pt>
                <c:pt idx="2">
                  <c:v>16.260000000000002</c:v>
                </c:pt>
                <c:pt idx="3">
                  <c:v>17.68</c:v>
                </c:pt>
                <c:pt idx="4">
                  <c:v>25.67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B7-4F0E-9F1D-68A75A59F9FC}"/>
            </c:ext>
          </c:extLst>
        </c:ser>
        <c:ser>
          <c:idx val="5"/>
          <c:order val="5"/>
          <c:tx>
            <c:v>Incidents BT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Continuité!$C$38:$G$38</c:f>
              <c:numCache>
                <c:formatCode>0.0</c:formatCode>
                <c:ptCount val="5"/>
                <c:pt idx="0">
                  <c:v>6.01</c:v>
                </c:pt>
                <c:pt idx="1">
                  <c:v>5.74</c:v>
                </c:pt>
                <c:pt idx="2">
                  <c:v>7.53</c:v>
                </c:pt>
                <c:pt idx="3">
                  <c:v>5.7</c:v>
                </c:pt>
                <c:pt idx="4">
                  <c:v>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B7-4F0E-9F1D-68A75A59F9FC}"/>
            </c:ext>
          </c:extLst>
        </c:ser>
        <c:ser>
          <c:idx val="7"/>
          <c:order val="7"/>
          <c:tx>
            <c:v>Travaux HTA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Continuité!$C$40:$G$40</c:f>
              <c:numCache>
                <c:formatCode>0.0</c:formatCode>
                <c:ptCount val="5"/>
                <c:pt idx="0">
                  <c:v>6.98</c:v>
                </c:pt>
                <c:pt idx="1">
                  <c:v>7.86</c:v>
                </c:pt>
                <c:pt idx="2">
                  <c:v>8.8000000000000007</c:v>
                </c:pt>
                <c:pt idx="3">
                  <c:v>7.93</c:v>
                </c:pt>
                <c:pt idx="4">
                  <c:v>11.7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B7-4F0E-9F1D-68A75A59F9FC}"/>
            </c:ext>
          </c:extLst>
        </c:ser>
        <c:ser>
          <c:idx val="8"/>
          <c:order val="8"/>
          <c:tx>
            <c:v>Travaux BT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cat>
          <c:val>
            <c:numRef>
              <c:f>Continuité!$C$41:$G$41</c:f>
              <c:numCache>
                <c:formatCode>0.0</c:formatCode>
                <c:ptCount val="5"/>
                <c:pt idx="0">
                  <c:v>5.01</c:v>
                </c:pt>
                <c:pt idx="1">
                  <c:v>3.78</c:v>
                </c:pt>
                <c:pt idx="2">
                  <c:v>4.38</c:v>
                </c:pt>
                <c:pt idx="3">
                  <c:v>5.74</c:v>
                </c:pt>
                <c:pt idx="4">
                  <c:v>8.84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B7-4F0E-9F1D-68A75A59F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100"/>
        <c:axId val="1174338976"/>
        <c:axId val="7287934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Continuité!$C$33:$G$33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36.659999999999997</c:v>
                      </c:pt>
                      <c:pt idx="1">
                        <c:v>49.08</c:v>
                      </c:pt>
                      <c:pt idx="2">
                        <c:v>36.97</c:v>
                      </c:pt>
                      <c:pt idx="3">
                        <c:v>70.88</c:v>
                      </c:pt>
                      <c:pt idx="4">
                        <c:v>52.13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AB7-4F0E-9F1D-68A75A59F9FC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Continuité!$C$35:$G$35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24.67</c:v>
                      </c:pt>
                      <c:pt idx="1">
                        <c:v>37.44</c:v>
                      </c:pt>
                      <c:pt idx="2">
                        <c:v>23.79</c:v>
                      </c:pt>
                      <c:pt idx="3">
                        <c:v>23.62</c:v>
                      </c:pt>
                      <c:pt idx="4">
                        <c:v>31.53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B7-4F0E-9F1D-68A75A59F9F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Continuité!$C$39:$G$39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11.99</c:v>
                      </c:pt>
                      <c:pt idx="1">
                        <c:v>11.64</c:v>
                      </c:pt>
                      <c:pt idx="2">
                        <c:v>13.18</c:v>
                      </c:pt>
                      <c:pt idx="3">
                        <c:v>13.67</c:v>
                      </c:pt>
                      <c:pt idx="4">
                        <c:v>20.54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AB7-4F0E-9F1D-68A75A59F9F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9"/>
          <c:order val="9"/>
          <c:tx>
            <c:strRef>
              <c:f>Continuité!#REF!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Continuité!$M$49:$Q$49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Continuité!$C$33:$G$33</c:f>
              <c:numCache>
                <c:formatCode>0.0</c:formatCode>
                <c:ptCount val="5"/>
                <c:pt idx="0">
                  <c:v>36.659999999999997</c:v>
                </c:pt>
                <c:pt idx="1">
                  <c:v>49.08</c:v>
                </c:pt>
                <c:pt idx="2">
                  <c:v>36.97</c:v>
                </c:pt>
                <c:pt idx="3">
                  <c:v>70.88</c:v>
                </c:pt>
                <c:pt idx="4">
                  <c:v>52.13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3-41A1-8C1F-C24A9E070B27}"/>
            </c:ext>
          </c:extLst>
        </c:ser>
        <c:ser>
          <c:idx val="10"/>
          <c:order val="10"/>
          <c:tx>
            <c:strRef>
              <c:f>Continuité!$B$53</c:f>
              <c:strCache>
                <c:ptCount val="1"/>
                <c:pt idx="0">
                  <c:v>Moyenne glissante 3 ans B HIX hors RTE</c:v>
                </c:pt>
              </c:strCache>
            </c:strRef>
          </c:tx>
          <c:spPr>
            <a:ln w="317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Continuité!$M$49:$Q$49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Continuité!$M$53:$Q$53</c:f>
              <c:numCache>
                <c:formatCode>0.0</c:formatCode>
                <c:ptCount val="5"/>
                <c:pt idx="0">
                  <c:v>64.406999999999996</c:v>
                </c:pt>
                <c:pt idx="1">
                  <c:v>62.175000000000004</c:v>
                </c:pt>
                <c:pt idx="2">
                  <c:v>59.558666666666674</c:v>
                </c:pt>
                <c:pt idx="3">
                  <c:v>57.967333333333336</c:v>
                </c:pt>
                <c:pt idx="4">
                  <c:v>62.811666666666667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9-4DFE-B2FC-BC8E727C9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338976"/>
        <c:axId val="728793456"/>
      </c:lineChart>
      <c:catAx>
        <c:axId val="11743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8793456"/>
        <c:crosses val="autoZero"/>
        <c:auto val="1"/>
        <c:lblAlgn val="ctr"/>
        <c:lblOffset val="100"/>
        <c:noMultiLvlLbl val="0"/>
      </c:catAx>
      <c:valAx>
        <c:axId val="7287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43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193429125987229E-4"/>
          <c:y val="0.82296098553488362"/>
          <c:w val="0.99567713729402751"/>
          <c:h val="0.177039014465116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Taux d'incidents (TCC) de la concession pour 100km HTA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9982588383846051E-2"/>
          <c:y val="0.15812745886390292"/>
          <c:w val="0.90430191851752406"/>
          <c:h val="0.39157236560072911"/>
        </c:manualLayout>
      </c:layout>
      <c:lineChart>
        <c:grouping val="standard"/>
        <c:varyColors val="0"/>
        <c:ser>
          <c:idx val="1"/>
          <c:order val="0"/>
          <c:tx>
            <c:strRef>
              <c:f>Continuité!$B$173</c:f>
              <c:strCache>
                <c:ptCount val="1"/>
                <c:pt idx="0">
                  <c:v>Réseaux aériens HTA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913898049611482E-2"/>
                  <c:y val="-0.125312438429470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08-4CEA-9C87-6A39EF1FF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Continuité!$C$172:$E$172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Continuité!$C$173:$E$173</c:f>
              <c:numCache>
                <c:formatCode>0.0</c:formatCode>
                <c:ptCount val="3"/>
                <c:pt idx="0">
                  <c:v>2.38</c:v>
                </c:pt>
                <c:pt idx="1">
                  <c:v>3.18</c:v>
                </c:pt>
                <c:pt idx="2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2-4443-9CC2-87FDF95A25D6}"/>
            </c:ext>
          </c:extLst>
        </c:ser>
        <c:ser>
          <c:idx val="2"/>
          <c:order val="1"/>
          <c:tx>
            <c:strRef>
              <c:f>Continuité!$B$175</c:f>
              <c:strCache>
                <c:ptCount val="1"/>
                <c:pt idx="0">
                  <c:v>Réseaux souterrains HTA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9711374975018605E-2"/>
                  <c:y val="-4.9630735114410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08-4CEA-9C87-6A39EF1FF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Continuité!$C$172:$E$172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Continuité!$C$175:$E$175</c:f>
              <c:numCache>
                <c:formatCode>0.0</c:formatCode>
                <c:ptCount val="3"/>
                <c:pt idx="0">
                  <c:v>0.78</c:v>
                </c:pt>
                <c:pt idx="1">
                  <c:v>0.69</c:v>
                </c:pt>
                <c:pt idx="2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22-4443-9CC2-87FDF95A25D6}"/>
            </c:ext>
          </c:extLst>
        </c:ser>
        <c:ser>
          <c:idx val="0"/>
          <c:order val="2"/>
          <c:tx>
            <c:strRef>
              <c:f>Continuité!$B$174</c:f>
              <c:strCache>
                <c:ptCount val="1"/>
                <c:pt idx="0">
                  <c:v>Réseaux aériens HTA - moyenne nationale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2.524613472853026E-2"/>
                  <c:y val="4.02412875722225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08-4CEA-9C87-6A39EF1FF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Continuité!$C$172:$E$172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Continuité!$C$174:$E$174</c:f>
              <c:numCache>
                <c:formatCode>0.0</c:formatCode>
                <c:ptCount val="3"/>
                <c:pt idx="0">
                  <c:v>3.5</c:v>
                </c:pt>
                <c:pt idx="1">
                  <c:v>3.4</c:v>
                </c:pt>
                <c:pt idx="2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9-4C7D-9C74-53A2BAA60878}"/>
            </c:ext>
          </c:extLst>
        </c:ser>
        <c:ser>
          <c:idx val="3"/>
          <c:order val="3"/>
          <c:tx>
            <c:strRef>
              <c:f>Continuité!$B$176</c:f>
              <c:strCache>
                <c:ptCount val="1"/>
                <c:pt idx="0">
                  <c:v>Réseaux souterrains HTA - moyenne nationale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9.8927704434626663E-3"/>
                  <c:y val="5.61255064845289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08-4CEA-9C87-6A39EF1FF1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Continuité!$C$172:$E$172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Continuité!$C$176:$E$176</c:f>
              <c:numCache>
                <c:formatCode>0.0</c:formatCode>
                <c:ptCount val="3"/>
                <c:pt idx="0">
                  <c:v>2</c:v>
                </c:pt>
                <c:pt idx="1">
                  <c:v>2.2000000000000002</c:v>
                </c:pt>
                <c:pt idx="2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9-4C7D-9C74-53A2BAA608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4476848"/>
        <c:axId val="592179296"/>
      </c:lineChart>
      <c:catAx>
        <c:axId val="6044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179296"/>
        <c:crosses val="autoZero"/>
        <c:auto val="1"/>
        <c:lblAlgn val="ctr"/>
        <c:lblOffset val="100"/>
        <c:noMultiLvlLbl val="0"/>
      </c:catAx>
      <c:valAx>
        <c:axId val="5921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4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Taux d'incidents (TCC) de la concession pour 100km 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8176378897081126E-2"/>
          <c:y val="0.16041672514462127"/>
          <c:w val="0.87815663363089269"/>
          <c:h val="0.555099356627062"/>
        </c:manualLayout>
      </c:layout>
      <c:lineChart>
        <c:grouping val="standard"/>
        <c:varyColors val="0"/>
        <c:ser>
          <c:idx val="0"/>
          <c:order val="0"/>
          <c:tx>
            <c:strRef>
              <c:f>Continuité!$B$199</c:f>
              <c:strCache>
                <c:ptCount val="1"/>
                <c:pt idx="0">
                  <c:v>Réseaux aériens BT aérien nu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Continuité!$C$193:$G$193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Continuité!$C$199:$G$199</c:f>
              <c:numCache>
                <c:formatCode>0.00</c:formatCode>
                <c:ptCount val="5"/>
                <c:pt idx="0">
                  <c:v>11.23</c:v>
                </c:pt>
                <c:pt idx="1">
                  <c:v>15.3</c:v>
                </c:pt>
                <c:pt idx="2">
                  <c:v>14.64</c:v>
                </c:pt>
                <c:pt idx="3">
                  <c:v>12.01</c:v>
                </c:pt>
                <c:pt idx="4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6-4A34-A3CD-0C0C325BB846}"/>
            </c:ext>
          </c:extLst>
        </c:ser>
        <c:ser>
          <c:idx val="1"/>
          <c:order val="1"/>
          <c:tx>
            <c:strRef>
              <c:f>Continuité!$B$202</c:f>
              <c:strCache>
                <c:ptCount val="1"/>
                <c:pt idx="0">
                  <c:v>Réseaux aériens BT torsadé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0106230194686337E-2"/>
                  <c:y val="-4.3946866413993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63-4FE7-9681-1CABA65A8D90}"/>
                </c:ext>
              </c:extLst>
            </c:dLbl>
            <c:dLbl>
              <c:idx val="3"/>
              <c:layout>
                <c:manualLayout>
                  <c:x val="-6.9610777042070332E-2"/>
                  <c:y val="-4.39468664139933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F5-47AE-8D9B-871834FDD4FD}"/>
                </c:ext>
              </c:extLst>
            </c:dLbl>
            <c:dLbl>
              <c:idx val="4"/>
              <c:layout>
                <c:manualLayout>
                  <c:x val="-6.1698573271999423E-2"/>
                  <c:y val="-4.39468664139933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F5-47AE-8D9B-871834FDD4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Continuité!$C$193:$G$193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Continuité!$C$202:$G$202</c:f>
              <c:numCache>
                <c:formatCode>0.00</c:formatCode>
                <c:ptCount val="5"/>
                <c:pt idx="0">
                  <c:v>1.1399999999999999</c:v>
                </c:pt>
                <c:pt idx="1">
                  <c:v>1.48</c:v>
                </c:pt>
                <c:pt idx="2">
                  <c:v>1.49</c:v>
                </c:pt>
                <c:pt idx="3">
                  <c:v>1.68</c:v>
                </c:pt>
                <c:pt idx="4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6-4A34-A3CD-0C0C325BB846}"/>
            </c:ext>
          </c:extLst>
        </c:ser>
        <c:ser>
          <c:idx val="2"/>
          <c:order val="2"/>
          <c:tx>
            <c:strRef>
              <c:f>Continuité!$B$204</c:f>
              <c:strCache>
                <c:ptCount val="1"/>
                <c:pt idx="0">
                  <c:v>Réseaux souterrains BT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4561719693418299E-2"/>
                  <c:y val="-5.7835760365908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863-4FE7-9681-1CABA65A8D90}"/>
                </c:ext>
              </c:extLst>
            </c:dLbl>
            <c:dLbl>
              <c:idx val="3"/>
              <c:layout>
                <c:manualLayout>
                  <c:x val="-1.2162719545991396E-3"/>
                  <c:y val="-4.8576497731298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F5-47AE-8D9B-871834FDD4FD}"/>
                </c:ext>
              </c:extLst>
            </c:dLbl>
            <c:dLbl>
              <c:idx val="4"/>
              <c:layout>
                <c:manualLayout>
                  <c:x val="-6.4756025039383828E-3"/>
                  <c:y val="-5.78357603659086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F5-47AE-8D9B-871834FDD4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Continuité!$C$193:$G$193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Continuité!$C$204:$G$204</c:f>
              <c:numCache>
                <c:formatCode>0.00</c:formatCode>
                <c:ptCount val="5"/>
                <c:pt idx="0">
                  <c:v>2.69</c:v>
                </c:pt>
                <c:pt idx="1">
                  <c:v>2.69</c:v>
                </c:pt>
                <c:pt idx="2">
                  <c:v>3.12</c:v>
                </c:pt>
                <c:pt idx="3">
                  <c:v>2.15</c:v>
                </c:pt>
                <c:pt idx="4">
                  <c:v>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6-4B0A-BD0F-40F33B137B3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4476848"/>
        <c:axId val="59217929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Continuité!$B$200</c15:sqref>
                        </c15:formulaRef>
                      </c:ext>
                    </c:extLst>
                    <c:strCache>
                      <c:ptCount val="1"/>
                      <c:pt idx="0">
                        <c:v>Réseaux aériens BT aérien nu - moyenne nationale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Continuité!$C$193:$G$193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Continuité!$C$200:$G$200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3E6-4A34-A3CD-0C0C325BB84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Continuité!$B$203</c15:sqref>
                        </c15:formulaRef>
                      </c:ext>
                    </c:extLst>
                    <c:strCache>
                      <c:ptCount val="1"/>
                      <c:pt idx="0">
                        <c:v>Réseaux aériens BT torsadé - moyenne nationale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Continuité!$C$193:$G$193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Continuité!$C$203:$G$203</c15:sqref>
                        </c15:formulaRef>
                      </c:ext>
                    </c:extLst>
                    <c:numCache>
                      <c:formatCode>0.00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3E6-4A34-A3CD-0C0C325BB84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Continuité!$B$205</c15:sqref>
                        </c15:formulaRef>
                      </c:ext>
                    </c:extLst>
                    <c:strCache>
                      <c:ptCount val="1"/>
                      <c:pt idx="0">
                        <c:v>Réseaux souterrains BT - moyenne nationale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Continuité!$C$193:$G$193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Continuité!$C$205:$G$205</c15:sqref>
                        </c15:formulaRef>
                      </c:ext>
                    </c:extLst>
                    <c:numCache>
                      <c:formatCode>0.00</c:formatCode>
                      <c:ptCount val="5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3E6-4A34-A3CD-0C0C325BB846}"/>
                  </c:ext>
                </c:extLst>
              </c15:ser>
            </c15:filteredLineSeries>
          </c:ext>
        </c:extLst>
      </c:lineChart>
      <c:catAx>
        <c:axId val="6044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92179296"/>
        <c:crosses val="autoZero"/>
        <c:auto val="1"/>
        <c:lblAlgn val="ctr"/>
        <c:lblOffset val="100"/>
        <c:noMultiLvlLbl val="0"/>
      </c:catAx>
      <c:valAx>
        <c:axId val="5921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44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88177907733895"/>
          <c:y val="3.4978749254773019E-2"/>
          <c:w val="0.53179424345753101"/>
          <c:h val="0.9301201332251011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softEdge rad="12700"/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4-1439-47CE-A296-0CF559633B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3-1439-47CE-A296-0CF559633BE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7-7F92-464F-85BF-071AA3FE195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2-1439-47CE-A296-0CF559633BEE}"/>
              </c:ext>
            </c:extLst>
          </c:dPt>
          <c:dLbls>
            <c:dLbl>
              <c:idx val="0"/>
              <c:layout>
                <c:manualLayout>
                  <c:x val="0"/>
                  <c:y val="6.7141249762060658E-3"/>
                </c:manualLayout>
              </c:layout>
              <c:tx>
                <c:rich>
                  <a:bodyPr/>
                  <a:lstStyle/>
                  <a:p>
                    <a:fld id="{3F086490-DFBF-4D7B-B8A8-90E44D74B1FE}" type="VALUE">
                      <a:rPr lang="en-US"/>
                      <a:pPr/>
                      <a:t>[VALUE]</a:t>
                    </a:fld>
                    <a:r>
                      <a:rPr lang="en-US"/>
                      <a:t> minutes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1439-47CE-A296-0CF559633BEE}"/>
                </c:ext>
              </c:extLst>
            </c:dLbl>
            <c:dLbl>
              <c:idx val="1"/>
              <c:layout>
                <c:manualLayout>
                  <c:x val="0"/>
                  <c:y val="6.7141249762060658E-3"/>
                </c:manualLayout>
              </c:layout>
              <c:tx>
                <c:rich>
                  <a:bodyPr/>
                  <a:lstStyle/>
                  <a:p>
                    <a:fld id="{3F086490-DFBF-4D7B-B8A8-90E44D74B1FE}" type="VALUE">
                      <a:rPr lang="en-US"/>
                      <a:pPr/>
                      <a:t>[VALUE]</a:t>
                    </a:fld>
                    <a:r>
                      <a:rPr lang="en-US"/>
                      <a:t> minutes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439-47CE-A296-0CF559633BEE}"/>
                </c:ext>
              </c:extLst>
            </c:dLbl>
            <c:dLbl>
              <c:idx val="2"/>
              <c:layout>
                <c:manualLayout>
                  <c:x val="0"/>
                  <c:y val="6.7141249762060658E-3"/>
                </c:manualLayout>
              </c:layout>
              <c:tx>
                <c:rich>
                  <a:bodyPr/>
                  <a:lstStyle/>
                  <a:p>
                    <a:fld id="{3F086490-DFBF-4D7B-B8A8-90E44D74B1FE}" type="VALUE">
                      <a:rPr lang="en-US"/>
                      <a:pPr/>
                      <a:t>[VALUE]</a:t>
                    </a:fld>
                    <a:r>
                      <a:rPr lang="en-US"/>
                      <a:t> minutes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7F92-464F-85BF-071AA3FE1955}"/>
                </c:ext>
              </c:extLst>
            </c:dLbl>
            <c:dLbl>
              <c:idx val="3"/>
              <c:layout>
                <c:manualLayout>
                  <c:x val="0"/>
                  <c:y val="6.7141249762060658E-3"/>
                </c:manualLayout>
              </c:layout>
              <c:tx>
                <c:rich>
                  <a:bodyPr/>
                  <a:lstStyle/>
                  <a:p>
                    <a:fld id="{3F086490-DFBF-4D7B-B8A8-90E44D74B1FE}" type="VALUE">
                      <a:rPr lang="en-US"/>
                      <a:pPr/>
                      <a:t>[VALUE]</a:t>
                    </a:fld>
                    <a:r>
                      <a:rPr lang="en-US"/>
                      <a:t> minutes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439-47CE-A296-0CF559633BEE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Continuité!$A$62:$A$65</c:f>
              <c:numCache>
                <c:formatCode>General</c:formatCode>
                <c:ptCount val="4"/>
              </c:numCache>
            </c:numRef>
          </c:cat>
          <c:val>
            <c:numRef>
              <c:f>Continuité!$M$62:$M$65</c:f>
              <c:numCache>
                <c:formatCode>0.0</c:formatCode>
                <c:ptCount val="4"/>
                <c:pt idx="0">
                  <c:v>108.27000000000001</c:v>
                </c:pt>
                <c:pt idx="1">
                  <c:v>46.4</c:v>
                </c:pt>
                <c:pt idx="2">
                  <c:v>43.6</c:v>
                </c:pt>
                <c:pt idx="3">
                  <c:v>29.283333333333331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47CE-A296-0CF559633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1401035840"/>
        <c:axId val="1401036256"/>
      </c:barChart>
      <c:catAx>
        <c:axId val="140103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1036256"/>
        <c:crosses val="autoZero"/>
        <c:auto val="1"/>
        <c:lblAlgn val="ctr"/>
        <c:lblOffset val="100"/>
        <c:noMultiLvlLbl val="0"/>
      </c:catAx>
      <c:valAx>
        <c:axId val="140103625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14010358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/>
              <a:t>Impact du climatique sur les</a:t>
            </a:r>
            <a:r>
              <a:rPr lang="fr-FR" b="1" baseline="0"/>
              <a:t> incidents HIX (min)</a:t>
            </a:r>
            <a:endParaRPr lang="fr-F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8973360778088997E-2"/>
          <c:y val="0.20779771517308612"/>
          <c:w val="0.87753018372703417"/>
          <c:h val="0.577879238992931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Continuité!$B$45</c:f>
              <c:strCache>
                <c:ptCount val="1"/>
                <c:pt idx="0">
                  <c:v>Critère B HIX hors RTE HTA-BT Causes climatiques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Continuité!$E$44:$G$44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Continuité!$E$45:$G$45</c:f>
              <c:numCache>
                <c:formatCode>0.0</c:formatCode>
                <c:ptCount val="3"/>
                <c:pt idx="0">
                  <c:v>5.16</c:v>
                </c:pt>
                <c:pt idx="1">
                  <c:v>7.12</c:v>
                </c:pt>
                <c:pt idx="2">
                  <c:v>16.099999999999998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E-43B3-80A5-0108F7393051}"/>
            </c:ext>
          </c:extLst>
        </c:ser>
        <c:ser>
          <c:idx val="1"/>
          <c:order val="1"/>
          <c:tx>
            <c:strRef>
              <c:f>Continuité!$B$46</c:f>
              <c:strCache>
                <c:ptCount val="1"/>
                <c:pt idx="0">
                  <c:v>Critère B HIX hors RTE HTA-BT Hors causes climatiques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Continuité!$E$44:$G$44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Continuité!$E$46:$G$46</c:f>
              <c:numCache>
                <c:formatCode>0.0</c:formatCode>
                <c:ptCount val="3"/>
                <c:pt idx="0">
                  <c:v>18.630000000000003</c:v>
                </c:pt>
                <c:pt idx="1">
                  <c:v>16.259999999999998</c:v>
                </c:pt>
                <c:pt idx="2">
                  <c:v>14.540000000000003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E-43B3-80A5-0108F7393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583952"/>
        <c:axId val="529584432"/>
      </c:barChart>
      <c:lineChart>
        <c:grouping val="standard"/>
        <c:varyColors val="0"/>
        <c:ser>
          <c:idx val="2"/>
          <c:order val="2"/>
          <c:tx>
            <c:strRef>
              <c:f>Continuité!$D$47</c:f>
              <c:strCache>
                <c:ptCount val="1"/>
                <c:pt idx="0">
                  <c:v>37,4</c:v>
                </c:pt>
              </c:strCache>
            </c:strRef>
          </c:tx>
          <c:spPr>
            <a:ln w="28575" cap="rnd">
              <a:solidFill>
                <a:schemeClr val="bg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BF8E-43B3-80A5-0108F73930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Continuité!$E$44:$G$44</c:f>
              <c:numCache>
                <c:formatCode>General</c:formatCode>
                <c:ptCount val="3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</c:numCache>
            </c:numRef>
          </c:cat>
          <c:val>
            <c:numRef>
              <c:f>Continuité!$E$47:$G$47</c:f>
              <c:numCache>
                <c:formatCode>0.0</c:formatCode>
                <c:ptCount val="3"/>
                <c:pt idx="0">
                  <c:v>23.790000000000003</c:v>
                </c:pt>
                <c:pt idx="1">
                  <c:v>23.38</c:v>
                </c:pt>
                <c:pt idx="2">
                  <c:v>30.64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8E-43B3-80A5-0108F7393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583952"/>
        <c:axId val="529584432"/>
      </c:lineChart>
      <c:catAx>
        <c:axId val="52958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9584432"/>
        <c:crosses val="autoZero"/>
        <c:auto val="1"/>
        <c:lblAlgn val="ctr"/>
        <c:lblOffset val="100"/>
        <c:noMultiLvlLbl val="0"/>
      </c:catAx>
      <c:valAx>
        <c:axId val="5295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958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166306645297657"/>
          <c:y val="0.87905785370947953"/>
          <c:w val="0.70581817759505727"/>
          <c:h val="0.120942146290520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9"/>
    </mc:Choice>
    <mc:Fallback>
      <c:style val="19"/>
    </mc:Fallback>
  </mc:AlternateContent>
  <c:chart>
    <c:title>
      <c:tx>
        <c:rich>
          <a:bodyPr/>
          <a:lstStyle/>
          <a:p>
            <a:pPr>
              <a:defRPr sz="1100" b="1"/>
            </a:pPr>
            <a:r>
              <a:rPr lang="fr-FR" sz="1100" b="1"/>
              <a:t>Nombre de départs HTA en contrainte de tension (DU/U&gt;5%) </a:t>
            </a:r>
          </a:p>
          <a:p>
            <a:pPr>
              <a:defRPr sz="1100" b="1"/>
            </a:pPr>
            <a:r>
              <a:rPr lang="fr-FR" sz="1100" b="1"/>
              <a:t>ou proches de l'être</a:t>
            </a:r>
          </a:p>
        </c:rich>
      </c:tx>
      <c:layout>
        <c:manualLayout>
          <c:xMode val="edge"/>
          <c:yMode val="edge"/>
          <c:x val="0.17208634777788168"/>
          <c:y val="4.5258357260031155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Tension!$C$4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Tension!$B$5:$B$7</c:f>
              <c:strCache>
                <c:ptCount val="3"/>
                <c:pt idx="0">
                  <c:v>Chute de tension supérieure à 7%</c:v>
                </c:pt>
                <c:pt idx="1">
                  <c:v>Chute de tension comprise entre 5% et 7%</c:v>
                </c:pt>
                <c:pt idx="2">
                  <c:v>Chute de tension comprise entre 4% et 5%</c:v>
                </c:pt>
              </c:strCache>
            </c:strRef>
          </c:cat>
          <c:val>
            <c:numRef>
              <c:f>Tension!$C$5:$C$7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B-4971-A316-28213DDE9D3B}"/>
            </c:ext>
          </c:extLst>
        </c:ser>
        <c:ser>
          <c:idx val="1"/>
          <c:order val="1"/>
          <c:tx>
            <c:strRef>
              <c:f>Tension!$F$4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Tension!$B$5:$B$7</c:f>
              <c:strCache>
                <c:ptCount val="3"/>
                <c:pt idx="0">
                  <c:v>Chute de tension supérieure à 7%</c:v>
                </c:pt>
                <c:pt idx="1">
                  <c:v>Chute de tension comprise entre 5% et 7%</c:v>
                </c:pt>
                <c:pt idx="2">
                  <c:v>Chute de tension comprise entre 4% et 5%</c:v>
                </c:pt>
              </c:strCache>
            </c:strRef>
          </c:cat>
          <c:val>
            <c:numRef>
              <c:f>Tension!$F$5:$F$7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B-4971-A316-28213DDE9D3B}"/>
            </c:ext>
          </c:extLst>
        </c:ser>
        <c:ser>
          <c:idx val="0"/>
          <c:order val="2"/>
          <c:tx>
            <c:strRef>
              <c:f>Tension!$G$4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Tension!$B$5:$B$7</c:f>
              <c:strCache>
                <c:ptCount val="3"/>
                <c:pt idx="0">
                  <c:v>Chute de tension supérieure à 7%</c:v>
                </c:pt>
                <c:pt idx="1">
                  <c:v>Chute de tension comprise entre 5% et 7%</c:v>
                </c:pt>
                <c:pt idx="2">
                  <c:v>Chute de tension comprise entre 4% et 5%</c:v>
                </c:pt>
              </c:strCache>
            </c:strRef>
          </c:cat>
          <c:val>
            <c:numRef>
              <c:f>Tension!$G$5:$G$7</c:f>
              <c:numCache>
                <c:formatCode>0</c:formatCode>
                <c:ptCount val="3"/>
                <c:pt idx="0">
                  <c:v>2</c:v>
                </c:pt>
                <c:pt idx="1">
                  <c:v>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B-4971-A316-28213DDE9D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0896128"/>
        <c:axId val="140897664"/>
      </c:barChart>
      <c:catAx>
        <c:axId val="14089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/>
            </a:pPr>
            <a:endParaRPr lang="fr-FR"/>
          </a:p>
        </c:txPr>
        <c:crossAx val="140897664"/>
        <c:crosses val="autoZero"/>
        <c:auto val="1"/>
        <c:lblAlgn val="ctr"/>
        <c:lblOffset val="100"/>
        <c:noMultiLvlLbl val="0"/>
      </c:catAx>
      <c:valAx>
        <c:axId val="140897664"/>
        <c:scaling>
          <c:orientation val="minMax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1408961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42231993746224639"/>
          <c:y val="0.91372349385012752"/>
          <c:w val="0.21862156368072583"/>
          <c:h val="7.262449633581477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>
          <a:latin typeface="+mn-lt"/>
          <a:cs typeface="Arial" panose="020B06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r>
              <a:rPr lang="fr-FR" sz="1100" b="1">
                <a:latin typeface="+mn-lt"/>
                <a:cs typeface="Arial" panose="020B0604020202020204" pitchFamily="34" charset="0"/>
              </a:rPr>
              <a:t>Evolution des départs BT en contrainte de tension (DU/U &gt; 10%) </a:t>
            </a:r>
            <a:r>
              <a:rPr lang="fr-FR" sz="1100" b="1" i="0" baseline="0">
                <a:effectLst/>
              </a:rPr>
              <a:t>ou proches de l'être</a:t>
            </a:r>
            <a:endParaRPr lang="fr-FR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>
                <a:latin typeface="+mn-lt"/>
              </a:defRPr>
            </a:pPr>
            <a:endParaRPr lang="fr-FR" sz="1100" b="1">
              <a:latin typeface="+mn-lt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8.7906392044737408E-2"/>
          <c:y val="5.3551687032915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Tension!$C$38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Tension!$B$39:$B$41</c:f>
              <c:strCache>
                <c:ptCount val="3"/>
                <c:pt idx="0">
                  <c:v>Chute de tension supérieure à 30%</c:v>
                </c:pt>
                <c:pt idx="1">
                  <c:v>Chute de tension comprise entre 20% et 30%</c:v>
                </c:pt>
                <c:pt idx="2">
                  <c:v>Chute de tension comprise entre 10% et 20%</c:v>
                </c:pt>
              </c:strCache>
            </c:strRef>
          </c:cat>
          <c:val>
            <c:numRef>
              <c:f>Tension!$C$39:$C$41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E-4D81-BF7F-CD26C9040C7F}"/>
            </c:ext>
          </c:extLst>
        </c:ser>
        <c:ser>
          <c:idx val="1"/>
          <c:order val="1"/>
          <c:tx>
            <c:strRef>
              <c:f>Tension!$F$38</c:f>
              <c:strCache>
                <c:ptCount val="1"/>
                <c:pt idx="0">
                  <c:v>2022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Tension!$B$39:$B$41</c:f>
              <c:strCache>
                <c:ptCount val="3"/>
                <c:pt idx="0">
                  <c:v>Chute de tension supérieure à 30%</c:v>
                </c:pt>
                <c:pt idx="1">
                  <c:v>Chute de tension comprise entre 20% et 30%</c:v>
                </c:pt>
                <c:pt idx="2">
                  <c:v>Chute de tension comprise entre 10% et 20%</c:v>
                </c:pt>
              </c:strCache>
            </c:strRef>
          </c:cat>
          <c:val>
            <c:numRef>
              <c:f>Tension!$F$39:$F$41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E-4D81-BF7F-CD26C9040C7F}"/>
            </c:ext>
          </c:extLst>
        </c:ser>
        <c:ser>
          <c:idx val="0"/>
          <c:order val="2"/>
          <c:tx>
            <c:strRef>
              <c:f>Tension!$G$38</c:f>
              <c:strCache>
                <c:ptCount val="1"/>
                <c:pt idx="0">
                  <c:v>2023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Tension!$B$39:$B$41</c:f>
              <c:strCache>
                <c:ptCount val="3"/>
                <c:pt idx="0">
                  <c:v>Chute de tension supérieure à 30%</c:v>
                </c:pt>
                <c:pt idx="1">
                  <c:v>Chute de tension comprise entre 20% et 30%</c:v>
                </c:pt>
                <c:pt idx="2">
                  <c:v>Chute de tension comprise entre 10% et 20%</c:v>
                </c:pt>
              </c:strCache>
            </c:strRef>
          </c:cat>
          <c:val>
            <c:numRef>
              <c:f>Tension!$G$39:$G$41</c:f>
              <c:numCache>
                <c:formatCode>0</c:formatCode>
                <c:ptCount val="3"/>
                <c:pt idx="0">
                  <c:v>0</c:v>
                </c:pt>
                <c:pt idx="1">
                  <c:v>2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8E-4D81-BF7F-CD26C9040C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0896128"/>
        <c:axId val="140897664"/>
      </c:barChart>
      <c:catAx>
        <c:axId val="14089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fr-FR"/>
          </a:p>
        </c:txPr>
        <c:crossAx val="140897664"/>
        <c:crosses val="autoZero"/>
        <c:auto val="1"/>
        <c:lblAlgn val="ctr"/>
        <c:lblOffset val="100"/>
        <c:noMultiLvlLbl val="0"/>
      </c:catAx>
      <c:valAx>
        <c:axId val="140897664"/>
        <c:scaling>
          <c:orientation val="minMax"/>
          <c:min val="0"/>
        </c:scaling>
        <c:delete val="1"/>
        <c:axPos val="l"/>
        <c:numFmt formatCode="General" sourceLinked="1"/>
        <c:majorTickMark val="out"/>
        <c:minorTickMark val="none"/>
        <c:tickLblPos val="nextTo"/>
        <c:crossAx val="14089612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231993746224639"/>
          <c:y val="0.91372349385012752"/>
          <c:w val="0.27561482249368785"/>
          <c:h val="7.2624496335814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Arial" panose="020B0604020202020204" pitchFamily="34" charset="0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Nombre</a:t>
            </a:r>
            <a:r>
              <a:rPr lang="fr-FR" sz="1200" b="1" baseline="0"/>
              <a:t> de clients mal alimentés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Tension!$B$32</c:f>
              <c:strCache>
                <c:ptCount val="1"/>
                <c:pt idx="0">
                  <c:v>   - En zone urbaine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Tension!$C$30:$G$30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Tension!$C$32:$G$32</c:f>
              <c:numCache>
                <c:formatCode>#,##0</c:formatCode>
                <c:ptCount val="5"/>
                <c:pt idx="0">
                  <c:v>463</c:v>
                </c:pt>
                <c:pt idx="1">
                  <c:v>411</c:v>
                </c:pt>
                <c:pt idx="2">
                  <c:v>194</c:v>
                </c:pt>
                <c:pt idx="3">
                  <c:v>288</c:v>
                </c:pt>
                <c:pt idx="4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D-4CD3-9B6A-E196B20E28CB}"/>
            </c:ext>
          </c:extLst>
        </c:ser>
        <c:ser>
          <c:idx val="1"/>
          <c:order val="1"/>
          <c:tx>
            <c:strRef>
              <c:f>Tension!$B$33</c:f>
              <c:strCache>
                <c:ptCount val="1"/>
                <c:pt idx="0">
                  <c:v>   - En zone rurale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Tension!$C$30:$G$30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Tension!$C$33:$G$33</c:f>
              <c:numCache>
                <c:formatCode>#,##0</c:formatCode>
                <c:ptCount val="5"/>
                <c:pt idx="0">
                  <c:v>702</c:v>
                </c:pt>
                <c:pt idx="1">
                  <c:v>921</c:v>
                </c:pt>
                <c:pt idx="2">
                  <c:v>665</c:v>
                </c:pt>
                <c:pt idx="3">
                  <c:v>492</c:v>
                </c:pt>
                <c:pt idx="4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2D-4CD3-9B6A-E196B20E2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6871807"/>
        <c:axId val="1789582671"/>
      </c:barChart>
      <c:catAx>
        <c:axId val="180687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9582671"/>
        <c:crosses val="autoZero"/>
        <c:auto val="1"/>
        <c:lblAlgn val="ctr"/>
        <c:lblOffset val="100"/>
        <c:noMultiLvlLbl val="0"/>
      </c:catAx>
      <c:valAx>
        <c:axId val="17895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687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Evolution des participations</a:t>
            </a:r>
            <a:r>
              <a:rPr lang="en-US" sz="1100" b="1" baseline="0"/>
              <a:t> au travaux réalisés dans le cadre de l'Article 8 (€)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Invest!$B$68</c:f>
              <c:strCache>
                <c:ptCount val="1"/>
                <c:pt idx="0">
                  <c:v>Participation des travaux - Article 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numFmt formatCode="#\ ##0&quot; €&quot;;\-#\ ##0&quot; 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Invest!$C$67:$G$67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Invest!$C$68:$G$68</c:f>
              <c:numCache>
                <c:formatCode>#,##0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187.16800000000001</c:v>
                </c:pt>
                <c:pt idx="3">
                  <c:v>200</c:v>
                </c:pt>
                <c:pt idx="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4-4444-84E2-F99D8871DB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09969535"/>
        <c:axId val="209340319"/>
      </c:lineChart>
      <c:catAx>
        <c:axId val="120996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340319"/>
        <c:crosses val="autoZero"/>
        <c:auto val="1"/>
        <c:lblAlgn val="ctr"/>
        <c:lblOffset val="100"/>
        <c:noMultiLvlLbl val="0"/>
      </c:catAx>
      <c:valAx>
        <c:axId val="2093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0996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investissements</a:t>
            </a:r>
            <a:r>
              <a:rPr lang="fr-FR" sz="1200" b="1" baseline="0"/>
              <a:t> d'Enedis sur la concession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2906682490067468E-2"/>
          <c:y val="0.21182537321999759"/>
          <c:w val="0.83406500616927881"/>
          <c:h val="0.53140947587737097"/>
        </c:manualLayout>
      </c:layout>
      <c:barChart>
        <c:barDir val="col"/>
        <c:grouping val="clustered"/>
        <c:varyColors val="0"/>
        <c:ser>
          <c:idx val="0"/>
          <c:order val="0"/>
          <c:tx>
            <c:v>Investissements totaux d'Enedis (k€)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6.1093986443549074E-3"/>
                  <c:y val="-3.4364261168384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AE-4875-9699-79D23EA67539}"/>
                </c:ext>
              </c:extLst>
            </c:dLbl>
            <c:dLbl>
              <c:idx val="3"/>
              <c:layout>
                <c:manualLayout>
                  <c:x val="0"/>
                  <c:y val="3.137254901960784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19-496C-A9C1-91B1B36BC35B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Invest!$C$26:$G$26</c:f>
              <c:numCache>
                <c:formatCode>#,##0</c:formatCode>
                <c:ptCount val="5"/>
                <c:pt idx="0">
                  <c:v>15270</c:v>
                </c:pt>
                <c:pt idx="1">
                  <c:v>18142</c:v>
                </c:pt>
                <c:pt idx="2">
                  <c:v>19280</c:v>
                </c:pt>
                <c:pt idx="3">
                  <c:v>16763</c:v>
                </c:pt>
                <c:pt idx="4">
                  <c:v>19809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6-43D2-BBC6-C1BEEA6F1C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90258784"/>
        <c:axId val="1363205920"/>
      </c:barChart>
      <c:barChart>
        <c:barDir val="col"/>
        <c:grouping val="clustered"/>
        <c:varyColors val="0"/>
        <c:ser>
          <c:idx val="1"/>
          <c:order val="1"/>
          <c:tx>
            <c:strRef>
              <c:f>Invest!$B$31</c:f>
              <c:strCache>
                <c:ptCount val="1"/>
                <c:pt idx="0">
                  <c:v>I. Raccordements des utilisateurs consommateurs et producteurs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Invest!$C$31:$G$31</c:f>
              <c:numCache>
                <c:formatCode>0.0%</c:formatCode>
                <c:ptCount val="5"/>
                <c:pt idx="0">
                  <c:v>0.3115</c:v>
                </c:pt>
                <c:pt idx="1">
                  <c:v>0.36969999999999997</c:v>
                </c:pt>
                <c:pt idx="2">
                  <c:v>0.48899999999999999</c:v>
                </c:pt>
                <c:pt idx="3">
                  <c:v>0.42030000000000001</c:v>
                </c:pt>
                <c:pt idx="4">
                  <c:v>0.48909999999999998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B6-43D2-BBC6-C1BEEA6F1C64}"/>
            </c:ext>
          </c:extLst>
        </c:ser>
        <c:ser>
          <c:idx val="2"/>
          <c:order val="2"/>
          <c:tx>
            <c:strRef>
              <c:f>Invest!$B$36</c:f>
              <c:strCache>
                <c:ptCount val="1"/>
                <c:pt idx="0">
                  <c:v>II. Investissements pour l'amélioration du patrimoine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Invest!$C$36:$G$36</c:f>
              <c:numCache>
                <c:formatCode>0.0%</c:formatCode>
                <c:ptCount val="5"/>
                <c:pt idx="0">
                  <c:v>0.68240000000000001</c:v>
                </c:pt>
                <c:pt idx="1">
                  <c:v>0.62909999999999999</c:v>
                </c:pt>
                <c:pt idx="2">
                  <c:v>0.50539999999999996</c:v>
                </c:pt>
                <c:pt idx="3">
                  <c:v>0.53500000000000003</c:v>
                </c:pt>
                <c:pt idx="4">
                  <c:v>0.49930000000000002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6-43D2-BBC6-C1BEEA6F1C64}"/>
            </c:ext>
          </c:extLst>
        </c:ser>
        <c:ser>
          <c:idx val="3"/>
          <c:order val="3"/>
          <c:tx>
            <c:strRef>
              <c:f>Invest!$B$50</c:f>
              <c:strCache>
                <c:ptCount val="1"/>
                <c:pt idx="0">
                  <c:v>III. Investissement de logistique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Invest!$C$50:$G$50</c:f>
              <c:numCache>
                <c:formatCode>0.0%</c:formatCode>
                <c:ptCount val="5"/>
                <c:pt idx="0">
                  <c:v>6.1000000000000004E-3</c:v>
                </c:pt>
                <c:pt idx="1">
                  <c:v>1.1999999999999999E-3</c:v>
                </c:pt>
                <c:pt idx="2">
                  <c:v>5.5999999999999999E-3</c:v>
                </c:pt>
                <c:pt idx="3">
                  <c:v>4.4600000000000001E-2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B6-43D2-BBC6-C1BEEA6F1C64}"/>
            </c:ext>
          </c:extLst>
        </c:ser>
        <c:ser>
          <c:idx val="4"/>
          <c:order val="4"/>
          <c:tx>
            <c:strRef>
              <c:f>Invest!$B$51</c:f>
              <c:strCache>
                <c:ptCount val="1"/>
                <c:pt idx="0">
                  <c:v>IV.  Autres investissements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Invest!$C$51:$G$51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B6-43D2-BBC6-C1BEEA6F1C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05391088"/>
        <c:axId val="1363210912"/>
      </c:barChart>
      <c:catAx>
        <c:axId val="902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3205920"/>
        <c:crosses val="autoZero"/>
        <c:auto val="1"/>
        <c:lblAlgn val="ctr"/>
        <c:lblOffset val="100"/>
        <c:noMultiLvlLbl val="0"/>
      </c:catAx>
      <c:valAx>
        <c:axId val="136320592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258784"/>
        <c:crosses val="autoZero"/>
        <c:crossBetween val="between"/>
      </c:valAx>
      <c:valAx>
        <c:axId val="1363210912"/>
        <c:scaling>
          <c:orientation val="minMax"/>
          <c:max val="1.5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5391088"/>
        <c:crosses val="max"/>
        <c:crossBetween val="between"/>
      </c:valAx>
      <c:catAx>
        <c:axId val="405391088"/>
        <c:scaling>
          <c:orientation val="minMax"/>
        </c:scaling>
        <c:delete val="1"/>
        <c:axPos val="b"/>
        <c:majorTickMark val="out"/>
        <c:minorTickMark val="none"/>
        <c:tickLblPos val="nextTo"/>
        <c:crossAx val="1363210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344752006539502"/>
          <c:y val="0.73859620640203483"/>
          <c:w val="0.7941685272718676"/>
          <c:h val="0.237635318057152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investissements</a:t>
            </a:r>
            <a:r>
              <a:rPr lang="fr-FR" sz="1200" b="1" baseline="0"/>
              <a:t> de performance du réseau sur la concession</a:t>
            </a:r>
            <a:endParaRPr lang="fr-FR" sz="1200" b="1"/>
          </a:p>
        </c:rich>
      </c:tx>
      <c:layout>
        <c:manualLayout>
          <c:xMode val="edge"/>
          <c:yMode val="edge"/>
          <c:x val="0.14083592074649973"/>
          <c:y val="1.5503875968992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4795241940911231E-2"/>
          <c:y val="0.10607983374383262"/>
          <c:w val="0.84137099579420038"/>
          <c:h val="0.51814087296510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Invest!$B$57</c:f>
              <c:strCache>
                <c:ptCount val="1"/>
                <c:pt idx="0">
                  <c:v>Total des investissements de performance et modernisation (k€)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4.1946846493409046E-3"/>
                  <c:y val="-1.15494609438893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20F-4AD3-8988-52353A1F3410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Invest!$C$57:$G$57</c:f>
              <c:numCache>
                <c:formatCode>#,##0</c:formatCode>
                <c:ptCount val="5"/>
                <c:pt idx="0">
                  <c:v>8808</c:v>
                </c:pt>
                <c:pt idx="1">
                  <c:v>9055</c:v>
                </c:pt>
                <c:pt idx="2">
                  <c:v>7129</c:v>
                </c:pt>
                <c:pt idx="3">
                  <c:v>6799</c:v>
                </c:pt>
                <c:pt idx="4">
                  <c:v>8219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D-4794-B50D-39EA5DE1E7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5"/>
        <c:axId val="142360112"/>
        <c:axId val="1363167648"/>
      </c:barChart>
      <c:barChart>
        <c:barDir val="col"/>
        <c:grouping val="clustered"/>
        <c:varyColors val="0"/>
        <c:ser>
          <c:idx val="1"/>
          <c:order val="1"/>
          <c:tx>
            <c:strRef>
              <c:f>Invest!$B$58</c:f>
              <c:strCache>
                <c:ptCount val="1"/>
                <c:pt idx="0">
                  <c:v>Dont renforcement des réseaux (%)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Invest!$C$58:$G$58</c:f>
              <c:numCache>
                <c:formatCode>0.0%</c:formatCode>
                <c:ptCount val="5"/>
                <c:pt idx="0">
                  <c:v>1.21480472297911E-2</c:v>
                </c:pt>
                <c:pt idx="1">
                  <c:v>2.4627277747101051E-2</c:v>
                </c:pt>
                <c:pt idx="2">
                  <c:v>1.2343947257679899E-2</c:v>
                </c:pt>
                <c:pt idx="3">
                  <c:v>1.7355493454919841E-2</c:v>
                </c:pt>
                <c:pt idx="4">
                  <c:v>1.1436914466480107E-2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D-4794-B50D-39EA5DE1E79E}"/>
            </c:ext>
          </c:extLst>
        </c:ser>
        <c:ser>
          <c:idx val="2"/>
          <c:order val="2"/>
          <c:tx>
            <c:strRef>
              <c:f>Invest!$B$59</c:f>
              <c:strCache>
                <c:ptCount val="1"/>
                <c:pt idx="0">
                  <c:v>Dont résilience des réseaux et postes aux aléas climatiques (%)</c:v>
                </c:pt>
              </c:strCache>
            </c:strRef>
          </c:tx>
          <c:spPr>
            <a:solidFill>
              <a:schemeClr val="accent6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Invest!$C$59:$G$59</c:f>
              <c:numCache>
                <c:formatCode>0.0%</c:formatCode>
                <c:ptCount val="5"/>
                <c:pt idx="0">
                  <c:v>4.1099000908265217E-2</c:v>
                </c:pt>
                <c:pt idx="1">
                  <c:v>4.9585864163445612E-2</c:v>
                </c:pt>
                <c:pt idx="2">
                  <c:v>7.462477205779211E-2</c:v>
                </c:pt>
                <c:pt idx="3">
                  <c:v>2.7651125165465508E-2</c:v>
                </c:pt>
                <c:pt idx="4">
                  <c:v>1.9467088453583161E-2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D-4794-B50D-39EA5DE1E79E}"/>
            </c:ext>
          </c:extLst>
        </c:ser>
        <c:ser>
          <c:idx val="3"/>
          <c:order val="3"/>
          <c:tx>
            <c:strRef>
              <c:f>Invest!$B$60</c:f>
              <c:strCache>
                <c:ptCount val="1"/>
                <c:pt idx="0">
                  <c:v>Dont amélioration de la fiabilité des réseaux et  postes hors RP-PDV (%)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Invest!$C$60:$G$60</c:f>
              <c:numCache>
                <c:formatCode>0.0%</c:formatCode>
                <c:ptCount val="5"/>
                <c:pt idx="0">
                  <c:v>0.30903723887375112</c:v>
                </c:pt>
                <c:pt idx="1">
                  <c:v>0.41965764770844838</c:v>
                </c:pt>
                <c:pt idx="2">
                  <c:v>0.39107869266376771</c:v>
                </c:pt>
                <c:pt idx="3">
                  <c:v>0.63171054566848062</c:v>
                </c:pt>
                <c:pt idx="4">
                  <c:v>0.86227034919089918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CD-4794-B50D-39EA5DE1E79E}"/>
            </c:ext>
          </c:extLst>
        </c:ser>
        <c:ser>
          <c:idx val="4"/>
          <c:order val="4"/>
          <c:tx>
            <c:strRef>
              <c:f>Invest!$B$61</c:f>
              <c:strCache>
                <c:ptCount val="1"/>
                <c:pt idx="0">
                  <c:v>Dont rénovation programmée et prolongation de durée de vie RP-PDV (%)</c:v>
                </c:pt>
              </c:strCache>
            </c:strRef>
          </c:tx>
          <c:spPr>
            <a:solidFill>
              <a:schemeClr val="accent6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Invest!$C$61:$G$61</c:f>
              <c:numCache>
                <c:formatCode>0.0%</c:formatCode>
                <c:ptCount val="5"/>
                <c:pt idx="0">
                  <c:v>3.1221616712079927E-2</c:v>
                </c:pt>
                <c:pt idx="1">
                  <c:v>5.3782440640530095E-2</c:v>
                </c:pt>
                <c:pt idx="2">
                  <c:v>6.9574975452377619E-2</c:v>
                </c:pt>
                <c:pt idx="3">
                  <c:v>0.11957640829533756</c:v>
                </c:pt>
                <c:pt idx="4">
                  <c:v>5.4872855578537535E-2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CD-4794-B50D-39EA5DE1E79E}"/>
            </c:ext>
          </c:extLst>
        </c:ser>
        <c:ser>
          <c:idx val="5"/>
          <c:order val="5"/>
          <c:tx>
            <c:strRef>
              <c:f>Invest!$B$62</c:f>
              <c:strCache>
                <c:ptCount val="1"/>
                <c:pt idx="0">
                  <c:v>Dont compteurs communicants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Invest!$C$62:$G$62</c:f>
              <c:numCache>
                <c:formatCode>0.0%</c:formatCode>
                <c:ptCount val="5"/>
                <c:pt idx="0">
                  <c:v>0.43960036330608537</c:v>
                </c:pt>
                <c:pt idx="1">
                  <c:v>0.39337382661512976</c:v>
                </c:pt>
                <c:pt idx="2">
                  <c:v>0.39949502033945855</c:v>
                </c:pt>
                <c:pt idx="3">
                  <c:v>0.10619208707162818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CD-4794-B50D-39EA5DE1E79E}"/>
            </c:ext>
          </c:extLst>
        </c:ser>
        <c:ser>
          <c:idx val="6"/>
          <c:order val="6"/>
          <c:tx>
            <c:strRef>
              <c:f>Invest!$B$63</c:f>
              <c:strCache>
                <c:ptCount val="1"/>
                <c:pt idx="0">
                  <c:v>Autres</c:v>
                </c:pt>
              </c:strCache>
            </c:strRef>
          </c:tx>
          <c:spPr>
            <a:solidFill>
              <a:schemeClr val="accent6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Invest!$C$63:$G$63</c:f>
              <c:numCache>
                <c:formatCode>0.0%</c:formatCode>
                <c:ptCount val="5"/>
                <c:pt idx="0">
                  <c:v>0.16689373297002724</c:v>
                </c:pt>
                <c:pt idx="1">
                  <c:v>5.8972943125345116E-2</c:v>
                </c:pt>
                <c:pt idx="2">
                  <c:v>5.2882592228924115E-2</c:v>
                </c:pt>
                <c:pt idx="3">
                  <c:v>9.7367259891160463E-2</c:v>
                </c:pt>
                <c:pt idx="4">
                  <c:v>5.1952792310500061E-2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CD-4794-B50D-39EA5DE1E7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30006096"/>
        <c:axId val="1363157248"/>
      </c:barChart>
      <c:catAx>
        <c:axId val="1423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3167648"/>
        <c:crosses val="autoZero"/>
        <c:auto val="1"/>
        <c:lblAlgn val="ctr"/>
        <c:lblOffset val="100"/>
        <c:noMultiLvlLbl val="0"/>
      </c:catAx>
      <c:valAx>
        <c:axId val="1363167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360112"/>
        <c:crosses val="autoZero"/>
        <c:crossBetween val="between"/>
      </c:valAx>
      <c:valAx>
        <c:axId val="1363157248"/>
        <c:scaling>
          <c:orientation val="minMax"/>
          <c:max val="1.5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0006096"/>
        <c:crosses val="max"/>
        <c:crossBetween val="between"/>
      </c:valAx>
      <c:catAx>
        <c:axId val="43000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3157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730641459672612"/>
          <c:y val="0.71395647067721557"/>
          <c:w val="0.78161876640419947"/>
          <c:h val="0.26461879578939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Longueur HTA mise en service</a:t>
            </a:r>
            <a:r>
              <a:rPr lang="fr-FR" sz="1100" b="1" baseline="0"/>
              <a:t> par type d'ouvrage (km)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Invest!$B$71</c:f>
              <c:strCache>
                <c:ptCount val="1"/>
                <c:pt idx="0">
                  <c:v>Souterrain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Invest!$C$71:$G$71</c:f>
              <c:numCache>
                <c:formatCode>#\ ##0.0</c:formatCode>
                <c:ptCount val="5"/>
                <c:pt idx="0">
                  <c:v>59.762</c:v>
                </c:pt>
                <c:pt idx="1">
                  <c:v>23.077000000000002</c:v>
                </c:pt>
                <c:pt idx="2">
                  <c:v>145.20599999999999</c:v>
                </c:pt>
                <c:pt idx="3">
                  <c:v>34.450000000000003</c:v>
                </c:pt>
                <c:pt idx="4">
                  <c:v>28.614000000000001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C-4565-A8AF-9DCFE74F67C4}"/>
            </c:ext>
          </c:extLst>
        </c:ser>
        <c:ser>
          <c:idx val="2"/>
          <c:order val="1"/>
          <c:tx>
            <c:strRef>
              <c:f>Invest!$B$73</c:f>
              <c:strCache>
                <c:ptCount val="1"/>
                <c:pt idx="0">
                  <c:v>Aérien nu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Invest!$C$73:$G$73</c:f>
              <c:numCache>
                <c:formatCode>#\ ##0.0</c:formatCode>
                <c:ptCount val="5"/>
                <c:pt idx="0">
                  <c:v>0.13300000000000001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0.66200000000000003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C-4565-A8AF-9DCFE74F67C4}"/>
            </c:ext>
          </c:extLst>
        </c:ser>
        <c:ser>
          <c:idx val="1"/>
          <c:order val="2"/>
          <c:tx>
            <c:strRef>
              <c:f>Invest!$B$72</c:f>
              <c:strCache>
                <c:ptCount val="1"/>
                <c:pt idx="0">
                  <c:v>Torsadé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7.0555555555555552E-2"/>
                  <c:y val="0.119401709401709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93-4B07-976A-391C1129F737}"/>
                </c:ext>
              </c:extLst>
            </c:dLbl>
            <c:dLbl>
              <c:idx val="4"/>
              <c:layout>
                <c:manualLayout>
                  <c:x val="0.10583333333333322"/>
                  <c:y val="-4.04296751268687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E0-4D4D-BDDC-7403C71AE8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Invest!$C$72:$G$72</c:f>
              <c:numCache>
                <c:formatCode>#\ ##0.0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C-4565-A8AF-9DCFE74F6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499184"/>
        <c:axId val="1129785439"/>
      </c:barChart>
      <c:lineChart>
        <c:grouping val="standard"/>
        <c:varyColors val="0"/>
        <c:ser>
          <c:idx val="3"/>
          <c:order val="3"/>
          <c:tx>
            <c:strRef>
              <c:f>Invest!$B$74</c:f>
              <c:strCache>
                <c:ptCount val="1"/>
                <c:pt idx="0">
                  <c:v>Total canalisations HTA mises en service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482329059829062E-2"/>
                  <c:y val="-4.3418803418803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93-4B07-976A-391C1129F737}"/>
                </c:ext>
              </c:extLst>
            </c:dLbl>
            <c:dLbl>
              <c:idx val="3"/>
              <c:layout>
                <c:manualLayout>
                  <c:x val="-6.398910568547049E-2"/>
                  <c:y val="-6.4703968306264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E0-4D4D-BDDC-7403C71AE895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7E0-4D4D-BDDC-7403C71AE8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Invest!$C$74:$G$74</c:f>
              <c:numCache>
                <c:formatCode>#\ ##0.0</c:formatCode>
                <c:ptCount val="5"/>
                <c:pt idx="0">
                  <c:v>59.895000000000003</c:v>
                </c:pt>
                <c:pt idx="1">
                  <c:v>23.077000000000002</c:v>
                </c:pt>
                <c:pt idx="2">
                  <c:v>145.20599999999999</c:v>
                </c:pt>
                <c:pt idx="3">
                  <c:v>34.450000000000003</c:v>
                </c:pt>
                <c:pt idx="4">
                  <c:v>29.276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8C-4565-A8AF-9DCFE74F6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536512"/>
        <c:axId val="260122160"/>
      </c:lineChart>
      <c:catAx>
        <c:axId val="3034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785439"/>
        <c:crosses val="autoZero"/>
        <c:auto val="1"/>
        <c:lblAlgn val="ctr"/>
        <c:lblOffset val="100"/>
        <c:noMultiLvlLbl val="0"/>
      </c:catAx>
      <c:valAx>
        <c:axId val="11297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03499184"/>
        <c:crosses val="autoZero"/>
        <c:crossBetween val="between"/>
      </c:valAx>
      <c:valAx>
        <c:axId val="260122160"/>
        <c:scaling>
          <c:orientation val="minMax"/>
        </c:scaling>
        <c:delete val="1"/>
        <c:axPos val="r"/>
        <c:numFmt formatCode="#\ ##0.0" sourceLinked="1"/>
        <c:majorTickMark val="out"/>
        <c:minorTickMark val="none"/>
        <c:tickLblPos val="nextTo"/>
        <c:crossAx val="299536512"/>
        <c:crosses val="max"/>
        <c:crossBetween val="between"/>
      </c:valAx>
      <c:catAx>
        <c:axId val="2995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0122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50" b="1" i="0" baseline="0">
                <a:effectLst/>
              </a:rPr>
              <a:t>Longueur HTA mise en service par nature de travaux (km)</a:t>
            </a:r>
            <a:endParaRPr lang="fr-FR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Invest!$B$75</c:f>
              <c:strCache>
                <c:ptCount val="1"/>
                <c:pt idx="0">
                  <c:v>Extension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Invest!$C$75:$G$75</c:f>
              <c:numCache>
                <c:formatCode>#\ ##0.0</c:formatCode>
                <c:ptCount val="5"/>
                <c:pt idx="0">
                  <c:v>44.622</c:v>
                </c:pt>
                <c:pt idx="1">
                  <c:v>10.167999999999999</c:v>
                </c:pt>
                <c:pt idx="2">
                  <c:v>130.43100000000001</c:v>
                </c:pt>
                <c:pt idx="3">
                  <c:v>22.38</c:v>
                </c:pt>
                <c:pt idx="4">
                  <c:v>19.097999999999999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6-46DE-9303-B584E321DAA4}"/>
            </c:ext>
          </c:extLst>
        </c:ser>
        <c:ser>
          <c:idx val="1"/>
          <c:order val="1"/>
          <c:tx>
            <c:strRef>
              <c:f>Invest!$B$76</c:f>
              <c:strCache>
                <c:ptCount val="1"/>
                <c:pt idx="0">
                  <c:v>Renouvellement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9.618004933695708E-17"/>
                  <c:y val="-1.260636412936842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53-49CD-A52D-F6FBA9D39E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Invest!$C$76:$G$76</c:f>
              <c:numCache>
                <c:formatCode>#\ ##0.0</c:formatCode>
                <c:ptCount val="5"/>
                <c:pt idx="0">
                  <c:v>10.138</c:v>
                </c:pt>
                <c:pt idx="1">
                  <c:v>5.5119999999999996</c:v>
                </c:pt>
                <c:pt idx="2">
                  <c:v>7.4729999999999999</c:v>
                </c:pt>
                <c:pt idx="3">
                  <c:v>10.202</c:v>
                </c:pt>
                <c:pt idx="4">
                  <c:v>4.1159999999999997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6-46DE-9303-B584E321DAA4}"/>
            </c:ext>
          </c:extLst>
        </c:ser>
        <c:ser>
          <c:idx val="2"/>
          <c:order val="2"/>
          <c:tx>
            <c:strRef>
              <c:f>Invest!$B$77</c:f>
              <c:strCache>
                <c:ptCount val="1"/>
                <c:pt idx="0">
                  <c:v>Renforcement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Invest!$C$77:$G$77</c:f>
              <c:numCache>
                <c:formatCode>#\ ##0.0</c:formatCode>
                <c:ptCount val="5"/>
                <c:pt idx="0">
                  <c:v>5.1280000000000001</c:v>
                </c:pt>
                <c:pt idx="1">
                  <c:v>7.3970000000000002</c:v>
                </c:pt>
                <c:pt idx="2">
                  <c:v>7.3019999999999996</c:v>
                </c:pt>
                <c:pt idx="3">
                  <c:v>1.8680000000000001</c:v>
                </c:pt>
                <c:pt idx="4">
                  <c:v>6.0620000000000003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26-46DE-9303-B584E321DA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0455872"/>
        <c:axId val="296019615"/>
      </c:barChart>
      <c:lineChart>
        <c:grouping val="standard"/>
        <c:varyColors val="0"/>
        <c:ser>
          <c:idx val="3"/>
          <c:order val="3"/>
          <c:tx>
            <c:strRef>
              <c:f>Invest!$B$74</c:f>
              <c:strCache>
                <c:ptCount val="1"/>
                <c:pt idx="0">
                  <c:v>Total canalisations HTA mises en service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Invest!$C$74:$G$74</c:f>
              <c:numCache>
                <c:formatCode>#\ ##0.0</c:formatCode>
                <c:ptCount val="5"/>
                <c:pt idx="0">
                  <c:v>59.895000000000003</c:v>
                </c:pt>
                <c:pt idx="1">
                  <c:v>23.077000000000002</c:v>
                </c:pt>
                <c:pt idx="2">
                  <c:v>145.20599999999999</c:v>
                </c:pt>
                <c:pt idx="3">
                  <c:v>34.450000000000003</c:v>
                </c:pt>
                <c:pt idx="4">
                  <c:v>29.276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986-8A3C-4BBCC36FD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55872"/>
        <c:axId val="296019615"/>
      </c:lineChart>
      <c:catAx>
        <c:axId val="3404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6019615"/>
        <c:crosses val="autoZero"/>
        <c:auto val="1"/>
        <c:lblAlgn val="ctr"/>
        <c:lblOffset val="100"/>
        <c:noMultiLvlLbl val="0"/>
      </c:catAx>
      <c:valAx>
        <c:axId val="2960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04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Longueur BT mise en service</a:t>
            </a:r>
            <a:r>
              <a:rPr lang="fr-FR" sz="1100" b="1" baseline="0"/>
              <a:t> par type d'ouvrage (km)</a:t>
            </a:r>
            <a:endParaRPr lang="fr-FR" sz="1100" b="1"/>
          </a:p>
        </c:rich>
      </c:tx>
      <c:layout>
        <c:manualLayout>
          <c:xMode val="edge"/>
          <c:yMode val="edge"/>
          <c:x val="0.1283240740740740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Invest!$B$81</c:f>
              <c:strCache>
                <c:ptCount val="1"/>
                <c:pt idx="0">
                  <c:v>Souterrain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Invest!$C$81:$G$81</c:f>
              <c:numCache>
                <c:formatCode>#\ ##0.0</c:formatCode>
                <c:ptCount val="5"/>
                <c:pt idx="0">
                  <c:v>6.8609999999999998</c:v>
                </c:pt>
                <c:pt idx="1">
                  <c:v>6.9729999999999999</c:v>
                </c:pt>
                <c:pt idx="2">
                  <c:v>9.2430000000000003</c:v>
                </c:pt>
                <c:pt idx="3">
                  <c:v>8.4819999999999993</c:v>
                </c:pt>
                <c:pt idx="4">
                  <c:v>12.145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1-444D-9772-A94F502478EC}"/>
            </c:ext>
          </c:extLst>
        </c:ser>
        <c:ser>
          <c:idx val="1"/>
          <c:order val="1"/>
          <c:tx>
            <c:strRef>
              <c:f>Invest!$B$82</c:f>
              <c:strCache>
                <c:ptCount val="1"/>
                <c:pt idx="0">
                  <c:v>Torsadé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Invest!$C$82:$G$82</c:f>
              <c:numCache>
                <c:formatCode>#\ ##0.0</c:formatCode>
                <c:ptCount val="5"/>
                <c:pt idx="0">
                  <c:v>0.86299999999999999</c:v>
                </c:pt>
                <c:pt idx="1">
                  <c:v>1.325</c:v>
                </c:pt>
                <c:pt idx="2">
                  <c:v>1.2330000000000001</c:v>
                </c:pt>
                <c:pt idx="3">
                  <c:v>1.323</c:v>
                </c:pt>
                <c:pt idx="4">
                  <c:v>4.5650000000000004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1-444D-9772-A94F502478EC}"/>
            </c:ext>
          </c:extLst>
        </c:ser>
        <c:ser>
          <c:idx val="2"/>
          <c:order val="2"/>
          <c:tx>
            <c:strRef>
              <c:f>Invest!$B$83</c:f>
              <c:strCache>
                <c:ptCount val="1"/>
                <c:pt idx="0">
                  <c:v>Aérien nu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Invest!$C$83:$G$83</c:f>
              <c:numCache>
                <c:formatCode>#\ ##0.0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1-444D-9772-A94F50247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3499184"/>
        <c:axId val="1129785439"/>
      </c:barChart>
      <c:lineChart>
        <c:grouping val="standard"/>
        <c:varyColors val="0"/>
        <c:ser>
          <c:idx val="3"/>
          <c:order val="3"/>
          <c:tx>
            <c:strRef>
              <c:f>Invest!$B$84</c:f>
              <c:strCache>
                <c:ptCount val="1"/>
                <c:pt idx="0">
                  <c:v>Total canalisations BT mises en service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Invest!$C$84:$G$84</c:f>
              <c:numCache>
                <c:formatCode>#\ ##0.0</c:formatCode>
                <c:ptCount val="5"/>
                <c:pt idx="0">
                  <c:v>7.7240000000000002</c:v>
                </c:pt>
                <c:pt idx="1">
                  <c:v>8.298</c:v>
                </c:pt>
                <c:pt idx="2">
                  <c:v>10.476000000000001</c:v>
                </c:pt>
                <c:pt idx="3">
                  <c:v>9.8049999999999997</c:v>
                </c:pt>
                <c:pt idx="4">
                  <c:v>16.71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1-444D-9772-A94F50247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99536512"/>
        <c:axId val="260122160"/>
      </c:lineChart>
      <c:catAx>
        <c:axId val="3034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785439"/>
        <c:crosses val="autoZero"/>
        <c:auto val="1"/>
        <c:lblAlgn val="ctr"/>
        <c:lblOffset val="100"/>
        <c:noMultiLvlLbl val="0"/>
      </c:catAx>
      <c:valAx>
        <c:axId val="11297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03499184"/>
        <c:crosses val="autoZero"/>
        <c:crossBetween val="between"/>
      </c:valAx>
      <c:valAx>
        <c:axId val="260122160"/>
        <c:scaling>
          <c:orientation val="minMax"/>
        </c:scaling>
        <c:delete val="1"/>
        <c:axPos val="r"/>
        <c:numFmt formatCode="#\ ##0.0" sourceLinked="1"/>
        <c:majorTickMark val="out"/>
        <c:minorTickMark val="none"/>
        <c:tickLblPos val="nextTo"/>
        <c:crossAx val="299536512"/>
        <c:crosses val="max"/>
        <c:crossBetween val="between"/>
      </c:valAx>
      <c:catAx>
        <c:axId val="2995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0122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050" b="1" i="0" baseline="0">
                <a:effectLst/>
              </a:rPr>
              <a:t>Longueur BT mise en service par nature de travaux (km)</a:t>
            </a:r>
            <a:endParaRPr lang="fr-FR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Invest!$B$85</c:f>
              <c:strCache>
                <c:ptCount val="1"/>
                <c:pt idx="0">
                  <c:v>Extension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Invest!$C$85:$G$85</c:f>
              <c:numCache>
                <c:formatCode>#\ ##0.0</c:formatCode>
                <c:ptCount val="5"/>
                <c:pt idx="0">
                  <c:v>4.4640000000000004</c:v>
                </c:pt>
                <c:pt idx="1">
                  <c:v>5.391</c:v>
                </c:pt>
                <c:pt idx="2">
                  <c:v>6.16</c:v>
                </c:pt>
                <c:pt idx="3">
                  <c:v>6.702</c:v>
                </c:pt>
                <c:pt idx="4">
                  <c:v>10.135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3-4BF7-89B1-07D505157693}"/>
            </c:ext>
          </c:extLst>
        </c:ser>
        <c:ser>
          <c:idx val="1"/>
          <c:order val="1"/>
          <c:tx>
            <c:strRef>
              <c:f>Invest!$B$86</c:f>
              <c:strCache>
                <c:ptCount val="1"/>
                <c:pt idx="0">
                  <c:v>Renouvellement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Invest!$C$86:$G$86</c:f>
              <c:numCache>
                <c:formatCode>#\ ##0.0</c:formatCode>
                <c:ptCount val="5"/>
                <c:pt idx="0">
                  <c:v>2.863</c:v>
                </c:pt>
                <c:pt idx="1">
                  <c:v>2.4649999999999999</c:v>
                </c:pt>
                <c:pt idx="2">
                  <c:v>4.25</c:v>
                </c:pt>
                <c:pt idx="3">
                  <c:v>2.2349999999999999</c:v>
                </c:pt>
                <c:pt idx="4">
                  <c:v>6.2069999999999999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3-4BF7-89B1-07D505157693}"/>
            </c:ext>
          </c:extLst>
        </c:ser>
        <c:ser>
          <c:idx val="2"/>
          <c:order val="2"/>
          <c:tx>
            <c:strRef>
              <c:f>Invest!$B$87</c:f>
              <c:strCache>
                <c:ptCount val="1"/>
                <c:pt idx="0">
                  <c:v>Renforcement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Invest!$C$70:$G$70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Invest!$C$87:$G$87</c:f>
              <c:numCache>
                <c:formatCode>#\ ##0.0</c:formatCode>
                <c:ptCount val="5"/>
                <c:pt idx="0">
                  <c:v>0.39700000000000002</c:v>
                </c:pt>
                <c:pt idx="1">
                  <c:v>0.442</c:v>
                </c:pt>
                <c:pt idx="2">
                  <c:v>6.6000000000000003E-2</c:v>
                </c:pt>
                <c:pt idx="3">
                  <c:v>0.86799999999999999</c:v>
                </c:pt>
                <c:pt idx="4">
                  <c:v>0.36799999999999999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3-4BF7-89B1-07D5051576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0455872"/>
        <c:axId val="296019615"/>
      </c:barChart>
      <c:lineChart>
        <c:grouping val="standard"/>
        <c:varyColors val="0"/>
        <c:ser>
          <c:idx val="3"/>
          <c:order val="3"/>
          <c:tx>
            <c:strRef>
              <c:f>Invest!$B$84</c:f>
              <c:strCache>
                <c:ptCount val="1"/>
                <c:pt idx="0">
                  <c:v>Total canalisations BT mises en service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Invest!$C$84:$G$84</c:f>
              <c:numCache>
                <c:formatCode>#\ ##0.0</c:formatCode>
                <c:ptCount val="5"/>
                <c:pt idx="0">
                  <c:v>7.7240000000000002</c:v>
                </c:pt>
                <c:pt idx="1">
                  <c:v>8.298</c:v>
                </c:pt>
                <c:pt idx="2">
                  <c:v>10.476000000000001</c:v>
                </c:pt>
                <c:pt idx="3">
                  <c:v>9.8049999999999997</c:v>
                </c:pt>
                <c:pt idx="4">
                  <c:v>16.71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092-AD51-D956987A5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55872"/>
        <c:axId val="296019615"/>
      </c:lineChart>
      <c:catAx>
        <c:axId val="3404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6019615"/>
        <c:crosses val="autoZero"/>
        <c:auto val="1"/>
        <c:lblAlgn val="ctr"/>
        <c:lblOffset val="100"/>
        <c:noMultiLvlLbl val="0"/>
      </c:catAx>
      <c:valAx>
        <c:axId val="29601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04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des investissements</a:t>
            </a:r>
            <a:r>
              <a:rPr lang="fr-FR" sz="1100" b="1" baseline="0"/>
              <a:t> délibérés d'Enedis sur la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9538924876979009E-2"/>
          <c:y val="0.17267219026722197"/>
          <c:w val="0.8666684788035065"/>
          <c:h val="0.63530288953641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Invest!$B$64</c:f>
              <c:strCache>
                <c:ptCount val="1"/>
                <c:pt idx="0">
                  <c:v>Investissements délibérés d'amélioration du réseau concédé (k€)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Invest!$C$64:$G$64</c:f>
              <c:numCache>
                <c:formatCode>#,##0</c:formatCode>
                <c:ptCount val="5"/>
                <c:pt idx="0">
                  <c:v>1853</c:v>
                </c:pt>
                <c:pt idx="1">
                  <c:v>1897</c:v>
                </c:pt>
                <c:pt idx="2">
                  <c:v>1942</c:v>
                </c:pt>
                <c:pt idx="3">
                  <c:v>2457</c:v>
                </c:pt>
                <c:pt idx="4">
                  <c:v>3414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CCD-9AD3-939C44BD8A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33428351"/>
        <c:axId val="357425599"/>
      </c:barChart>
      <c:lineChart>
        <c:grouping val="standard"/>
        <c:varyColors val="0"/>
        <c:ser>
          <c:idx val="1"/>
          <c:order val="1"/>
          <c:tx>
            <c:strRef>
              <c:f>Invest!$B$65</c:f>
              <c:strCache>
                <c:ptCount val="1"/>
                <c:pt idx="0">
                  <c:v>Part sur le total investi (%)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Invest!$C$56:$G$56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Invest!$C$65:$G$65</c:f>
              <c:numCache>
                <c:formatCode>0.0%</c:formatCode>
                <c:ptCount val="5"/>
                <c:pt idx="0">
                  <c:v>0.12134905042567125</c:v>
                </c:pt>
                <c:pt idx="1">
                  <c:v>0.10456399514937714</c:v>
                </c:pt>
                <c:pt idx="2">
                  <c:v>0.10072614107883818</c:v>
                </c:pt>
                <c:pt idx="3">
                  <c:v>0.14657280916303764</c:v>
                </c:pt>
                <c:pt idx="4">
                  <c:v>0.17234590337725275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6-4CCD-9AD3-939C44BD8A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452351"/>
        <c:axId val="869799983"/>
      </c:lineChart>
      <c:catAx>
        <c:axId val="163342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7425599"/>
        <c:crosses val="autoZero"/>
        <c:auto val="1"/>
        <c:lblAlgn val="ctr"/>
        <c:lblOffset val="100"/>
        <c:noMultiLvlLbl val="0"/>
      </c:catAx>
      <c:valAx>
        <c:axId val="357425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3428351"/>
        <c:crosses val="autoZero"/>
        <c:crossBetween val="between"/>
      </c:valAx>
      <c:valAx>
        <c:axId val="869799983"/>
        <c:scaling>
          <c:orientation val="minMax"/>
          <c:max val="0.30000000000000004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33452351"/>
        <c:crosses val="max"/>
        <c:crossBetween val="between"/>
      </c:valAx>
      <c:catAx>
        <c:axId val="163345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9799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Décomposition de la valeur brute par catégorie</a:t>
            </a:r>
            <a:r>
              <a:rPr lang="fr-FR" sz="1100" b="1" baseline="0"/>
              <a:t> d'ouvrage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0908677400671375"/>
          <c:y val="0.36776815322710871"/>
          <c:w val="0.54677144526648613"/>
          <c:h val="0.49147419526979114"/>
        </c:manualLayout>
      </c:layout>
      <c:pie3DChart>
        <c:varyColors val="1"/>
        <c:ser>
          <c:idx val="0"/>
          <c:order val="0"/>
          <c:explosion val="14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F74-4570-81C6-A15907C332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F74-4570-81C6-A15907C332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F74-4570-81C6-A15907C332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F74-4570-81C6-A15907C332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F74-4570-81C6-A15907C332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9F74-4570-81C6-A15907C332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F74-4570-81C6-A15907C332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F74-4570-81C6-A15907C332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F74-4570-81C6-A15907C332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F74-4570-81C6-A15907C332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2538-4605-911B-5E47F9EEAB54}"/>
              </c:ext>
            </c:extLst>
          </c:dPt>
          <c:dLbls>
            <c:dLbl>
              <c:idx val="0"/>
              <c:layout>
                <c:manualLayout>
                  <c:x val="4.3923284494972709E-2"/>
                  <c:y val="-9.86731881284116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74-4570-81C6-A15907C332F2}"/>
                </c:ext>
              </c:extLst>
            </c:dLbl>
            <c:dLbl>
              <c:idx val="1"/>
              <c:layout>
                <c:manualLayout>
                  <c:x val="7.1237462080366303E-5"/>
                  <c:y val="7.026211044325859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74-4570-81C6-A15907C332F2}"/>
                </c:ext>
              </c:extLst>
            </c:dLbl>
            <c:dLbl>
              <c:idx val="2"/>
              <c:layout>
                <c:manualLayout>
                  <c:x val="-5.9621233638965064E-2"/>
                  <c:y val="5.33964155667508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74-4570-81C6-A15907C332F2}"/>
                </c:ext>
              </c:extLst>
            </c:dLbl>
            <c:dLbl>
              <c:idx val="3"/>
              <c:layout>
                <c:manualLayout>
                  <c:x val="-1.7971893740833321E-2"/>
                  <c:y val="2.5131623400278982E-2"/>
                </c:manualLayout>
              </c:layout>
              <c:numFmt formatCode="0.0%;0.0%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03507839544424"/>
                      <c:h val="9.487205510404118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F74-4570-81C6-A15907C332F2}"/>
                </c:ext>
              </c:extLst>
            </c:dLbl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Pat_fin!$B$45:$B$55</c:f>
              <c:strCache>
                <c:ptCount val="11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</c:strCache>
            </c:strRef>
          </c:cat>
          <c:val>
            <c:numRef>
              <c:f>Pat_fin!$G$45:$G$55</c:f>
              <c:numCache>
                <c:formatCode>#,##0</c:formatCode>
                <c:ptCount val="11"/>
                <c:pt idx="0">
                  <c:v>183495.51800000001</c:v>
                </c:pt>
                <c:pt idx="1">
                  <c:v>214038.12700000001</c:v>
                </c:pt>
                <c:pt idx="2">
                  <c:v>51849.767999999996</c:v>
                </c:pt>
                <c:pt idx="3">
                  <c:v>16673.260999999999</c:v>
                </c:pt>
                <c:pt idx="4">
                  <c:v>18341.48</c:v>
                </c:pt>
                <c:pt idx="5">
                  <c:v>103332.951</c:v>
                </c:pt>
                <c:pt idx="6">
                  <c:v>12957.249</c:v>
                </c:pt>
                <c:pt idx="7">
                  <c:v>3177.2220000000002</c:v>
                </c:pt>
                <c:pt idx="8">
                  <c:v>350.75799999999998</c:v>
                </c:pt>
                <c:pt idx="9">
                  <c:v>0</c:v>
                </c:pt>
                <c:pt idx="10">
                  <c:v>1660.7660000000001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0-4200-AA7B-8EAEDA22A4F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Valorisation des ouvrages</a:t>
            </a:r>
            <a:r>
              <a:rPr lang="fr-FR" sz="1100" b="1" baseline="0"/>
              <a:t> concédés  (k€)</a:t>
            </a:r>
            <a:endParaRPr lang="fr-FR" sz="1100" b="1"/>
          </a:p>
        </c:rich>
      </c:tx>
      <c:layout>
        <c:manualLayout>
          <c:xMode val="edge"/>
          <c:yMode val="edge"/>
          <c:x val="0.27257598110157943"/>
          <c:y val="4.38918202436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Amortissement de dépréciation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Pat_fin!$C$74:$G$74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Pat_fin!$C$86:$G$86</c:f>
              <c:numCache>
                <c:formatCode>#,##0</c:formatCode>
                <c:ptCount val="5"/>
                <c:pt idx="0">
                  <c:v>229322.56400000004</c:v>
                </c:pt>
                <c:pt idx="1">
                  <c:v>241564.25200000007</c:v>
                </c:pt>
                <c:pt idx="2">
                  <c:v>254066.25899999999</c:v>
                </c:pt>
                <c:pt idx="3">
                  <c:v>270423.05099999998</c:v>
                </c:pt>
                <c:pt idx="4">
                  <c:v>283788.73500000004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2-44A1-871D-5D17BDE43F9A}"/>
            </c:ext>
          </c:extLst>
        </c:ser>
        <c:ser>
          <c:idx val="1"/>
          <c:order val="1"/>
          <c:tx>
            <c:v>Valeur nette comptable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Pat_fin!$C$74:$G$74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Pat_fin!$C$71:$G$71</c:f>
              <c:numCache>
                <c:formatCode>#,##0</c:formatCode>
                <c:ptCount val="5"/>
                <c:pt idx="0">
                  <c:v>300256.408</c:v>
                </c:pt>
                <c:pt idx="1">
                  <c:v>304707.97200000001</c:v>
                </c:pt>
                <c:pt idx="2">
                  <c:v>314252.26</c:v>
                </c:pt>
                <c:pt idx="3">
                  <c:v>317815.24400000001</c:v>
                </c:pt>
                <c:pt idx="4">
                  <c:v>322088.364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42-44A1-871D-5D17BDE43F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426851264"/>
        <c:axId val="2045372304"/>
      </c:barChart>
      <c:lineChart>
        <c:grouping val="standard"/>
        <c:varyColors val="0"/>
        <c:ser>
          <c:idx val="2"/>
          <c:order val="2"/>
          <c:tx>
            <c:v>Valeur brute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8177971704350129E-2"/>
                  <c:y val="-4.0808758909242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93-468C-8184-9953D764D309}"/>
                </c:ext>
              </c:extLst>
            </c:dLbl>
            <c:dLbl>
              <c:idx val="3"/>
              <c:layout>
                <c:manualLayout>
                  <c:x val="-8.2475637592144213E-2"/>
                  <c:y val="-3.67278830183186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287-4F6E-AC3F-8F8140409055}"/>
                </c:ext>
              </c:extLst>
            </c:dLbl>
            <c:dLbl>
              <c:idx val="4"/>
              <c:layout>
                <c:manualLayout>
                  <c:x val="-7.3918488413942343E-2"/>
                  <c:y val="-4.0808816665167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87-4F6E-AC3F-8F8140409055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Pat_fin!$C$74:$G$74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Pat_fin!$C$56:$G$56</c:f>
              <c:numCache>
                <c:formatCode>#,##0</c:formatCode>
                <c:ptCount val="5"/>
                <c:pt idx="0">
                  <c:v>529578.973</c:v>
                </c:pt>
                <c:pt idx="1">
                  <c:v>546272.22400000005</c:v>
                </c:pt>
                <c:pt idx="2">
                  <c:v>568318.52</c:v>
                </c:pt>
                <c:pt idx="3">
                  <c:v>588238.2969999999</c:v>
                </c:pt>
                <c:pt idx="4">
                  <c:v>605877.09999999986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2-44A1-871D-5D17BDE43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51264"/>
        <c:axId val="2045372304"/>
      </c:lineChart>
      <c:catAx>
        <c:axId val="4268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5372304"/>
        <c:crosses val="autoZero"/>
        <c:auto val="1"/>
        <c:lblAlgn val="ctr"/>
        <c:lblOffset val="100"/>
        <c:noMultiLvlLbl val="0"/>
      </c:catAx>
      <c:valAx>
        <c:axId val="20453723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42685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/>
              <a:t>Part de la valeur</a:t>
            </a:r>
            <a:r>
              <a:rPr lang="fr-FR" sz="1100" baseline="0"/>
              <a:t> brute non localisée</a:t>
            </a:r>
            <a:endParaRPr lang="fr-FR" sz="1100"/>
          </a:p>
        </c:rich>
      </c:tx>
      <c:layout>
        <c:manualLayout>
          <c:xMode val="edge"/>
          <c:yMode val="edge"/>
          <c:x val="0.28901907944975047"/>
          <c:y val="4.8338558149312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1302234018993775E-2"/>
          <c:y val="0.15158880512681724"/>
          <c:w val="0.88683169951203811"/>
          <c:h val="0.665078770942657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Pat_fin!$B$14</c:f>
              <c:strCache>
                <c:ptCount val="1"/>
                <c:pt idx="0">
                  <c:v>Taux de valeur brute localisée 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Pat_fin!$C$13:$G$13</c15:sqref>
                  </c15:fullRef>
                </c:ext>
              </c:extLst>
              <c:f>Pat_fin!$C$13:$G$13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Pat_fin!$C$14:$H$14</c15:sqref>
                  </c15:fullRef>
                </c:ext>
              </c:extLst>
              <c:f>Pat_fin!$C$14:$G$14</c:f>
              <c:numCache>
                <c:formatCode>0.00%</c:formatCode>
                <c:ptCount val="5"/>
                <c:pt idx="0">
                  <c:v>0.82931411629139595</c:v>
                </c:pt>
                <c:pt idx="1">
                  <c:v>0.83054526491905256</c:v>
                </c:pt>
                <c:pt idx="2">
                  <c:v>0.83229652801038378</c:v>
                </c:pt>
                <c:pt idx="3">
                  <c:v>0.99661230829382752</c:v>
                </c:pt>
                <c:pt idx="4">
                  <c:v>0.99667998014778914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C-4679-9A27-5C7DBFC3BE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15421856"/>
        <c:axId val="1747604592"/>
      </c:barChart>
      <c:catAx>
        <c:axId val="19154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604592"/>
        <c:crosses val="autoZero"/>
        <c:auto val="1"/>
        <c:lblAlgn val="ctr"/>
        <c:lblOffset val="100"/>
        <c:noMultiLvlLbl val="0"/>
      </c:catAx>
      <c:valAx>
        <c:axId val="1747604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54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53678000826649"/>
          <c:y val="0.91789248410922997"/>
          <c:w val="0.70901827942174755"/>
          <c:h val="8.21075158907700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/>
              <a:t>Taux de</a:t>
            </a:r>
            <a:r>
              <a:rPr lang="fr-FR" sz="1100" baseline="0"/>
              <a:t> </a:t>
            </a:r>
            <a:r>
              <a:rPr lang="fr-FR" sz="1100"/>
              <a:t>dépréciation des ouvrages</a:t>
            </a:r>
            <a:r>
              <a:rPr lang="fr-FR" sz="1100" baseline="0"/>
              <a:t> - Amortissement de dépréciation</a:t>
            </a:r>
            <a:endParaRPr lang="fr-FR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Pat_fin!$C$88:$G$88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Pat_fin!$C$100:$G$100</c:f>
              <c:numCache>
                <c:formatCode>0.0%</c:formatCode>
                <c:ptCount val="5"/>
                <c:pt idx="0">
                  <c:v>0.43302807643761954</c:v>
                </c:pt>
                <c:pt idx="1">
                  <c:v>0.4422048959970552</c:v>
                </c:pt>
                <c:pt idx="2">
                  <c:v>0.44704905798248484</c:v>
                </c:pt>
                <c:pt idx="3">
                  <c:v>0.45971683989150408</c:v>
                </c:pt>
                <c:pt idx="4">
                  <c:v>0.4683932351957189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C-4BD8-8FEB-39D56578B7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373328"/>
        <c:axId val="1747603344"/>
      </c:barChart>
      <c:lineChart>
        <c:grouping val="standard"/>
        <c:varyColors val="0"/>
        <c:ser>
          <c:idx val="1"/>
          <c:order val="1"/>
          <c:tx>
            <c:strRef>
              <c:f>Pat_fin!$B$204</c:f>
              <c:strCache>
                <c:ptCount val="1"/>
                <c:pt idx="0">
                  <c:v>Taux d'amortissement et dépréciation (%)</c:v>
                </c:pt>
              </c:strCache>
            </c:strRef>
          </c:tx>
          <c:spPr>
            <a:ln w="317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Pat_fin!$F$199:$J$199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Pat_fin!$F$204:$J$204</c:f>
              <c:numCache>
                <c:formatCode>0.0%</c:formatCode>
                <c:ptCount val="5"/>
                <c:pt idx="0">
                  <c:v>0.44435177039178275</c:v>
                </c:pt>
                <c:pt idx="1">
                  <c:v>0.44808719202640324</c:v>
                </c:pt>
                <c:pt idx="2">
                  <c:v>0.45341168512725122</c:v>
                </c:pt>
                <c:pt idx="3">
                  <c:v>0.45960940288613533</c:v>
                </c:pt>
                <c:pt idx="4">
                  <c:v>0.46505907932666291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F-4446-AD1E-811748A9F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373328"/>
        <c:axId val="1747603344"/>
      </c:lineChart>
      <c:catAx>
        <c:axId val="20523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7603344"/>
        <c:crosses val="autoZero"/>
        <c:auto val="1"/>
        <c:lblAlgn val="ctr"/>
        <c:lblOffset val="100"/>
        <c:noMultiLvlLbl val="0"/>
      </c:catAx>
      <c:valAx>
        <c:axId val="1747603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23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069521634883511E-2"/>
          <c:y val="0.7669431527014533"/>
          <c:w val="0.96586077236428136"/>
          <c:h val="0.204075826824330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Taux</a:t>
            </a:r>
            <a:r>
              <a:rPr lang="fr-FR" sz="1100" b="1" baseline="0"/>
              <a:t> de dépréciation des ouvrages par catégorie d'ouvrages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Pat_fin!$F$88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44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Pat_fin!$B$89:$B$99</c:f>
              <c:strCache>
                <c:ptCount val="11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</c:strCache>
            </c:strRef>
          </c:cat>
          <c:val>
            <c:numRef>
              <c:f>Pat_fin!$F$89:$F$99</c:f>
              <c:numCache>
                <c:formatCode>0.0%</c:formatCode>
                <c:ptCount val="11"/>
                <c:pt idx="0">
                  <c:v>0.4762465068539723</c:v>
                </c:pt>
                <c:pt idx="1">
                  <c:v>0.41032240300007666</c:v>
                </c:pt>
                <c:pt idx="2">
                  <c:v>0.69792390307065599</c:v>
                </c:pt>
                <c:pt idx="3">
                  <c:v>0.51654155381823652</c:v>
                </c:pt>
                <c:pt idx="4">
                  <c:v>0.2366381738441182</c:v>
                </c:pt>
                <c:pt idx="5">
                  <c:v>0.45663020887170214</c:v>
                </c:pt>
                <c:pt idx="6">
                  <c:v>0.31514364245671739</c:v>
                </c:pt>
                <c:pt idx="7">
                  <c:v>0.60078529656546253</c:v>
                </c:pt>
                <c:pt idx="8">
                  <c:v>0.53333966986661596</c:v>
                </c:pt>
                <c:pt idx="9">
                  <c:v>0</c:v>
                </c:pt>
                <c:pt idx="10">
                  <c:v>0.38289306106330112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24-440C-AF45-8FF054ED9D7C}"/>
            </c:ext>
          </c:extLst>
        </c:ser>
        <c:ser>
          <c:idx val="0"/>
          <c:order val="1"/>
          <c:tx>
            <c:strRef>
              <c:f>Pat_fin!$G$88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7284839755131436E-2"/>
                  <c:y val="-3.17747366324683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B0-4CF9-B2A9-3225ADABB3C7}"/>
                </c:ext>
              </c:extLst>
            </c:dLbl>
            <c:dLbl>
              <c:idx val="1"/>
              <c:layout>
                <c:manualLayout>
                  <c:x val="1.7284839755131436E-2"/>
                  <c:y val="-9.532420989740513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B0-4CF9-B2A9-3225ADABB3C7}"/>
                </c:ext>
              </c:extLst>
            </c:dLbl>
            <c:dLbl>
              <c:idx val="2"/>
              <c:layout>
                <c:manualLayout>
                  <c:x val="1.72848397551314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B0-4CF9-B2A9-3225ADABB3C7}"/>
                </c:ext>
              </c:extLst>
            </c:dLbl>
            <c:dLbl>
              <c:idx val="3"/>
              <c:layout>
                <c:manualLayout>
                  <c:x val="2.3046453006841917E-2"/>
                  <c:y val="6.35494732649364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B0-4CF9-B2A9-3225ADABB3C7}"/>
                </c:ext>
              </c:extLst>
            </c:dLbl>
            <c:dLbl>
              <c:idx val="6"/>
              <c:layout>
                <c:manualLayout>
                  <c:x val="8.6424198775657182E-3"/>
                  <c:y val="-9.532420989740570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B0-4CF9-B2A9-3225ADABB3C7}"/>
                </c:ext>
              </c:extLst>
            </c:dLbl>
            <c:dLbl>
              <c:idx val="9"/>
              <c:layout>
                <c:manualLayout>
                  <c:x val="-1.067376682273911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03-41DB-95E7-3F9B48600B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108000" bIns="19050" anchor="ctr" anchorCtr="1">
                <a:spAutoFit/>
              </a:bodyPr>
              <a:lstStyle/>
              <a:p>
                <a:pPr>
                  <a:defRPr sz="8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Pat_fin!$B$89:$B$99</c:f>
              <c:strCache>
                <c:ptCount val="11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</c:strCache>
            </c:strRef>
          </c:cat>
          <c:val>
            <c:numRef>
              <c:f>Pat_fin!$G$89:$G$99</c:f>
              <c:numCache>
                <c:formatCode>0.0%</c:formatCode>
                <c:ptCount val="11"/>
                <c:pt idx="0">
                  <c:v>0.48994259358422038</c:v>
                </c:pt>
                <c:pt idx="1">
                  <c:v>0.41732863322991048</c:v>
                </c:pt>
                <c:pt idx="2">
                  <c:v>0.70025545726646266</c:v>
                </c:pt>
                <c:pt idx="3">
                  <c:v>0.51421440592815049</c:v>
                </c:pt>
                <c:pt idx="4">
                  <c:v>0.27347204260506786</c:v>
                </c:pt>
                <c:pt idx="5">
                  <c:v>0.4609793733656169</c:v>
                </c:pt>
                <c:pt idx="6">
                  <c:v>0.32561541419787488</c:v>
                </c:pt>
                <c:pt idx="7">
                  <c:v>0.57468096343283526</c:v>
                </c:pt>
                <c:pt idx="8">
                  <c:v>0.68182051442875147</c:v>
                </c:pt>
                <c:pt idx="9">
                  <c:v>0</c:v>
                </c:pt>
                <c:pt idx="10">
                  <c:v>0.4492794288900423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A-4FB7-9BEA-8B79A7E436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7"/>
        <c:axId val="419441520"/>
        <c:axId val="2050804032"/>
      </c:barChart>
      <c:catAx>
        <c:axId val="4194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0804032"/>
        <c:crosses val="autoZero"/>
        <c:auto val="1"/>
        <c:lblAlgn val="ctr"/>
        <c:lblOffset val="100"/>
        <c:noMultiLvlLbl val="0"/>
      </c:catAx>
      <c:valAx>
        <c:axId val="20508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94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Evolution du stock de provisions pour renouvellement (k€)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785288264173702"/>
          <c:y val="0.19447662363677776"/>
          <c:w val="0.83260713703382683"/>
          <c:h val="0.607747460764689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Pat_fin!#REF!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Pat_fin!$C$117:$G$117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2-47A6-9BD1-6E9285693796}"/>
            </c:ext>
          </c:extLst>
        </c:ser>
        <c:ser>
          <c:idx val="1"/>
          <c:order val="1"/>
          <c:tx>
            <c:strRef>
              <c:f>Pat_fin!#REF!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Pat_fin!$C$117:$G$117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2E-4422-8C27-6EF2546716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739225056"/>
        <c:axId val="1908853888"/>
      </c:barChart>
      <c:lineChart>
        <c:grouping val="standard"/>
        <c:varyColors val="0"/>
        <c:ser>
          <c:idx val="2"/>
          <c:order val="2"/>
          <c:tx>
            <c:strRef>
              <c:f>Pat_fin!$B$129</c:f>
              <c:strCache>
                <c:ptCount val="1"/>
                <c:pt idx="0">
                  <c:v>Total concession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A74-408C-843B-6ED8D7A39E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Pat_fin!$C$117:$G$117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Pat_fin!$C$129:$G$129</c:f>
              <c:numCache>
                <c:formatCode>#,##0</c:formatCode>
                <c:ptCount val="5"/>
                <c:pt idx="0">
                  <c:v>41628.379000000001</c:v>
                </c:pt>
                <c:pt idx="1">
                  <c:v>41039.043999999994</c:v>
                </c:pt>
                <c:pt idx="2">
                  <c:v>40173.879000000001</c:v>
                </c:pt>
                <c:pt idx="3">
                  <c:v>41954.833000000006</c:v>
                </c:pt>
                <c:pt idx="4">
                  <c:v>41122.093999999997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2E-4422-8C27-6EF254671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225056"/>
        <c:axId val="1908853888"/>
      </c:lineChart>
      <c:catAx>
        <c:axId val="173922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8853888"/>
        <c:crosses val="autoZero"/>
        <c:auto val="1"/>
        <c:lblAlgn val="ctr"/>
        <c:lblOffset val="100"/>
        <c:noMultiLvlLbl val="0"/>
      </c:catAx>
      <c:valAx>
        <c:axId val="1908853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392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Répartition du stock de provisions</a:t>
            </a:r>
            <a:r>
              <a:rPr lang="fr-FR" sz="1200" b="1" baseline="0"/>
              <a:t> pour renouvellement par typologie d'ouvrage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2759517417694659E-2"/>
          <c:y val="0.21734230504768778"/>
          <c:w val="0.96724048258230533"/>
          <c:h val="0.47121174214267281"/>
        </c:manualLayout>
      </c:layout>
      <c:pie3DChart>
        <c:varyColors val="1"/>
        <c:ser>
          <c:idx val="0"/>
          <c:order val="0"/>
          <c:explosion val="17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23F-47A6-A02E-A6DB211062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23F-47A6-A02E-A6DB211062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23F-47A6-A02E-A6DB211062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23F-47A6-A02E-A6DB2110624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23F-47A6-A02E-A6DB2110624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823F-47A6-A02E-A6DB2110624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823F-47A6-A02E-A6DB2110624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823F-47A6-A02E-A6DB2110624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823F-47A6-A02E-A6DB2110624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823F-47A6-A02E-A6DB2110624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8786-4EC4-8337-1BE1E6F6340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23F-47A6-A02E-A6DB2110624D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3-823F-47A6-A02E-A6DB211062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Pat_fin!$B$118:$B$128</c:f>
              <c:strCache>
                <c:ptCount val="11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</c:strCache>
            </c:strRef>
          </c:cat>
          <c:val>
            <c:numRef>
              <c:f>Pat_fin!$G$118:$G$128</c:f>
              <c:numCache>
                <c:formatCode>#,##0</c:formatCode>
                <c:ptCount val="11"/>
                <c:pt idx="0">
                  <c:v>22703.365000000002</c:v>
                </c:pt>
                <c:pt idx="1">
                  <c:v>6247.2030000000004</c:v>
                </c:pt>
                <c:pt idx="2">
                  <c:v>4319.0529999999999</c:v>
                </c:pt>
                <c:pt idx="3">
                  <c:v>327.31599999999997</c:v>
                </c:pt>
                <c:pt idx="4">
                  <c:v>0</c:v>
                </c:pt>
                <c:pt idx="5">
                  <c:v>7401.8789999999999</c:v>
                </c:pt>
                <c:pt idx="6">
                  <c:v>0</c:v>
                </c:pt>
                <c:pt idx="7">
                  <c:v>121.928</c:v>
                </c:pt>
                <c:pt idx="8">
                  <c:v>0</c:v>
                </c:pt>
                <c:pt idx="9">
                  <c:v>0</c:v>
                </c:pt>
                <c:pt idx="10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0E7-9B19-D495D1DB5CE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103565359209305E-2"/>
          <c:y val="0.71525999161238052"/>
          <c:w val="0.97189643464079067"/>
          <c:h val="0.25881183697064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des Droits du concédant estimés par Enedis (k€)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Pat_fin!$B$35</c:f>
              <c:strCache>
                <c:ptCount val="1"/>
                <c:pt idx="0">
                  <c:v>Droits du concédant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Pat_fin!$C$31:$G$31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Pat_fin!$C$35:$G$35</c:f>
              <c:numCache>
                <c:formatCode>#,##0</c:formatCode>
                <c:ptCount val="5"/>
                <c:pt idx="0">
                  <c:v>252098.64600000001</c:v>
                </c:pt>
                <c:pt idx="1">
                  <c:v>256945.72200000001</c:v>
                </c:pt>
                <c:pt idx="2">
                  <c:v>259598.198</c:v>
                </c:pt>
                <c:pt idx="3">
                  <c:v>259128.416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115-BAC9-AFBE7EDAF1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7901151"/>
        <c:axId val="421164768"/>
      </c:barChart>
      <c:catAx>
        <c:axId val="16790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1164768"/>
        <c:crosses val="autoZero"/>
        <c:auto val="1"/>
        <c:lblAlgn val="ctr"/>
        <c:lblOffset val="100"/>
        <c:noMultiLvlLbl val="0"/>
      </c:catAx>
      <c:valAx>
        <c:axId val="421164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90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Décomposition</a:t>
            </a:r>
            <a:r>
              <a:rPr lang="fr-FR" sz="1100" b="1" baseline="0"/>
              <a:t> du calcul théorique des droits du concédant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8D7-41DE-889E-BF0B9A72D1F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8D7-41DE-889E-BF0B9A72D1FF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8D7-41DE-889E-BF0B9A72D1FF}"/>
              </c:ext>
            </c:extLst>
          </c:dPt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Pat_fin!$B$32:$B$35</c:f>
              <c:strCache>
                <c:ptCount val="4"/>
                <c:pt idx="0">
                  <c:v>Contre-valeur des biens concédés</c:v>
                </c:pt>
                <c:pt idx="1">
                  <c:v>VNC des financements Enedis sur ouvrages existants</c:v>
                </c:pt>
                <c:pt idx="2">
                  <c:v>Amortissement des financements du concédant</c:v>
                </c:pt>
                <c:pt idx="3">
                  <c:v>Droits du concédant</c:v>
                </c:pt>
              </c:strCache>
            </c:strRef>
          </c:cat>
          <c:val>
            <c:numRef>
              <c:f>(Pat_fin!$G$32,Pat_fin!$I$33,Pat_fin!$G$34:$G$35)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7-41DE-889E-BF0B9A72D1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-64"/>
        <c:axId val="229849679"/>
        <c:axId val="1347377872"/>
      </c:barChart>
      <c:catAx>
        <c:axId val="22984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7377872"/>
        <c:crosses val="autoZero"/>
        <c:auto val="1"/>
        <c:lblAlgn val="ctr"/>
        <c:lblOffset val="100"/>
        <c:noMultiLvlLbl val="0"/>
      </c:catAx>
      <c:valAx>
        <c:axId val="13473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8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Valorisation des ouvrages localisés</a:t>
            </a:r>
            <a:r>
              <a:rPr lang="fr-FR" sz="1100" b="1" baseline="0"/>
              <a:t> mis en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Financement concessionnaire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Pat_fin!$C$19:$G$19</c:f>
              <c:numCache>
                <c:formatCode>#,##0</c:formatCode>
                <c:ptCount val="5"/>
                <c:pt idx="0">
                  <c:v>9804.1689999999999</c:v>
                </c:pt>
                <c:pt idx="1">
                  <c:v>8858.9310000000005</c:v>
                </c:pt>
                <c:pt idx="2">
                  <c:v>15370.382</c:v>
                </c:pt>
                <c:pt idx="3">
                  <c:v>51887.184999999998</c:v>
                </c:pt>
                <c:pt idx="4">
                  <c:v>14488.226000000001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5-4CF7-A96E-FAA5BDAB08F0}"/>
            </c:ext>
          </c:extLst>
        </c:ser>
        <c:ser>
          <c:idx val="1"/>
          <c:order val="1"/>
          <c:tx>
            <c:v>Financement concédant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numFmt formatCode="#\ ##0&quot; k€&quot;;\-#\ ##0&quot; k€&quot;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594084281124288"/>
                      <c:h val="7.426489952791404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1B56-4EE5-91C8-CB9CA2688C50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Pat_fin!$C$20:$G$20</c:f>
              <c:numCache>
                <c:formatCode>#,##0</c:formatCode>
                <c:ptCount val="5"/>
                <c:pt idx="0">
                  <c:v>8863.5490000000009</c:v>
                </c:pt>
                <c:pt idx="1">
                  <c:v>9699.4889999999996</c:v>
                </c:pt>
                <c:pt idx="2">
                  <c:v>9070.6919999999991</c:v>
                </c:pt>
                <c:pt idx="3">
                  <c:v>65627.535999999993</c:v>
                </c:pt>
                <c:pt idx="4">
                  <c:v>9997.7019999999993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E5-4CF7-A96E-FAA5BDAB08F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0"/>
        <c:overlap val="100"/>
        <c:axId val="181600527"/>
        <c:axId val="2056305136"/>
      </c:barChart>
      <c:catAx>
        <c:axId val="1816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6305136"/>
        <c:crosses val="autoZero"/>
        <c:auto val="1"/>
        <c:lblAlgn val="ctr"/>
        <c:lblOffset val="100"/>
        <c:noMultiLvlLbl val="0"/>
      </c:catAx>
      <c:valAx>
        <c:axId val="20563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6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Valorisation des ouvrages non-localisés</a:t>
            </a:r>
            <a:r>
              <a:rPr lang="fr-FR" sz="1100" b="1" baseline="0"/>
              <a:t> mis en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Financement concessionnaire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Pat_fin!$C$22:$G$22</c:f>
              <c:numCache>
                <c:formatCode>#,##0</c:formatCode>
                <c:ptCount val="5"/>
                <c:pt idx="0">
                  <c:v>2455.1329999999998</c:v>
                </c:pt>
                <c:pt idx="1">
                  <c:v>2485.2109999999998</c:v>
                </c:pt>
                <c:pt idx="2">
                  <c:v>1788.6759999999999</c:v>
                </c:pt>
                <c:pt idx="3">
                  <c:v>388.49799999999999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A-4875-B29E-B2EDB31C8775}"/>
            </c:ext>
          </c:extLst>
        </c:ser>
        <c:ser>
          <c:idx val="1"/>
          <c:order val="1"/>
          <c:tx>
            <c:v>Financement concédant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Pat_fin!$C$23:$G$23</c:f>
              <c:numCache>
                <c:formatCode>#,##0</c:formatCode>
                <c:ptCount val="5"/>
                <c:pt idx="0">
                  <c:v>973.20399999999995</c:v>
                </c:pt>
                <c:pt idx="1">
                  <c:v>567.21400000000006</c:v>
                </c:pt>
                <c:pt idx="2">
                  <c:v>1594.423</c:v>
                </c:pt>
                <c:pt idx="3">
                  <c:v>1.6579999999999999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A-4875-B29E-B2EDB31C87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0"/>
        <c:overlap val="100"/>
        <c:axId val="181600527"/>
        <c:axId val="2056305136"/>
      </c:barChart>
      <c:catAx>
        <c:axId val="1816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6305136"/>
        <c:crosses val="autoZero"/>
        <c:auto val="1"/>
        <c:lblAlgn val="ctr"/>
        <c:lblOffset val="100"/>
        <c:noMultiLvlLbl val="0"/>
      </c:catAx>
      <c:valAx>
        <c:axId val="20563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6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Valorisation des ouvrages retirés de la</a:t>
            </a:r>
            <a:r>
              <a:rPr lang="fr-FR" sz="1100" b="1" baseline="0"/>
              <a:t>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Pat_fin!$B$27</c:f>
              <c:strCache>
                <c:ptCount val="1"/>
                <c:pt idx="0">
                  <c:v>Ouvrages localisés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Pat_fin!$C$27:$G$27</c:f>
              <c:numCache>
                <c:formatCode>#,##0</c:formatCode>
                <c:ptCount val="5"/>
                <c:pt idx="0">
                  <c:v>-3701.5010000000002</c:v>
                </c:pt>
                <c:pt idx="1">
                  <c:v>-1264.981</c:v>
                </c:pt>
                <c:pt idx="2">
                  <c:v>-1558.8320000000001</c:v>
                </c:pt>
                <c:pt idx="3">
                  <c:v>-1343.569</c:v>
                </c:pt>
                <c:pt idx="4">
                  <c:v>-2204.0030000000002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9-4809-A3A9-895D0DE0D791}"/>
            </c:ext>
          </c:extLst>
        </c:ser>
        <c:ser>
          <c:idx val="1"/>
          <c:order val="1"/>
          <c:tx>
            <c:strRef>
              <c:f>Pat_fin!$B$28</c:f>
              <c:strCache>
                <c:ptCount val="1"/>
                <c:pt idx="0">
                  <c:v>Ouvrages non localisés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Pat_fin!$C$17:$G$17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Pat_fin!$C$28:$G$28</c:f>
              <c:numCache>
                <c:formatCode>#,##0</c:formatCode>
                <c:ptCount val="5"/>
                <c:pt idx="0">
                  <c:v>-1801.64</c:v>
                </c:pt>
                <c:pt idx="1">
                  <c:v>-837.55</c:v>
                </c:pt>
                <c:pt idx="2">
                  <c:v>-755.58699999999999</c:v>
                </c:pt>
                <c:pt idx="3">
                  <c:v>-93676.654999999999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9-4809-A3A9-895D0DE0D7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1600527"/>
        <c:axId val="2056305136"/>
      </c:barChart>
      <c:catAx>
        <c:axId val="1816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6305136"/>
        <c:crosses val="autoZero"/>
        <c:auto val="1"/>
        <c:lblAlgn val="ctr"/>
        <c:lblOffset val="100"/>
        <c:noMultiLvlLbl val="0"/>
      </c:catAx>
      <c:valAx>
        <c:axId val="20563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6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Pat_fin!$B$41</c:f>
              <c:strCache>
                <c:ptCount val="1"/>
                <c:pt idx="0">
                  <c:v>Indemnité théorique de fin de contrat (k€)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Pat_fin!$C$37:$G$37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Pat_fin!$C$41:$G$41</c:f>
              <c:numCache>
                <c:formatCode>#,##0</c:formatCode>
                <c:ptCount val="5"/>
                <c:pt idx="0">
                  <c:v>6529.3836438231083</c:v>
                </c:pt>
                <c:pt idx="1">
                  <c:v>6723.2050548813422</c:v>
                </c:pt>
                <c:pt idx="2">
                  <c:v>14480.184786470811</c:v>
                </c:pt>
                <c:pt idx="3">
                  <c:v>16731.994642866586</c:v>
                </c:pt>
                <c:pt idx="4">
                  <c:v>19152.837277094994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8-47F8-93A6-2B29241AB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4099551"/>
        <c:axId val="1175545951"/>
      </c:barChart>
      <c:catAx>
        <c:axId val="20940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75545951"/>
        <c:crosses val="autoZero"/>
        <c:auto val="1"/>
        <c:lblAlgn val="ctr"/>
        <c:lblOffset val="100"/>
        <c:noMultiLvlLbl val="0"/>
      </c:catAx>
      <c:valAx>
        <c:axId val="117554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9409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200" b="1" i="0" baseline="0">
                <a:effectLst/>
              </a:rPr>
              <a:t>Comparaison des taux d'amortissement industriel et taux de dépréciation par du financement concédant par catégorie d'ouvrage</a:t>
            </a:r>
            <a:endParaRPr lang="fr-FR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1985999701288703E-2"/>
          <c:y val="0.17277138888392085"/>
          <c:w val="0.90316487233352882"/>
          <c:h val="0.293193207147814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Pat_fin!$B$145</c:f>
              <c:strCache>
                <c:ptCount val="1"/>
                <c:pt idx="0">
                  <c:v>Taux d'amortissement du financement concédant (k€)
- Extrait de la comptabilité d'Enedis transmise à l'AODE -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144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Pat_fin!$B$160:$B$171</c:f>
              <c:strCache>
                <c:ptCount val="12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  <c:pt idx="11">
                  <c:v>Total concession</c:v>
                </c:pt>
              </c:strCache>
            </c:strRef>
          </c:cat>
          <c:val>
            <c:numRef>
              <c:f>Pat_fin!$G$146:$G$157</c:f>
              <c:numCache>
                <c:formatCode>0%</c:formatCode>
                <c:ptCount val="12"/>
                <c:pt idx="0">
                  <c:v>0.47</c:v>
                </c:pt>
                <c:pt idx="1">
                  <c:v>0.09</c:v>
                </c:pt>
                <c:pt idx="2">
                  <c:v>0.27</c:v>
                </c:pt>
                <c:pt idx="3">
                  <c:v>0.53</c:v>
                </c:pt>
                <c:pt idx="4">
                  <c:v>0.37</c:v>
                </c:pt>
                <c:pt idx="5">
                  <c:v>0.5</c:v>
                </c:pt>
                <c:pt idx="6">
                  <c:v>0.36</c:v>
                </c:pt>
                <c:pt idx="7">
                  <c:v>0.45</c:v>
                </c:pt>
                <c:pt idx="8">
                  <c:v>0.68</c:v>
                </c:pt>
                <c:pt idx="9">
                  <c:v>0</c:v>
                </c:pt>
                <c:pt idx="10">
                  <c:v>0.31</c:v>
                </c:pt>
                <c:pt idx="11">
                  <c:v>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A-440A-B53F-7D52F25F499C}"/>
            </c:ext>
          </c:extLst>
        </c:ser>
        <c:ser>
          <c:idx val="1"/>
          <c:order val="1"/>
          <c:tx>
            <c:strRef>
              <c:f>Pat_fin!$B$159</c:f>
              <c:strCache>
                <c:ptCount val="1"/>
                <c:pt idx="0">
                  <c:v>Taux de dépréciation du financement concédant (k€)
- Extrait de la comptabilité d'Enedis transmise à l'AODE -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44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Pat_fin!$B$160:$B$171</c:f>
              <c:strCache>
                <c:ptCount val="12"/>
                <c:pt idx="0">
                  <c:v>Canalisations HTA</c:v>
                </c:pt>
                <c:pt idx="1">
                  <c:v>Canalisations BT</c:v>
                </c:pt>
                <c:pt idx="2">
                  <c:v>Postes HTA/BT</c:v>
                </c:pt>
                <c:pt idx="3">
                  <c:v>Transformateurs HTA/BT</c:v>
                </c:pt>
                <c:pt idx="4">
                  <c:v>Comptages localisés</c:v>
                </c:pt>
                <c:pt idx="5">
                  <c:v>Branchements individuels</c:v>
                </c:pt>
                <c:pt idx="6">
                  <c:v>Ouvrages collectifs de branchement</c:v>
                </c:pt>
                <c:pt idx="7">
                  <c:v>Autres biens localisés</c:v>
                </c:pt>
                <c:pt idx="8">
                  <c:v>Comptages non localisés</c:v>
                </c:pt>
                <c:pt idx="9">
                  <c:v>Ouvrages de branchement non localisés</c:v>
                </c:pt>
                <c:pt idx="10">
                  <c:v>Autres biens non localisés</c:v>
                </c:pt>
                <c:pt idx="11">
                  <c:v>Total concession</c:v>
                </c:pt>
              </c:strCache>
            </c:strRef>
          </c:cat>
          <c:val>
            <c:numRef>
              <c:f>Pat_fin!$G$160:$G$171</c:f>
              <c:numCache>
                <c:formatCode>0%</c:formatCode>
                <c:ptCount val="12"/>
                <c:pt idx="0">
                  <c:v>0.49</c:v>
                </c:pt>
                <c:pt idx="1">
                  <c:v>0.42</c:v>
                </c:pt>
                <c:pt idx="2">
                  <c:v>0.7</c:v>
                </c:pt>
                <c:pt idx="3">
                  <c:v>0.51</c:v>
                </c:pt>
                <c:pt idx="4">
                  <c:v>0.27</c:v>
                </c:pt>
                <c:pt idx="5">
                  <c:v>0.46</c:v>
                </c:pt>
                <c:pt idx="6">
                  <c:v>0.33</c:v>
                </c:pt>
                <c:pt idx="7">
                  <c:v>0.56999999999999995</c:v>
                </c:pt>
                <c:pt idx="8">
                  <c:v>0.68</c:v>
                </c:pt>
                <c:pt idx="9">
                  <c:v>0</c:v>
                </c:pt>
                <c:pt idx="10">
                  <c:v>0.45</c:v>
                </c:pt>
                <c:pt idx="11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A-440A-B53F-7D52F25F4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5245999"/>
        <c:axId val="1767545391"/>
      </c:barChart>
      <c:catAx>
        <c:axId val="18852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7545391"/>
        <c:crosses val="autoZero"/>
        <c:auto val="1"/>
        <c:lblAlgn val="ctr"/>
        <c:lblOffset val="100"/>
        <c:noMultiLvlLbl val="0"/>
      </c:catAx>
      <c:valAx>
        <c:axId val="176754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52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produits d'exploitation de la concession</a:t>
            </a:r>
            <a:r>
              <a:rPr lang="fr-FR" sz="1200" b="1" baseline="0"/>
              <a:t> (k€)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7749699820305579E-2"/>
          <c:y val="0.10021694256282818"/>
          <c:w val="0.91234440926336524"/>
          <c:h val="0.6707194039476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CEX!$B$5</c:f>
              <c:strCache>
                <c:ptCount val="1"/>
                <c:pt idx="0">
                  <c:v>Recettes d'acheminement</c:v>
                </c:pt>
              </c:strCache>
            </c:strRef>
          </c:tx>
          <c:spPr>
            <a:solidFill>
              <a:schemeClr val="accent5">
                <a:shade val="44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8.397745352648952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D7-474D-B5D1-BB4F9D86BEFC}"/>
                </c:ext>
              </c:extLst>
            </c:dLbl>
            <c:dLbl>
              <c:idx val="3"/>
              <c:layout>
                <c:manualLayout>
                  <c:x val="6.3397701864507064E-2"/>
                  <c:y val="8.676791563881226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AC4-4A47-9465-8546F5E80FF6}"/>
                </c:ext>
              </c:extLst>
            </c:dLbl>
            <c:dLbl>
              <c:idx val="4"/>
              <c:layout>
                <c:manualLayout>
                  <c:x val="5.9435345497975377E-2"/>
                  <c:y val="-2.892263854627075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CEX!$C$5:$G$5</c:f>
              <c:numCache>
                <c:formatCode>#,##0</c:formatCode>
                <c:ptCount val="5"/>
                <c:pt idx="0">
                  <c:v>70310</c:v>
                </c:pt>
                <c:pt idx="1">
                  <c:v>71934</c:v>
                </c:pt>
                <c:pt idx="2">
                  <c:v>77635</c:v>
                </c:pt>
                <c:pt idx="3">
                  <c:v>76383</c:v>
                </c:pt>
                <c:pt idx="4">
                  <c:v>79411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C-435A-A283-2428014002A4}"/>
            </c:ext>
          </c:extLst>
        </c:ser>
        <c:ser>
          <c:idx val="1"/>
          <c:order val="1"/>
          <c:tx>
            <c:strRef>
              <c:f>CEX!$B$10</c:f>
              <c:strCache>
                <c:ptCount val="1"/>
                <c:pt idx="0">
                  <c:v>Recettes de raccordements et prestations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6262991295529554E-2"/>
                  <c:y val="5.72375493504854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D7-474D-B5D1-BB4F9D86BEFC}"/>
                </c:ext>
              </c:extLst>
            </c:dLbl>
            <c:dLbl>
              <c:idx val="3"/>
              <c:layout>
                <c:manualLayout>
                  <c:x val="3.962356366531692E-2"/>
                  <c:y val="3.181490240089783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C4-4A47-9465-8546F5E80FF6}"/>
                </c:ext>
              </c:extLst>
            </c:dLbl>
            <c:dLbl>
              <c:idx val="4"/>
              <c:layout>
                <c:manualLayout>
                  <c:x val="5.9435345497975377E-2"/>
                  <c:y val="2.31381108370166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CEX!$C$10:$G$10</c:f>
              <c:numCache>
                <c:formatCode>#,##0</c:formatCode>
                <c:ptCount val="5"/>
                <c:pt idx="0">
                  <c:v>3620</c:v>
                </c:pt>
                <c:pt idx="1">
                  <c:v>10307</c:v>
                </c:pt>
                <c:pt idx="2">
                  <c:v>15130</c:v>
                </c:pt>
                <c:pt idx="3">
                  <c:v>4310</c:v>
                </c:pt>
                <c:pt idx="4">
                  <c:v>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C-435A-A283-2428014002A4}"/>
            </c:ext>
          </c:extLst>
        </c:ser>
        <c:ser>
          <c:idx val="2"/>
          <c:order val="2"/>
          <c:tx>
            <c:strRef>
              <c:f>CEX!$B$13</c:f>
              <c:strCache>
                <c:ptCount val="1"/>
                <c:pt idx="0">
                  <c:v>Autres recettes</c:v>
                </c:pt>
              </c:strCache>
            </c:strRef>
          </c:tx>
          <c:spPr>
            <a:solidFill>
              <a:schemeClr val="accent5">
                <a:shade val="7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8.7794610504966258E-2"/>
                  <c:y val="1.80750155843638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D7-474D-B5D1-BB4F9D86BEFC}"/>
                </c:ext>
              </c:extLst>
            </c:dLbl>
            <c:dLbl>
              <c:idx val="3"/>
              <c:layout>
                <c:manualLayout>
                  <c:x val="9.3115374613494756E-2"/>
                  <c:y val="8.676791563881226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C4-4A47-9465-8546F5E80FF6}"/>
                </c:ext>
              </c:extLst>
            </c:dLbl>
            <c:dLbl>
              <c:idx val="4"/>
              <c:layout>
                <c:manualLayout>
                  <c:x val="8.7171840063697215E-2"/>
                  <c:y val="-5.302422479446015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CEX!$C$13:$G$13</c:f>
              <c:numCache>
                <c:formatCode>#,##0</c:formatCode>
                <c:ptCount val="5"/>
                <c:pt idx="0">
                  <c:v>1088</c:v>
                </c:pt>
                <c:pt idx="1">
                  <c:v>1074</c:v>
                </c:pt>
                <c:pt idx="2">
                  <c:v>1208</c:v>
                </c:pt>
                <c:pt idx="3">
                  <c:v>1322</c:v>
                </c:pt>
                <c:pt idx="4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C-435A-A283-2428014002A4}"/>
            </c:ext>
          </c:extLst>
        </c:ser>
        <c:ser>
          <c:idx val="3"/>
          <c:order val="3"/>
          <c:tx>
            <c:strRef>
              <c:f>CEX!$B$15</c:f>
              <c:strCache>
                <c:ptCount val="1"/>
                <c:pt idx="0">
                  <c:v>Autres produits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5428924461919876E-2"/>
                  <c:y val="9.037507792181915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D7-474D-B5D1-BB4F9D86BEFC}"/>
                </c:ext>
              </c:extLst>
            </c:dLbl>
            <c:dLbl>
              <c:idx val="3"/>
              <c:layout>
                <c:manualLayout>
                  <c:x val="7.726594914736791E-2"/>
                  <c:y val="-1.156905541850830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C4-4A47-9465-8546F5E80FF6}"/>
                </c:ext>
              </c:extLst>
            </c:dLbl>
            <c:dLbl>
              <c:idx val="4"/>
              <c:layout>
                <c:manualLayout>
                  <c:x val="6.3397701864507064E-2"/>
                  <c:y val="-2.892263854627075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CEX!$C$15:$G$15</c:f>
              <c:numCache>
                <c:formatCode>#,##0</c:formatCode>
                <c:ptCount val="5"/>
                <c:pt idx="0">
                  <c:v>14245</c:v>
                </c:pt>
                <c:pt idx="1">
                  <c:v>14129</c:v>
                </c:pt>
                <c:pt idx="2">
                  <c:v>17554</c:v>
                </c:pt>
                <c:pt idx="3">
                  <c:v>23208</c:v>
                </c:pt>
                <c:pt idx="4">
                  <c:v>14399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4C-435A-A283-2428014002A4}"/>
            </c:ext>
          </c:extLst>
        </c:ser>
        <c:ser>
          <c:idx val="4"/>
          <c:order val="4"/>
          <c:tx>
            <c:strRef>
              <c:f>CEX!$B$16</c:f>
              <c:strCache>
                <c:ptCount val="1"/>
                <c:pt idx="0">
                  <c:v>Production stockée et immobilisée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0878897388658866"/>
                  <c:y val="9.037507792181888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D7-474D-B5D1-BB4F9D86BEFC}"/>
                </c:ext>
              </c:extLst>
            </c:dLbl>
            <c:dLbl>
              <c:idx val="3"/>
              <c:layout>
                <c:manualLayout>
                  <c:x val="5.349181094817776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C4-4A47-9465-8546F5E80FF6}"/>
                </c:ext>
              </c:extLst>
            </c:dLbl>
            <c:dLbl>
              <c:idx val="4"/>
              <c:layout>
                <c:manualLayout>
                  <c:x val="6.3397701864506925E-2"/>
                  <c:y val="1.446131927313537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CEX!$C$16:$G$16</c:f>
              <c:numCache>
                <c:formatCode>#,##0</c:formatCode>
                <c:ptCount val="5"/>
                <c:pt idx="0">
                  <c:v>4058</c:v>
                </c:pt>
                <c:pt idx="1">
                  <c:v>9020</c:v>
                </c:pt>
                <c:pt idx="2">
                  <c:v>8635</c:v>
                </c:pt>
                <c:pt idx="3">
                  <c:v>8084</c:v>
                </c:pt>
                <c:pt idx="4">
                  <c:v>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4C-435A-A283-2428014002A4}"/>
            </c:ext>
          </c:extLst>
        </c:ser>
        <c:ser>
          <c:idx val="5"/>
          <c:order val="5"/>
          <c:tx>
            <c:strRef>
              <c:f>CEX!$B$17</c:f>
              <c:strCache>
                <c:ptCount val="1"/>
                <c:pt idx="0">
                  <c:v>Reprises sur amortissements et provisions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733750295115827E-2"/>
                  <c:y val="1.50625129869698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D7-474D-B5D1-BB4F9D86BEFC}"/>
                </c:ext>
              </c:extLst>
            </c:dLbl>
            <c:dLbl>
              <c:idx val="3"/>
              <c:layout>
                <c:manualLayout>
                  <c:x val="6.9341236414304536E-2"/>
                  <c:y val="-2.8922638546270757E-3"/>
                </c:manualLayout>
              </c:layout>
              <c:numFmt formatCode="#\ ##0&quot; k€&quot;;\-#\ ##0&quot; k€&quot;;" sourceLinked="0"/>
              <c:spPr>
                <a:solidFill>
                  <a:schemeClr val="bg1"/>
                </a:solidFill>
                <a:ln>
                  <a:solidFill>
                    <a:schemeClr val="bg1">
                      <a:lumMod val="6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C4-4A47-9465-8546F5E80FF6}"/>
                </c:ext>
              </c:extLst>
            </c:dLbl>
            <c:dLbl>
              <c:idx val="4"/>
              <c:layout>
                <c:manualLayout>
                  <c:x val="4.1604741848582837E-2"/>
                  <c:y val="8.6767915638812001E-3"/>
                </c:manualLayout>
              </c:layout>
              <c:numFmt formatCode="#\ ##0&quot; k€&quot;;\-#\ ##0&quot; k€&quot;;" sourceLinked="0"/>
              <c:spPr>
                <a:solidFill>
                  <a:schemeClr val="bg1"/>
                </a:solidFill>
                <a:ln>
                  <a:solidFill>
                    <a:schemeClr val="bg1">
                      <a:lumMod val="6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C4-4A47-9465-8546F5E80FF6}"/>
                </c:ext>
              </c:extLst>
            </c:dLbl>
            <c:numFmt formatCode="#\ ##0&quot; k€&quot;;\-#\ ##0&quot; k€&quot;;" sourceLinked="0"/>
            <c:spPr>
              <a:noFill/>
              <a:ln>
                <a:solidFill>
                  <a:schemeClr val="bg1">
                    <a:lumMod val="6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CEX!$C$17:$G$17</c:f>
              <c:numCache>
                <c:formatCode>#,##0</c:formatCode>
                <c:ptCount val="5"/>
                <c:pt idx="0">
                  <c:v>6247</c:v>
                </c:pt>
                <c:pt idx="1">
                  <c:v>4644</c:v>
                </c:pt>
                <c:pt idx="2">
                  <c:v>8058</c:v>
                </c:pt>
                <c:pt idx="3">
                  <c:v>8543</c:v>
                </c:pt>
                <c:pt idx="4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4C-435A-A283-2428014002A4}"/>
            </c:ext>
          </c:extLst>
        </c:ser>
        <c:ser>
          <c:idx val="8"/>
          <c:order val="6"/>
          <c:tx>
            <c:strRef>
              <c:f>CEX!$B$24</c:f>
              <c:strCache>
                <c:ptCount val="1"/>
                <c:pt idx="0">
                  <c:v>Autres produits divers</c:v>
                </c:pt>
              </c:strCache>
            </c:strRef>
          </c:tx>
          <c:spPr>
            <a:solidFill>
              <a:schemeClr val="accent5">
                <a:tint val="44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2983090144867124E-2"/>
                  <c:y val="-1.80750155843638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D7-474D-B5D1-BB4F9D86BEFC}"/>
                </c:ext>
              </c:extLst>
            </c:dLbl>
            <c:dLbl>
              <c:idx val="3"/>
              <c:layout>
                <c:manualLayout>
                  <c:x val="1.1887069099595075E-2"/>
                  <c:y val="-4.916848552866030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C4-4A47-9465-8546F5E80FF6}"/>
                </c:ext>
              </c:extLst>
            </c:dLbl>
            <c:dLbl>
              <c:idx val="4"/>
              <c:layout>
                <c:manualLayout>
                  <c:x val="3.1698850932253386E-2"/>
                  <c:y val="-2.024584698238952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AC4-4A47-9465-8546F5E80FF6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CEX!$C$4:$G$4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CEX!$C$24:$G$24</c:f>
              <c:numCache>
                <c:formatCode>#,##0</c:formatCode>
                <c:ptCount val="5"/>
                <c:pt idx="0">
                  <c:v>640</c:v>
                </c:pt>
                <c:pt idx="1">
                  <c:v>465</c:v>
                </c:pt>
                <c:pt idx="2">
                  <c:v>861</c:v>
                </c:pt>
                <c:pt idx="3">
                  <c:v>6580</c:v>
                </c:pt>
                <c:pt idx="4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4C-435A-A283-2428014002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1469782095"/>
        <c:axId val="802800271"/>
      </c:barChart>
      <c:catAx>
        <c:axId val="146978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2800271"/>
        <c:crosses val="autoZero"/>
        <c:auto val="1"/>
        <c:lblAlgn val="ctr"/>
        <c:lblOffset val="100"/>
        <c:noMultiLvlLbl val="0"/>
      </c:catAx>
      <c:valAx>
        <c:axId val="80280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978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073030283790505E-2"/>
          <c:y val="0.83803185771701549"/>
          <c:w val="0.84785378343413687"/>
          <c:h val="0.14461455915522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des charges d'exploitation de la concession (k€)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CEX!$B$28</c:f>
              <c:strCache>
                <c:ptCount val="1"/>
                <c:pt idx="0">
                  <c:v>Consommation de l'exercice en provenance des tiers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303945796065881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678-47E3-BD1B-03ECAF412576}"/>
                </c:ext>
              </c:extLst>
            </c:dLbl>
            <c:dLbl>
              <c:idx val="3"/>
              <c:layout>
                <c:manualLayout>
                  <c:x val="7.4804138599858752E-2"/>
                  <c:y val="1.422981304938843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A-4B89-91D0-E863B29D43EC}"/>
                </c:ext>
              </c:extLst>
            </c:dLbl>
            <c:dLbl>
              <c:idx val="4"/>
              <c:layout>
                <c:manualLayout>
                  <c:x val="6.2673737745827671E-2"/>
                  <c:y val="-2.845962609877686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CEX!$C$28:$G$28</c:f>
              <c:numCache>
                <c:formatCode>#,##0</c:formatCode>
                <c:ptCount val="5"/>
                <c:pt idx="0">
                  <c:v>40786</c:v>
                </c:pt>
                <c:pt idx="1">
                  <c:v>41842</c:v>
                </c:pt>
                <c:pt idx="2">
                  <c:v>44093</c:v>
                </c:pt>
                <c:pt idx="3">
                  <c:v>36994</c:v>
                </c:pt>
                <c:pt idx="4">
                  <c:v>53640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7-4323-A07E-FA3B48D5A9BE}"/>
            </c:ext>
          </c:extLst>
        </c:ser>
        <c:ser>
          <c:idx val="1"/>
          <c:order val="1"/>
          <c:tx>
            <c:strRef>
              <c:f>CEX!$B$39</c:f>
              <c:strCache>
                <c:ptCount val="1"/>
                <c:pt idx="0">
                  <c:v>Impôts, taxes et versements assimilés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0509413878739937"/>
                  <c:y val="2.96230501851785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678-47E3-BD1B-03ECAF412576}"/>
                </c:ext>
              </c:extLst>
            </c:dLbl>
            <c:dLbl>
              <c:idx val="3"/>
              <c:layout>
                <c:manualLayout>
                  <c:x val="9.9064940307921151E-2"/>
                  <c:y val="8.537887829633059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C2A-4B89-91D0-E863B29D43EC}"/>
                </c:ext>
              </c:extLst>
            </c:dLbl>
            <c:dLbl>
              <c:idx val="4"/>
              <c:layout>
                <c:manualLayout>
                  <c:x val="7.2782405124186822E-2"/>
                  <c:y val="-5.2175378446666802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CEX!$C$39:$G$39</c:f>
              <c:numCache>
                <c:formatCode>#,##0</c:formatCode>
                <c:ptCount val="5"/>
                <c:pt idx="0">
                  <c:v>4123</c:v>
                </c:pt>
                <c:pt idx="1">
                  <c:v>4176</c:v>
                </c:pt>
                <c:pt idx="2">
                  <c:v>3637</c:v>
                </c:pt>
                <c:pt idx="3">
                  <c:v>3865</c:v>
                </c:pt>
                <c:pt idx="4">
                  <c:v>3702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7-4323-A07E-FA3B48D5A9BE}"/>
            </c:ext>
          </c:extLst>
        </c:ser>
        <c:ser>
          <c:idx val="2"/>
          <c:order val="2"/>
          <c:tx>
            <c:strRef>
              <c:f>CEX!$B$42</c:f>
              <c:strCache>
                <c:ptCount val="1"/>
                <c:pt idx="0">
                  <c:v>Charges de personnel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13623314287255478"/>
                  <c:y val="8.886915055553661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78-47E3-BD1B-03ECAF412576}"/>
                </c:ext>
              </c:extLst>
            </c:dLbl>
            <c:dLbl>
              <c:idx val="3"/>
              <c:layout>
                <c:manualLayout>
                  <c:x val="6.6717204697171392E-2"/>
                  <c:y val="5.691925219755372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C2A-4B89-91D0-E863B29D43EC}"/>
                </c:ext>
              </c:extLst>
            </c:dLbl>
            <c:dLbl>
              <c:idx val="4"/>
              <c:layout>
                <c:manualLayout>
                  <c:x val="6.2673737745827671E-2"/>
                  <c:y val="-2.845962609877686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CEX!$C$42:$G$42</c:f>
              <c:numCache>
                <c:formatCode>#,##0</c:formatCode>
                <c:ptCount val="5"/>
                <c:pt idx="0">
                  <c:v>14132</c:v>
                </c:pt>
                <c:pt idx="1">
                  <c:v>14464</c:v>
                </c:pt>
                <c:pt idx="2">
                  <c:v>14835</c:v>
                </c:pt>
                <c:pt idx="3">
                  <c:v>14768</c:v>
                </c:pt>
                <c:pt idx="4">
                  <c:v>15184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7-4323-A07E-FA3B48D5A9BE}"/>
            </c:ext>
          </c:extLst>
        </c:ser>
        <c:ser>
          <c:idx val="3"/>
          <c:order val="3"/>
          <c:tx>
            <c:strRef>
              <c:f>CEX!$B$43</c:f>
              <c:strCache>
                <c:ptCount val="1"/>
                <c:pt idx="0">
                  <c:v>Dotations d'exploitation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9255575521432701E-2"/>
                  <c:y val="5.33214903333222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78-47E3-BD1B-03ECAF412576}"/>
                </c:ext>
              </c:extLst>
            </c:dLbl>
            <c:dLbl>
              <c:idx val="3"/>
              <c:layout>
                <c:manualLayout>
                  <c:x val="6.4695471221499531E-2"/>
                  <c:y val="1.422981304938843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C2A-4B89-91D0-E863B29D43EC}"/>
                </c:ext>
              </c:extLst>
            </c:dLbl>
            <c:dLbl>
              <c:idx val="4"/>
              <c:layout>
                <c:manualLayout>
                  <c:x val="6.2673737745827671E-2"/>
                  <c:y val="-1.13838504395107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CEX!$C$43:$G$43</c:f>
              <c:numCache>
                <c:formatCode>#,##0</c:formatCode>
                <c:ptCount val="5"/>
                <c:pt idx="0">
                  <c:v>20701</c:v>
                </c:pt>
                <c:pt idx="1">
                  <c:v>21286</c:v>
                </c:pt>
                <c:pt idx="2">
                  <c:v>23317</c:v>
                </c:pt>
                <c:pt idx="3">
                  <c:v>25914</c:v>
                </c:pt>
                <c:pt idx="4">
                  <c:v>20053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7-4323-A07E-FA3B48D5A9BE}"/>
            </c:ext>
          </c:extLst>
        </c:ser>
        <c:ser>
          <c:idx val="4"/>
          <c:order val="4"/>
          <c:tx>
            <c:strRef>
              <c:f>CEX!$B$50</c:f>
              <c:strCache>
                <c:ptCount val="1"/>
                <c:pt idx="0">
                  <c:v>Autres charges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1470824500143891E-2"/>
                  <c:y val="5.035918531480438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78-47E3-BD1B-03ECAF412576}"/>
                </c:ext>
              </c:extLst>
            </c:dLbl>
            <c:dLbl>
              <c:idx val="3"/>
              <c:layout>
                <c:manualLayout>
                  <c:x val="8.6934539453889986E-2"/>
                  <c:y val="1.13838504395107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C2A-4B89-91D0-E863B29D43EC}"/>
                </c:ext>
              </c:extLst>
            </c:dLbl>
            <c:dLbl>
              <c:idx val="4"/>
              <c:layout>
                <c:manualLayout>
                  <c:x val="5.4586803843140075E-2"/>
                  <c:y val="1.138385043951071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CEX!$C$50:$G$50</c:f>
              <c:numCache>
                <c:formatCode>#,##0</c:formatCode>
                <c:ptCount val="5"/>
                <c:pt idx="0">
                  <c:v>2871</c:v>
                </c:pt>
                <c:pt idx="1">
                  <c:v>2390</c:v>
                </c:pt>
                <c:pt idx="2">
                  <c:v>2671</c:v>
                </c:pt>
                <c:pt idx="3">
                  <c:v>2653</c:v>
                </c:pt>
                <c:pt idx="4">
                  <c:v>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87-4323-A07E-FA3B48D5A9BE}"/>
            </c:ext>
          </c:extLst>
        </c:ser>
        <c:ser>
          <c:idx val="5"/>
          <c:order val="5"/>
          <c:tx>
            <c:strRef>
              <c:f>CEX!$B$51</c:f>
              <c:strCache>
                <c:ptCount val="1"/>
                <c:pt idx="0">
                  <c:v>Charges centrales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6.227800817031074E-2"/>
                  <c:y val="-2.369844014814324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78-47E3-BD1B-03ECAF412576}"/>
                </c:ext>
              </c:extLst>
            </c:dLbl>
            <c:dLbl>
              <c:idx val="3"/>
              <c:layout>
                <c:manualLayout>
                  <c:x val="5.8630270794483873E-2"/>
                  <c:y val="-2.276770087902148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C2A-4B89-91D0-E863B29D43EC}"/>
                </c:ext>
              </c:extLst>
            </c:dLbl>
            <c:dLbl>
              <c:idx val="4"/>
              <c:layout>
                <c:manualLayout>
                  <c:x val="4.2456402989109063E-2"/>
                  <c:y val="-3.41515513185322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A-4B89-91D0-E863B29D43EC}"/>
                </c:ext>
              </c:extLst>
            </c:dLbl>
            <c:numFmt formatCode="#\ ##0&quot; k€&quot;;\-#\ ##0&quot; k€&quot;;" sourceLinked="0"/>
            <c:spPr>
              <a:solidFill>
                <a:schemeClr val="bg1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CEX!$C$51:$G$51</c:f>
              <c:numCache>
                <c:formatCode>#,##0</c:formatCode>
                <c:ptCount val="5"/>
                <c:pt idx="0">
                  <c:v>5121</c:v>
                </c:pt>
                <c:pt idx="1">
                  <c:v>4890</c:v>
                </c:pt>
                <c:pt idx="2">
                  <c:v>5279</c:v>
                </c:pt>
                <c:pt idx="3">
                  <c:v>5410</c:v>
                </c:pt>
                <c:pt idx="4">
                  <c:v>7960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87-4323-A07E-FA3B48D5A9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axId val="807168047"/>
        <c:axId val="802578591"/>
      </c:barChart>
      <c:catAx>
        <c:axId val="80716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2578591"/>
        <c:crosses val="autoZero"/>
        <c:auto val="1"/>
        <c:lblAlgn val="ctr"/>
        <c:lblOffset val="100"/>
        <c:noMultiLvlLbl val="0"/>
      </c:catAx>
      <c:valAx>
        <c:axId val="80257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716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Evolution de la</a:t>
            </a:r>
            <a:r>
              <a:rPr lang="en-US" sz="1100" b="1" baseline="0"/>
              <a:t> contribution au CAS FACE (k€)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CEX!$B$40</c:f>
              <c:strCache>
                <c:ptCount val="1"/>
                <c:pt idx="0">
                  <c:v>Contribution au CAS FACÉ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CEX!$C$27:$G$27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CEX!$C$40:$G$40</c:f>
              <c:numCache>
                <c:formatCode>#,##0</c:formatCode>
                <c:ptCount val="5"/>
                <c:pt idx="0">
                  <c:v>1415</c:v>
                </c:pt>
                <c:pt idx="1">
                  <c:v>1428</c:v>
                </c:pt>
                <c:pt idx="2">
                  <c:v>1400</c:v>
                </c:pt>
                <c:pt idx="3">
                  <c:v>1467</c:v>
                </c:pt>
                <c:pt idx="4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4-44C1-A9E0-9F4D1ED8012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17475743"/>
        <c:axId val="802583999"/>
      </c:lineChart>
      <c:catAx>
        <c:axId val="91747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2583999"/>
        <c:crosses val="autoZero"/>
        <c:auto val="1"/>
        <c:lblAlgn val="ctr"/>
        <c:lblOffset val="100"/>
        <c:noMultiLvlLbl val="0"/>
      </c:catAx>
      <c:valAx>
        <c:axId val="8025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1747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des redevances de la concession (k€)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CEX!$B$67</c:f>
              <c:strCache>
                <c:ptCount val="1"/>
                <c:pt idx="0">
                  <c:v>Part R1 de la redevance : dédiée au fonctionnement 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numFmt formatCode="#,##0.0\k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CEX!$C$66:$G$66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CEX!$C$67:$G$67</c:f>
              <c:numCache>
                <c:formatCode>#\ ##0.0</c:formatCode>
                <c:ptCount val="5"/>
                <c:pt idx="0">
                  <c:v>520.72500000000002</c:v>
                </c:pt>
                <c:pt idx="1">
                  <c:v>531.25400000000002</c:v>
                </c:pt>
                <c:pt idx="2">
                  <c:v>600.95500000000004</c:v>
                </c:pt>
                <c:pt idx="3">
                  <c:v>674.31500000000005</c:v>
                </c:pt>
                <c:pt idx="4">
                  <c:v>687.08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A-4E25-9E60-B31AAE45CB56}"/>
            </c:ext>
          </c:extLst>
        </c:ser>
        <c:ser>
          <c:idx val="1"/>
          <c:order val="1"/>
          <c:tx>
            <c:strRef>
              <c:f>CEX!$B$68</c:f>
              <c:strCache>
                <c:ptCount val="1"/>
                <c:pt idx="0">
                  <c:v>Part R2 de la redevance : dédiée à l'investissement 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numFmt formatCode="#\ ##0&quot; €&quot;;\-#\ ##0&quot; 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CEX!$C$66:$G$66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CEX!$C$68:$G$68</c:f>
              <c:numCache>
                <c:formatCode>#\ ##0.0</c:formatCode>
                <c:ptCount val="5"/>
                <c:pt idx="0">
                  <c:v>1213.77</c:v>
                </c:pt>
                <c:pt idx="1">
                  <c:v>2017.335</c:v>
                </c:pt>
                <c:pt idx="2">
                  <c:v>1165.0150000000001</c:v>
                </c:pt>
                <c:pt idx="3">
                  <c:v>1585.9290000000001</c:v>
                </c:pt>
                <c:pt idx="4">
                  <c:v>1439.558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9A-4E25-9E60-B31AAE45CB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23540047"/>
        <c:axId val="1475833471"/>
      </c:barChart>
      <c:catAx>
        <c:axId val="162354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5833471"/>
        <c:crosses val="autoZero"/>
        <c:auto val="1"/>
        <c:lblAlgn val="ctr"/>
        <c:lblOffset val="100"/>
        <c:noMultiLvlLbl val="0"/>
      </c:catAx>
      <c:valAx>
        <c:axId val="147583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354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élements</a:t>
            </a:r>
            <a:r>
              <a:rPr lang="fr-FR" sz="1200" b="1" baseline="0"/>
              <a:t> natifs du compte d'exploitation de la concession</a:t>
            </a:r>
            <a:r>
              <a:rPr lang="fr-FR" sz="1200" b="1"/>
              <a:t> </a:t>
            </a:r>
          </a:p>
        </c:rich>
      </c:tx>
      <c:layout>
        <c:manualLayout>
          <c:xMode val="edge"/>
          <c:yMode val="edge"/>
          <c:x val="0.1108818897637795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CEX!$B$82</c:f>
              <c:strCache>
                <c:ptCount val="1"/>
                <c:pt idx="0">
                  <c:v>Part totale des produits affectés directement à la concession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CEX!$C$84:$G$84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CEX!$C$82:$G$82</c:f>
              <c:numCache>
                <c:formatCode>0.0%</c:formatCode>
                <c:ptCount val="5"/>
                <c:pt idx="0">
                  <c:v>0.91339999999999999</c:v>
                </c:pt>
                <c:pt idx="1">
                  <c:v>0.93020000000000003</c:v>
                </c:pt>
                <c:pt idx="2">
                  <c:v>0.88470000000000004</c:v>
                </c:pt>
                <c:pt idx="3">
                  <c:v>0.88300000000000001</c:v>
                </c:pt>
                <c:pt idx="4">
                  <c:v>0.87839999999999996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C-4D37-988F-CB6DA60FFA2C}"/>
            </c:ext>
          </c:extLst>
        </c:ser>
        <c:ser>
          <c:idx val="1"/>
          <c:order val="1"/>
          <c:tx>
            <c:strRef>
              <c:f>CEX!$B$104</c:f>
              <c:strCache>
                <c:ptCount val="1"/>
                <c:pt idx="0">
                  <c:v>Part totale des charges affectées directement à la concession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CEX!$C$84:$G$84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CEX!$C$104:$G$104</c:f>
              <c:numCache>
                <c:formatCode>0.0%</c:formatCode>
                <c:ptCount val="5"/>
                <c:pt idx="0">
                  <c:v>0.65249999999999997</c:v>
                </c:pt>
                <c:pt idx="1">
                  <c:v>0.66469999999999996</c:v>
                </c:pt>
                <c:pt idx="2">
                  <c:v>0.32229999999999998</c:v>
                </c:pt>
                <c:pt idx="3">
                  <c:v>0.37130000000000002</c:v>
                </c:pt>
                <c:pt idx="4">
                  <c:v>0.32469999999999999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C-4D37-988F-CB6DA60FFA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7542688"/>
        <c:axId val="1129782111"/>
      </c:lineChart>
      <c:catAx>
        <c:axId val="2675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9782111"/>
        <c:crosses val="autoZero"/>
        <c:auto val="1"/>
        <c:lblAlgn val="ctr"/>
        <c:lblOffset val="100"/>
        <c:noMultiLvlLbl val="0"/>
      </c:catAx>
      <c:valAx>
        <c:axId val="11297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754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 la contribution d'équilibre (k€)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518537827798235"/>
          <c:y val="0.19922488171996561"/>
          <c:w val="0.85028794630441085"/>
          <c:h val="0.68149212365304479"/>
        </c:manualLayout>
      </c:layout>
      <c:lineChart>
        <c:grouping val="standard"/>
        <c:varyColors val="0"/>
        <c:ser>
          <c:idx val="0"/>
          <c:order val="0"/>
          <c:tx>
            <c:strRef>
              <c:f>CEX!$B$62</c:f>
              <c:strCache>
                <c:ptCount val="1"/>
                <c:pt idx="0">
                  <c:v>Contribution à l'équilibre 
(&gt; 0 : produit supplémentaire ; &lt; 0 : charge supplémentaire)</c:v>
                </c:pt>
              </c:strCache>
            </c:strRef>
          </c:tx>
          <c:spPr>
            <a:ln w="28575" cap="rnd">
              <a:solidFill>
                <a:srgbClr val="C4222E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4559147416090254E-2"/>
                  <c:y val="-4.19131661211414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71-41DF-995B-B3348B509D15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CEX!$C$62:$G$62</c:f>
              <c:numCache>
                <c:formatCode>#,##0</c:formatCode>
                <c:ptCount val="5"/>
                <c:pt idx="0">
                  <c:v>4768</c:v>
                </c:pt>
                <c:pt idx="1">
                  <c:v>-1458</c:v>
                </c:pt>
                <c:pt idx="2">
                  <c:v>-6470</c:v>
                </c:pt>
                <c:pt idx="3">
                  <c:v>-2335</c:v>
                </c:pt>
                <c:pt idx="4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D-431A-8A92-38EC467505E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00214336"/>
        <c:axId val="256067936"/>
      </c:lineChart>
      <c:catAx>
        <c:axId val="3002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6067936"/>
        <c:crosses val="autoZero"/>
        <c:auto val="1"/>
        <c:lblAlgn val="ctr"/>
        <c:lblOffset val="100"/>
        <c:noMultiLvlLbl val="0"/>
      </c:catAx>
      <c:valAx>
        <c:axId val="2560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002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des produits et des charges</a:t>
            </a:r>
            <a:r>
              <a:rPr lang="fr-FR" sz="1100" b="1" baseline="0"/>
              <a:t> de la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CEX!$L$52</c:f>
              <c:strCache>
                <c:ptCount val="1"/>
                <c:pt idx="0">
                  <c:v>Produits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8.1616539214466956E-17"/>
                  <c:y val="3.478260869565217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67-4602-B298-8F938676F32F}"/>
                </c:ext>
              </c:extLst>
            </c:dLbl>
            <c:dLbl>
              <c:idx val="5"/>
              <c:layout>
                <c:manualLayout>
                  <c:x val="-2.259508227995601E-3"/>
                  <c:y val="3.763768286994104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67-4602-B298-8F938676F32F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CEX!$K$53:$K$59</c:f>
              <c:numCache>
                <c:formatCode>General</c:formatCode>
                <c:ptCount val="7"/>
                <c:pt idx="0">
                  <c:v>2019</c:v>
                </c:pt>
                <c:pt idx="1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CEX!$L$53:$L$59</c:f>
              <c:numCache>
                <c:formatCode>General</c:formatCode>
                <c:ptCount val="7"/>
                <c:pt idx="2" formatCode="#,##0">
                  <c:v>105224</c:v>
                </c:pt>
                <c:pt idx="5" formatCode="#,##0">
                  <c:v>101617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4-434B-A421-8BDD6A81A133}"/>
            </c:ext>
          </c:extLst>
        </c:ser>
        <c:ser>
          <c:idx val="1"/>
          <c:order val="1"/>
          <c:tx>
            <c:strRef>
              <c:f>CEX!$M$52</c:f>
              <c:strCache>
                <c:ptCount val="1"/>
                <c:pt idx="0">
                  <c:v>Contribution d'équilibre</c:v>
                </c:pt>
              </c:strCache>
            </c:strRef>
          </c:tx>
          <c:spPr>
            <a:solidFill>
              <a:srgbClr val="C4222E"/>
            </a:solidFill>
            <a:ln>
              <a:noFill/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CEX!$K$53:$K$59</c:f>
              <c:numCache>
                <c:formatCode>General</c:formatCode>
                <c:ptCount val="7"/>
                <c:pt idx="0">
                  <c:v>2019</c:v>
                </c:pt>
                <c:pt idx="1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CEX!$M$53:$M$59</c:f>
              <c:numCache>
                <c:formatCode>General</c:formatCode>
                <c:ptCount val="7"/>
                <c:pt idx="2">
                  <c:v>0</c:v>
                </c:pt>
                <c:pt idx="5">
                  <c:v>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4-434B-A421-8BDD6A81A133}"/>
            </c:ext>
          </c:extLst>
        </c:ser>
        <c:ser>
          <c:idx val="2"/>
          <c:order val="2"/>
          <c:tx>
            <c:strRef>
              <c:f>CEX!$N$52</c:f>
              <c:strCache>
                <c:ptCount val="1"/>
                <c:pt idx="0">
                  <c:v>Charges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CEX!$K$53:$K$59</c:f>
              <c:numCache>
                <c:formatCode>General</c:formatCode>
                <c:ptCount val="7"/>
                <c:pt idx="0">
                  <c:v>2019</c:v>
                </c:pt>
                <c:pt idx="1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CEX!$N$53:$N$59</c:f>
              <c:numCache>
                <c:formatCode>General</c:formatCode>
                <c:ptCount val="7"/>
                <c:pt idx="3" formatCode="#,##0">
                  <c:v>89605</c:v>
                </c:pt>
                <c:pt idx="6" formatCode="#,##0">
                  <c:v>105197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4-434B-A421-8BDD6A81A133}"/>
            </c:ext>
          </c:extLst>
        </c:ser>
        <c:ser>
          <c:idx val="3"/>
          <c:order val="3"/>
          <c:tx>
            <c:strRef>
              <c:f>CEX!$O$52</c:f>
              <c:strCache>
                <c:ptCount val="1"/>
              </c:strCache>
            </c:strRef>
          </c:tx>
          <c:spPr>
            <a:solidFill>
              <a:srgbClr val="C4222E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1.8788774964474471E-3"/>
                  <c:y val="-3.411809927028963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67-4602-B298-8F938676F32F}"/>
                </c:ext>
              </c:extLst>
            </c:dLbl>
            <c:dLbl>
              <c:idx val="6"/>
              <c:layout>
                <c:manualLayout>
                  <c:x val="0"/>
                  <c:y val="-3.349815716174774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67-4602-B298-8F938676F32F}"/>
                </c:ext>
              </c:extLst>
            </c:dLbl>
            <c:numFmt formatCode="#\ ##0&quot; k€&quot;;\-#\ ##0&quot; k€&quot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CEX!$K$53:$K$59</c:f>
              <c:numCache>
                <c:formatCode>General</c:formatCode>
                <c:ptCount val="7"/>
                <c:pt idx="0">
                  <c:v>2019</c:v>
                </c:pt>
                <c:pt idx="1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CEX!$O$53:$O$59</c:f>
              <c:numCache>
                <c:formatCode>General</c:formatCode>
                <c:ptCount val="7"/>
                <c:pt idx="3">
                  <c:v>2335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4-434B-A421-8BDD6A81A1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210102944"/>
        <c:axId val="1355798032"/>
      </c:barChart>
      <c:catAx>
        <c:axId val="21010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55798032"/>
        <c:crosses val="autoZero"/>
        <c:auto val="1"/>
        <c:lblAlgn val="ctr"/>
        <c:lblOffset val="100"/>
        <c:noMultiLvlLbl val="0"/>
      </c:catAx>
      <c:valAx>
        <c:axId val="13557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&quot; k€&quot;;\-#\ ##0&quot; k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01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582963002041722"/>
          <c:y val="0.93079675910076465"/>
          <c:w val="0.49309286497868626"/>
          <c:h val="4.8913385826771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1"/>
              <a:t>Evolution de</a:t>
            </a:r>
            <a:r>
              <a:rPr lang="fr-FR" sz="1100" b="1" baseline="0"/>
              <a:t> la rentabilité de la concession</a:t>
            </a:r>
            <a:endParaRPr lang="fr-F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525528264165237"/>
          <c:y val="0.1695680808889283"/>
          <c:w val="0.87897679843257925"/>
          <c:h val="0.65860605109316761"/>
        </c:manualLayout>
      </c:layout>
      <c:lineChart>
        <c:grouping val="standard"/>
        <c:varyColors val="0"/>
        <c:ser>
          <c:idx val="0"/>
          <c:order val="0"/>
          <c:tx>
            <c:strRef>
              <c:f>CEX!$B$58</c:f>
              <c:strCache>
                <c:ptCount val="1"/>
                <c:pt idx="0">
                  <c:v>Rentabilité brute d'exploitation : (PROD-CHARG)/CA (%)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CEX!$C$58:$G$58</c:f>
              <c:numCache>
                <c:formatCode>0.0%</c:formatCode>
                <c:ptCount val="5"/>
                <c:pt idx="0">
                  <c:v>2.0400000000000001E-2</c:v>
                </c:pt>
                <c:pt idx="1">
                  <c:v>0.1008</c:v>
                </c:pt>
                <c:pt idx="2">
                  <c:v>0.1883</c:v>
                </c:pt>
                <c:pt idx="3">
                  <c:v>0.19040000000000001</c:v>
                </c:pt>
                <c:pt idx="4">
                  <c:v>-4.1000000000000002E-2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0-4AAF-9877-5C4D660BDEDB}"/>
            </c:ext>
          </c:extLst>
        </c:ser>
        <c:ser>
          <c:idx val="1"/>
          <c:order val="1"/>
          <c:tx>
            <c:strRef>
              <c:f>CEX!$B$63</c:f>
              <c:strCache>
                <c:ptCount val="1"/>
                <c:pt idx="0">
                  <c:v>Rentabilité nette d'exploitation : (PROD-CHARG+CONT)/CA (%)</c:v>
                </c:pt>
              </c:strCache>
            </c:strRef>
          </c:tx>
          <c:spPr>
            <a:ln w="28575" cap="rnd">
              <a:solidFill>
                <a:srgbClr val="C4222E"/>
              </a:solidFill>
              <a:round/>
            </a:ln>
            <a:effectLst/>
          </c:spPr>
          <c:marker>
            <c:symbol val="none"/>
          </c:marker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CEX!$C$54:$G$54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CEX!$C$63:$G$63</c:f>
              <c:numCache>
                <c:formatCode>0.0%</c:formatCode>
                <c:ptCount val="5"/>
                <c:pt idx="0">
                  <c:v>8.3900000000000002E-2</c:v>
                </c:pt>
                <c:pt idx="1">
                  <c:v>8.3299999999999999E-2</c:v>
                </c:pt>
                <c:pt idx="2">
                  <c:v>0.11940000000000001</c:v>
                </c:pt>
                <c:pt idx="3">
                  <c:v>0.16200000000000001</c:v>
                </c:pt>
                <c:pt idx="4">
                  <c:v>-3.3500000000000002E-2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0-4AAF-9877-5C4D660BDED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3587680"/>
        <c:axId val="1363149760"/>
      </c:lineChart>
      <c:catAx>
        <c:axId val="42358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3149760"/>
        <c:crosses val="autoZero"/>
        <c:auto val="1"/>
        <c:lblAlgn val="ctr"/>
        <c:lblOffset val="100"/>
        <c:noMultiLvlLbl val="0"/>
      </c:catAx>
      <c:valAx>
        <c:axId val="13631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35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du nombre d'usagers HTA et BT de la concession 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766375490766666E-2"/>
          <c:y val="0.14711645190555536"/>
          <c:w val="0.80993617097166803"/>
          <c:h val="0.6668797164477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Clientèle!$B$6</c:f>
              <c:strCache>
                <c:ptCount val="1"/>
                <c:pt idx="0">
                  <c:v>Clients BT inférieurs à 36 kVA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11276684029918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9-490C-8EBE-1BDD6D63FB19}"/>
                </c:ext>
              </c:extLst>
            </c:dLbl>
            <c:dLbl>
              <c:idx val="3"/>
              <c:layout>
                <c:manualLayout>
                  <c:x val="2.2948938611589212E-3"/>
                  <c:y val="0.143070022324180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4E-438A-B9E2-28485DE32BA3}"/>
                </c:ext>
              </c:extLst>
            </c:dLbl>
            <c:dLbl>
              <c:idx val="4"/>
              <c:layout>
                <c:manualLayout>
                  <c:x val="6.8846815834767644E-3"/>
                  <c:y val="0.162940858758094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4E-438A-B9E2-28485DE32B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Clientèle!$C$61:$G$61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Clientèle!$C$6:$G$6</c:f>
              <c:numCache>
                <c:formatCode>#,##0</c:formatCode>
                <c:ptCount val="5"/>
                <c:pt idx="0">
                  <c:v>175214</c:v>
                </c:pt>
                <c:pt idx="1">
                  <c:v>176251</c:v>
                </c:pt>
                <c:pt idx="2">
                  <c:v>177618</c:v>
                </c:pt>
                <c:pt idx="3">
                  <c:v>178787</c:v>
                </c:pt>
                <c:pt idx="4">
                  <c:v>179481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9-490C-8EBE-1BDD6D63FB19}"/>
            </c:ext>
          </c:extLst>
        </c:ser>
        <c:ser>
          <c:idx val="1"/>
          <c:order val="1"/>
          <c:tx>
            <c:strRef>
              <c:f>Clientèle!$B$7</c:f>
              <c:strCache>
                <c:ptCount val="1"/>
                <c:pt idx="0">
                  <c:v>Clients BT supérieurs à 36 kVA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Clientèle!$C$61:$G$61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Clientèle!$C$7:$G$7</c:f>
              <c:numCache>
                <c:formatCode>#,##0</c:formatCode>
                <c:ptCount val="5"/>
                <c:pt idx="0">
                  <c:v>2211</c:v>
                </c:pt>
                <c:pt idx="1">
                  <c:v>2240</c:v>
                </c:pt>
                <c:pt idx="2">
                  <c:v>2296</c:v>
                </c:pt>
                <c:pt idx="3">
                  <c:v>2329</c:v>
                </c:pt>
                <c:pt idx="4">
                  <c:v>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9-490C-8EBE-1BDD6D63FB19}"/>
            </c:ext>
          </c:extLst>
        </c:ser>
        <c:ser>
          <c:idx val="2"/>
          <c:order val="2"/>
          <c:tx>
            <c:strRef>
              <c:f>Clientèle!$B$8</c:f>
              <c:strCache>
                <c:ptCount val="1"/>
                <c:pt idx="0">
                  <c:v>Clients HTA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3.66899207362893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19-4FE4-9CD9-600037286CCA}"/>
                </c:ext>
              </c:extLst>
            </c:dLbl>
            <c:dLbl>
              <c:idx val="4"/>
              <c:layout>
                <c:manualLayout>
                  <c:x val="-2.2025904544932672E-3"/>
                  <c:y val="-2.85366050171139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4E-438A-B9E2-28485DE32B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Clientèle!$C$61:$G$61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Clientèle!$C$8:$G$8</c:f>
              <c:numCache>
                <c:formatCode>#,##0</c:formatCode>
                <c:ptCount val="5"/>
                <c:pt idx="0">
                  <c:v>633</c:v>
                </c:pt>
                <c:pt idx="1">
                  <c:v>641</c:v>
                </c:pt>
                <c:pt idx="2">
                  <c:v>623</c:v>
                </c:pt>
                <c:pt idx="3">
                  <c:v>643</c:v>
                </c:pt>
                <c:pt idx="4">
                  <c:v>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9-490C-8EBE-1BDD6D63FB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0927535"/>
        <c:axId val="38594335"/>
      </c:barChart>
      <c:lineChart>
        <c:grouping val="stacked"/>
        <c:varyColors val="0"/>
        <c:ser>
          <c:idx val="4"/>
          <c:order val="4"/>
          <c:tx>
            <c:strRef>
              <c:f>Clientèle!$B$9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8.6006070586884295E-2"/>
                  <c:y val="-0.109140193038048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9-490C-8EBE-1BDD6D63FB19}"/>
                </c:ext>
              </c:extLst>
            </c:dLbl>
            <c:dLbl>
              <c:idx val="3"/>
              <c:layout>
                <c:manualLayout>
                  <c:x val="-7.1141709695926564E-2"/>
                  <c:y val="-5.96125093017419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4E-438A-B9E2-28485DE32BA3}"/>
                </c:ext>
              </c:extLst>
            </c:dLbl>
            <c:dLbl>
              <c:idx val="4"/>
              <c:layout>
                <c:manualLayout>
                  <c:x val="-4.3602966247642781E-2"/>
                  <c:y val="-8.0200699965364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4E-438A-B9E2-28485DE32B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Clientèle!$C$5:$G$5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Clientèle!$C$9:$G$9</c:f>
              <c:numCache>
                <c:formatCode>#,##0</c:formatCode>
                <c:ptCount val="5"/>
                <c:pt idx="0">
                  <c:v>178058</c:v>
                </c:pt>
                <c:pt idx="1">
                  <c:v>179132</c:v>
                </c:pt>
                <c:pt idx="2">
                  <c:v>180537</c:v>
                </c:pt>
                <c:pt idx="3">
                  <c:v>181759</c:v>
                </c:pt>
                <c:pt idx="4">
                  <c:v>182484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9-490C-8EBE-1BDD6D63FB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927535"/>
        <c:axId val="38594335"/>
      </c:lineChart>
      <c:lineChart>
        <c:grouping val="stacked"/>
        <c:varyColors val="0"/>
        <c:ser>
          <c:idx val="3"/>
          <c:order val="3"/>
          <c:tx>
            <c:v>Taux d'usagers C5 au TRV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306706441277207E-2"/>
                  <c:y val="2.88868208510206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6A-4483-A053-51B90E15AA08}"/>
                </c:ext>
              </c:extLst>
            </c:dLbl>
            <c:dLbl>
              <c:idx val="3"/>
              <c:layout>
                <c:manualLayout>
                  <c:x val="2.8726107612418516E-2"/>
                  <c:y val="-6.31204655164794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4E-438A-B9E2-28485DE32BA3}"/>
                </c:ext>
              </c:extLst>
            </c:dLbl>
            <c:dLbl>
              <c:idx val="4"/>
              <c:layout>
                <c:manualLayout>
                  <c:x val="4.8540237512090956E-3"/>
                  <c:y val="-2.949317512904906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4E-438A-B9E2-28485DE32B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Clientèle!$C$61:$G$61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Clientèle!$C$64:$G$64</c:f>
              <c:numCache>
                <c:formatCode>0.0%</c:formatCode>
                <c:ptCount val="5"/>
                <c:pt idx="0">
                  <c:v>0.68137348504419903</c:v>
                </c:pt>
                <c:pt idx="1">
                  <c:v>0.64096867114753364</c:v>
                </c:pt>
                <c:pt idx="2">
                  <c:v>0.58618454942754117</c:v>
                </c:pt>
                <c:pt idx="3">
                  <c:v>0</c:v>
                </c:pt>
                <c:pt idx="4">
                  <c:v>0.55821880274435021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9-490C-8EBE-1BDD6D63FB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5864624"/>
        <c:axId val="38536271"/>
      </c:lineChart>
      <c:catAx>
        <c:axId val="17092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94335"/>
        <c:crosses val="autoZero"/>
        <c:auto val="1"/>
        <c:lblAlgn val="ctr"/>
        <c:lblOffset val="100"/>
        <c:noMultiLvlLbl val="0"/>
      </c:catAx>
      <c:valAx>
        <c:axId val="38594335"/>
        <c:scaling>
          <c:orientation val="minMax"/>
          <c:max val="55000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927535"/>
        <c:crosses val="autoZero"/>
        <c:crossBetween val="between"/>
      </c:valAx>
      <c:valAx>
        <c:axId val="3853627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05864624"/>
        <c:crosses val="max"/>
        <c:crossBetween val="between"/>
      </c:valAx>
      <c:catAx>
        <c:axId val="1705864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536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</a:t>
            </a:r>
            <a:r>
              <a:rPr lang="fr-FR" sz="1200" b="1" baseline="0"/>
              <a:t> consommations des usagers de la concession (GWh)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Clientèle!$B$22</c:f>
              <c:strCache>
                <c:ptCount val="1"/>
                <c:pt idx="0">
                  <c:v>Clients BT inférieurs à 36 kVA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Clientèle!$C$22:$G$22</c:f>
              <c:numCache>
                <c:formatCode>#,##0</c:formatCode>
                <c:ptCount val="5"/>
                <c:pt idx="0">
                  <c:v>978.27</c:v>
                </c:pt>
                <c:pt idx="1">
                  <c:v>935.84</c:v>
                </c:pt>
                <c:pt idx="2">
                  <c:v>1048.5</c:v>
                </c:pt>
                <c:pt idx="3">
                  <c:v>944.39</c:v>
                </c:pt>
                <c:pt idx="4">
                  <c:v>907.41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181-BE94-3D177023A8D3}"/>
            </c:ext>
          </c:extLst>
        </c:ser>
        <c:ser>
          <c:idx val="1"/>
          <c:order val="1"/>
          <c:tx>
            <c:strRef>
              <c:f>Clientèle!$B$23</c:f>
              <c:strCache>
                <c:ptCount val="1"/>
                <c:pt idx="0">
                  <c:v>Clients BT supérieurs à 36 kVA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Clientèle!$C$23:$G$23</c:f>
              <c:numCache>
                <c:formatCode>#,##0</c:formatCode>
                <c:ptCount val="5"/>
                <c:pt idx="0">
                  <c:v>263.76</c:v>
                </c:pt>
                <c:pt idx="1">
                  <c:v>248.4</c:v>
                </c:pt>
                <c:pt idx="2">
                  <c:v>251.61</c:v>
                </c:pt>
                <c:pt idx="3">
                  <c:v>260.93</c:v>
                </c:pt>
                <c:pt idx="4">
                  <c:v>239.25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6-4181-BE94-3D177023A8D3}"/>
            </c:ext>
          </c:extLst>
        </c:ser>
        <c:ser>
          <c:idx val="2"/>
          <c:order val="2"/>
          <c:tx>
            <c:strRef>
              <c:f>Clientèle!$B$24</c:f>
              <c:strCache>
                <c:ptCount val="1"/>
                <c:pt idx="0">
                  <c:v>Clients HTA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Clientèle!$C$24:$G$24</c:f>
              <c:numCache>
                <c:formatCode>#,##0</c:formatCode>
                <c:ptCount val="5"/>
                <c:pt idx="0">
                  <c:v>661.12</c:v>
                </c:pt>
                <c:pt idx="1">
                  <c:v>634.59</c:v>
                </c:pt>
                <c:pt idx="2">
                  <c:v>670.38</c:v>
                </c:pt>
                <c:pt idx="3">
                  <c:v>685.76</c:v>
                </c:pt>
                <c:pt idx="4">
                  <c:v>662.15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06-4181-BE94-3D177023A8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898207"/>
        <c:axId val="38567887"/>
      </c:barChart>
      <c:lineChart>
        <c:grouping val="standard"/>
        <c:varyColors val="0"/>
        <c:ser>
          <c:idx val="3"/>
          <c:order val="3"/>
          <c:tx>
            <c:strRef>
              <c:f>Clientèle!$B$25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6373960111083826E-2"/>
                  <c:y val="-4.51212553799103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06-4181-BE94-3D177023A8D3}"/>
                </c:ext>
              </c:extLst>
            </c:dLbl>
            <c:dLbl>
              <c:idx val="3"/>
              <c:layout>
                <c:manualLayout>
                  <c:x val="-4.7740822645797466E-2"/>
                  <c:y val="-3.15848787659372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EE-45E8-A305-52CB1C4154D2}"/>
                </c:ext>
              </c:extLst>
            </c:dLbl>
            <c:dLbl>
              <c:idx val="4"/>
              <c:layout>
                <c:manualLayout>
                  <c:x val="-4.7740822645797466E-2"/>
                  <c:y val="-6.31697575318744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EE-45E8-A305-52CB1C4154D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Clientèle!$C$68:$G$68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Clientèle!$C$25:$G$25</c:f>
              <c:numCache>
                <c:formatCode>#,##0</c:formatCode>
                <c:ptCount val="5"/>
                <c:pt idx="0">
                  <c:v>1903.15</c:v>
                </c:pt>
                <c:pt idx="1">
                  <c:v>1818.83</c:v>
                </c:pt>
                <c:pt idx="2">
                  <c:v>1970.49</c:v>
                </c:pt>
                <c:pt idx="3">
                  <c:v>1891.07</c:v>
                </c:pt>
                <c:pt idx="4">
                  <c:v>1808.81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06-4181-BE94-3D177023A8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898207"/>
        <c:axId val="38567887"/>
      </c:lineChart>
      <c:lineChart>
        <c:grouping val="standard"/>
        <c:varyColors val="0"/>
        <c:ser>
          <c:idx val="4"/>
          <c:order val="4"/>
          <c:tx>
            <c:v>Part de l'énergie vendue au TRV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2.2733725069427366E-3"/>
                  <c:y val="1.80485021519641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EE-45E8-A305-52CB1C4154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Clientèle!$C$68:$G$68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Clientèle!$C$69:$G$69</c:f>
              <c:numCache>
                <c:formatCode>0.0%</c:formatCode>
                <c:ptCount val="5"/>
                <c:pt idx="0">
                  <c:v>0.34992512413630034</c:v>
                </c:pt>
                <c:pt idx="1">
                  <c:v>0.33758515089370639</c:v>
                </c:pt>
                <c:pt idx="2">
                  <c:v>0.28924277717725033</c:v>
                </c:pt>
                <c:pt idx="3">
                  <c:v>0</c:v>
                </c:pt>
                <c:pt idx="4" formatCode="0%">
                  <c:v>0.28235690868582108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06-4181-BE94-3D177023A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362047"/>
        <c:axId val="492055215"/>
      </c:lineChart>
      <c:catAx>
        <c:axId val="37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valAx>
        <c:axId val="492055215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31362047"/>
        <c:crosses val="max"/>
        <c:crossBetween val="between"/>
      </c:valAx>
      <c:catAx>
        <c:axId val="331362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20552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 la consommation moyenne des usagers (MWh/us.)</a:t>
            </a:r>
          </a:p>
        </c:rich>
      </c:tx>
      <c:layout>
        <c:manualLayout>
          <c:xMode val="edge"/>
          <c:yMode val="edge"/>
          <c:x val="0.12252730066772742"/>
          <c:y val="2.6490066225165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lineChart>
        <c:grouping val="standard"/>
        <c:varyColors val="0"/>
        <c:ser>
          <c:idx val="0"/>
          <c:order val="0"/>
          <c:tx>
            <c:strRef>
              <c:f>Clientèle!$B$30</c:f>
              <c:strCache>
                <c:ptCount val="1"/>
                <c:pt idx="0">
                  <c:v>Clients BT inférieurs à 36 kVA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Clientèle!$C$30:$G$30</c:f>
              <c:numCache>
                <c:formatCode>#\ ##0.0</c:formatCode>
                <c:ptCount val="5"/>
                <c:pt idx="0">
                  <c:v>5.58</c:v>
                </c:pt>
                <c:pt idx="1">
                  <c:v>5.31</c:v>
                </c:pt>
                <c:pt idx="2">
                  <c:v>5.9</c:v>
                </c:pt>
                <c:pt idx="3">
                  <c:v>5.28</c:v>
                </c:pt>
                <c:pt idx="4">
                  <c:v>5.0599999999999996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5-4B2F-AA5A-5F59E7D41E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898207"/>
        <c:axId val="38567887"/>
      </c:lineChart>
      <c:catAx>
        <c:axId val="378982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965933662437277"/>
          <c:y val="0.80364186264796367"/>
          <c:w val="0.23343391957971774"/>
          <c:h val="0.13888977097970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lineChart>
        <c:grouping val="standard"/>
        <c:varyColors val="0"/>
        <c:ser>
          <c:idx val="1"/>
          <c:order val="0"/>
          <c:tx>
            <c:strRef>
              <c:f>Clientèle!$B$31</c:f>
              <c:strCache>
                <c:ptCount val="1"/>
                <c:pt idx="0">
                  <c:v>Clients BT supérieurs à 36 kVA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Clientèle!$C$31:$G$31</c:f>
              <c:numCache>
                <c:formatCode>#\ ##0.0</c:formatCode>
                <c:ptCount val="5"/>
                <c:pt idx="0">
                  <c:v>119.3</c:v>
                </c:pt>
                <c:pt idx="1">
                  <c:v>110.89</c:v>
                </c:pt>
                <c:pt idx="2">
                  <c:v>109.58</c:v>
                </c:pt>
                <c:pt idx="3">
                  <c:v>112.03</c:v>
                </c:pt>
                <c:pt idx="4">
                  <c:v>101.72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7-4CB2-AE56-E2611A865E8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898207"/>
        <c:axId val="38567887"/>
      </c:lineChart>
      <c:catAx>
        <c:axId val="378982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21348663904323"/>
          <c:y val="0.66206174504430038"/>
          <c:w val="0.2784035244325424"/>
          <c:h val="0.124310262322182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lineChart>
        <c:grouping val="standard"/>
        <c:varyColors val="0"/>
        <c:ser>
          <c:idx val="2"/>
          <c:order val="0"/>
          <c:tx>
            <c:strRef>
              <c:f>Clientèle!$B$32</c:f>
              <c:strCache>
                <c:ptCount val="1"/>
                <c:pt idx="0">
                  <c:v>Clients HTA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Clientèle!$C$32:$G$32</c:f>
              <c:numCache>
                <c:formatCode>#\ ##0.0</c:formatCode>
                <c:ptCount val="5"/>
                <c:pt idx="0">
                  <c:v>1044.42</c:v>
                </c:pt>
                <c:pt idx="1">
                  <c:v>990</c:v>
                </c:pt>
                <c:pt idx="2">
                  <c:v>1076.06</c:v>
                </c:pt>
                <c:pt idx="3">
                  <c:v>1066.5</c:v>
                </c:pt>
                <c:pt idx="4">
                  <c:v>1017.13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34-4ECF-A677-A3C7092A0A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898207"/>
        <c:axId val="38567887"/>
      </c:lineChart>
      <c:catAx>
        <c:axId val="37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269291815601853"/>
          <c:y val="0.63354599905781006"/>
          <c:w val="0.17546815229767496"/>
          <c:h val="0.1442317787199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Décomposition de l'énergie acheminée par typologie d'usagers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explosion val="2"/>
            <c:spPr>
              <a:solidFill>
                <a:schemeClr val="accent1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CB-4887-B036-33A1128469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FE6-4077-B056-5ACF5DAB19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FE6-4077-B056-5ACF5DAB19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Clientèle!$B$22:$B$24</c:f>
              <c:strCache>
                <c:ptCount val="3"/>
                <c:pt idx="0">
                  <c:v>Clients BT inférieurs à 36 kVA</c:v>
                </c:pt>
                <c:pt idx="1">
                  <c:v>Clients BT supérieurs à 36 kVA</c:v>
                </c:pt>
                <c:pt idx="2">
                  <c:v>Clients HTA</c:v>
                </c:pt>
              </c:strCache>
            </c:strRef>
          </c:cat>
          <c:val>
            <c:numRef>
              <c:f>Clientèle!$G$22:$G$24</c:f>
              <c:numCache>
                <c:formatCode>#,##0</c:formatCode>
                <c:ptCount val="3"/>
                <c:pt idx="0">
                  <c:v>907.41</c:v>
                </c:pt>
                <c:pt idx="1">
                  <c:v>239.25</c:v>
                </c:pt>
                <c:pt idx="2">
                  <c:v>662.15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B-4887-B036-33A1128469E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recettes d'acheminement </a:t>
            </a:r>
            <a:r>
              <a:rPr lang="fr-FR" sz="1200" b="1" baseline="0"/>
              <a:t>de la concession (M€)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Clientèle!$B$38</c:f>
              <c:strCache>
                <c:ptCount val="1"/>
                <c:pt idx="0">
                  <c:v>Clients BT inférieurs à 36 kVA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Clientèle!$C$38:$G$38</c:f>
              <c:numCache>
                <c:formatCode>#\ ##0.0</c:formatCode>
                <c:ptCount val="5"/>
                <c:pt idx="0">
                  <c:v>46.68</c:v>
                </c:pt>
                <c:pt idx="1">
                  <c:v>46.42</c:v>
                </c:pt>
                <c:pt idx="2">
                  <c:v>53.45</c:v>
                </c:pt>
                <c:pt idx="3">
                  <c:v>50.64</c:v>
                </c:pt>
                <c:pt idx="4">
                  <c:v>52.73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A-415F-973F-DA2983D535A8}"/>
            </c:ext>
          </c:extLst>
        </c:ser>
        <c:ser>
          <c:idx val="1"/>
          <c:order val="1"/>
          <c:tx>
            <c:strRef>
              <c:f>Clientèle!$B$39</c:f>
              <c:strCache>
                <c:ptCount val="1"/>
                <c:pt idx="0">
                  <c:v>Clients BT supérieurs à 36 kVA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Clientèle!$C$39:$G$39</c:f>
              <c:numCache>
                <c:formatCode>#\ ##0.0</c:formatCode>
                <c:ptCount val="5"/>
                <c:pt idx="0">
                  <c:v>11.38</c:v>
                </c:pt>
                <c:pt idx="1">
                  <c:v>11.3</c:v>
                </c:pt>
                <c:pt idx="2">
                  <c:v>11.67</c:v>
                </c:pt>
                <c:pt idx="3">
                  <c:v>12.1</c:v>
                </c:pt>
                <c:pt idx="4">
                  <c:v>12.14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A-415F-973F-DA2983D535A8}"/>
            </c:ext>
          </c:extLst>
        </c:ser>
        <c:ser>
          <c:idx val="2"/>
          <c:order val="2"/>
          <c:tx>
            <c:strRef>
              <c:f>Clientèle!$B$40</c:f>
              <c:strCache>
                <c:ptCount val="1"/>
                <c:pt idx="0">
                  <c:v>Clients HTA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Clientèle!$C$40:$G$40</c:f>
              <c:numCache>
                <c:formatCode>#\ ##0.0</c:formatCode>
                <c:ptCount val="5"/>
                <c:pt idx="0">
                  <c:v>12.66</c:v>
                </c:pt>
                <c:pt idx="1">
                  <c:v>12.64</c:v>
                </c:pt>
                <c:pt idx="2">
                  <c:v>13.31</c:v>
                </c:pt>
                <c:pt idx="3">
                  <c:v>13.9</c:v>
                </c:pt>
                <c:pt idx="4">
                  <c:v>14.65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A-415F-973F-DA2983D535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898207"/>
        <c:axId val="38567887"/>
      </c:barChart>
      <c:lineChart>
        <c:grouping val="standard"/>
        <c:varyColors val="0"/>
        <c:ser>
          <c:idx val="3"/>
          <c:order val="3"/>
          <c:tx>
            <c:strRef>
              <c:f>Clientèle!$B$41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740822645797466E-2"/>
                  <c:y val="-4.0609129841919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7A-415F-973F-DA2983D535A8}"/>
                </c:ext>
              </c:extLst>
            </c:dLbl>
            <c:dLbl>
              <c:idx val="3"/>
              <c:layout>
                <c:manualLayout>
                  <c:x val="-3.1827215097198311E-2"/>
                  <c:y val="-2.7072753227946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C9-485D-AC8E-61720B47A45B}"/>
                </c:ext>
              </c:extLst>
            </c:dLbl>
            <c:dLbl>
              <c:idx val="4"/>
              <c:layout>
                <c:manualLayout>
                  <c:x val="-2.50070975763701E-2"/>
                  <c:y val="-2.707275322794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C9-485D-AC8E-61720B47A45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Clientèle!$C$41:$G$41</c:f>
              <c:numCache>
                <c:formatCode>#\ ##0.0</c:formatCode>
                <c:ptCount val="5"/>
                <c:pt idx="0">
                  <c:v>70.72</c:v>
                </c:pt>
                <c:pt idx="1">
                  <c:v>70.349999999999994</c:v>
                </c:pt>
                <c:pt idx="2">
                  <c:v>78.430000000000007</c:v>
                </c:pt>
                <c:pt idx="3">
                  <c:v>76.63</c:v>
                </c:pt>
                <c:pt idx="4">
                  <c:v>79.52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7A-415F-973F-DA2983D535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7898207"/>
        <c:axId val="38567887"/>
      </c:lineChart>
      <c:catAx>
        <c:axId val="37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prix moyen de l'acheminement</a:t>
            </a:r>
            <a:r>
              <a:rPr lang="fr-FR" sz="1200" b="1" baseline="0"/>
              <a:t> sur la concession (c€/kWh)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lineChart>
        <c:grouping val="standard"/>
        <c:varyColors val="0"/>
        <c:ser>
          <c:idx val="0"/>
          <c:order val="0"/>
          <c:tx>
            <c:strRef>
              <c:f>Clientèle!$B$158</c:f>
              <c:strCache>
                <c:ptCount val="1"/>
                <c:pt idx="0">
                  <c:v>Clients BT inf. 36kVA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Clientèle!$C$158:$G$158</c:f>
              <c:numCache>
                <c:formatCode>#,##0.00</c:formatCode>
                <c:ptCount val="5"/>
                <c:pt idx="0">
                  <c:v>4.7699999999999996</c:v>
                </c:pt>
                <c:pt idx="1">
                  <c:v>4.96</c:v>
                </c:pt>
                <c:pt idx="2">
                  <c:v>5.0999999999999996</c:v>
                </c:pt>
                <c:pt idx="3">
                  <c:v>5.36</c:v>
                </c:pt>
                <c:pt idx="4">
                  <c:v>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0-4EFA-9740-68D386DB051C}"/>
            </c:ext>
          </c:extLst>
        </c:ser>
        <c:ser>
          <c:idx val="1"/>
          <c:order val="1"/>
          <c:tx>
            <c:strRef>
              <c:f>Clientèle!$B$159</c:f>
              <c:strCache>
                <c:ptCount val="1"/>
                <c:pt idx="0">
                  <c:v>Clients BT sup. 36kVA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7510646364555152E-2"/>
                  <c:y val="3.8386819193089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CE0-4EFA-9740-68D386DB051C}"/>
                </c:ext>
              </c:extLst>
            </c:dLbl>
            <c:dLbl>
              <c:idx val="3"/>
              <c:layout>
                <c:manualLayout>
                  <c:x val="-3.9784018871497885E-2"/>
                  <c:y val="3.3874693655098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CB-4D51-913D-66884BBFFA38}"/>
                </c:ext>
              </c:extLst>
            </c:dLbl>
            <c:dLbl>
              <c:idx val="4"/>
              <c:layout>
                <c:manualLayout>
                  <c:x val="-4.4330763885383359E-2"/>
                  <c:y val="5.643532134505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CB-4D51-913D-66884BBFFA38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Clientèle!$C$159:$G$159</c:f>
              <c:numCache>
                <c:formatCode>#,##0.00</c:formatCode>
                <c:ptCount val="5"/>
                <c:pt idx="0">
                  <c:v>4.3099999999999996</c:v>
                </c:pt>
                <c:pt idx="1">
                  <c:v>4.55</c:v>
                </c:pt>
                <c:pt idx="2">
                  <c:v>4.6399999999999997</c:v>
                </c:pt>
                <c:pt idx="3">
                  <c:v>4.6399999999999997</c:v>
                </c:pt>
                <c:pt idx="4">
                  <c:v>5.08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0-4EFA-9740-68D386DB051C}"/>
            </c:ext>
          </c:extLst>
        </c:ser>
        <c:ser>
          <c:idx val="2"/>
          <c:order val="2"/>
          <c:tx>
            <c:strRef>
              <c:f>Clientèle!$B$160</c:f>
              <c:strCache>
                <c:ptCount val="1"/>
                <c:pt idx="0">
                  <c:v>Clients HTA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Clientèle!$C$13:$G$13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Clientèle!$C$160:$G$160</c:f>
              <c:numCache>
                <c:formatCode>#,##0.00</c:formatCode>
                <c:ptCount val="5"/>
                <c:pt idx="0">
                  <c:v>1.92</c:v>
                </c:pt>
                <c:pt idx="1">
                  <c:v>1.99</c:v>
                </c:pt>
                <c:pt idx="2">
                  <c:v>1.99</c:v>
                </c:pt>
                <c:pt idx="3">
                  <c:v>2.0299999999999998</c:v>
                </c:pt>
                <c:pt idx="4">
                  <c:v>2.21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E0-4EFA-9740-68D386DB051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898207"/>
        <c:axId val="38567887"/>
      </c:lineChart>
      <c:catAx>
        <c:axId val="37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Décomposition des recettes</a:t>
            </a:r>
            <a:r>
              <a:rPr lang="fr-FR" sz="1200" b="1" baseline="0"/>
              <a:t> </a:t>
            </a:r>
            <a:r>
              <a:rPr lang="fr-FR" sz="1200" b="1"/>
              <a:t>par typologie d'usagers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934-4705-A7E7-F82729CFC3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934-4705-A7E7-F82729CFC3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934-4705-A7E7-F82729CFC3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Clientèle!$B$38:$B$40</c:f>
              <c:strCache>
                <c:ptCount val="3"/>
                <c:pt idx="0">
                  <c:v>Clients BT inférieurs à 36 kVA</c:v>
                </c:pt>
                <c:pt idx="1">
                  <c:v>Clients BT supérieurs à 36 kVA</c:v>
                </c:pt>
                <c:pt idx="2">
                  <c:v>Clients HTA</c:v>
                </c:pt>
              </c:strCache>
            </c:strRef>
          </c:cat>
          <c:val>
            <c:numRef>
              <c:f>Clientèle!$G$38:$G$40</c:f>
              <c:numCache>
                <c:formatCode>#\ ##0.0</c:formatCode>
                <c:ptCount val="3"/>
                <c:pt idx="0">
                  <c:v>52.73</c:v>
                </c:pt>
                <c:pt idx="1">
                  <c:v>12.14</c:v>
                </c:pt>
                <c:pt idx="2">
                  <c:v>14.65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34-4705-A7E7-F82729CFC33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nombre</a:t>
            </a:r>
            <a:r>
              <a:rPr lang="fr-FR" sz="1200" b="1" baseline="0"/>
              <a:t> d'installations de production par type d'énergie  (hors PV)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Clientèle!$B$48</c:f>
              <c:strCache>
                <c:ptCount val="1"/>
                <c:pt idx="0">
                  <c:v>Hydraulique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Clientèle!$C$45:$G$45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Clientèle!$C$48:$G$48</c:f>
              <c:numCache>
                <c:formatCode>#,##0</c:formatCode>
                <c:ptCount val="5"/>
                <c:pt idx="0">
                  <c:v>17</c:v>
                </c:pt>
                <c:pt idx="1">
                  <c:v>17</c:v>
                </c:pt>
                <c:pt idx="2">
                  <c:v>0</c:v>
                </c:pt>
                <c:pt idx="3">
                  <c:v>17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E-420F-B75C-AED09961AB6F}"/>
            </c:ext>
          </c:extLst>
        </c:ser>
        <c:ser>
          <c:idx val="0"/>
          <c:order val="1"/>
          <c:tx>
            <c:strRef>
              <c:f>Clientèle!$B$47</c:f>
              <c:strCache>
                <c:ptCount val="1"/>
                <c:pt idx="0">
                  <c:v>Eolien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Clientèle!$C$45:$G$45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Clientèle!$C$47:$G$47</c:f>
              <c:numCache>
                <c:formatCode>#,##0</c:formatCode>
                <c:ptCount val="5"/>
                <c:pt idx="0">
                  <c:v>78</c:v>
                </c:pt>
                <c:pt idx="1">
                  <c:v>79</c:v>
                </c:pt>
                <c:pt idx="2">
                  <c:v>0</c:v>
                </c:pt>
                <c:pt idx="3">
                  <c:v>96</c:v>
                </c:pt>
                <c:pt idx="4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E-420F-B75C-AED09961AB6F}"/>
            </c:ext>
          </c:extLst>
        </c:ser>
        <c:ser>
          <c:idx val="2"/>
          <c:order val="2"/>
          <c:tx>
            <c:strRef>
              <c:f>Clientèle!$B$49</c:f>
              <c:strCache>
                <c:ptCount val="1"/>
                <c:pt idx="0">
                  <c:v>Autres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Clientèle!$C$45:$G$45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Clientèle!$C$49:$G$49</c:f>
              <c:numCache>
                <c:formatCode>#,##0</c:formatCode>
                <c:ptCount val="5"/>
                <c:pt idx="0">
                  <c:v>16</c:v>
                </c:pt>
                <c:pt idx="1">
                  <c:v>19</c:v>
                </c:pt>
                <c:pt idx="2">
                  <c:v>0</c:v>
                </c:pt>
                <c:pt idx="3">
                  <c:v>21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8E-420F-B75C-AED09961AB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4064639"/>
        <c:axId val="38582031"/>
      </c:barChart>
      <c:catAx>
        <c:axId val="3340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82031"/>
        <c:crosses val="autoZero"/>
        <c:auto val="1"/>
        <c:lblAlgn val="ctr"/>
        <c:lblOffset val="100"/>
        <c:noMultiLvlLbl val="0"/>
      </c:catAx>
      <c:valAx>
        <c:axId val="385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3406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nombre</a:t>
            </a:r>
            <a:r>
              <a:rPr lang="fr-FR" sz="1200" b="1" baseline="0"/>
              <a:t> total d'installations de production et part du photovoltaïque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Clientèle!$B$50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Clientèle!$C$45:$G$45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Clientèle!$C$46:$G$46</c:f>
              <c:numCache>
                <c:formatCode>#,##0</c:formatCode>
                <c:ptCount val="5"/>
                <c:pt idx="0">
                  <c:v>1683</c:v>
                </c:pt>
                <c:pt idx="1">
                  <c:v>1870</c:v>
                </c:pt>
                <c:pt idx="2">
                  <c:v>0</c:v>
                </c:pt>
                <c:pt idx="3">
                  <c:v>2687</c:v>
                </c:pt>
                <c:pt idx="4">
                  <c:v>3639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F-46A0-8914-1DD86ED1C6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34064639"/>
        <c:axId val="38582031"/>
      </c:barChart>
      <c:lineChart>
        <c:grouping val="standard"/>
        <c:varyColors val="0"/>
        <c:ser>
          <c:idx val="0"/>
          <c:order val="1"/>
          <c:tx>
            <c:strRef>
              <c:f>Clientèle!$B$52</c:f>
              <c:strCache>
                <c:ptCount val="1"/>
                <c:pt idx="0">
                  <c:v>Part PV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5844894030112465E-2"/>
                  <c:y val="-0.54475553455434034"/>
                </c:manualLayout>
              </c:layout>
              <c:numFmt formatCode="0.00%" sourceLinked="0"/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3BF-46A0-8914-1DD86ED1C664}"/>
                </c:ext>
              </c:extLst>
            </c:dLbl>
            <c:dLbl>
              <c:idx val="3"/>
              <c:layout>
                <c:manualLayout>
                  <c:x val="-5.4552376277047405E-2"/>
                  <c:y val="-0.57550786311789182"/>
                </c:manualLayout>
              </c:layout>
              <c:numFmt formatCode="0.00%" sourceLinked="0"/>
              <c:spPr>
                <a:solidFill>
                  <a:schemeClr val="accent4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870-4D01-89F7-2D1C3A5F84FE}"/>
                </c:ext>
              </c:extLst>
            </c:dLbl>
            <c:dLbl>
              <c:idx val="4"/>
              <c:layout>
                <c:manualLayout>
                  <c:x val="-4.1376043414819173E-2"/>
                  <c:y val="-0.5440942932183907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870-4D01-89F7-2D1C3A5F84FE}"/>
                </c:ext>
              </c:extLst>
            </c:dLbl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Clientèle!$C$52:$G$52</c:f>
              <c:numCache>
                <c:formatCode>0.0%</c:formatCode>
                <c:ptCount val="5"/>
                <c:pt idx="0">
                  <c:v>0.93812709030100339</c:v>
                </c:pt>
                <c:pt idx="1">
                  <c:v>0.94206549118387906</c:v>
                </c:pt>
                <c:pt idx="2">
                  <c:v>0</c:v>
                </c:pt>
                <c:pt idx="3">
                  <c:v>0.95249911378943641</c:v>
                </c:pt>
                <c:pt idx="4">
                  <c:v>0.96371822033898302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F-46A0-8914-1DD86ED1C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916783"/>
        <c:axId val="38559151"/>
      </c:lineChart>
      <c:catAx>
        <c:axId val="3340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82031"/>
        <c:crosses val="autoZero"/>
        <c:auto val="1"/>
        <c:lblAlgn val="ctr"/>
        <c:lblOffset val="100"/>
        <c:noMultiLvlLbl val="0"/>
      </c:catAx>
      <c:valAx>
        <c:axId val="385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34064639"/>
        <c:crosses val="autoZero"/>
        <c:crossBetween val="between"/>
      </c:valAx>
      <c:valAx>
        <c:axId val="38559151"/>
        <c:scaling>
          <c:orientation val="minMax"/>
        </c:scaling>
        <c:delete val="1"/>
        <c:axPos val="r"/>
        <c:numFmt formatCode="0.0%" sourceLinked="1"/>
        <c:majorTickMark val="out"/>
        <c:minorTickMark val="none"/>
        <c:tickLblPos val="nextTo"/>
        <c:crossAx val="257916783"/>
        <c:crosses val="max"/>
        <c:crossBetween val="between"/>
      </c:valAx>
      <c:catAx>
        <c:axId val="257916783"/>
        <c:scaling>
          <c:orientation val="minMax"/>
        </c:scaling>
        <c:delete val="1"/>
        <c:axPos val="b"/>
        <c:majorTickMark val="out"/>
        <c:minorTickMark val="none"/>
        <c:tickLblPos val="nextTo"/>
        <c:crossAx val="385591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Indicateurs - Raccordements</a:t>
            </a:r>
            <a:endParaRPr lang="fr-F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Clientèle!$C$165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Clientèle!$B$166:$B$169</c:f>
              <c:strCache>
                <c:ptCount val="4"/>
                <c:pt idx="0">
                  <c:v>Taux de MES des installations dans les délais catalogue</c:v>
                </c:pt>
                <c:pt idx="1">
                  <c:v>Taux devis envoyé dans les délais pour les installations de soutirage</c:v>
                </c:pt>
                <c:pt idx="2">
                  <c:v>Taux devis envoyé dans les délais pour les installations de production</c:v>
                </c:pt>
                <c:pt idx="3">
                  <c:v>Taux d'accès de l'Accueil Raccordement </c:v>
                </c:pt>
              </c:strCache>
            </c:strRef>
          </c:cat>
          <c:val>
            <c:numRef>
              <c:f>Clientèle!$C$166:$C$169</c:f>
              <c:numCache>
                <c:formatCode>0.0%</c:formatCode>
                <c:ptCount val="4"/>
                <c:pt idx="0">
                  <c:v>0.97899999999999998</c:v>
                </c:pt>
                <c:pt idx="1">
                  <c:v>0.878</c:v>
                </c:pt>
                <c:pt idx="2">
                  <c:v>0.89900000000000002</c:v>
                </c:pt>
                <c:pt idx="3">
                  <c:v>0.97399999999999998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2-4E9B-8C16-6B79255F4090}"/>
            </c:ext>
          </c:extLst>
        </c:ser>
        <c:ser>
          <c:idx val="1"/>
          <c:order val="1"/>
          <c:tx>
            <c:strRef>
              <c:f>Clientèle!$F$165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Clientèle!$B$166:$B$169</c:f>
              <c:strCache>
                <c:ptCount val="4"/>
                <c:pt idx="0">
                  <c:v>Taux de MES des installations dans les délais catalogue</c:v>
                </c:pt>
                <c:pt idx="1">
                  <c:v>Taux devis envoyé dans les délais pour les installations de soutirage</c:v>
                </c:pt>
                <c:pt idx="2">
                  <c:v>Taux devis envoyé dans les délais pour les installations de production</c:v>
                </c:pt>
                <c:pt idx="3">
                  <c:v>Taux d'accès de l'Accueil Raccordement </c:v>
                </c:pt>
              </c:strCache>
            </c:strRef>
          </c:cat>
          <c:val>
            <c:numRef>
              <c:f>Clientèle!$F$166:$F$169</c:f>
              <c:numCache>
                <c:formatCode>0.0%</c:formatCode>
                <c:ptCount val="4"/>
                <c:pt idx="0">
                  <c:v>0.98799999999999999</c:v>
                </c:pt>
                <c:pt idx="1">
                  <c:v>0.96299999999999997</c:v>
                </c:pt>
                <c:pt idx="2">
                  <c:v>0.76500000000000001</c:v>
                </c:pt>
                <c:pt idx="3">
                  <c:v>0.998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2-4E9B-8C16-6B79255F4090}"/>
            </c:ext>
          </c:extLst>
        </c:ser>
        <c:ser>
          <c:idx val="2"/>
          <c:order val="2"/>
          <c:tx>
            <c:strRef>
              <c:f>Clientèle!$G$165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Clientèle!$B$166:$B$169</c:f>
              <c:strCache>
                <c:ptCount val="4"/>
                <c:pt idx="0">
                  <c:v>Taux de MES des installations dans les délais catalogue</c:v>
                </c:pt>
                <c:pt idx="1">
                  <c:v>Taux devis envoyé dans les délais pour les installations de soutirage</c:v>
                </c:pt>
                <c:pt idx="2">
                  <c:v>Taux devis envoyé dans les délais pour les installations de production</c:v>
                </c:pt>
                <c:pt idx="3">
                  <c:v>Taux d'accès de l'Accueil Raccordement </c:v>
                </c:pt>
              </c:strCache>
            </c:strRef>
          </c:cat>
          <c:val>
            <c:numRef>
              <c:f>Clientèle!$G$166:$G$169</c:f>
              <c:numCache>
                <c:formatCode>0.0%</c:formatCode>
                <c:ptCount val="4"/>
                <c:pt idx="0">
                  <c:v>0.98199999999999998</c:v>
                </c:pt>
                <c:pt idx="1">
                  <c:v>0.96899999999999997</c:v>
                </c:pt>
                <c:pt idx="2">
                  <c:v>0.71199999999999997</c:v>
                </c:pt>
                <c:pt idx="3">
                  <c:v>0.999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2-4E9B-8C16-6B79255F40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51669343"/>
        <c:axId val="38535855"/>
      </c:barChart>
      <c:catAx>
        <c:axId val="251669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35855"/>
        <c:crosses val="autoZero"/>
        <c:auto val="1"/>
        <c:lblAlgn val="ctr"/>
        <c:lblOffset val="100"/>
        <c:noMultiLvlLbl val="0"/>
      </c:catAx>
      <c:valAx>
        <c:axId val="3853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16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du délai moyen de production d'un devis de raccordement (jours)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1698604618385748E-2"/>
          <c:y val="0.27902094487932683"/>
          <c:w val="0.91900154846649806"/>
          <c:h val="0.48126369922560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Clientèle!$B$174</c:f>
              <c:strCache>
                <c:ptCount val="1"/>
                <c:pt idx="0">
                  <c:v>Installations de soutirage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Clientèle!$C$173:$G$173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Clientèle!$C$174:$G$174</c:f>
              <c:numCache>
                <c:formatCode>0</c:formatCode>
                <c:ptCount val="5"/>
                <c:pt idx="0">
                  <c:v>18</c:v>
                </c:pt>
                <c:pt idx="1">
                  <c:v>16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8-49A5-AA3F-87732F5769F5}"/>
            </c:ext>
          </c:extLst>
        </c:ser>
        <c:ser>
          <c:idx val="1"/>
          <c:order val="1"/>
          <c:tx>
            <c:strRef>
              <c:f>Clientèle!$B$175</c:f>
              <c:strCache>
                <c:ptCount val="1"/>
                <c:pt idx="0">
                  <c:v>Installations de production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Clientèle!$C$173:$G$173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Clientèle!$C$175:$G$175</c:f>
              <c:numCache>
                <c:formatCode>0</c:formatCode>
                <c:ptCount val="5"/>
                <c:pt idx="0">
                  <c:v>8</c:v>
                </c:pt>
                <c:pt idx="1">
                  <c:v>41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8-49A5-AA3F-87732F5769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34896415"/>
        <c:axId val="38554991"/>
      </c:barChart>
      <c:catAx>
        <c:axId val="33489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54991"/>
        <c:crosses val="autoZero"/>
        <c:auto val="1"/>
        <c:lblAlgn val="ctr"/>
        <c:lblOffset val="100"/>
        <c:noMultiLvlLbl val="0"/>
      </c:catAx>
      <c:valAx>
        <c:axId val="38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3489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nombre de raccordements en soutirage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Clientèle!$B$186</c:f>
              <c:strCache>
                <c:ptCount val="1"/>
                <c:pt idx="0">
                  <c:v>Nombre de raccordement C5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Clientèle!$C$186:$G$186</c:f>
              <c:numCache>
                <c:formatCode>0%</c:formatCode>
                <c:ptCount val="5"/>
                <c:pt idx="0">
                  <c:v>878</c:v>
                </c:pt>
                <c:pt idx="1">
                  <c:v>784</c:v>
                </c:pt>
                <c:pt idx="2">
                  <c:v>892</c:v>
                </c:pt>
                <c:pt idx="3">
                  <c:v>946</c:v>
                </c:pt>
                <c:pt idx="4">
                  <c:v>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3-456F-AF14-1969F6393DDE}"/>
            </c:ext>
          </c:extLst>
        </c:ser>
        <c:ser>
          <c:idx val="1"/>
          <c:order val="1"/>
          <c:tx>
            <c:strRef>
              <c:f>Clientèle!$B$187</c:f>
              <c:strCache>
                <c:ptCount val="1"/>
                <c:pt idx="0">
                  <c:v>Dont racc. Ind. Sans adaptation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Clientèle!$C$187:$G$187</c:f>
              <c:numCache>
                <c:formatCode>0</c:formatCode>
                <c:ptCount val="5"/>
                <c:pt idx="0">
                  <c:v>712</c:v>
                </c:pt>
                <c:pt idx="1">
                  <c:v>679</c:v>
                </c:pt>
                <c:pt idx="2">
                  <c:v>775</c:v>
                </c:pt>
                <c:pt idx="3">
                  <c:v>805</c:v>
                </c:pt>
                <c:pt idx="4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3-456F-AF14-1969F6393DDE}"/>
            </c:ext>
          </c:extLst>
        </c:ser>
        <c:ser>
          <c:idx val="2"/>
          <c:order val="2"/>
          <c:tx>
            <c:strRef>
              <c:f>Clientèle!$B$188</c:f>
              <c:strCache>
                <c:ptCount val="1"/>
                <c:pt idx="0">
                  <c:v>Dont racc. Coll. Sans adaptation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Clientèle!$C$188:$G$188</c:f>
              <c:numCache>
                <c:formatCode>0</c:formatCode>
                <c:ptCount val="5"/>
                <c:pt idx="0">
                  <c:v>7</c:v>
                </c:pt>
                <c:pt idx="1">
                  <c:v>6</c:v>
                </c:pt>
                <c:pt idx="2">
                  <c:v>13</c:v>
                </c:pt>
                <c:pt idx="3">
                  <c:v>20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23-456F-AF14-1969F6393DDE}"/>
            </c:ext>
          </c:extLst>
        </c:ser>
        <c:ser>
          <c:idx val="3"/>
          <c:order val="3"/>
          <c:tx>
            <c:strRef>
              <c:f>Clientèle!$B$189</c:f>
              <c:strCache>
                <c:ptCount val="1"/>
                <c:pt idx="0">
                  <c:v>Dont racc. Ind. Ou Coll. Avec adaptation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Clientèle!$C$189:$G$189</c:f>
              <c:numCache>
                <c:formatCode>0</c:formatCode>
                <c:ptCount val="5"/>
                <c:pt idx="0">
                  <c:v>159</c:v>
                </c:pt>
                <c:pt idx="1">
                  <c:v>99</c:v>
                </c:pt>
                <c:pt idx="2">
                  <c:v>104</c:v>
                </c:pt>
                <c:pt idx="3">
                  <c:v>121</c:v>
                </c:pt>
                <c:pt idx="4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23-456F-AF14-1969F6393DDE}"/>
            </c:ext>
          </c:extLst>
        </c:ser>
        <c:ser>
          <c:idx val="4"/>
          <c:order val="4"/>
          <c:tx>
            <c:strRef>
              <c:f>Clientèle!$B$190</c:f>
              <c:strCache>
                <c:ptCount val="1"/>
                <c:pt idx="0">
                  <c:v>Nombre de raccordement C4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Clientèle!$C$190:$G$190</c:f>
              <c:numCache>
                <c:formatCode>0</c:formatCode>
                <c:ptCount val="5"/>
                <c:pt idx="0">
                  <c:v>38</c:v>
                </c:pt>
                <c:pt idx="1">
                  <c:v>32</c:v>
                </c:pt>
                <c:pt idx="2">
                  <c:v>27</c:v>
                </c:pt>
                <c:pt idx="3">
                  <c:v>44</c:v>
                </c:pt>
                <c:pt idx="4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23-456F-AF14-1969F6393DDE}"/>
            </c:ext>
          </c:extLst>
        </c:ser>
        <c:ser>
          <c:idx val="5"/>
          <c:order val="5"/>
          <c:tx>
            <c:strRef>
              <c:f>Clientèle!$B$191</c:f>
              <c:strCache>
                <c:ptCount val="1"/>
                <c:pt idx="0">
                  <c:v>Nombre de raccordement C1-C2-C3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Clientèle!$C$185:$G$185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Clientèle!$C$191:$G$191</c:f>
              <c:numCache>
                <c:formatCode>0</c:formatCode>
                <c:ptCount val="5"/>
                <c:pt idx="0">
                  <c:v>14</c:v>
                </c:pt>
                <c:pt idx="1">
                  <c:v>13</c:v>
                </c:pt>
                <c:pt idx="2">
                  <c:v>5</c:v>
                </c:pt>
                <c:pt idx="3">
                  <c:v>11</c:v>
                </c:pt>
                <c:pt idx="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23-456F-AF14-1969F639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189279"/>
        <c:axId val="38559567"/>
      </c:lineChart>
      <c:catAx>
        <c:axId val="25018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559567"/>
        <c:crosses val="autoZero"/>
        <c:auto val="1"/>
        <c:lblAlgn val="ctr"/>
        <c:lblOffset val="100"/>
        <c:noMultiLvlLbl val="0"/>
      </c:catAx>
      <c:valAx>
        <c:axId val="385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5018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de la répartition des réclamations Enedis par nature </a:t>
            </a:r>
            <a:endParaRPr lang="fr-FR" sz="1200" b="1"/>
          </a:p>
        </c:rich>
      </c:tx>
      <c:layout>
        <c:manualLayout>
          <c:xMode val="edge"/>
          <c:yMode val="edge"/>
          <c:x val="0.1123492769216984"/>
          <c:y val="2.47218788627935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Clientèle!$B$95</c:f>
              <c:strCache>
                <c:ptCount val="1"/>
                <c:pt idx="0">
                  <c:v>Accueil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Clientèle!$C$95:$G$95</c:f>
              <c:numCache>
                <c:formatCode>#,##0</c:formatCode>
                <c:ptCount val="5"/>
                <c:pt idx="0">
                  <c:v>10</c:v>
                </c:pt>
                <c:pt idx="1">
                  <c:v>14</c:v>
                </c:pt>
                <c:pt idx="2">
                  <c:v>0</c:v>
                </c:pt>
                <c:pt idx="3">
                  <c:v>19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1-45E5-9202-3D2642FE3E2F}"/>
            </c:ext>
          </c:extLst>
        </c:ser>
        <c:ser>
          <c:idx val="1"/>
          <c:order val="1"/>
          <c:tx>
            <c:strRef>
              <c:f>Clientèle!$B$96</c:f>
              <c:strCache>
                <c:ptCount val="1"/>
                <c:pt idx="0">
                  <c:v>Interventions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Clientèle!$C$96:$G$96</c:f>
              <c:numCache>
                <c:formatCode>#,##0</c:formatCode>
                <c:ptCount val="5"/>
                <c:pt idx="0">
                  <c:v>507</c:v>
                </c:pt>
                <c:pt idx="1">
                  <c:v>734</c:v>
                </c:pt>
                <c:pt idx="2">
                  <c:v>0</c:v>
                </c:pt>
                <c:pt idx="3">
                  <c:v>0</c:v>
                </c:pt>
                <c:pt idx="4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1-45E5-9202-3D2642FE3E2F}"/>
            </c:ext>
          </c:extLst>
        </c:ser>
        <c:ser>
          <c:idx val="2"/>
          <c:order val="2"/>
          <c:tx>
            <c:strRef>
              <c:f>Clientèle!$B$97</c:f>
              <c:strCache>
                <c:ptCount val="1"/>
                <c:pt idx="0">
                  <c:v>Qualité du réseau public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Clientèle!$C$97:$G$97</c:f>
              <c:numCache>
                <c:formatCode>#,##0</c:formatCode>
                <c:ptCount val="5"/>
                <c:pt idx="0">
                  <c:v>232</c:v>
                </c:pt>
                <c:pt idx="1">
                  <c:v>222</c:v>
                </c:pt>
                <c:pt idx="2">
                  <c:v>0</c:v>
                </c:pt>
                <c:pt idx="3">
                  <c:v>0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1-45E5-9202-3D2642FE3E2F}"/>
            </c:ext>
          </c:extLst>
        </c:ser>
        <c:ser>
          <c:idx val="3"/>
          <c:order val="3"/>
          <c:tx>
            <c:strRef>
              <c:f>Clientèle!$B$98</c:f>
              <c:strCache>
                <c:ptCount val="1"/>
                <c:pt idx="0">
                  <c:v>Raccordements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Clientèle!$C$98:$G$98</c:f>
              <c:numCache>
                <c:formatCode>#,##0</c:formatCode>
                <c:ptCount val="5"/>
                <c:pt idx="0">
                  <c:v>111</c:v>
                </c:pt>
                <c:pt idx="1">
                  <c:v>79</c:v>
                </c:pt>
                <c:pt idx="2">
                  <c:v>0</c:v>
                </c:pt>
                <c:pt idx="3">
                  <c:v>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1-45E5-9202-3D2642FE3E2F}"/>
            </c:ext>
          </c:extLst>
        </c:ser>
        <c:ser>
          <c:idx val="4"/>
          <c:order val="4"/>
          <c:tx>
            <c:strRef>
              <c:f>Clientèle!$B$99</c:f>
              <c:strCache>
                <c:ptCount val="1"/>
                <c:pt idx="0">
                  <c:v>Relève et facturation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Clientèle!$C$99:$G$99</c:f>
              <c:numCache>
                <c:formatCode>#,##0</c:formatCode>
                <c:ptCount val="5"/>
                <c:pt idx="0">
                  <c:v>584</c:v>
                </c:pt>
                <c:pt idx="1">
                  <c:v>760</c:v>
                </c:pt>
                <c:pt idx="2">
                  <c:v>0</c:v>
                </c:pt>
                <c:pt idx="3">
                  <c:v>0</c:v>
                </c:pt>
                <c:pt idx="4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E1-45E5-9202-3D2642FE3E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9539839"/>
        <c:axId val="2013235280"/>
      </c:barChart>
      <c:lineChart>
        <c:grouping val="stacked"/>
        <c:varyColors val="0"/>
        <c:ser>
          <c:idx val="5"/>
          <c:order val="5"/>
          <c:tx>
            <c:strRef>
              <c:f>Clientèle!$B$100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Clientèle!$C$100:$G$100</c:f>
              <c:numCache>
                <c:formatCode>#,##0</c:formatCode>
                <c:ptCount val="5"/>
                <c:pt idx="0">
                  <c:v>1444</c:v>
                </c:pt>
                <c:pt idx="1">
                  <c:v>1809</c:v>
                </c:pt>
                <c:pt idx="2">
                  <c:v>0</c:v>
                </c:pt>
                <c:pt idx="3">
                  <c:v>982</c:v>
                </c:pt>
                <c:pt idx="4">
                  <c:v>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8-45BD-843B-0DB340137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39839"/>
        <c:axId val="2013235280"/>
      </c:lineChart>
      <c:catAx>
        <c:axId val="26953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235280"/>
        <c:crosses val="autoZero"/>
        <c:auto val="1"/>
        <c:lblAlgn val="ctr"/>
        <c:lblOffset val="100"/>
        <c:noMultiLvlLbl val="0"/>
      </c:catAx>
      <c:valAx>
        <c:axId val="20132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953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du nombre de réclamations EDF par nature </a:t>
            </a:r>
            <a:endParaRPr lang="fr-FR" sz="1200" b="1"/>
          </a:p>
        </c:rich>
      </c:tx>
      <c:layout>
        <c:manualLayout>
          <c:xMode val="edge"/>
          <c:yMode val="edge"/>
          <c:x val="0.22507631304217871"/>
          <c:y val="1.605014723166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Clientèle!$B$105</c:f>
              <c:strCache>
                <c:ptCount val="1"/>
                <c:pt idx="0">
                  <c:v>Accueil</c:v>
                </c:pt>
              </c:strCache>
            </c:strRef>
          </c:tx>
          <c:spPr>
            <a:solidFill>
              <a:schemeClr val="accent1">
                <a:shade val="4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Clientèle!$C$105:$G$105</c:f>
              <c:numCache>
                <c:formatCode>#,##0</c:formatCode>
                <c:ptCount val="5"/>
                <c:pt idx="0">
                  <c:v>245</c:v>
                </c:pt>
                <c:pt idx="1">
                  <c:v>345</c:v>
                </c:pt>
                <c:pt idx="2">
                  <c:v>432</c:v>
                </c:pt>
                <c:pt idx="3">
                  <c:v>500</c:v>
                </c:pt>
                <c:pt idx="4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D-4E1D-9F17-42FFA9D4F175}"/>
            </c:ext>
          </c:extLst>
        </c:ser>
        <c:ser>
          <c:idx val="1"/>
          <c:order val="1"/>
          <c:tx>
            <c:strRef>
              <c:f>Clientèle!$B$106</c:f>
              <c:strCache>
                <c:ptCount val="1"/>
                <c:pt idx="0">
                  <c:v>Conseil et service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Clientèle!$C$106:$G$106</c:f>
              <c:numCache>
                <c:formatCode>#,##0</c:formatCode>
                <c:ptCount val="5"/>
                <c:pt idx="0">
                  <c:v>23</c:v>
                </c:pt>
                <c:pt idx="1">
                  <c:v>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D-4E1D-9F17-42FFA9D4F175}"/>
            </c:ext>
          </c:extLst>
        </c:ser>
        <c:ser>
          <c:idx val="2"/>
          <c:order val="2"/>
          <c:tx>
            <c:strRef>
              <c:f>Clientèle!$B$107</c:f>
              <c:strCache>
                <c:ptCount val="1"/>
                <c:pt idx="0">
                  <c:v>Contrat </c:v>
                </c:pt>
              </c:strCache>
            </c:strRef>
          </c:tx>
          <c:spPr>
            <a:solidFill>
              <a:schemeClr val="accent1">
                <a:shade val="7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Clientèle!$C$107:$G$107</c:f>
              <c:numCache>
                <c:formatCode>#,##0</c:formatCode>
                <c:ptCount val="5"/>
                <c:pt idx="0">
                  <c:v>371</c:v>
                </c:pt>
                <c:pt idx="1">
                  <c:v>419</c:v>
                </c:pt>
                <c:pt idx="2">
                  <c:v>532</c:v>
                </c:pt>
                <c:pt idx="3">
                  <c:v>446</c:v>
                </c:pt>
                <c:pt idx="4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2D-4E1D-9F17-42FFA9D4F175}"/>
            </c:ext>
          </c:extLst>
        </c:ser>
        <c:ser>
          <c:idx val="3"/>
          <c:order val="3"/>
          <c:tx>
            <c:strRef>
              <c:f>Clientèle!$B$108</c:f>
              <c:strCache>
                <c:ptCount val="1"/>
                <c:pt idx="0">
                  <c:v>Facturation 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Clientèle!$C$108:$G$108</c:f>
              <c:numCache>
                <c:formatCode>#,##0</c:formatCode>
                <c:ptCount val="5"/>
                <c:pt idx="0">
                  <c:v>685</c:v>
                </c:pt>
                <c:pt idx="1">
                  <c:v>892</c:v>
                </c:pt>
                <c:pt idx="2">
                  <c:v>1006</c:v>
                </c:pt>
                <c:pt idx="3">
                  <c:v>880</c:v>
                </c:pt>
                <c:pt idx="4">
                  <c:v>1219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2D-4E1D-9F17-42FFA9D4F175}"/>
            </c:ext>
          </c:extLst>
        </c:ser>
        <c:ser>
          <c:idx val="4"/>
          <c:order val="4"/>
          <c:tx>
            <c:strRef>
              <c:f>Clientèle!$B$109</c:f>
              <c:strCache>
                <c:ptCount val="1"/>
                <c:pt idx="0">
                  <c:v>Qualité de fourniture et réseau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Clientèle!$C$109:$G$109</c:f>
              <c:numCache>
                <c:formatCode>#,##0</c:formatCode>
                <c:ptCount val="5"/>
                <c:pt idx="0">
                  <c:v>96</c:v>
                </c:pt>
                <c:pt idx="1">
                  <c:v>77</c:v>
                </c:pt>
                <c:pt idx="2">
                  <c:v>66</c:v>
                </c:pt>
                <c:pt idx="3">
                  <c:v>54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2D-4E1D-9F17-42FFA9D4F175}"/>
            </c:ext>
          </c:extLst>
        </c:ser>
        <c:ser>
          <c:idx val="5"/>
          <c:order val="5"/>
          <c:tx>
            <c:strRef>
              <c:f>Clientèle!$B$110</c:f>
              <c:strCache>
                <c:ptCount val="1"/>
                <c:pt idx="0">
                  <c:v>Recouvrement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Clientèle!$C$110:$G$110</c:f>
              <c:numCache>
                <c:formatCode>#,##0</c:formatCode>
                <c:ptCount val="5"/>
                <c:pt idx="0">
                  <c:v>622</c:v>
                </c:pt>
                <c:pt idx="1">
                  <c:v>644</c:v>
                </c:pt>
                <c:pt idx="2">
                  <c:v>707</c:v>
                </c:pt>
                <c:pt idx="3">
                  <c:v>558</c:v>
                </c:pt>
                <c:pt idx="4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2D-4E1D-9F17-42FFA9D4F175}"/>
            </c:ext>
          </c:extLst>
        </c:ser>
        <c:ser>
          <c:idx val="6"/>
          <c:order val="6"/>
          <c:tx>
            <c:strRef>
              <c:f>Clientèle!$B$111</c:f>
              <c:strCache>
                <c:ptCount val="1"/>
                <c:pt idx="0">
                  <c:v>Relation avec le distributeur </c:v>
                </c:pt>
              </c:strCache>
            </c:strRef>
          </c:tx>
          <c:spPr>
            <a:solidFill>
              <a:schemeClr val="accent1">
                <a:tint val="7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Clientèle!$C$111:$G$111</c:f>
              <c:numCache>
                <c:formatCode>#,##0</c:formatCode>
                <c:ptCount val="5"/>
                <c:pt idx="0">
                  <c:v>49</c:v>
                </c:pt>
                <c:pt idx="1">
                  <c:v>96</c:v>
                </c:pt>
                <c:pt idx="2">
                  <c:v>155</c:v>
                </c:pt>
                <c:pt idx="3">
                  <c:v>143</c:v>
                </c:pt>
                <c:pt idx="4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2D-4E1D-9F17-42FFA9D4F175}"/>
            </c:ext>
          </c:extLst>
        </c:ser>
        <c:ser>
          <c:idx val="7"/>
          <c:order val="7"/>
          <c:tx>
            <c:strRef>
              <c:f>Clientèle!$B$112</c:f>
              <c:strCache>
                <c:ptCount val="1"/>
                <c:pt idx="0">
                  <c:v>Relève 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Clientèle!$C$94:$G$94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Clientèle!$C$112:$G$112</c:f>
              <c:numCache>
                <c:formatCode>#,##0</c:formatCode>
                <c:ptCount val="5"/>
                <c:pt idx="0">
                  <c:v>208</c:v>
                </c:pt>
                <c:pt idx="1">
                  <c:v>175</c:v>
                </c:pt>
                <c:pt idx="2">
                  <c:v>84</c:v>
                </c:pt>
                <c:pt idx="3">
                  <c:v>81</c:v>
                </c:pt>
                <c:pt idx="4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2D-4E1D-9F17-42FFA9D4F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539839"/>
        <c:axId val="2013235280"/>
      </c:barChart>
      <c:lineChart>
        <c:grouping val="standard"/>
        <c:varyColors val="0"/>
        <c:ser>
          <c:idx val="8"/>
          <c:order val="8"/>
          <c:tx>
            <c:strRef>
              <c:f>Clientèle!$B$113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Clientèle!$C$113:$G$113</c:f>
              <c:numCache>
                <c:formatCode>#,##0</c:formatCode>
                <c:ptCount val="5"/>
                <c:pt idx="0">
                  <c:v>2299</c:v>
                </c:pt>
                <c:pt idx="1">
                  <c:v>2660</c:v>
                </c:pt>
                <c:pt idx="2">
                  <c:v>2982</c:v>
                </c:pt>
                <c:pt idx="3">
                  <c:v>2662</c:v>
                </c:pt>
                <c:pt idx="4">
                  <c:v>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E-42B0-91A7-ADD32317B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539839"/>
        <c:axId val="2013235280"/>
      </c:lineChart>
      <c:catAx>
        <c:axId val="26953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235280"/>
        <c:crosses val="autoZero"/>
        <c:auto val="1"/>
        <c:lblAlgn val="ctr"/>
        <c:lblOffset val="100"/>
        <c:noMultiLvlLbl val="0"/>
      </c:catAx>
      <c:valAx>
        <c:axId val="20132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6953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taux</a:t>
            </a:r>
            <a:r>
              <a:rPr lang="fr-FR" sz="1200" b="1" baseline="0"/>
              <a:t> de réponse d'Enedis aux réclamations dans le délai de 15 jours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Clientèle!$B$118</c:f>
              <c:strCache>
                <c:ptCount val="1"/>
                <c:pt idx="0">
                  <c:v>Taux de réponse sous 15 jours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Clientèle!$C$117:$G$117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Clientèle!$C$118:$G$118</c:f>
              <c:numCache>
                <c:formatCode>0.0%</c:formatCode>
                <c:ptCount val="5"/>
                <c:pt idx="0">
                  <c:v>0.96879999999999999</c:v>
                </c:pt>
                <c:pt idx="1">
                  <c:v>0.98450000000000004</c:v>
                </c:pt>
                <c:pt idx="2">
                  <c:v>0</c:v>
                </c:pt>
                <c:pt idx="3">
                  <c:v>0.98470000000000002</c:v>
                </c:pt>
                <c:pt idx="4">
                  <c:v>0.99339999999999995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0-44EF-87DA-A184B07505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2594735"/>
        <c:axId val="201319576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Clientèle!$B$119</c15:sqref>
                        </c15:formulaRef>
                      </c:ext>
                    </c:extLst>
                    <c:strCache>
                      <c:ptCount val="1"/>
                      <c:pt idx="0">
                        <c:v>Taux de réponse sous 30 jours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Clientèle!$C$117:$G$117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Clientèle!$C$119:$G$119</c15:sqref>
                        </c15:formulaRef>
                      </c:ext>
                    </c:extLst>
                    <c:numCache>
                      <c:formatCode>0.0%</c:formatCode>
                      <c:ptCount val="5"/>
                      <c:pt idx="0">
                        <c:v>0.99719999999999998</c:v>
                      </c:pt>
                      <c:pt idx="1">
                        <c:v>0.995</c:v>
                      </c:pt>
                      <c:pt idx="2">
                        <c:v>0</c:v>
                      </c:pt>
                      <c:pt idx="3">
                        <c:v>0.99590000000000001</c:v>
                      </c:pt>
                      <c:pt idx="4">
                        <c:v>0.99780000000000002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1E0-44EF-87DA-A184B075057A}"/>
                  </c:ext>
                </c:extLst>
              </c15:ser>
            </c15:filteredBarSeries>
          </c:ext>
        </c:extLst>
      </c:barChart>
      <c:catAx>
        <c:axId val="51259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195760"/>
        <c:crosses val="autoZero"/>
        <c:auto val="1"/>
        <c:lblAlgn val="ctr"/>
        <c:lblOffset val="100"/>
        <c:noMultiLvlLbl val="0"/>
      </c:catAx>
      <c:valAx>
        <c:axId val="20131957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259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du taux</a:t>
            </a:r>
            <a:r>
              <a:rPr lang="fr-FR" sz="1200" b="1" baseline="0"/>
              <a:t> de réponse d'EDF aux réclamations dans les délais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58884810364848"/>
          <c:y val="0.2152163820630667"/>
          <c:w val="0.87460646650423257"/>
          <c:h val="0.5919301184345375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Clientèle!$B$125</c:f>
              <c:strCache>
                <c:ptCount val="1"/>
                <c:pt idx="0">
                  <c:v>Taux de réponse sous 30 jours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Clientèle!$C$117:$G$117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Clientèle!$C$125:$G$125</c:f>
              <c:numCache>
                <c:formatCode>0.0%</c:formatCode>
                <c:ptCount val="5"/>
                <c:pt idx="0">
                  <c:v>0.95040000000000002</c:v>
                </c:pt>
                <c:pt idx="1">
                  <c:v>0.75639999999999996</c:v>
                </c:pt>
                <c:pt idx="2">
                  <c:v>0.95309999999999995</c:v>
                </c:pt>
                <c:pt idx="3">
                  <c:v>0.95299999999999996</c:v>
                </c:pt>
                <c:pt idx="4">
                  <c:v>0.94310000000000005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2F-450B-AFDF-36350A47DB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2594735"/>
        <c:axId val="20131957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Clientèle!$B$124</c15:sqref>
                        </c15:formulaRef>
                      </c:ext>
                    </c:extLst>
                    <c:strCache>
                      <c:ptCount val="1"/>
                      <c:pt idx="0">
                        <c:v>Taux de réponse sous 15 jours</c:v>
                      </c:pt>
                    </c:strCache>
                  </c:strRef>
                </c:tx>
                <c:spPr>
                  <a:solidFill>
                    <a:schemeClr val="accent1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fr-FR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Clientèle!$C$117:$G$117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Clientèle!$C$124:$G$124</c15:sqref>
                        </c15:formulaRef>
                      </c:ext>
                    </c:extLst>
                    <c:numCache>
                      <c:formatCode>0.0%</c:formatCode>
                      <c:ptCount val="5"/>
                      <c:pt idx="0">
                        <c:v>0.91820000000000002</c:v>
                      </c:pt>
                      <c:pt idx="1">
                        <c:v>0.70409999999999995</c:v>
                      </c:pt>
                      <c:pt idx="2">
                        <c:v>0.57340000000000002</c:v>
                      </c:pt>
                      <c:pt idx="3">
                        <c:v>0.62660000000000005</c:v>
                      </c:pt>
                      <c:pt idx="4">
                        <c:v>0.81769999999999998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2F-450B-AFDF-36350A47DB2D}"/>
                  </c:ext>
                </c:extLst>
              </c15:ser>
            </c15:filteredBarSeries>
          </c:ext>
        </c:extLst>
      </c:barChart>
      <c:catAx>
        <c:axId val="51259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195760"/>
        <c:crosses val="autoZero"/>
        <c:auto val="1"/>
        <c:lblAlgn val="ctr"/>
        <c:lblOffset val="100"/>
        <c:noMultiLvlLbl val="0"/>
      </c:catAx>
      <c:valAx>
        <c:axId val="201319576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259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Nombre de contrat</a:t>
            </a:r>
            <a:r>
              <a:rPr lang="fr-FR" sz="1200" b="1" baseline="0"/>
              <a:t>s au tarif réglementé de vente sur la concession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Clientèle!$B$55</c:f>
              <c:strCache>
                <c:ptCount val="1"/>
                <c:pt idx="0">
                  <c:v>Tarif bleu résidentiel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Clientèle!$C$55:$G$55</c:f>
              <c:numCache>
                <c:formatCode>#,##0</c:formatCode>
                <c:ptCount val="5"/>
                <c:pt idx="0">
                  <c:v>121324</c:v>
                </c:pt>
                <c:pt idx="1">
                  <c:v>114818</c:v>
                </c:pt>
                <c:pt idx="2">
                  <c:v>105828</c:v>
                </c:pt>
                <c:pt idx="3">
                  <c:v>0</c:v>
                </c:pt>
                <c:pt idx="4">
                  <c:v>101866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0-48A3-A302-E6A312CE1032}"/>
            </c:ext>
          </c:extLst>
        </c:ser>
        <c:ser>
          <c:idx val="1"/>
          <c:order val="1"/>
          <c:tx>
            <c:strRef>
              <c:f>Clientèle!$B$56</c:f>
              <c:strCache>
                <c:ptCount val="1"/>
                <c:pt idx="0">
                  <c:v>Tarif bleu non-résidentiel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Clientèle!$C$56:$G$56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0-48A3-A302-E6A312CE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477247"/>
        <c:axId val="492094319"/>
      </c:barChart>
      <c:lineChart>
        <c:grouping val="standard"/>
        <c:varyColors val="0"/>
        <c:ser>
          <c:idx val="2"/>
          <c:order val="2"/>
          <c:tx>
            <c:strRef>
              <c:f>Clientèle!$B$57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1550131233595801E-2"/>
                  <c:y val="-3.303834194349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50-48A3-A302-E6A312CE1032}"/>
                </c:ext>
              </c:extLst>
            </c:dLbl>
            <c:dLbl>
              <c:idx val="3"/>
              <c:layout>
                <c:manualLayout>
                  <c:x val="-5.1550131233595885E-2"/>
                  <c:y val="-4.24778682130642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CCE-44DC-8401-672E449DE19E}"/>
                </c:ext>
              </c:extLst>
            </c:dLbl>
            <c:dLbl>
              <c:idx val="4"/>
              <c:layout>
                <c:manualLayout>
                  <c:x val="-5.1550131233595801E-2"/>
                  <c:y val="-3.7758105078279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CE-44DC-8401-672E449DE1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Clientèle!$C$57:$G$57</c:f>
              <c:numCache>
                <c:formatCode>#,##0</c:formatCode>
                <c:ptCount val="5"/>
                <c:pt idx="0">
                  <c:v>121324</c:v>
                </c:pt>
                <c:pt idx="1">
                  <c:v>114818</c:v>
                </c:pt>
                <c:pt idx="2">
                  <c:v>105828</c:v>
                </c:pt>
                <c:pt idx="3">
                  <c:v>0</c:v>
                </c:pt>
                <c:pt idx="4">
                  <c:v>101866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50-48A3-A302-E6A312CE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77247"/>
        <c:axId val="492094319"/>
      </c:lineChart>
      <c:catAx>
        <c:axId val="54147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94319"/>
        <c:crosses val="autoZero"/>
        <c:auto val="1"/>
        <c:lblAlgn val="ctr"/>
        <c:lblOffset val="100"/>
        <c:noMultiLvlLbl val="0"/>
      </c:catAx>
      <c:valAx>
        <c:axId val="4920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147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 l'énergie vendue au</a:t>
            </a:r>
            <a:r>
              <a:rPr lang="fr-FR" sz="1200" b="1" baseline="0"/>
              <a:t> tarif réglementé de vente (GWh)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Clientèle!$B$74</c:f>
              <c:strCache>
                <c:ptCount val="1"/>
                <c:pt idx="0">
                  <c:v>Tarif bleu résidentiel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Clientèle!$C$74:$G$74</c:f>
              <c:numCache>
                <c:formatCode>#,##0</c:formatCode>
                <c:ptCount val="5"/>
                <c:pt idx="0">
                  <c:v>665.96</c:v>
                </c:pt>
                <c:pt idx="1">
                  <c:v>614.01</c:v>
                </c:pt>
                <c:pt idx="2">
                  <c:v>569.95000000000005</c:v>
                </c:pt>
                <c:pt idx="3">
                  <c:v>0</c:v>
                </c:pt>
                <c:pt idx="4">
                  <c:v>510.73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4-49B4-9189-F0ED0ABD9CCE}"/>
            </c:ext>
          </c:extLst>
        </c:ser>
        <c:ser>
          <c:idx val="1"/>
          <c:order val="1"/>
          <c:tx>
            <c:strRef>
              <c:f>Clientèle!$B$75</c:f>
              <c:strCache>
                <c:ptCount val="1"/>
                <c:pt idx="0">
                  <c:v>Tarif bleu non-résidentiel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Clientèle!$C$75:$G$75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4-49B4-9189-F0ED0ABD9C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1477247"/>
        <c:axId val="492094319"/>
      </c:barChart>
      <c:lineChart>
        <c:grouping val="standard"/>
        <c:varyColors val="0"/>
        <c:ser>
          <c:idx val="2"/>
          <c:order val="2"/>
          <c:tx>
            <c:strRef>
              <c:f>Clientèle!$B$76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3333333333333375E-2"/>
                  <c:y val="-4.24778682130642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E4-49B4-9189-F0ED0ABD9CCE}"/>
                </c:ext>
              </c:extLst>
            </c:dLbl>
            <c:dLbl>
              <c:idx val="3"/>
              <c:layout>
                <c:manualLayout>
                  <c:x val="-3.3333333333333333E-2"/>
                  <c:y val="-5.66371576174190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6DA-4ACC-9B62-72D29023C6ED}"/>
                </c:ext>
              </c:extLst>
            </c:dLbl>
            <c:dLbl>
              <c:idx val="4"/>
              <c:layout>
                <c:manualLayout>
                  <c:x val="-4.000000000000016E-2"/>
                  <c:y val="-5.66371576174189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DA-4ACC-9B62-72D29023C6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Clientèle!$C$76:$G$76</c:f>
              <c:numCache>
                <c:formatCode>#,##0</c:formatCode>
                <c:ptCount val="5"/>
                <c:pt idx="0">
                  <c:v>665.96</c:v>
                </c:pt>
                <c:pt idx="1">
                  <c:v>614.01</c:v>
                </c:pt>
                <c:pt idx="2">
                  <c:v>569.95000000000005</c:v>
                </c:pt>
                <c:pt idx="3">
                  <c:v>0</c:v>
                </c:pt>
                <c:pt idx="4">
                  <c:v>510.73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4-49B4-9189-F0ED0ABD9C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1477247"/>
        <c:axId val="492094319"/>
      </c:lineChart>
      <c:catAx>
        <c:axId val="54147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94319"/>
        <c:crosses val="autoZero"/>
        <c:auto val="1"/>
        <c:lblAlgn val="ctr"/>
        <c:lblOffset val="100"/>
        <c:noMultiLvlLbl val="0"/>
      </c:catAx>
      <c:valAx>
        <c:axId val="4920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147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recettes des TRV sur la concession (M€)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Clientèle!$B$81</c:f>
              <c:strCache>
                <c:ptCount val="1"/>
                <c:pt idx="0">
                  <c:v>Tarif bleu résidentiel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Clientèle!$C$81:$G$81</c:f>
              <c:numCache>
                <c:formatCode>#,##0</c:formatCode>
                <c:ptCount val="5"/>
                <c:pt idx="0">
                  <c:v>73.209999999999994</c:v>
                </c:pt>
                <c:pt idx="1">
                  <c:v>74.959999999999994</c:v>
                </c:pt>
                <c:pt idx="2">
                  <c:v>72.489999999999995</c:v>
                </c:pt>
                <c:pt idx="3">
                  <c:v>0</c:v>
                </c:pt>
                <c:pt idx="4">
                  <c:v>110.15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C-4D04-9FDC-BAC32CE02D80}"/>
            </c:ext>
          </c:extLst>
        </c:ser>
        <c:ser>
          <c:idx val="1"/>
          <c:order val="1"/>
          <c:tx>
            <c:strRef>
              <c:f>Clientèle!$B$82</c:f>
              <c:strCache>
                <c:ptCount val="1"/>
                <c:pt idx="0">
                  <c:v>Tarif bleu non-résidentiel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Clientèle!$C$82:$G$82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C-4D04-9FDC-BAC32CE02D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1477247"/>
        <c:axId val="492094319"/>
      </c:barChart>
      <c:lineChart>
        <c:grouping val="standard"/>
        <c:varyColors val="0"/>
        <c:ser>
          <c:idx val="2"/>
          <c:order val="2"/>
          <c:tx>
            <c:strRef>
              <c:f>Clientèle!$B$83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5378662244333885E-2"/>
                  <c:y val="-3.59752606347437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DC-4D04-9FDC-BAC32CE02D80}"/>
                </c:ext>
              </c:extLst>
            </c:dLbl>
            <c:dLbl>
              <c:idx val="3"/>
              <c:layout>
                <c:manualLayout>
                  <c:x val="-4.8645660585959177E-2"/>
                  <c:y val="-6.29567061108017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398-49EA-A07C-72185C3E0FD1}"/>
                </c:ext>
              </c:extLst>
            </c:dLbl>
            <c:dLbl>
              <c:idx val="4"/>
              <c:layout>
                <c:manualLayout>
                  <c:x val="-2.7129547995689729E-2"/>
                  <c:y val="-4.0298756429765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98-49EA-A07C-72185C3E0FD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Clientèle!$C$54:$G$54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Clientèle!$C$83:$G$83</c:f>
              <c:numCache>
                <c:formatCode>#,##0</c:formatCode>
                <c:ptCount val="5"/>
                <c:pt idx="0">
                  <c:v>73.209999999999994</c:v>
                </c:pt>
                <c:pt idx="1">
                  <c:v>74.959999999999994</c:v>
                </c:pt>
                <c:pt idx="2">
                  <c:v>72.489999999999995</c:v>
                </c:pt>
                <c:pt idx="3">
                  <c:v>0</c:v>
                </c:pt>
                <c:pt idx="4">
                  <c:v>110.15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DC-4D04-9FDC-BAC32CE02D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1477247"/>
        <c:axId val="492094319"/>
      </c:lineChart>
      <c:catAx>
        <c:axId val="54147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94319"/>
        <c:crosses val="autoZero"/>
        <c:auto val="1"/>
        <c:lblAlgn val="ctr"/>
        <c:lblOffset val="100"/>
        <c:noMultiLvlLbl val="0"/>
      </c:catAx>
      <c:valAx>
        <c:axId val="4920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4147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FR" sz="1400" b="1" i="0" baseline="0">
                <a:effectLst/>
              </a:rPr>
              <a:t>Nombre et montant des dossiers du Fond de Solidarité Logement  concernant l'aide au réglement des factures d'électricité au TRV</a:t>
            </a:r>
            <a:endParaRPr lang="fr-FR" sz="1400">
              <a:effectLst/>
            </a:endParaRPr>
          </a:p>
        </c:rich>
      </c:tx>
      <c:layout>
        <c:manualLayout>
          <c:xMode val="edge"/>
          <c:yMode val="edge"/>
          <c:x val="0.13476342992455867"/>
          <c:y val="3.72486197845958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7299759405074364"/>
          <c:y val="0.24147675506078981"/>
          <c:w val="0.78533573928258971"/>
          <c:h val="0.5498503635321447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Clientèle!$B$147</c:f>
              <c:strCache>
                <c:ptCount val="1"/>
                <c:pt idx="0">
                  <c:v>Nombre de dossiers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Clientèle!$C$147:$G$147</c:f>
              <c:numCache>
                <c:formatCode>0</c:formatCode>
                <c:ptCount val="5"/>
                <c:pt idx="0">
                  <c:v>411</c:v>
                </c:pt>
                <c:pt idx="1">
                  <c:v>289</c:v>
                </c:pt>
                <c:pt idx="2">
                  <c:v>279</c:v>
                </c:pt>
                <c:pt idx="3">
                  <c:v>269</c:v>
                </c:pt>
                <c:pt idx="4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D-44BA-9E2D-EF9F1A353458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17594431"/>
        <c:axId val="492061455"/>
      </c:barChart>
      <c:lineChart>
        <c:grouping val="standard"/>
        <c:varyColors val="0"/>
        <c:ser>
          <c:idx val="0"/>
          <c:order val="0"/>
          <c:tx>
            <c:strRef>
              <c:f>Clientèle!$B$146</c:f>
              <c:strCache>
                <c:ptCount val="1"/>
                <c:pt idx="0">
                  <c:v>Montant total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_(&quot;€&quot;* #,##0_);_(&quot;€&quot;* \(#,##0\);_(&quot;€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Clientèle!$C$145:$G$145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Clientèle!$C$146:$G$146</c:f>
              <c:numCache>
                <c:formatCode>_("€"* #,##0_);_("€"* \(#,##0\);_("€"* "-"_);_(@_)</c:formatCode>
                <c:ptCount val="5"/>
                <c:pt idx="0">
                  <c:v>87471</c:v>
                </c:pt>
                <c:pt idx="1">
                  <c:v>63409</c:v>
                </c:pt>
                <c:pt idx="2">
                  <c:v>69749</c:v>
                </c:pt>
                <c:pt idx="3">
                  <c:v>74290</c:v>
                </c:pt>
                <c:pt idx="4">
                  <c:v>71648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D-44BA-9E2D-EF9F1A3534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2595135"/>
        <c:axId val="492067695"/>
      </c:lineChart>
      <c:catAx>
        <c:axId val="51259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67695"/>
        <c:crosses val="autoZero"/>
        <c:auto val="1"/>
        <c:lblAlgn val="ctr"/>
        <c:lblOffset val="100"/>
        <c:noMultiLvlLbl val="0"/>
      </c:catAx>
      <c:valAx>
        <c:axId val="4920676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_);_(&quot;€&quot;* \(#,##0\);_(&quot;€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2595135"/>
        <c:crosses val="autoZero"/>
        <c:crossBetween val="between"/>
      </c:valAx>
      <c:valAx>
        <c:axId val="492061455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7594431"/>
        <c:crosses val="max"/>
        <c:crossBetween val="between"/>
      </c:valAx>
      <c:catAx>
        <c:axId val="417594431"/>
        <c:scaling>
          <c:orientation val="minMax"/>
        </c:scaling>
        <c:delete val="1"/>
        <c:axPos val="b"/>
        <c:majorTickMark val="out"/>
        <c:minorTickMark val="none"/>
        <c:tickLblPos val="nextTo"/>
        <c:crossAx val="492061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</a:t>
            </a:r>
            <a:r>
              <a:rPr lang="fr-FR" sz="1200" b="1" baseline="0"/>
              <a:t> des taux de contrats TRV mensualisés et prélevés automatiquement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5614571822234711E-2"/>
          <c:y val="0.19791279169138273"/>
          <c:w val="0.88978896590436463"/>
          <c:h val="0.50031438053114452"/>
        </c:manualLayout>
      </c:layout>
      <c:lineChart>
        <c:grouping val="standard"/>
        <c:varyColors val="0"/>
        <c:ser>
          <c:idx val="0"/>
          <c:order val="0"/>
          <c:tx>
            <c:strRef>
              <c:f>Clientèle!$B$197</c:f>
              <c:strCache>
                <c:ptCount val="1"/>
                <c:pt idx="0">
                  <c:v>Taux de contrats prélevés Résidentiel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Clientèle!$C$196:$G$196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Clientèle!$C$197:$G$197</c:f>
              <c:numCache>
                <c:formatCode>0.0%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0.85</c:v>
                </c:pt>
                <c:pt idx="3">
                  <c:v>0</c:v>
                </c:pt>
                <c:pt idx="4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4-4971-9AE7-A6459F6B37D8}"/>
            </c:ext>
          </c:extLst>
        </c:ser>
        <c:ser>
          <c:idx val="1"/>
          <c:order val="1"/>
          <c:tx>
            <c:strRef>
              <c:f>Clientèle!$B$198</c:f>
              <c:strCache>
                <c:ptCount val="1"/>
                <c:pt idx="0">
                  <c:v>Taux de contrats mensualisés Résidentiel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Clientèle!$C$196:$G$196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Clientèle!$C$198:$G$198</c:f>
              <c:numCache>
                <c:formatCode>0.0%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0.71</c:v>
                </c:pt>
                <c:pt idx="3">
                  <c:v>0</c:v>
                </c:pt>
                <c:pt idx="4">
                  <c:v>0.70799999999999996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4-4971-9AE7-A6459F6B37D8}"/>
            </c:ext>
          </c:extLst>
        </c:ser>
        <c:ser>
          <c:idx val="2"/>
          <c:order val="2"/>
          <c:tx>
            <c:strRef>
              <c:f>Clientèle!$B$199</c:f>
              <c:strCache>
                <c:ptCount val="1"/>
                <c:pt idx="0">
                  <c:v>Taux de contrats prélevés Non Résidentiel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Clientèle!$C$196:$G$196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Clientèle!$C$199:$G$199</c:f>
              <c:numCache>
                <c:formatCode>0.0%</c:formatCode>
                <c:ptCount val="5"/>
                <c:pt idx="0">
                  <c:v>0</c:v>
                </c:pt>
                <c:pt idx="1">
                  <c:v>1</c:v>
                </c:pt>
                <c:pt idx="2">
                  <c:v>0.73</c:v>
                </c:pt>
                <c:pt idx="3">
                  <c:v>0</c:v>
                </c:pt>
                <c:pt idx="4">
                  <c:v>0.72699999999999998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4-4971-9AE7-A6459F6B37D8}"/>
            </c:ext>
          </c:extLst>
        </c:ser>
        <c:ser>
          <c:idx val="3"/>
          <c:order val="3"/>
          <c:tx>
            <c:strRef>
              <c:f>Clientèle!$B$200</c:f>
              <c:strCache>
                <c:ptCount val="1"/>
                <c:pt idx="0">
                  <c:v>Taux de contrats mensualisés Non  Résidentiel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D9-4390-AFF4-36DB90D751B3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DF-4A09-91AC-167E0ACA6CB4}"/>
                </c:ext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DF-4A09-91AC-167E0ACA6C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Clientèle!$C$196:$G$196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Clientèle!$C$200:$G$200</c:f>
              <c:numCache>
                <c:formatCode>0.0%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94-4971-9AE7-A6459F6B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342783"/>
        <c:axId val="492092655"/>
      </c:lineChart>
      <c:catAx>
        <c:axId val="67734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92655"/>
        <c:crosses val="autoZero"/>
        <c:auto val="1"/>
        <c:lblAlgn val="ctr"/>
        <c:lblOffset val="100"/>
        <c:noMultiLvlLbl val="0"/>
      </c:catAx>
      <c:valAx>
        <c:axId val="49209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73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Taux de réussite</a:t>
            </a:r>
            <a:r>
              <a:rPr lang="fr-FR" sz="1200" b="1" baseline="0"/>
              <a:t> des appels téléphoniques Enedis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Clientèle!$B$180</c:f>
              <c:strCache>
                <c:ptCount val="1"/>
                <c:pt idx="0">
                  <c:v>Service Producteurs d'électricité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Clientèle!$C$179:$G$179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Clientèle!$C$180:$G$180</c:f>
              <c:numCache>
                <c:formatCode>0%</c:formatCode>
                <c:ptCount val="5"/>
                <c:pt idx="0">
                  <c:v>0.86199999999999999</c:v>
                </c:pt>
                <c:pt idx="1">
                  <c:v>0.83599999999999997</c:v>
                </c:pt>
                <c:pt idx="2">
                  <c:v>0.876</c:v>
                </c:pt>
                <c:pt idx="3">
                  <c:v>0.66300000000000003</c:v>
                </c:pt>
                <c:pt idx="4">
                  <c:v>0.61799999999999999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F-41BD-B750-3F528F22D2F2}"/>
            </c:ext>
          </c:extLst>
        </c:ser>
        <c:ser>
          <c:idx val="1"/>
          <c:order val="1"/>
          <c:tx>
            <c:strRef>
              <c:f>Clientèle!$B$181</c:f>
              <c:strCache>
                <c:ptCount val="1"/>
                <c:pt idx="0">
                  <c:v>Service Raccordement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Clientèle!$C$179:$G$179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Clientèle!$C$181:$G$181</c:f>
              <c:numCache>
                <c:formatCode>0%</c:formatCode>
                <c:ptCount val="5"/>
                <c:pt idx="0">
                  <c:v>0.89900000000000002</c:v>
                </c:pt>
                <c:pt idx="1">
                  <c:v>0.86099999999999999</c:v>
                </c:pt>
                <c:pt idx="2">
                  <c:v>0.92300000000000004</c:v>
                </c:pt>
                <c:pt idx="3">
                  <c:v>0.76500000000000001</c:v>
                </c:pt>
                <c:pt idx="4">
                  <c:v>0.71199999999999997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F-41BD-B750-3F528F22D2F2}"/>
            </c:ext>
          </c:extLst>
        </c:ser>
        <c:ser>
          <c:idx val="2"/>
          <c:order val="2"/>
          <c:tx>
            <c:strRef>
              <c:f>Clientèle!$B$182</c:f>
              <c:strCache>
                <c:ptCount val="1"/>
                <c:pt idx="0">
                  <c:v>Service Client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Clientèle!$C$179:$G$179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Clientèle!$C$182:$G$182</c:f>
              <c:numCache>
                <c:formatCode>0%</c:formatCode>
                <c:ptCount val="5"/>
                <c:pt idx="0">
                  <c:v>0.92800000000000005</c:v>
                </c:pt>
                <c:pt idx="1">
                  <c:v>0.96</c:v>
                </c:pt>
                <c:pt idx="2">
                  <c:v>0.96599999999999997</c:v>
                </c:pt>
                <c:pt idx="3">
                  <c:v>0.90400000000000003</c:v>
                </c:pt>
                <c:pt idx="4">
                  <c:v>0.90200000000000002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F-41BD-B750-3F528F22D2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75907583"/>
        <c:axId val="492077263"/>
      </c:barChart>
      <c:catAx>
        <c:axId val="5759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2077263"/>
        <c:crosses val="autoZero"/>
        <c:auto val="1"/>
        <c:lblAlgn val="ctr"/>
        <c:lblOffset val="100"/>
        <c:noMultiLvlLbl val="0"/>
      </c:catAx>
      <c:valAx>
        <c:axId val="4920772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59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Décomposition du nombre de contrat d'acheminement</a:t>
            </a:r>
            <a:r>
              <a:rPr lang="fr-FR" sz="1200" b="1" baseline="0"/>
              <a:t> </a:t>
            </a:r>
            <a:r>
              <a:rPr lang="fr-FR" sz="1200" b="1"/>
              <a:t>par typologie d'usagers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9668111031959818E-2"/>
          <c:y val="0.2119483792224095"/>
          <c:w val="0.80831461998334908"/>
          <c:h val="0.68509244618541953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47-4A73-9CD8-9CD590FD2B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47-4A73-9CD8-9CD590FD2B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547-4A73-9CD8-9CD590FD2B53}"/>
              </c:ext>
            </c:extLst>
          </c:dPt>
          <c:dLbls>
            <c:dLbl>
              <c:idx val="0"/>
              <c:layout>
                <c:manualLayout>
                  <c:x val="-3.7849682937800499E-3"/>
                  <c:y val="-0.3235231729407128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47-4A73-9CD8-9CD590FD2B53}"/>
                </c:ext>
              </c:extLst>
            </c:dLbl>
            <c:dLbl>
              <c:idx val="1"/>
              <c:layout>
                <c:manualLayout>
                  <c:x val="-0.28289869159212927"/>
                  <c:y val="6.32863747351009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47-4A73-9CD8-9CD590FD2B53}"/>
                </c:ext>
              </c:extLst>
            </c:dLbl>
            <c:dLbl>
              <c:idx val="2"/>
              <c:layout>
                <c:manualLayout>
                  <c:x val="0.16547891104152798"/>
                  <c:y val="2.6297863342516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021930159774766"/>
                      <c:h val="0.130659572802332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547-4A73-9CD8-9CD590FD2B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Clientèle!$B$6:$B$8</c:f>
              <c:strCache>
                <c:ptCount val="3"/>
                <c:pt idx="0">
                  <c:v>Clients BT inférieurs à 36 kVA</c:v>
                </c:pt>
                <c:pt idx="1">
                  <c:v>Clients BT supérieurs à 36 kVA</c:v>
                </c:pt>
                <c:pt idx="2">
                  <c:v>Clients HTA</c:v>
                </c:pt>
              </c:strCache>
            </c:strRef>
          </c:cat>
          <c:val>
            <c:numRef>
              <c:f>Clientèle!$G$6:$G$8</c:f>
              <c:numCache>
                <c:formatCode>#,##0</c:formatCode>
                <c:ptCount val="3"/>
                <c:pt idx="0">
                  <c:v>179481</c:v>
                </c:pt>
                <c:pt idx="1">
                  <c:v>2352</c:v>
                </c:pt>
                <c:pt idx="2">
                  <c:v>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47-4A73-9CD8-9CD590FD2B5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 la consommation moyenne des usagers (MWh/us.)</a:t>
            </a:r>
          </a:p>
        </c:rich>
      </c:tx>
      <c:layout>
        <c:manualLayout>
          <c:xMode val="edge"/>
          <c:yMode val="edge"/>
          <c:x val="0.12252730066772742"/>
          <c:y val="2.6490066225165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568729779067573"/>
          <c:y val="0.16284261066609634"/>
          <c:w val="0.86930560463295414"/>
          <c:h val="0.6247563629852223"/>
        </c:manualLayout>
      </c:layout>
      <c:lineChart>
        <c:grouping val="standard"/>
        <c:varyColors val="0"/>
        <c:ser>
          <c:idx val="0"/>
          <c:order val="0"/>
          <c:tx>
            <c:strRef>
              <c:f>Clientèle!$B$30</c:f>
              <c:strCache>
                <c:ptCount val="1"/>
                <c:pt idx="0">
                  <c:v>Clients BT inférieurs à 36 kVA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Clientèle!$C$29:$G$29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Clientèle!$C$30:$G$30</c:f>
              <c:numCache>
                <c:formatCode>#\ ##0.0</c:formatCode>
                <c:ptCount val="5"/>
                <c:pt idx="0">
                  <c:v>5.58</c:v>
                </c:pt>
                <c:pt idx="1">
                  <c:v>5.31</c:v>
                </c:pt>
                <c:pt idx="2">
                  <c:v>5.9</c:v>
                </c:pt>
                <c:pt idx="3">
                  <c:v>5.28</c:v>
                </c:pt>
                <c:pt idx="4">
                  <c:v>5.0599999999999996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E-4152-9316-FB8318DA76CA}"/>
            </c:ext>
          </c:extLst>
        </c:ser>
        <c:ser>
          <c:idx val="1"/>
          <c:order val="1"/>
          <c:tx>
            <c:strRef>
              <c:f>Clientèle!$B$31</c:f>
              <c:strCache>
                <c:ptCount val="1"/>
                <c:pt idx="0">
                  <c:v>Clients BT supérieurs à 36 kVA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Clientèle!$C$29:$G$29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Clientèle!$C$31:$G$31</c:f>
              <c:numCache>
                <c:formatCode>#\ ##0.0</c:formatCode>
                <c:ptCount val="5"/>
                <c:pt idx="0">
                  <c:v>119.3</c:v>
                </c:pt>
                <c:pt idx="1">
                  <c:v>110.89</c:v>
                </c:pt>
                <c:pt idx="2">
                  <c:v>109.58</c:v>
                </c:pt>
                <c:pt idx="3">
                  <c:v>112.03</c:v>
                </c:pt>
                <c:pt idx="4">
                  <c:v>101.72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6E-4152-9316-FB8318DA76CA}"/>
            </c:ext>
          </c:extLst>
        </c:ser>
        <c:ser>
          <c:idx val="2"/>
          <c:order val="2"/>
          <c:tx>
            <c:strRef>
              <c:f>Clientèle!$B$32</c:f>
              <c:strCache>
                <c:ptCount val="1"/>
                <c:pt idx="0">
                  <c:v>Clients HTA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Clientèle!$C$29:$G$29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Clientèle!$C$32:$G$32</c:f>
              <c:numCache>
                <c:formatCode>#\ ##0.0</c:formatCode>
                <c:ptCount val="5"/>
                <c:pt idx="0">
                  <c:v>1044.42</c:v>
                </c:pt>
                <c:pt idx="1">
                  <c:v>990</c:v>
                </c:pt>
                <c:pt idx="2">
                  <c:v>1076.06</c:v>
                </c:pt>
                <c:pt idx="3">
                  <c:v>1066.5</c:v>
                </c:pt>
                <c:pt idx="4">
                  <c:v>1017.13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6E-4152-9316-FB8318DA76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898207"/>
        <c:axId val="38567887"/>
      </c:lineChart>
      <c:catAx>
        <c:axId val="378982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567887"/>
        <c:crosses val="autoZero"/>
        <c:auto val="1"/>
        <c:lblAlgn val="ctr"/>
        <c:lblOffset val="100"/>
        <c:noMultiLvlLbl val="0"/>
      </c:catAx>
      <c:valAx>
        <c:axId val="3856788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89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965933662437277"/>
          <c:y val="0.80364186264796367"/>
          <c:w val="0.2320865743442069"/>
          <c:h val="0.196358130648537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Matériaux</a:t>
            </a:r>
            <a:r>
              <a:rPr lang="fr-FR" sz="1200" b="1" baseline="0"/>
              <a:t> du r</a:t>
            </a:r>
            <a:r>
              <a:rPr lang="fr-FR" sz="1200" b="1"/>
              <a:t>éseau BT par année de mise en service (km) </a:t>
            </a:r>
          </a:p>
          <a:p>
            <a:pPr>
              <a:defRPr sz="1200" b="1"/>
            </a:pPr>
            <a:r>
              <a:rPr lang="fr-FR" sz="1200" b="1"/>
              <a:t>- hors réseau non daté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Evolution!$B$78</c:f>
              <c:strCache>
                <c:ptCount val="1"/>
                <c:pt idx="0">
                  <c:v>Acier Alu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Evolution!$E$77:$CF$77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Evolution!$E$78:$CF$78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BA4-AF03-C2D3166AA24C}"/>
            </c:ext>
          </c:extLst>
        </c:ser>
        <c:ser>
          <c:idx val="2"/>
          <c:order val="1"/>
          <c:tx>
            <c:strRef>
              <c:f>Evolution!$B$79</c:f>
              <c:strCache>
                <c:ptCount val="1"/>
                <c:pt idx="0">
                  <c:v>Alu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Evolution!$E$77:$CF$77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Evolution!$E$79:$CF$79</c:f>
              <c:numCache>
                <c:formatCode>#\ ##0.0</c:formatCode>
                <c:ptCount val="80"/>
                <c:pt idx="0">
                  <c:v>2.54</c:v>
                </c:pt>
                <c:pt idx="1">
                  <c:v>0</c:v>
                </c:pt>
                <c:pt idx="2">
                  <c:v>1</c:v>
                </c:pt>
                <c:pt idx="3">
                  <c:v>0.85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0.45</c:v>
                </c:pt>
                <c:pt idx="8">
                  <c:v>0.14000000000000001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0.39</c:v>
                </c:pt>
                <c:pt idx="13">
                  <c:v>0</c:v>
                </c:pt>
                <c:pt idx="14">
                  <c:v>0</c:v>
                </c:pt>
                <c:pt idx="15">
                  <c:v>0.13</c:v>
                </c:pt>
                <c:pt idx="16">
                  <c:v>0</c:v>
                </c:pt>
                <c:pt idx="17">
                  <c:v>0.25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0.61</c:v>
                </c:pt>
                <c:pt idx="22">
                  <c:v>0</c:v>
                </c:pt>
                <c:pt idx="23">
                  <c:v>1.2</c:v>
                </c:pt>
                <c:pt idx="24">
                  <c:v>0.08</c:v>
                </c:pt>
                <c:pt idx="25">
                  <c:v>0.34</c:v>
                </c:pt>
                <c:pt idx="26">
                  <c:v>0.64</c:v>
                </c:pt>
                <c:pt idx="27">
                  <c:v>0.08</c:v>
                </c:pt>
                <c:pt idx="28">
                  <c:v>0.15</c:v>
                </c:pt>
                <c:pt idx="29">
                  <c:v>0</c:v>
                </c:pt>
                <c:pt idx="30">
                  <c:v>0.01</c:v>
                </c:pt>
                <c:pt idx="31">
                  <c:v>0.97</c:v>
                </c:pt>
                <c:pt idx="32">
                  <c:v>0.37</c:v>
                </c:pt>
                <c:pt idx="33">
                  <c:v>0.46</c:v>
                </c:pt>
                <c:pt idx="34">
                  <c:v>0</c:v>
                </c:pt>
                <c:pt idx="35">
                  <c:v>0.33</c:v>
                </c:pt>
                <c:pt idx="36">
                  <c:v>2.1</c:v>
                </c:pt>
                <c:pt idx="37">
                  <c:v>3.54</c:v>
                </c:pt>
                <c:pt idx="38">
                  <c:v>24</c:v>
                </c:pt>
                <c:pt idx="39">
                  <c:v>73.5</c:v>
                </c:pt>
                <c:pt idx="40">
                  <c:v>127.68</c:v>
                </c:pt>
                <c:pt idx="41">
                  <c:v>0.39</c:v>
                </c:pt>
                <c:pt idx="42">
                  <c:v>104.38</c:v>
                </c:pt>
                <c:pt idx="43">
                  <c:v>95.71</c:v>
                </c:pt>
                <c:pt idx="44">
                  <c:v>269.47000000000003</c:v>
                </c:pt>
                <c:pt idx="45">
                  <c:v>262.93</c:v>
                </c:pt>
                <c:pt idx="46">
                  <c:v>102.53</c:v>
                </c:pt>
                <c:pt idx="47">
                  <c:v>116.68</c:v>
                </c:pt>
                <c:pt idx="48">
                  <c:v>102.53</c:v>
                </c:pt>
                <c:pt idx="49">
                  <c:v>89.4</c:v>
                </c:pt>
                <c:pt idx="50">
                  <c:v>73.849999999999994</c:v>
                </c:pt>
                <c:pt idx="51">
                  <c:v>86.14</c:v>
                </c:pt>
                <c:pt idx="52">
                  <c:v>77.56</c:v>
                </c:pt>
                <c:pt idx="53">
                  <c:v>72.69</c:v>
                </c:pt>
                <c:pt idx="54">
                  <c:v>111.86</c:v>
                </c:pt>
                <c:pt idx="55">
                  <c:v>91.91</c:v>
                </c:pt>
                <c:pt idx="56">
                  <c:v>116.85</c:v>
                </c:pt>
                <c:pt idx="57">
                  <c:v>70.92</c:v>
                </c:pt>
                <c:pt idx="58">
                  <c:v>76.42</c:v>
                </c:pt>
                <c:pt idx="59">
                  <c:v>80.069999999999993</c:v>
                </c:pt>
                <c:pt idx="60">
                  <c:v>93.86</c:v>
                </c:pt>
                <c:pt idx="61">
                  <c:v>81.66</c:v>
                </c:pt>
                <c:pt idx="62">
                  <c:v>84.8</c:v>
                </c:pt>
                <c:pt idx="63">
                  <c:v>84.55</c:v>
                </c:pt>
                <c:pt idx="64">
                  <c:v>88.91</c:v>
                </c:pt>
                <c:pt idx="65">
                  <c:v>79.75</c:v>
                </c:pt>
                <c:pt idx="66">
                  <c:v>66.239999999999995</c:v>
                </c:pt>
                <c:pt idx="67">
                  <c:v>75.34</c:v>
                </c:pt>
                <c:pt idx="68">
                  <c:v>55.31</c:v>
                </c:pt>
                <c:pt idx="69">
                  <c:v>50.86</c:v>
                </c:pt>
                <c:pt idx="70">
                  <c:v>62.82</c:v>
                </c:pt>
                <c:pt idx="71">
                  <c:v>48.15</c:v>
                </c:pt>
                <c:pt idx="72">
                  <c:v>57.97</c:v>
                </c:pt>
                <c:pt idx="73">
                  <c:v>50.32</c:v>
                </c:pt>
                <c:pt idx="74">
                  <c:v>55.57</c:v>
                </c:pt>
                <c:pt idx="75">
                  <c:v>51.38</c:v>
                </c:pt>
                <c:pt idx="76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8-4BA4-AF03-C2D3166AA24C}"/>
            </c:ext>
          </c:extLst>
        </c:ser>
        <c:ser>
          <c:idx val="3"/>
          <c:order val="2"/>
          <c:tx>
            <c:strRef>
              <c:f>Evolution!$B$80</c:f>
              <c:strCache>
                <c:ptCount val="1"/>
                <c:pt idx="0">
                  <c:v>Almelec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Evolution!$E$77:$CF$77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Evolution!$E$80:$CF$80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0.04</c:v>
                </c:pt>
                <c:pt idx="38">
                  <c:v>0</c:v>
                </c:pt>
                <c:pt idx="39">
                  <c:v>0.14000000000000001</c:v>
                </c:pt>
                <c:pt idx="40">
                  <c:v>0.15</c:v>
                </c:pt>
                <c:pt idx="41">
                  <c:v>0</c:v>
                </c:pt>
                <c:pt idx="42">
                  <c:v>0.23</c:v>
                </c:pt>
                <c:pt idx="43">
                  <c:v>0</c:v>
                </c:pt>
                <c:pt idx="44">
                  <c:v>2.19</c:v>
                </c:pt>
                <c:pt idx="45">
                  <c:v>4.0199999999999996</c:v>
                </c:pt>
                <c:pt idx="46">
                  <c:v>0.05</c:v>
                </c:pt>
                <c:pt idx="47">
                  <c:v>0.41</c:v>
                </c:pt>
                <c:pt idx="48">
                  <c:v>0.04</c:v>
                </c:pt>
                <c:pt idx="49">
                  <c:v>0.25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38-4BA4-AF03-C2D3166AA24C}"/>
            </c:ext>
          </c:extLst>
        </c:ser>
        <c:ser>
          <c:idx val="4"/>
          <c:order val="3"/>
          <c:tx>
            <c:strRef>
              <c:f>Evolution!$B$81</c:f>
              <c:strCache>
                <c:ptCount val="1"/>
                <c:pt idx="0">
                  <c:v>Cuivre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Evolution!$E$77:$CF$77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Evolution!$E$81:$CF$81</c:f>
              <c:numCache>
                <c:formatCode>#\ ##0.0</c:formatCode>
                <c:ptCount val="80"/>
                <c:pt idx="0">
                  <c:v>0.23</c:v>
                </c:pt>
                <c:pt idx="1">
                  <c:v>0</c:v>
                </c:pt>
                <c:pt idx="2">
                  <c:v>0</c:v>
                </c:pt>
                <c:pt idx="3">
                  <c:v>0.32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0.64</c:v>
                </c:pt>
                <c:pt idx="20">
                  <c:v>0.02</c:v>
                </c:pt>
                <c:pt idx="21">
                  <c:v>0</c:v>
                </c:pt>
                <c:pt idx="22">
                  <c:v>0</c:v>
                </c:pt>
                <c:pt idx="23">
                  <c:v>0.05</c:v>
                </c:pt>
                <c:pt idx="24">
                  <c:v>0.33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0.14000000000000001</c:v>
                </c:pt>
                <c:pt idx="35">
                  <c:v>0.08</c:v>
                </c:pt>
                <c:pt idx="36">
                  <c:v>0.09</c:v>
                </c:pt>
                <c:pt idx="37">
                  <c:v>0.06</c:v>
                </c:pt>
                <c:pt idx="38">
                  <c:v>5.39</c:v>
                </c:pt>
                <c:pt idx="39">
                  <c:v>29.67</c:v>
                </c:pt>
                <c:pt idx="40">
                  <c:v>20.260000000000002</c:v>
                </c:pt>
                <c:pt idx="41">
                  <c:v>0</c:v>
                </c:pt>
                <c:pt idx="42">
                  <c:v>35.39</c:v>
                </c:pt>
                <c:pt idx="43">
                  <c:v>9.83</c:v>
                </c:pt>
                <c:pt idx="44">
                  <c:v>34.159999999999997</c:v>
                </c:pt>
                <c:pt idx="45">
                  <c:v>37.89</c:v>
                </c:pt>
                <c:pt idx="46">
                  <c:v>12.03</c:v>
                </c:pt>
                <c:pt idx="47">
                  <c:v>2.11</c:v>
                </c:pt>
                <c:pt idx="48">
                  <c:v>0.79</c:v>
                </c:pt>
                <c:pt idx="49">
                  <c:v>0.05</c:v>
                </c:pt>
                <c:pt idx="50">
                  <c:v>0</c:v>
                </c:pt>
                <c:pt idx="51">
                  <c:v>0.04</c:v>
                </c:pt>
                <c:pt idx="52">
                  <c:v>0</c:v>
                </c:pt>
                <c:pt idx="53">
                  <c:v>0.04</c:v>
                </c:pt>
                <c:pt idx="54">
                  <c:v>0.03</c:v>
                </c:pt>
                <c:pt idx="55">
                  <c:v>0</c:v>
                </c:pt>
                <c:pt idx="56">
                  <c:v>0</c:v>
                </c:pt>
                <c:pt idx="57">
                  <c:v>0.01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38-4BA4-AF03-C2D3166AA24C}"/>
            </c:ext>
          </c:extLst>
        </c:ser>
        <c:ser>
          <c:idx val="5"/>
          <c:order val="4"/>
          <c:tx>
            <c:strRef>
              <c:f>Evolution!$B$82</c:f>
              <c:strCache>
                <c:ptCount val="1"/>
                <c:pt idx="0">
                  <c:v>Almelec Acier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Evolution!$E$77:$CF$77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Evolution!$E$82:$CF$82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38-4BA4-AF03-C2D3166A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525702047"/>
        <c:axId val="650855023"/>
      </c:barChart>
      <c:catAx>
        <c:axId val="152570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0855023"/>
        <c:crosses val="autoZero"/>
        <c:auto val="1"/>
        <c:lblAlgn val="ctr"/>
        <c:lblOffset val="100"/>
        <c:noMultiLvlLbl val="0"/>
      </c:catAx>
      <c:valAx>
        <c:axId val="6508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57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Typologies</a:t>
            </a:r>
            <a:r>
              <a:rPr lang="fr-FR" sz="1200" b="1" baseline="0"/>
              <a:t> du r</a:t>
            </a:r>
            <a:r>
              <a:rPr lang="fr-FR" sz="1200" b="1"/>
              <a:t>éseau BT par année de mise en service (km) </a:t>
            </a:r>
          </a:p>
          <a:p>
            <a:pPr>
              <a:defRPr sz="1200" b="1"/>
            </a:pPr>
            <a:r>
              <a:rPr lang="fr-FR" sz="1200" b="1"/>
              <a:t>- hors</a:t>
            </a:r>
            <a:r>
              <a:rPr lang="fr-FR" sz="1200" b="1" baseline="0"/>
              <a:t> réseau non daté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Evolution!$B$54</c:f>
              <c:strCache>
                <c:ptCount val="1"/>
                <c:pt idx="0">
                  <c:v>Aérien nu (hors FS)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Evolution!$E$53:$CF$53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Evolution!$E$54:$CF$54</c:f>
              <c:numCache>
                <c:formatCode>#\ ##0.0</c:formatCode>
                <c:ptCount val="80"/>
                <c:pt idx="0">
                  <c:v>0.15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0.03</c:v>
                </c:pt>
                <c:pt idx="36">
                  <c:v>0.08</c:v>
                </c:pt>
                <c:pt idx="37">
                  <c:v>0</c:v>
                </c:pt>
                <c:pt idx="38">
                  <c:v>4.7</c:v>
                </c:pt>
                <c:pt idx="39">
                  <c:v>26.03</c:v>
                </c:pt>
                <c:pt idx="40">
                  <c:v>6.01</c:v>
                </c:pt>
                <c:pt idx="41">
                  <c:v>0</c:v>
                </c:pt>
                <c:pt idx="42">
                  <c:v>25.43</c:v>
                </c:pt>
                <c:pt idx="43">
                  <c:v>9.15</c:v>
                </c:pt>
                <c:pt idx="44">
                  <c:v>26.25</c:v>
                </c:pt>
                <c:pt idx="45">
                  <c:v>36.799999999999997</c:v>
                </c:pt>
                <c:pt idx="46">
                  <c:v>11.31</c:v>
                </c:pt>
                <c:pt idx="47">
                  <c:v>2.08</c:v>
                </c:pt>
                <c:pt idx="48">
                  <c:v>1.49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3-4B8D-A99B-79F4291BB644}"/>
            </c:ext>
          </c:extLst>
        </c:ser>
        <c:ser>
          <c:idx val="1"/>
          <c:order val="1"/>
          <c:tx>
            <c:strRef>
              <c:f>Evolution!$B$55</c:f>
              <c:strCache>
                <c:ptCount val="1"/>
                <c:pt idx="0">
                  <c:v>Aérien nu de faible section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Evolution!$E$53:$CF$53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Evolution!$E$55:$CF$55</c:f>
              <c:numCache>
                <c:formatCode>#\ ##0.0</c:formatCode>
                <c:ptCount val="80"/>
                <c:pt idx="0">
                  <c:v>0.08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0.03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0.64</c:v>
                </c:pt>
                <c:pt idx="39">
                  <c:v>1.57</c:v>
                </c:pt>
                <c:pt idx="40">
                  <c:v>0.37</c:v>
                </c:pt>
                <c:pt idx="41">
                  <c:v>0</c:v>
                </c:pt>
                <c:pt idx="42">
                  <c:v>1.75</c:v>
                </c:pt>
                <c:pt idx="43">
                  <c:v>0.27</c:v>
                </c:pt>
                <c:pt idx="44">
                  <c:v>8.59</c:v>
                </c:pt>
                <c:pt idx="45">
                  <c:v>7.94</c:v>
                </c:pt>
                <c:pt idx="46">
                  <c:v>0.59</c:v>
                </c:pt>
                <c:pt idx="47">
                  <c:v>0.11</c:v>
                </c:pt>
                <c:pt idx="48">
                  <c:v>0.5</c:v>
                </c:pt>
                <c:pt idx="49">
                  <c:v>0.25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3-4B8D-A99B-79F4291BB644}"/>
            </c:ext>
          </c:extLst>
        </c:ser>
        <c:ser>
          <c:idx val="2"/>
          <c:order val="2"/>
          <c:tx>
            <c:strRef>
              <c:f>Evolution!$B$56</c:f>
              <c:strCache>
                <c:ptCount val="1"/>
                <c:pt idx="0">
                  <c:v>Aérien torsadé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Evolution!$E$53:$CF$53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Evolution!$E$56:$CF$56</c:f>
              <c:numCache>
                <c:formatCode>#\ ##0.0</c:formatCode>
                <c:ptCount val="80"/>
                <c:pt idx="0">
                  <c:v>2.2000000000000002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0.59</c:v>
                </c:pt>
                <c:pt idx="22">
                  <c:v>0</c:v>
                </c:pt>
                <c:pt idx="23">
                  <c:v>0.05</c:v>
                </c:pt>
                <c:pt idx="24">
                  <c:v>0.04</c:v>
                </c:pt>
                <c:pt idx="25">
                  <c:v>0.34</c:v>
                </c:pt>
                <c:pt idx="26">
                  <c:v>0.02</c:v>
                </c:pt>
                <c:pt idx="27">
                  <c:v>0.08</c:v>
                </c:pt>
                <c:pt idx="28">
                  <c:v>0.08</c:v>
                </c:pt>
                <c:pt idx="29">
                  <c:v>0</c:v>
                </c:pt>
                <c:pt idx="30">
                  <c:v>0</c:v>
                </c:pt>
                <c:pt idx="31">
                  <c:v>0.09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0.12</c:v>
                </c:pt>
                <c:pt idx="36">
                  <c:v>0.99</c:v>
                </c:pt>
                <c:pt idx="37">
                  <c:v>0.99</c:v>
                </c:pt>
                <c:pt idx="38">
                  <c:v>14.72</c:v>
                </c:pt>
                <c:pt idx="39">
                  <c:v>25.72</c:v>
                </c:pt>
                <c:pt idx="40">
                  <c:v>51.05</c:v>
                </c:pt>
                <c:pt idx="41">
                  <c:v>0.16</c:v>
                </c:pt>
                <c:pt idx="42">
                  <c:v>50.25</c:v>
                </c:pt>
                <c:pt idx="43">
                  <c:v>61.11</c:v>
                </c:pt>
                <c:pt idx="44">
                  <c:v>199.41</c:v>
                </c:pt>
                <c:pt idx="45">
                  <c:v>149.72</c:v>
                </c:pt>
                <c:pt idx="46">
                  <c:v>52.64</c:v>
                </c:pt>
                <c:pt idx="47">
                  <c:v>57.47</c:v>
                </c:pt>
                <c:pt idx="48">
                  <c:v>45.59</c:v>
                </c:pt>
                <c:pt idx="49">
                  <c:v>21.17</c:v>
                </c:pt>
                <c:pt idx="50">
                  <c:v>15.25</c:v>
                </c:pt>
                <c:pt idx="51">
                  <c:v>12.28</c:v>
                </c:pt>
                <c:pt idx="52">
                  <c:v>13.16</c:v>
                </c:pt>
                <c:pt idx="53">
                  <c:v>15.4</c:v>
                </c:pt>
                <c:pt idx="54">
                  <c:v>43.01</c:v>
                </c:pt>
                <c:pt idx="55">
                  <c:v>38.5</c:v>
                </c:pt>
                <c:pt idx="56">
                  <c:v>52.36</c:v>
                </c:pt>
                <c:pt idx="57">
                  <c:v>16.38</c:v>
                </c:pt>
                <c:pt idx="58">
                  <c:v>9.99</c:v>
                </c:pt>
                <c:pt idx="59">
                  <c:v>16.66</c:v>
                </c:pt>
                <c:pt idx="60">
                  <c:v>5.25</c:v>
                </c:pt>
                <c:pt idx="61">
                  <c:v>5.08</c:v>
                </c:pt>
                <c:pt idx="62">
                  <c:v>19.87</c:v>
                </c:pt>
                <c:pt idx="63">
                  <c:v>14.03</c:v>
                </c:pt>
                <c:pt idx="64">
                  <c:v>13.04</c:v>
                </c:pt>
                <c:pt idx="65">
                  <c:v>8</c:v>
                </c:pt>
                <c:pt idx="66">
                  <c:v>9.2100000000000009</c:v>
                </c:pt>
                <c:pt idx="67">
                  <c:v>15.9</c:v>
                </c:pt>
                <c:pt idx="68">
                  <c:v>14.01</c:v>
                </c:pt>
                <c:pt idx="69">
                  <c:v>7.56</c:v>
                </c:pt>
                <c:pt idx="70">
                  <c:v>7.36</c:v>
                </c:pt>
                <c:pt idx="71">
                  <c:v>4.3499999999999996</c:v>
                </c:pt>
                <c:pt idx="72">
                  <c:v>6.65</c:v>
                </c:pt>
                <c:pt idx="73">
                  <c:v>4.6500000000000004</c:v>
                </c:pt>
                <c:pt idx="74">
                  <c:v>7.22</c:v>
                </c:pt>
                <c:pt idx="75">
                  <c:v>6.81</c:v>
                </c:pt>
                <c:pt idx="76">
                  <c:v>4.91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3-4B8D-A99B-79F4291BB644}"/>
            </c:ext>
          </c:extLst>
        </c:ser>
        <c:ser>
          <c:idx val="3"/>
          <c:order val="3"/>
          <c:tx>
            <c:strRef>
              <c:f>Evolution!$B$57</c:f>
              <c:strCache>
                <c:ptCount val="1"/>
                <c:pt idx="0">
                  <c:v>Souterrain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Evolution!$E$53:$CF$53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Evolution!$E$57:$CF$57</c:f>
              <c:numCache>
                <c:formatCode>#\ ##0.0</c:formatCode>
                <c:ptCount val="80"/>
                <c:pt idx="0">
                  <c:v>0.34</c:v>
                </c:pt>
                <c:pt idx="1">
                  <c:v>0</c:v>
                </c:pt>
                <c:pt idx="2">
                  <c:v>0</c:v>
                </c:pt>
                <c:pt idx="3">
                  <c:v>1.17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0.14000000000000001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0.39</c:v>
                </c:pt>
                <c:pt idx="13">
                  <c:v>0</c:v>
                </c:pt>
                <c:pt idx="14">
                  <c:v>0</c:v>
                </c:pt>
                <c:pt idx="15">
                  <c:v>0.09</c:v>
                </c:pt>
                <c:pt idx="16">
                  <c:v>0</c:v>
                </c:pt>
                <c:pt idx="17">
                  <c:v>0.25</c:v>
                </c:pt>
                <c:pt idx="18">
                  <c:v>0</c:v>
                </c:pt>
                <c:pt idx="19">
                  <c:v>0.64</c:v>
                </c:pt>
                <c:pt idx="20">
                  <c:v>0</c:v>
                </c:pt>
                <c:pt idx="21">
                  <c:v>0.02</c:v>
                </c:pt>
                <c:pt idx="22">
                  <c:v>0</c:v>
                </c:pt>
                <c:pt idx="23">
                  <c:v>1.2</c:v>
                </c:pt>
                <c:pt idx="24">
                  <c:v>0.03</c:v>
                </c:pt>
                <c:pt idx="25">
                  <c:v>0</c:v>
                </c:pt>
                <c:pt idx="26">
                  <c:v>0.62</c:v>
                </c:pt>
                <c:pt idx="27">
                  <c:v>0</c:v>
                </c:pt>
                <c:pt idx="28">
                  <c:v>7.0000000000000007E-2</c:v>
                </c:pt>
                <c:pt idx="29">
                  <c:v>0</c:v>
                </c:pt>
                <c:pt idx="30">
                  <c:v>0.01</c:v>
                </c:pt>
                <c:pt idx="31">
                  <c:v>0.87</c:v>
                </c:pt>
                <c:pt idx="32">
                  <c:v>0.37</c:v>
                </c:pt>
                <c:pt idx="33">
                  <c:v>0.46</c:v>
                </c:pt>
                <c:pt idx="34">
                  <c:v>0.14000000000000001</c:v>
                </c:pt>
                <c:pt idx="35">
                  <c:v>0.26</c:v>
                </c:pt>
                <c:pt idx="36">
                  <c:v>1.1200000000000001</c:v>
                </c:pt>
                <c:pt idx="37">
                  <c:v>2.5499999999999998</c:v>
                </c:pt>
                <c:pt idx="38">
                  <c:v>9.33</c:v>
                </c:pt>
                <c:pt idx="39">
                  <c:v>50</c:v>
                </c:pt>
                <c:pt idx="40">
                  <c:v>90.65</c:v>
                </c:pt>
                <c:pt idx="41">
                  <c:v>0.24</c:v>
                </c:pt>
                <c:pt idx="42">
                  <c:v>62.56</c:v>
                </c:pt>
                <c:pt idx="43">
                  <c:v>35.01</c:v>
                </c:pt>
                <c:pt idx="44">
                  <c:v>71.569999999999993</c:v>
                </c:pt>
                <c:pt idx="45">
                  <c:v>110.38</c:v>
                </c:pt>
                <c:pt idx="46">
                  <c:v>50.07</c:v>
                </c:pt>
                <c:pt idx="47">
                  <c:v>59.54</c:v>
                </c:pt>
                <c:pt idx="48">
                  <c:v>55.77</c:v>
                </c:pt>
                <c:pt idx="49">
                  <c:v>68.290000000000006</c:v>
                </c:pt>
                <c:pt idx="50">
                  <c:v>58.6</c:v>
                </c:pt>
                <c:pt idx="51">
                  <c:v>73.900000000000006</c:v>
                </c:pt>
                <c:pt idx="52">
                  <c:v>64.41</c:v>
                </c:pt>
                <c:pt idx="53">
                  <c:v>57.33</c:v>
                </c:pt>
                <c:pt idx="54">
                  <c:v>68.88</c:v>
                </c:pt>
                <c:pt idx="55">
                  <c:v>53.42</c:v>
                </c:pt>
                <c:pt idx="56">
                  <c:v>64.489999999999995</c:v>
                </c:pt>
                <c:pt idx="57">
                  <c:v>54.55</c:v>
                </c:pt>
                <c:pt idx="58">
                  <c:v>66.430000000000007</c:v>
                </c:pt>
                <c:pt idx="59">
                  <c:v>63.41</c:v>
                </c:pt>
                <c:pt idx="60">
                  <c:v>88.61</c:v>
                </c:pt>
                <c:pt idx="61">
                  <c:v>76.58</c:v>
                </c:pt>
                <c:pt idx="62">
                  <c:v>65.05</c:v>
                </c:pt>
                <c:pt idx="63">
                  <c:v>70.52</c:v>
                </c:pt>
                <c:pt idx="64">
                  <c:v>75.87</c:v>
                </c:pt>
                <c:pt idx="65">
                  <c:v>71.739999999999995</c:v>
                </c:pt>
                <c:pt idx="66">
                  <c:v>57.03</c:v>
                </c:pt>
                <c:pt idx="67">
                  <c:v>59.44</c:v>
                </c:pt>
                <c:pt idx="68">
                  <c:v>41.3</c:v>
                </c:pt>
                <c:pt idx="69">
                  <c:v>43.3</c:v>
                </c:pt>
                <c:pt idx="70">
                  <c:v>55.46</c:v>
                </c:pt>
                <c:pt idx="71">
                  <c:v>43.81</c:v>
                </c:pt>
                <c:pt idx="72">
                  <c:v>51.32</c:v>
                </c:pt>
                <c:pt idx="73">
                  <c:v>45.67</c:v>
                </c:pt>
                <c:pt idx="74">
                  <c:v>48.35</c:v>
                </c:pt>
                <c:pt idx="75">
                  <c:v>44.57</c:v>
                </c:pt>
                <c:pt idx="76">
                  <c:v>45.09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63-4B8D-A99B-79F4291B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526424895"/>
        <c:axId val="643924303"/>
      </c:barChart>
      <c:catAx>
        <c:axId val="152642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3924303"/>
        <c:crosses val="autoZero"/>
        <c:auto val="1"/>
        <c:lblAlgn val="ctr"/>
        <c:lblOffset val="100"/>
        <c:noMultiLvlLbl val="0"/>
      </c:catAx>
      <c:valAx>
        <c:axId val="6439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642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Conducteurs</a:t>
            </a:r>
            <a:r>
              <a:rPr lang="fr-FR" sz="1200" b="1" baseline="0"/>
              <a:t> du r</a:t>
            </a:r>
            <a:r>
              <a:rPr lang="fr-FR" sz="1200" b="1"/>
              <a:t>éseau HTA par année de mise en service </a:t>
            </a:r>
            <a:r>
              <a:rPr lang="fr-FR" sz="1200" b="1" i="0" u="none" strike="noStrike" baseline="0">
                <a:effectLst/>
              </a:rPr>
              <a:t>(km) </a:t>
            </a:r>
          </a:p>
          <a:p>
            <a:pPr>
              <a:defRPr sz="1200" b="1"/>
            </a:pPr>
            <a:r>
              <a:rPr lang="fr-FR" sz="1200" b="1" i="0" u="none" strike="noStrike" baseline="0">
                <a:effectLst/>
              </a:rPr>
              <a:t>- hors réseau non daté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Evolution!$B$30</c:f>
              <c:strCache>
                <c:ptCount val="1"/>
                <c:pt idx="0">
                  <c:v>Acier Alu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Evolution!$E$29:$CF$29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Evolution!$E$30:$CF$30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9.5299999999999994</c:v>
                </c:pt>
                <c:pt idx="11">
                  <c:v>0</c:v>
                </c:pt>
                <c:pt idx="12">
                  <c:v>0</c:v>
                </c:pt>
                <c:pt idx="13">
                  <c:v>6.95</c:v>
                </c:pt>
                <c:pt idx="14">
                  <c:v>3.01</c:v>
                </c:pt>
                <c:pt idx="15">
                  <c:v>10.87</c:v>
                </c:pt>
                <c:pt idx="16">
                  <c:v>0</c:v>
                </c:pt>
                <c:pt idx="17">
                  <c:v>0.16</c:v>
                </c:pt>
                <c:pt idx="18">
                  <c:v>0</c:v>
                </c:pt>
                <c:pt idx="19">
                  <c:v>8.57</c:v>
                </c:pt>
                <c:pt idx="20">
                  <c:v>9.1999999999999993</c:v>
                </c:pt>
                <c:pt idx="21">
                  <c:v>5.69</c:v>
                </c:pt>
                <c:pt idx="22">
                  <c:v>5.88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0.73</c:v>
                </c:pt>
                <c:pt idx="27">
                  <c:v>0</c:v>
                </c:pt>
                <c:pt idx="28">
                  <c:v>0.57999999999999996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1.77</c:v>
                </c:pt>
                <c:pt idx="35">
                  <c:v>0.43</c:v>
                </c:pt>
                <c:pt idx="36">
                  <c:v>0</c:v>
                </c:pt>
                <c:pt idx="37">
                  <c:v>0.86</c:v>
                </c:pt>
                <c:pt idx="38">
                  <c:v>0.34</c:v>
                </c:pt>
                <c:pt idx="39">
                  <c:v>3.26</c:v>
                </c:pt>
                <c:pt idx="40">
                  <c:v>0</c:v>
                </c:pt>
                <c:pt idx="41">
                  <c:v>0.65</c:v>
                </c:pt>
                <c:pt idx="42">
                  <c:v>2.81</c:v>
                </c:pt>
                <c:pt idx="43">
                  <c:v>0.55000000000000004</c:v>
                </c:pt>
                <c:pt idx="44">
                  <c:v>0</c:v>
                </c:pt>
                <c:pt idx="45">
                  <c:v>2.56</c:v>
                </c:pt>
                <c:pt idx="46">
                  <c:v>1.1499999999999999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0.43</c:v>
                </c:pt>
                <c:pt idx="51">
                  <c:v>0</c:v>
                </c:pt>
                <c:pt idx="52">
                  <c:v>0.82</c:v>
                </c:pt>
                <c:pt idx="53">
                  <c:v>0.61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B-429C-9504-1B63C71F7B8F}"/>
            </c:ext>
          </c:extLst>
        </c:ser>
        <c:ser>
          <c:idx val="1"/>
          <c:order val="1"/>
          <c:tx>
            <c:strRef>
              <c:f>Evolution!$B$31</c:f>
              <c:strCache>
                <c:ptCount val="1"/>
                <c:pt idx="0">
                  <c:v>Alu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Evolution!$E$29:$CF$29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Evolution!$E$31:$CF$31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26.77</c:v>
                </c:pt>
                <c:pt idx="14">
                  <c:v>2.17</c:v>
                </c:pt>
                <c:pt idx="15">
                  <c:v>0</c:v>
                </c:pt>
                <c:pt idx="16">
                  <c:v>0</c:v>
                </c:pt>
                <c:pt idx="17">
                  <c:v>1.1599999999999999</c:v>
                </c:pt>
                <c:pt idx="18">
                  <c:v>1.2</c:v>
                </c:pt>
                <c:pt idx="19">
                  <c:v>19.600000000000001</c:v>
                </c:pt>
                <c:pt idx="20">
                  <c:v>1.18</c:v>
                </c:pt>
                <c:pt idx="21">
                  <c:v>0.18</c:v>
                </c:pt>
                <c:pt idx="22">
                  <c:v>0.97</c:v>
                </c:pt>
                <c:pt idx="23">
                  <c:v>0.61</c:v>
                </c:pt>
                <c:pt idx="24">
                  <c:v>0.67</c:v>
                </c:pt>
                <c:pt idx="25">
                  <c:v>0.43</c:v>
                </c:pt>
                <c:pt idx="26">
                  <c:v>0.94</c:v>
                </c:pt>
                <c:pt idx="27">
                  <c:v>0.04</c:v>
                </c:pt>
                <c:pt idx="28">
                  <c:v>2.5499999999999998</c:v>
                </c:pt>
                <c:pt idx="29">
                  <c:v>0.56999999999999995</c:v>
                </c:pt>
                <c:pt idx="30">
                  <c:v>4.5599999999999996</c:v>
                </c:pt>
                <c:pt idx="31">
                  <c:v>51.74</c:v>
                </c:pt>
                <c:pt idx="32">
                  <c:v>3.08</c:v>
                </c:pt>
                <c:pt idx="33">
                  <c:v>9.31</c:v>
                </c:pt>
                <c:pt idx="34">
                  <c:v>15.44</c:v>
                </c:pt>
                <c:pt idx="35">
                  <c:v>15.62</c:v>
                </c:pt>
                <c:pt idx="36">
                  <c:v>12.73</c:v>
                </c:pt>
                <c:pt idx="37">
                  <c:v>18.260000000000002</c:v>
                </c:pt>
                <c:pt idx="38">
                  <c:v>17.079999999999998</c:v>
                </c:pt>
                <c:pt idx="39">
                  <c:v>17.329999999999998</c:v>
                </c:pt>
                <c:pt idx="40">
                  <c:v>17.53</c:v>
                </c:pt>
                <c:pt idx="41">
                  <c:v>25.24</c:v>
                </c:pt>
                <c:pt idx="42">
                  <c:v>20.53</c:v>
                </c:pt>
                <c:pt idx="43">
                  <c:v>15.84</c:v>
                </c:pt>
                <c:pt idx="44">
                  <c:v>17.86</c:v>
                </c:pt>
                <c:pt idx="45">
                  <c:v>30.34</c:v>
                </c:pt>
                <c:pt idx="46">
                  <c:v>47.65</c:v>
                </c:pt>
                <c:pt idx="47">
                  <c:v>49.87</c:v>
                </c:pt>
                <c:pt idx="48">
                  <c:v>40.119999999999997</c:v>
                </c:pt>
                <c:pt idx="49">
                  <c:v>90.2</c:v>
                </c:pt>
                <c:pt idx="50">
                  <c:v>61.63</c:v>
                </c:pt>
                <c:pt idx="51">
                  <c:v>51.89</c:v>
                </c:pt>
                <c:pt idx="52">
                  <c:v>92.82</c:v>
                </c:pt>
                <c:pt idx="53">
                  <c:v>83.03</c:v>
                </c:pt>
                <c:pt idx="54">
                  <c:v>79.709999999999994</c:v>
                </c:pt>
                <c:pt idx="55">
                  <c:v>112.06</c:v>
                </c:pt>
                <c:pt idx="56">
                  <c:v>31.51</c:v>
                </c:pt>
                <c:pt idx="57">
                  <c:v>38.46</c:v>
                </c:pt>
                <c:pt idx="58">
                  <c:v>20.64</c:v>
                </c:pt>
                <c:pt idx="59">
                  <c:v>22.86</c:v>
                </c:pt>
                <c:pt idx="60">
                  <c:v>42.26</c:v>
                </c:pt>
                <c:pt idx="61">
                  <c:v>46.08</c:v>
                </c:pt>
                <c:pt idx="62">
                  <c:v>88.55</c:v>
                </c:pt>
                <c:pt idx="63">
                  <c:v>105.3</c:v>
                </c:pt>
                <c:pt idx="64">
                  <c:v>89.41</c:v>
                </c:pt>
                <c:pt idx="65">
                  <c:v>172.63</c:v>
                </c:pt>
                <c:pt idx="66">
                  <c:v>38.22</c:v>
                </c:pt>
                <c:pt idx="67">
                  <c:v>79</c:v>
                </c:pt>
                <c:pt idx="68">
                  <c:v>101.35</c:v>
                </c:pt>
                <c:pt idx="69">
                  <c:v>72.069999999999993</c:v>
                </c:pt>
                <c:pt idx="70">
                  <c:v>84.56</c:v>
                </c:pt>
                <c:pt idx="71">
                  <c:v>178.35</c:v>
                </c:pt>
                <c:pt idx="72">
                  <c:v>33.57</c:v>
                </c:pt>
                <c:pt idx="73">
                  <c:v>35.909999999999997</c:v>
                </c:pt>
                <c:pt idx="74">
                  <c:v>143.49</c:v>
                </c:pt>
                <c:pt idx="75">
                  <c:v>38.56</c:v>
                </c:pt>
                <c:pt idx="76">
                  <c:v>27.87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EB-429C-9504-1B63C71F7B8F}"/>
            </c:ext>
          </c:extLst>
        </c:ser>
        <c:ser>
          <c:idx val="2"/>
          <c:order val="2"/>
          <c:tx>
            <c:strRef>
              <c:f>Evolution!$B$32</c:f>
              <c:strCache>
                <c:ptCount val="1"/>
                <c:pt idx="0">
                  <c:v>Almelec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Evolution!$E$29:$CF$29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Evolution!$E$32:$CF$32</c:f>
              <c:numCache>
                <c:formatCode>#\ ##0.0</c:formatCode>
                <c:ptCount val="80"/>
                <c:pt idx="0">
                  <c:v>2.31</c:v>
                </c:pt>
                <c:pt idx="1">
                  <c:v>1.35</c:v>
                </c:pt>
                <c:pt idx="2">
                  <c:v>1.75</c:v>
                </c:pt>
                <c:pt idx="3">
                  <c:v>3.66</c:v>
                </c:pt>
                <c:pt idx="4">
                  <c:v>1.41</c:v>
                </c:pt>
                <c:pt idx="5">
                  <c:v>0.98</c:v>
                </c:pt>
                <c:pt idx="6">
                  <c:v>0.75</c:v>
                </c:pt>
                <c:pt idx="7">
                  <c:v>0.02</c:v>
                </c:pt>
                <c:pt idx="8">
                  <c:v>4.28</c:v>
                </c:pt>
                <c:pt idx="9">
                  <c:v>5.79</c:v>
                </c:pt>
                <c:pt idx="10">
                  <c:v>2.95</c:v>
                </c:pt>
                <c:pt idx="11">
                  <c:v>2.27</c:v>
                </c:pt>
                <c:pt idx="12">
                  <c:v>6.39</c:v>
                </c:pt>
                <c:pt idx="13">
                  <c:v>12.61</c:v>
                </c:pt>
                <c:pt idx="14">
                  <c:v>10.34</c:v>
                </c:pt>
                <c:pt idx="15">
                  <c:v>26.23</c:v>
                </c:pt>
                <c:pt idx="16">
                  <c:v>40.82</c:v>
                </c:pt>
                <c:pt idx="17">
                  <c:v>51.76</c:v>
                </c:pt>
                <c:pt idx="18">
                  <c:v>67.84</c:v>
                </c:pt>
                <c:pt idx="19">
                  <c:v>66.86</c:v>
                </c:pt>
                <c:pt idx="20">
                  <c:v>69.72</c:v>
                </c:pt>
                <c:pt idx="21">
                  <c:v>42.09</c:v>
                </c:pt>
                <c:pt idx="22">
                  <c:v>40.950000000000003</c:v>
                </c:pt>
                <c:pt idx="23">
                  <c:v>56.5</c:v>
                </c:pt>
                <c:pt idx="24">
                  <c:v>47.82</c:v>
                </c:pt>
                <c:pt idx="25">
                  <c:v>42.39</c:v>
                </c:pt>
                <c:pt idx="26">
                  <c:v>63.87</c:v>
                </c:pt>
                <c:pt idx="27">
                  <c:v>50.3</c:v>
                </c:pt>
                <c:pt idx="28">
                  <c:v>31.29</c:v>
                </c:pt>
                <c:pt idx="29">
                  <c:v>34.65</c:v>
                </c:pt>
                <c:pt idx="30">
                  <c:v>25.08</c:v>
                </c:pt>
                <c:pt idx="31">
                  <c:v>43.28</c:v>
                </c:pt>
                <c:pt idx="32">
                  <c:v>51.36</c:v>
                </c:pt>
                <c:pt idx="33">
                  <c:v>27.42</c:v>
                </c:pt>
                <c:pt idx="34">
                  <c:v>16.7</c:v>
                </c:pt>
                <c:pt idx="35">
                  <c:v>57.45</c:v>
                </c:pt>
                <c:pt idx="36">
                  <c:v>50.6</c:v>
                </c:pt>
                <c:pt idx="37">
                  <c:v>83.86</c:v>
                </c:pt>
                <c:pt idx="38">
                  <c:v>88.98</c:v>
                </c:pt>
                <c:pt idx="39">
                  <c:v>57.15</c:v>
                </c:pt>
                <c:pt idx="40">
                  <c:v>97.26</c:v>
                </c:pt>
                <c:pt idx="41">
                  <c:v>166.32</c:v>
                </c:pt>
                <c:pt idx="42">
                  <c:v>131.51</c:v>
                </c:pt>
                <c:pt idx="43">
                  <c:v>93.4</c:v>
                </c:pt>
                <c:pt idx="44">
                  <c:v>108.12</c:v>
                </c:pt>
                <c:pt idx="45">
                  <c:v>98.14</c:v>
                </c:pt>
                <c:pt idx="46">
                  <c:v>36.659999999999997</c:v>
                </c:pt>
                <c:pt idx="47">
                  <c:v>17.739999999999998</c:v>
                </c:pt>
                <c:pt idx="48">
                  <c:v>15.78</c:v>
                </c:pt>
                <c:pt idx="49">
                  <c:v>16.48</c:v>
                </c:pt>
                <c:pt idx="50">
                  <c:v>5.95</c:v>
                </c:pt>
                <c:pt idx="51">
                  <c:v>5.46</c:v>
                </c:pt>
                <c:pt idx="52">
                  <c:v>6.13</c:v>
                </c:pt>
                <c:pt idx="53">
                  <c:v>13.18</c:v>
                </c:pt>
                <c:pt idx="54">
                  <c:v>2.65</c:v>
                </c:pt>
                <c:pt idx="55">
                  <c:v>1.72</c:v>
                </c:pt>
                <c:pt idx="56">
                  <c:v>1.02</c:v>
                </c:pt>
                <c:pt idx="57">
                  <c:v>1.2</c:v>
                </c:pt>
                <c:pt idx="58">
                  <c:v>2.35</c:v>
                </c:pt>
                <c:pt idx="59">
                  <c:v>1.54</c:v>
                </c:pt>
                <c:pt idx="60">
                  <c:v>1.27</c:v>
                </c:pt>
                <c:pt idx="61">
                  <c:v>1.78</c:v>
                </c:pt>
                <c:pt idx="62">
                  <c:v>0.15</c:v>
                </c:pt>
                <c:pt idx="63">
                  <c:v>0.87</c:v>
                </c:pt>
                <c:pt idx="64">
                  <c:v>0.27</c:v>
                </c:pt>
                <c:pt idx="65">
                  <c:v>0.42</c:v>
                </c:pt>
                <c:pt idx="66">
                  <c:v>0.73</c:v>
                </c:pt>
                <c:pt idx="67">
                  <c:v>0.28000000000000003</c:v>
                </c:pt>
                <c:pt idx="68">
                  <c:v>0.92</c:v>
                </c:pt>
                <c:pt idx="69">
                  <c:v>0.35</c:v>
                </c:pt>
                <c:pt idx="70">
                  <c:v>0.23</c:v>
                </c:pt>
                <c:pt idx="71">
                  <c:v>2.19</c:v>
                </c:pt>
                <c:pt idx="72">
                  <c:v>0.25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EB-429C-9504-1B63C71F7B8F}"/>
            </c:ext>
          </c:extLst>
        </c:ser>
        <c:ser>
          <c:idx val="3"/>
          <c:order val="3"/>
          <c:tx>
            <c:strRef>
              <c:f>Evolution!$B$33</c:f>
              <c:strCache>
                <c:ptCount val="1"/>
                <c:pt idx="0">
                  <c:v>Cuivre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Evolution!$E$29:$CF$29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Evolution!$E$33:$CF$33</c:f>
              <c:numCache>
                <c:formatCode>#\ ##0.0</c:formatCode>
                <c:ptCount val="80"/>
                <c:pt idx="0">
                  <c:v>0</c:v>
                </c:pt>
                <c:pt idx="1">
                  <c:v>0.43</c:v>
                </c:pt>
                <c:pt idx="2">
                  <c:v>0</c:v>
                </c:pt>
                <c:pt idx="3">
                  <c:v>0.82</c:v>
                </c:pt>
                <c:pt idx="4">
                  <c:v>0.16</c:v>
                </c:pt>
                <c:pt idx="5">
                  <c:v>0</c:v>
                </c:pt>
                <c:pt idx="6">
                  <c:v>0</c:v>
                </c:pt>
                <c:pt idx="7">
                  <c:v>0.25</c:v>
                </c:pt>
                <c:pt idx="8">
                  <c:v>0</c:v>
                </c:pt>
                <c:pt idx="9">
                  <c:v>1.21</c:v>
                </c:pt>
                <c:pt idx="10">
                  <c:v>1.85</c:v>
                </c:pt>
                <c:pt idx="11">
                  <c:v>1.1200000000000001</c:v>
                </c:pt>
                <c:pt idx="12">
                  <c:v>1.96</c:v>
                </c:pt>
                <c:pt idx="13">
                  <c:v>0.32</c:v>
                </c:pt>
                <c:pt idx="14">
                  <c:v>4.58</c:v>
                </c:pt>
                <c:pt idx="15">
                  <c:v>0.08</c:v>
                </c:pt>
                <c:pt idx="16">
                  <c:v>0.57999999999999996</c:v>
                </c:pt>
                <c:pt idx="17">
                  <c:v>0.72</c:v>
                </c:pt>
                <c:pt idx="18">
                  <c:v>0.55000000000000004</c:v>
                </c:pt>
                <c:pt idx="19">
                  <c:v>2.5099999999999998</c:v>
                </c:pt>
                <c:pt idx="20">
                  <c:v>0.8</c:v>
                </c:pt>
                <c:pt idx="21">
                  <c:v>7.0000000000000007E-2</c:v>
                </c:pt>
                <c:pt idx="22">
                  <c:v>0</c:v>
                </c:pt>
                <c:pt idx="23">
                  <c:v>4.08</c:v>
                </c:pt>
                <c:pt idx="24">
                  <c:v>0.1</c:v>
                </c:pt>
                <c:pt idx="25">
                  <c:v>0.03</c:v>
                </c:pt>
                <c:pt idx="26">
                  <c:v>0.36</c:v>
                </c:pt>
                <c:pt idx="27">
                  <c:v>0.82</c:v>
                </c:pt>
                <c:pt idx="28">
                  <c:v>0.23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1.1399999999999999</c:v>
                </c:pt>
                <c:pt idx="33">
                  <c:v>1.68</c:v>
                </c:pt>
                <c:pt idx="34">
                  <c:v>0.82</c:v>
                </c:pt>
                <c:pt idx="35">
                  <c:v>2.09</c:v>
                </c:pt>
                <c:pt idx="36">
                  <c:v>2</c:v>
                </c:pt>
                <c:pt idx="37">
                  <c:v>0</c:v>
                </c:pt>
                <c:pt idx="38">
                  <c:v>0.12</c:v>
                </c:pt>
                <c:pt idx="39">
                  <c:v>0.14000000000000001</c:v>
                </c:pt>
                <c:pt idx="40">
                  <c:v>0.97</c:v>
                </c:pt>
                <c:pt idx="41">
                  <c:v>1.92</c:v>
                </c:pt>
                <c:pt idx="42">
                  <c:v>0.14000000000000001</c:v>
                </c:pt>
                <c:pt idx="43">
                  <c:v>3.87</c:v>
                </c:pt>
                <c:pt idx="44">
                  <c:v>0.24</c:v>
                </c:pt>
                <c:pt idx="45">
                  <c:v>3.45</c:v>
                </c:pt>
                <c:pt idx="46">
                  <c:v>0.22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1.73</c:v>
                </c:pt>
                <c:pt idx="52">
                  <c:v>0.57999999999999996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35.229999999999997</c:v>
                </c:pt>
                <c:pt idx="59">
                  <c:v>0</c:v>
                </c:pt>
                <c:pt idx="60">
                  <c:v>0</c:v>
                </c:pt>
                <c:pt idx="61">
                  <c:v>32.31</c:v>
                </c:pt>
                <c:pt idx="62">
                  <c:v>3.51</c:v>
                </c:pt>
                <c:pt idx="63">
                  <c:v>1.2</c:v>
                </c:pt>
                <c:pt idx="64">
                  <c:v>0.61</c:v>
                </c:pt>
                <c:pt idx="65">
                  <c:v>8.1</c:v>
                </c:pt>
                <c:pt idx="66">
                  <c:v>0</c:v>
                </c:pt>
                <c:pt idx="67">
                  <c:v>5.13</c:v>
                </c:pt>
                <c:pt idx="68">
                  <c:v>8.39</c:v>
                </c:pt>
                <c:pt idx="69">
                  <c:v>1.78</c:v>
                </c:pt>
                <c:pt idx="70">
                  <c:v>6.89</c:v>
                </c:pt>
                <c:pt idx="71">
                  <c:v>8.9</c:v>
                </c:pt>
                <c:pt idx="72">
                  <c:v>0.81</c:v>
                </c:pt>
                <c:pt idx="73">
                  <c:v>0.16</c:v>
                </c:pt>
                <c:pt idx="74">
                  <c:v>11.64</c:v>
                </c:pt>
                <c:pt idx="75">
                  <c:v>0</c:v>
                </c:pt>
                <c:pt idx="76">
                  <c:v>4.1399999999999997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EB-429C-9504-1B63C71F7B8F}"/>
            </c:ext>
          </c:extLst>
        </c:ser>
        <c:ser>
          <c:idx val="4"/>
          <c:order val="4"/>
          <c:tx>
            <c:strRef>
              <c:f>Evolution!$B$34</c:f>
              <c:strCache>
                <c:ptCount val="1"/>
                <c:pt idx="0">
                  <c:v>Almelec Acier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Evolution!$E$29:$CF$29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Evolution!$E$34:$CF$34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EB-429C-9504-1B63C71F7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526468495"/>
        <c:axId val="643924719"/>
      </c:barChart>
      <c:catAx>
        <c:axId val="152646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3924719"/>
        <c:crosses val="autoZero"/>
        <c:auto val="1"/>
        <c:lblAlgn val="ctr"/>
        <c:lblOffset val="100"/>
        <c:noMultiLvlLbl val="0"/>
      </c:catAx>
      <c:valAx>
        <c:axId val="64392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646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Nombre de </a:t>
            </a:r>
            <a:r>
              <a:rPr lang="fr-FR" sz="1200" b="1" baseline="0"/>
              <a:t>postes HTA/BT DP par année de mise en service</a:t>
            </a:r>
            <a:endParaRPr lang="fr-FR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Evolution!$B$102</c:f>
              <c:strCache>
                <c:ptCount val="1"/>
                <c:pt idx="0">
                  <c:v>Poteau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Evolution!$E$101:$CF$101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Evolution!$E$102:$CF$102</c:f>
              <c:numCache>
                <c:formatCode>#,##0</c:formatCode>
                <c:ptCount val="8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4</c:v>
                </c:pt>
                <c:pt idx="15">
                  <c:v>10</c:v>
                </c:pt>
                <c:pt idx="16">
                  <c:v>7</c:v>
                </c:pt>
                <c:pt idx="17">
                  <c:v>13</c:v>
                </c:pt>
                <c:pt idx="18">
                  <c:v>21</c:v>
                </c:pt>
                <c:pt idx="19">
                  <c:v>20</c:v>
                </c:pt>
                <c:pt idx="20">
                  <c:v>36</c:v>
                </c:pt>
                <c:pt idx="21">
                  <c:v>16</c:v>
                </c:pt>
                <c:pt idx="22">
                  <c:v>30</c:v>
                </c:pt>
                <c:pt idx="23">
                  <c:v>35</c:v>
                </c:pt>
                <c:pt idx="24">
                  <c:v>52</c:v>
                </c:pt>
                <c:pt idx="25">
                  <c:v>61</c:v>
                </c:pt>
                <c:pt idx="26">
                  <c:v>73</c:v>
                </c:pt>
                <c:pt idx="27">
                  <c:v>62</c:v>
                </c:pt>
                <c:pt idx="28">
                  <c:v>26</c:v>
                </c:pt>
                <c:pt idx="29">
                  <c:v>39</c:v>
                </c:pt>
                <c:pt idx="30">
                  <c:v>32</c:v>
                </c:pt>
                <c:pt idx="31">
                  <c:v>24</c:v>
                </c:pt>
                <c:pt idx="32">
                  <c:v>34</c:v>
                </c:pt>
                <c:pt idx="33">
                  <c:v>26</c:v>
                </c:pt>
                <c:pt idx="34">
                  <c:v>29</c:v>
                </c:pt>
                <c:pt idx="35">
                  <c:v>38</c:v>
                </c:pt>
                <c:pt idx="36">
                  <c:v>37</c:v>
                </c:pt>
                <c:pt idx="37">
                  <c:v>47</c:v>
                </c:pt>
                <c:pt idx="38">
                  <c:v>51</c:v>
                </c:pt>
                <c:pt idx="39">
                  <c:v>31</c:v>
                </c:pt>
                <c:pt idx="40">
                  <c:v>37</c:v>
                </c:pt>
                <c:pt idx="41">
                  <c:v>44</c:v>
                </c:pt>
                <c:pt idx="42">
                  <c:v>32</c:v>
                </c:pt>
                <c:pt idx="43">
                  <c:v>36</c:v>
                </c:pt>
                <c:pt idx="44">
                  <c:v>42</c:v>
                </c:pt>
                <c:pt idx="45">
                  <c:v>38</c:v>
                </c:pt>
                <c:pt idx="46">
                  <c:v>24</c:v>
                </c:pt>
                <c:pt idx="47">
                  <c:v>13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10</c:v>
                </c:pt>
                <c:pt idx="52">
                  <c:v>12</c:v>
                </c:pt>
                <c:pt idx="53">
                  <c:v>5</c:v>
                </c:pt>
                <c:pt idx="54">
                  <c:v>3</c:v>
                </c:pt>
                <c:pt idx="55">
                  <c:v>1</c:v>
                </c:pt>
                <c:pt idx="56">
                  <c:v>0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7</c:v>
                </c:pt>
                <c:pt idx="62">
                  <c:v>2</c:v>
                </c:pt>
                <c:pt idx="63">
                  <c:v>4</c:v>
                </c:pt>
                <c:pt idx="64">
                  <c:v>8</c:v>
                </c:pt>
                <c:pt idx="65">
                  <c:v>6</c:v>
                </c:pt>
                <c:pt idx="66">
                  <c:v>3</c:v>
                </c:pt>
                <c:pt idx="67">
                  <c:v>11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5</c:v>
                </c:pt>
                <c:pt idx="73">
                  <c:v>5</c:v>
                </c:pt>
                <c:pt idx="74">
                  <c:v>9</c:v>
                </c:pt>
                <c:pt idx="75">
                  <c:v>3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3-4EA7-885B-61E3B1E1DB14}"/>
            </c:ext>
          </c:extLst>
        </c:ser>
        <c:ser>
          <c:idx val="1"/>
          <c:order val="1"/>
          <c:tx>
            <c:strRef>
              <c:f>Evolution!$B$103</c:f>
              <c:strCache>
                <c:ptCount val="1"/>
                <c:pt idx="0">
                  <c:v>Maçonné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Evolution!$E$101:$CF$101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Evolution!$E$103:$CF$103</c:f>
              <c:numCache>
                <c:formatCode>#,##0</c:formatCode>
                <c:ptCount val="8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0</c:v>
                </c:pt>
                <c:pt idx="11">
                  <c:v>2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6</c:v>
                </c:pt>
                <c:pt idx="16">
                  <c:v>1</c:v>
                </c:pt>
                <c:pt idx="17">
                  <c:v>11</c:v>
                </c:pt>
                <c:pt idx="18">
                  <c:v>11</c:v>
                </c:pt>
                <c:pt idx="19">
                  <c:v>16</c:v>
                </c:pt>
                <c:pt idx="20">
                  <c:v>16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21</c:v>
                </c:pt>
                <c:pt idx="25">
                  <c:v>22</c:v>
                </c:pt>
                <c:pt idx="26">
                  <c:v>16</c:v>
                </c:pt>
                <c:pt idx="27">
                  <c:v>16</c:v>
                </c:pt>
                <c:pt idx="28">
                  <c:v>31</c:v>
                </c:pt>
                <c:pt idx="29">
                  <c:v>22</c:v>
                </c:pt>
                <c:pt idx="30">
                  <c:v>25</c:v>
                </c:pt>
                <c:pt idx="31">
                  <c:v>7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10</c:v>
                </c:pt>
                <c:pt idx="37">
                  <c:v>7</c:v>
                </c:pt>
                <c:pt idx="38">
                  <c:v>7</c:v>
                </c:pt>
                <c:pt idx="39">
                  <c:v>8</c:v>
                </c:pt>
                <c:pt idx="40">
                  <c:v>11</c:v>
                </c:pt>
                <c:pt idx="41">
                  <c:v>3</c:v>
                </c:pt>
                <c:pt idx="42">
                  <c:v>5</c:v>
                </c:pt>
                <c:pt idx="43">
                  <c:v>7</c:v>
                </c:pt>
                <c:pt idx="44">
                  <c:v>12</c:v>
                </c:pt>
                <c:pt idx="45">
                  <c:v>6</c:v>
                </c:pt>
                <c:pt idx="46">
                  <c:v>9</c:v>
                </c:pt>
                <c:pt idx="47">
                  <c:v>8</c:v>
                </c:pt>
                <c:pt idx="48">
                  <c:v>6</c:v>
                </c:pt>
                <c:pt idx="49">
                  <c:v>8</c:v>
                </c:pt>
                <c:pt idx="50">
                  <c:v>4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3-4EA7-885B-61E3B1E1DB14}"/>
            </c:ext>
          </c:extLst>
        </c:ser>
        <c:ser>
          <c:idx val="2"/>
          <c:order val="2"/>
          <c:tx>
            <c:strRef>
              <c:f>Evolution!$B$104</c:f>
              <c:strCache>
                <c:ptCount val="1"/>
                <c:pt idx="0">
                  <c:v>Préfabriqués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Evolution!$E$101:$CF$101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Evolution!$E$104:$CF$104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3</c:v>
                </c:pt>
                <c:pt idx="26">
                  <c:v>7</c:v>
                </c:pt>
                <c:pt idx="27">
                  <c:v>4</c:v>
                </c:pt>
                <c:pt idx="28">
                  <c:v>5</c:v>
                </c:pt>
                <c:pt idx="29">
                  <c:v>14</c:v>
                </c:pt>
                <c:pt idx="30">
                  <c:v>17</c:v>
                </c:pt>
                <c:pt idx="31">
                  <c:v>3</c:v>
                </c:pt>
                <c:pt idx="32">
                  <c:v>9</c:v>
                </c:pt>
                <c:pt idx="33">
                  <c:v>11</c:v>
                </c:pt>
                <c:pt idx="34">
                  <c:v>7</c:v>
                </c:pt>
                <c:pt idx="35">
                  <c:v>27</c:v>
                </c:pt>
                <c:pt idx="36">
                  <c:v>23</c:v>
                </c:pt>
                <c:pt idx="37">
                  <c:v>45</c:v>
                </c:pt>
                <c:pt idx="38">
                  <c:v>43</c:v>
                </c:pt>
                <c:pt idx="39">
                  <c:v>40</c:v>
                </c:pt>
                <c:pt idx="40">
                  <c:v>39</c:v>
                </c:pt>
                <c:pt idx="41">
                  <c:v>41</c:v>
                </c:pt>
                <c:pt idx="42">
                  <c:v>44</c:v>
                </c:pt>
                <c:pt idx="43">
                  <c:v>37</c:v>
                </c:pt>
                <c:pt idx="44">
                  <c:v>42</c:v>
                </c:pt>
                <c:pt idx="45">
                  <c:v>31</c:v>
                </c:pt>
                <c:pt idx="46">
                  <c:v>29</c:v>
                </c:pt>
                <c:pt idx="47">
                  <c:v>41</c:v>
                </c:pt>
                <c:pt idx="48">
                  <c:v>43</c:v>
                </c:pt>
                <c:pt idx="49">
                  <c:v>56</c:v>
                </c:pt>
                <c:pt idx="50">
                  <c:v>50</c:v>
                </c:pt>
                <c:pt idx="51">
                  <c:v>67</c:v>
                </c:pt>
                <c:pt idx="52">
                  <c:v>58</c:v>
                </c:pt>
                <c:pt idx="53">
                  <c:v>71</c:v>
                </c:pt>
                <c:pt idx="54">
                  <c:v>63</c:v>
                </c:pt>
                <c:pt idx="55">
                  <c:v>58</c:v>
                </c:pt>
                <c:pt idx="56">
                  <c:v>36</c:v>
                </c:pt>
                <c:pt idx="57">
                  <c:v>30</c:v>
                </c:pt>
                <c:pt idx="58">
                  <c:v>31</c:v>
                </c:pt>
                <c:pt idx="59">
                  <c:v>24</c:v>
                </c:pt>
                <c:pt idx="60">
                  <c:v>38</c:v>
                </c:pt>
                <c:pt idx="61">
                  <c:v>43</c:v>
                </c:pt>
                <c:pt idx="62">
                  <c:v>31</c:v>
                </c:pt>
                <c:pt idx="63">
                  <c:v>29</c:v>
                </c:pt>
                <c:pt idx="64">
                  <c:v>54</c:v>
                </c:pt>
                <c:pt idx="65">
                  <c:v>61</c:v>
                </c:pt>
                <c:pt idx="66">
                  <c:v>42</c:v>
                </c:pt>
                <c:pt idx="67">
                  <c:v>41</c:v>
                </c:pt>
                <c:pt idx="68">
                  <c:v>38</c:v>
                </c:pt>
                <c:pt idx="69">
                  <c:v>28</c:v>
                </c:pt>
                <c:pt idx="70">
                  <c:v>32</c:v>
                </c:pt>
                <c:pt idx="71">
                  <c:v>33</c:v>
                </c:pt>
                <c:pt idx="72">
                  <c:v>35</c:v>
                </c:pt>
                <c:pt idx="73">
                  <c:v>27</c:v>
                </c:pt>
                <c:pt idx="74">
                  <c:v>32</c:v>
                </c:pt>
                <c:pt idx="75">
                  <c:v>42</c:v>
                </c:pt>
                <c:pt idx="76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3-4EA7-885B-61E3B1E1DB14}"/>
            </c:ext>
          </c:extLst>
        </c:ser>
        <c:ser>
          <c:idx val="3"/>
          <c:order val="3"/>
          <c:tx>
            <c:strRef>
              <c:f>Evolution!$B$105</c:f>
              <c:strCache>
                <c:ptCount val="1"/>
                <c:pt idx="0">
                  <c:v>Autre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Evolution!$E$101:$CF$101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Evolution!$E$105:$CF$105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3-4EA7-885B-61E3B1E1D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526518095"/>
        <c:axId val="643923471"/>
      </c:barChart>
      <c:catAx>
        <c:axId val="152651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43923471"/>
        <c:crosses val="autoZero"/>
        <c:auto val="1"/>
        <c:lblAlgn val="ctr"/>
        <c:lblOffset val="100"/>
        <c:noMultiLvlLbl val="0"/>
      </c:catAx>
      <c:valAx>
        <c:axId val="6439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651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Nombre de transformateurs HTA/BT DP par année de mise en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Evolution!$B$125</c:f>
              <c:strCache>
                <c:ptCount val="1"/>
                <c:pt idx="0">
                  <c:v>Nombre de transformateurs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Evolution!$D$124:$CF$124</c:f>
              <c:numCache>
                <c:formatCode>General</c:formatCode>
                <c:ptCount val="81"/>
                <c:pt idx="0">
                  <c:v>1946</c:v>
                </c:pt>
                <c:pt idx="1">
                  <c:v>1947</c:v>
                </c:pt>
                <c:pt idx="2">
                  <c:v>1948</c:v>
                </c:pt>
                <c:pt idx="3">
                  <c:v>1949</c:v>
                </c:pt>
                <c:pt idx="4">
                  <c:v>1950</c:v>
                </c:pt>
                <c:pt idx="5">
                  <c:v>1951</c:v>
                </c:pt>
                <c:pt idx="6">
                  <c:v>1952</c:v>
                </c:pt>
                <c:pt idx="7">
                  <c:v>1953</c:v>
                </c:pt>
                <c:pt idx="8">
                  <c:v>1954</c:v>
                </c:pt>
                <c:pt idx="9">
                  <c:v>1955</c:v>
                </c:pt>
                <c:pt idx="10">
                  <c:v>1956</c:v>
                </c:pt>
                <c:pt idx="11">
                  <c:v>1957</c:v>
                </c:pt>
                <c:pt idx="12">
                  <c:v>1958</c:v>
                </c:pt>
                <c:pt idx="13">
                  <c:v>1959</c:v>
                </c:pt>
                <c:pt idx="14">
                  <c:v>1960</c:v>
                </c:pt>
                <c:pt idx="15">
                  <c:v>1961</c:v>
                </c:pt>
                <c:pt idx="16">
                  <c:v>1962</c:v>
                </c:pt>
                <c:pt idx="17">
                  <c:v>1963</c:v>
                </c:pt>
                <c:pt idx="18">
                  <c:v>1964</c:v>
                </c:pt>
                <c:pt idx="19">
                  <c:v>1965</c:v>
                </c:pt>
                <c:pt idx="20">
                  <c:v>1966</c:v>
                </c:pt>
                <c:pt idx="21">
                  <c:v>1967</c:v>
                </c:pt>
                <c:pt idx="22">
                  <c:v>1968</c:v>
                </c:pt>
                <c:pt idx="23">
                  <c:v>1969</c:v>
                </c:pt>
                <c:pt idx="24">
                  <c:v>1970</c:v>
                </c:pt>
                <c:pt idx="25">
                  <c:v>1971</c:v>
                </c:pt>
                <c:pt idx="26">
                  <c:v>1972</c:v>
                </c:pt>
                <c:pt idx="27">
                  <c:v>1973</c:v>
                </c:pt>
                <c:pt idx="28">
                  <c:v>1974</c:v>
                </c:pt>
                <c:pt idx="29">
                  <c:v>1975</c:v>
                </c:pt>
                <c:pt idx="30">
                  <c:v>1976</c:v>
                </c:pt>
                <c:pt idx="31">
                  <c:v>1977</c:v>
                </c:pt>
                <c:pt idx="32">
                  <c:v>1978</c:v>
                </c:pt>
                <c:pt idx="33">
                  <c:v>1979</c:v>
                </c:pt>
                <c:pt idx="34">
                  <c:v>1980</c:v>
                </c:pt>
                <c:pt idx="35">
                  <c:v>1981</c:v>
                </c:pt>
                <c:pt idx="36">
                  <c:v>1982</c:v>
                </c:pt>
                <c:pt idx="37">
                  <c:v>1983</c:v>
                </c:pt>
                <c:pt idx="38">
                  <c:v>1984</c:v>
                </c:pt>
                <c:pt idx="39">
                  <c:v>1985</c:v>
                </c:pt>
                <c:pt idx="40">
                  <c:v>1986</c:v>
                </c:pt>
                <c:pt idx="41">
                  <c:v>1987</c:v>
                </c:pt>
                <c:pt idx="42">
                  <c:v>1988</c:v>
                </c:pt>
                <c:pt idx="43">
                  <c:v>1989</c:v>
                </c:pt>
                <c:pt idx="44">
                  <c:v>1990</c:v>
                </c:pt>
                <c:pt idx="45">
                  <c:v>1991</c:v>
                </c:pt>
                <c:pt idx="46">
                  <c:v>1992</c:v>
                </c:pt>
                <c:pt idx="47">
                  <c:v>1993</c:v>
                </c:pt>
                <c:pt idx="48">
                  <c:v>1994</c:v>
                </c:pt>
                <c:pt idx="49">
                  <c:v>1995</c:v>
                </c:pt>
                <c:pt idx="50">
                  <c:v>1996</c:v>
                </c:pt>
                <c:pt idx="51">
                  <c:v>1997</c:v>
                </c:pt>
                <c:pt idx="52">
                  <c:v>1998</c:v>
                </c:pt>
                <c:pt idx="53">
                  <c:v>1999</c:v>
                </c:pt>
                <c:pt idx="54">
                  <c:v>2000</c:v>
                </c:pt>
                <c:pt idx="55">
                  <c:v>2001</c:v>
                </c:pt>
                <c:pt idx="56">
                  <c:v>2002</c:v>
                </c:pt>
                <c:pt idx="57">
                  <c:v>2003</c:v>
                </c:pt>
                <c:pt idx="58">
                  <c:v>2004</c:v>
                </c:pt>
                <c:pt idx="59">
                  <c:v>2005</c:v>
                </c:pt>
                <c:pt idx="60">
                  <c:v>2006</c:v>
                </c:pt>
                <c:pt idx="61">
                  <c:v>2007</c:v>
                </c:pt>
                <c:pt idx="62">
                  <c:v>2008</c:v>
                </c:pt>
                <c:pt idx="63">
                  <c:v>2009</c:v>
                </c:pt>
                <c:pt idx="64">
                  <c:v>2010</c:v>
                </c:pt>
                <c:pt idx="65">
                  <c:v>2011</c:v>
                </c:pt>
                <c:pt idx="66">
                  <c:v>2012</c:v>
                </c:pt>
                <c:pt idx="67">
                  <c:v>2013</c:v>
                </c:pt>
                <c:pt idx="68">
                  <c:v>2014</c:v>
                </c:pt>
                <c:pt idx="69">
                  <c:v>2015</c:v>
                </c:pt>
                <c:pt idx="70">
                  <c:v>2016</c:v>
                </c:pt>
                <c:pt idx="71">
                  <c:v>2017</c:v>
                </c:pt>
                <c:pt idx="72">
                  <c:v>2018</c:v>
                </c:pt>
                <c:pt idx="73">
                  <c:v>2019</c:v>
                </c:pt>
                <c:pt idx="74">
                  <c:v>2020</c:v>
                </c:pt>
                <c:pt idx="75">
                  <c:v>2021</c:v>
                </c:pt>
                <c:pt idx="76">
                  <c:v>2022</c:v>
                </c:pt>
                <c:pt idx="77">
                  <c:v>2023</c:v>
                </c:pt>
              </c:numCache>
            </c:numRef>
          </c:cat>
          <c:val>
            <c:numRef>
              <c:f>Evolution!$D$125:$CF$125</c:f>
              <c:numCache>
                <c:formatCode>#,##0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9</c:v>
                </c:pt>
                <c:pt idx="33">
                  <c:v>6</c:v>
                </c:pt>
                <c:pt idx="34">
                  <c:v>11</c:v>
                </c:pt>
                <c:pt idx="35">
                  <c:v>25</c:v>
                </c:pt>
                <c:pt idx="36">
                  <c:v>20</c:v>
                </c:pt>
                <c:pt idx="37">
                  <c:v>35</c:v>
                </c:pt>
                <c:pt idx="38">
                  <c:v>31</c:v>
                </c:pt>
                <c:pt idx="39">
                  <c:v>24</c:v>
                </c:pt>
                <c:pt idx="40">
                  <c:v>36</c:v>
                </c:pt>
                <c:pt idx="41">
                  <c:v>38</c:v>
                </c:pt>
                <c:pt idx="42">
                  <c:v>40</c:v>
                </c:pt>
                <c:pt idx="43">
                  <c:v>41</c:v>
                </c:pt>
                <c:pt idx="44">
                  <c:v>43</c:v>
                </c:pt>
                <c:pt idx="45">
                  <c:v>27</c:v>
                </c:pt>
                <c:pt idx="46">
                  <c:v>51</c:v>
                </c:pt>
                <c:pt idx="47">
                  <c:v>72</c:v>
                </c:pt>
                <c:pt idx="48">
                  <c:v>149</c:v>
                </c:pt>
                <c:pt idx="49">
                  <c:v>94</c:v>
                </c:pt>
                <c:pt idx="50">
                  <c:v>191</c:v>
                </c:pt>
                <c:pt idx="51">
                  <c:v>215</c:v>
                </c:pt>
                <c:pt idx="52">
                  <c:v>298</c:v>
                </c:pt>
                <c:pt idx="53">
                  <c:v>380</c:v>
                </c:pt>
                <c:pt idx="54">
                  <c:v>313</c:v>
                </c:pt>
                <c:pt idx="55">
                  <c:v>452</c:v>
                </c:pt>
                <c:pt idx="56">
                  <c:v>294</c:v>
                </c:pt>
                <c:pt idx="57">
                  <c:v>71</c:v>
                </c:pt>
                <c:pt idx="58">
                  <c:v>59</c:v>
                </c:pt>
                <c:pt idx="59">
                  <c:v>55</c:v>
                </c:pt>
                <c:pt idx="60">
                  <c:v>61</c:v>
                </c:pt>
                <c:pt idx="61">
                  <c:v>66</c:v>
                </c:pt>
                <c:pt idx="62">
                  <c:v>91</c:v>
                </c:pt>
                <c:pt idx="63">
                  <c:v>67</c:v>
                </c:pt>
                <c:pt idx="64">
                  <c:v>52</c:v>
                </c:pt>
                <c:pt idx="65">
                  <c:v>85</c:v>
                </c:pt>
                <c:pt idx="66">
                  <c:v>94</c:v>
                </c:pt>
                <c:pt idx="67">
                  <c:v>59</c:v>
                </c:pt>
                <c:pt idx="68">
                  <c:v>37</c:v>
                </c:pt>
                <c:pt idx="69">
                  <c:v>38</c:v>
                </c:pt>
                <c:pt idx="70">
                  <c:v>59</c:v>
                </c:pt>
                <c:pt idx="71">
                  <c:v>37</c:v>
                </c:pt>
                <c:pt idx="72">
                  <c:v>36</c:v>
                </c:pt>
                <c:pt idx="73">
                  <c:v>54</c:v>
                </c:pt>
                <c:pt idx="74">
                  <c:v>76</c:v>
                </c:pt>
                <c:pt idx="75">
                  <c:v>60</c:v>
                </c:pt>
                <c:pt idx="76">
                  <c:v>54</c:v>
                </c:pt>
                <c:pt idx="7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A-4135-BDA2-2BC9F6F8C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665825663"/>
        <c:axId val="1558454799"/>
      </c:barChart>
      <c:catAx>
        <c:axId val="166582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8454799"/>
        <c:crosses val="autoZero"/>
        <c:auto val="1"/>
        <c:lblAlgn val="ctr"/>
        <c:lblOffset val="100"/>
        <c:noMultiLvlLbl val="0"/>
      </c:catAx>
      <c:valAx>
        <c:axId val="15584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5825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Linéaires</a:t>
            </a:r>
            <a:r>
              <a:rPr lang="fr-FR" sz="1200" b="1" baseline="0"/>
              <a:t> HTA aérien </a:t>
            </a:r>
            <a:r>
              <a:rPr lang="fr-FR" sz="1200" b="1"/>
              <a:t>traités en RP-PDV par année de mise en service (km)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Evolution!$B$145</c:f>
              <c:strCache>
                <c:ptCount val="1"/>
                <c:pt idx="0">
                  <c:v>Linéaire Traité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Evolution!$E$144:$CF$144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Evolution!$E$145:$CF$145</c:f>
              <c:numCache>
                <c:formatCode>#,##0</c:formatCode>
                <c:ptCount val="80"/>
                <c:pt idx="0">
                  <c:v>2.31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0.18</c:v>
                </c:pt>
                <c:pt idx="10">
                  <c:v>0</c:v>
                </c:pt>
                <c:pt idx="11">
                  <c:v>0</c:v>
                </c:pt>
                <c:pt idx="12">
                  <c:v>2.74</c:v>
                </c:pt>
                <c:pt idx="13">
                  <c:v>2.84</c:v>
                </c:pt>
                <c:pt idx="14">
                  <c:v>0.45</c:v>
                </c:pt>
                <c:pt idx="15">
                  <c:v>3.02</c:v>
                </c:pt>
                <c:pt idx="16">
                  <c:v>5.32</c:v>
                </c:pt>
                <c:pt idx="17">
                  <c:v>17.22</c:v>
                </c:pt>
                <c:pt idx="18">
                  <c:v>16.170000000000002</c:v>
                </c:pt>
                <c:pt idx="19">
                  <c:v>14.82</c:v>
                </c:pt>
                <c:pt idx="20">
                  <c:v>16.29</c:v>
                </c:pt>
                <c:pt idx="21">
                  <c:v>6.27</c:v>
                </c:pt>
                <c:pt idx="22">
                  <c:v>2.54</c:v>
                </c:pt>
                <c:pt idx="23">
                  <c:v>8.75</c:v>
                </c:pt>
                <c:pt idx="24">
                  <c:v>9.82</c:v>
                </c:pt>
                <c:pt idx="25">
                  <c:v>9.56</c:v>
                </c:pt>
                <c:pt idx="26">
                  <c:v>12.15</c:v>
                </c:pt>
                <c:pt idx="27">
                  <c:v>8.5</c:v>
                </c:pt>
                <c:pt idx="28">
                  <c:v>4.46</c:v>
                </c:pt>
                <c:pt idx="29">
                  <c:v>6.53</c:v>
                </c:pt>
                <c:pt idx="30">
                  <c:v>2.74</c:v>
                </c:pt>
                <c:pt idx="31">
                  <c:v>5.4</c:v>
                </c:pt>
                <c:pt idx="32">
                  <c:v>6</c:v>
                </c:pt>
                <c:pt idx="33">
                  <c:v>4.22</c:v>
                </c:pt>
                <c:pt idx="34">
                  <c:v>0.16</c:v>
                </c:pt>
                <c:pt idx="35">
                  <c:v>1.92</c:v>
                </c:pt>
                <c:pt idx="36">
                  <c:v>2.93</c:v>
                </c:pt>
                <c:pt idx="37">
                  <c:v>15.03</c:v>
                </c:pt>
                <c:pt idx="38">
                  <c:v>7.08</c:v>
                </c:pt>
                <c:pt idx="39">
                  <c:v>7.68</c:v>
                </c:pt>
                <c:pt idx="40">
                  <c:v>12.51</c:v>
                </c:pt>
                <c:pt idx="41">
                  <c:v>8.41</c:v>
                </c:pt>
                <c:pt idx="42">
                  <c:v>9.15</c:v>
                </c:pt>
                <c:pt idx="43">
                  <c:v>4.28</c:v>
                </c:pt>
                <c:pt idx="44">
                  <c:v>3.21</c:v>
                </c:pt>
                <c:pt idx="45">
                  <c:v>2.12</c:v>
                </c:pt>
                <c:pt idx="46">
                  <c:v>5.95</c:v>
                </c:pt>
                <c:pt idx="47">
                  <c:v>0.09</c:v>
                </c:pt>
                <c:pt idx="48">
                  <c:v>0.03</c:v>
                </c:pt>
                <c:pt idx="49">
                  <c:v>0.01</c:v>
                </c:pt>
                <c:pt idx="50">
                  <c:v>0</c:v>
                </c:pt>
                <c:pt idx="51">
                  <c:v>0.52</c:v>
                </c:pt>
                <c:pt idx="52">
                  <c:v>1.1599999999999999</c:v>
                </c:pt>
                <c:pt idx="53">
                  <c:v>0</c:v>
                </c:pt>
                <c:pt idx="54">
                  <c:v>0.89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C-4A36-83EB-8C61FC02B263}"/>
            </c:ext>
          </c:extLst>
        </c:ser>
        <c:ser>
          <c:idx val="1"/>
          <c:order val="1"/>
          <c:tx>
            <c:strRef>
              <c:f>Evolution!$B$146</c:f>
              <c:strCache>
                <c:ptCount val="1"/>
                <c:pt idx="0">
                  <c:v>Linéaire Fiabilisé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Evolution!$E$144:$CF$144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Evolution!$E$146:$CF$146</c:f>
              <c:numCache>
                <c:formatCode>#,##0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</c:v>
                </c:pt>
                <c:pt idx="14">
                  <c:v>1.0900000000000001</c:v>
                </c:pt>
                <c:pt idx="15">
                  <c:v>0.09</c:v>
                </c:pt>
                <c:pt idx="16">
                  <c:v>0</c:v>
                </c:pt>
                <c:pt idx="17">
                  <c:v>1.01</c:v>
                </c:pt>
                <c:pt idx="18">
                  <c:v>0.91</c:v>
                </c:pt>
                <c:pt idx="19">
                  <c:v>0.11</c:v>
                </c:pt>
                <c:pt idx="20">
                  <c:v>0.24</c:v>
                </c:pt>
                <c:pt idx="21">
                  <c:v>0.4</c:v>
                </c:pt>
                <c:pt idx="22">
                  <c:v>0.08</c:v>
                </c:pt>
                <c:pt idx="23">
                  <c:v>0.89</c:v>
                </c:pt>
                <c:pt idx="24">
                  <c:v>4.32</c:v>
                </c:pt>
                <c:pt idx="25">
                  <c:v>0</c:v>
                </c:pt>
                <c:pt idx="26">
                  <c:v>0.75</c:v>
                </c:pt>
                <c:pt idx="27">
                  <c:v>0.1</c:v>
                </c:pt>
                <c:pt idx="28">
                  <c:v>0.28999999999999998</c:v>
                </c:pt>
                <c:pt idx="29">
                  <c:v>0.46</c:v>
                </c:pt>
                <c:pt idx="30">
                  <c:v>0.02</c:v>
                </c:pt>
                <c:pt idx="31">
                  <c:v>0.46</c:v>
                </c:pt>
                <c:pt idx="32">
                  <c:v>0.96</c:v>
                </c:pt>
                <c:pt idx="33">
                  <c:v>0.24</c:v>
                </c:pt>
                <c:pt idx="34">
                  <c:v>0</c:v>
                </c:pt>
                <c:pt idx="35">
                  <c:v>3.02</c:v>
                </c:pt>
                <c:pt idx="36">
                  <c:v>0.01</c:v>
                </c:pt>
                <c:pt idx="37">
                  <c:v>2.2799999999999998</c:v>
                </c:pt>
                <c:pt idx="38">
                  <c:v>0.19</c:v>
                </c:pt>
                <c:pt idx="39">
                  <c:v>0.25</c:v>
                </c:pt>
                <c:pt idx="40">
                  <c:v>1.21</c:v>
                </c:pt>
                <c:pt idx="41">
                  <c:v>3</c:v>
                </c:pt>
                <c:pt idx="42">
                  <c:v>2.92</c:v>
                </c:pt>
                <c:pt idx="43">
                  <c:v>4.45</c:v>
                </c:pt>
                <c:pt idx="44">
                  <c:v>3.86</c:v>
                </c:pt>
                <c:pt idx="45">
                  <c:v>0.48</c:v>
                </c:pt>
                <c:pt idx="46">
                  <c:v>0.36</c:v>
                </c:pt>
                <c:pt idx="47">
                  <c:v>0.12</c:v>
                </c:pt>
                <c:pt idx="48">
                  <c:v>0.14000000000000001</c:v>
                </c:pt>
                <c:pt idx="49">
                  <c:v>0.83</c:v>
                </c:pt>
                <c:pt idx="50">
                  <c:v>0.28999999999999998</c:v>
                </c:pt>
                <c:pt idx="51">
                  <c:v>0.41</c:v>
                </c:pt>
                <c:pt idx="52">
                  <c:v>1.02</c:v>
                </c:pt>
                <c:pt idx="53">
                  <c:v>1.78</c:v>
                </c:pt>
                <c:pt idx="54">
                  <c:v>0.67</c:v>
                </c:pt>
                <c:pt idx="55">
                  <c:v>0</c:v>
                </c:pt>
                <c:pt idx="56">
                  <c:v>0.46</c:v>
                </c:pt>
                <c:pt idx="57">
                  <c:v>0</c:v>
                </c:pt>
                <c:pt idx="58">
                  <c:v>0</c:v>
                </c:pt>
                <c:pt idx="59">
                  <c:v>0.23</c:v>
                </c:pt>
                <c:pt idx="60">
                  <c:v>0.18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C-4A36-83EB-8C61FC02B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202293615"/>
        <c:axId val="650860431"/>
      </c:barChart>
      <c:catAx>
        <c:axId val="12022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0860431"/>
        <c:crosses val="autoZero"/>
        <c:auto val="1"/>
        <c:lblAlgn val="ctr"/>
        <c:lblOffset val="100"/>
        <c:noMultiLvlLbl val="0"/>
      </c:catAx>
      <c:valAx>
        <c:axId val="65086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022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Typologies</a:t>
            </a:r>
            <a:r>
              <a:rPr lang="fr-FR" sz="1200" b="1" baseline="0"/>
              <a:t> du réseau HTA par année de mise en service</a:t>
            </a:r>
            <a:endParaRPr lang="fr-FR" sz="1200" b="1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Evolution!$B$4</c:f>
              <c:strCache>
                <c:ptCount val="1"/>
                <c:pt idx="0">
                  <c:v>Aérien nu hors faibles sections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Evolution!$E$3:$CF$3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Evolution!$E$4:$CF$4</c:f>
              <c:numCache>
                <c:formatCode>#\ ##0.0</c:formatCode>
                <c:ptCount val="80"/>
                <c:pt idx="0">
                  <c:v>2.31</c:v>
                </c:pt>
                <c:pt idx="1">
                  <c:v>1.65</c:v>
                </c:pt>
                <c:pt idx="2">
                  <c:v>1.75</c:v>
                </c:pt>
                <c:pt idx="3">
                  <c:v>4.17</c:v>
                </c:pt>
                <c:pt idx="4">
                  <c:v>1.56</c:v>
                </c:pt>
                <c:pt idx="5">
                  <c:v>0.32</c:v>
                </c:pt>
                <c:pt idx="6">
                  <c:v>0.09</c:v>
                </c:pt>
                <c:pt idx="7">
                  <c:v>0.27</c:v>
                </c:pt>
                <c:pt idx="8">
                  <c:v>4.28</c:v>
                </c:pt>
                <c:pt idx="9">
                  <c:v>3.89</c:v>
                </c:pt>
                <c:pt idx="10">
                  <c:v>14.33</c:v>
                </c:pt>
                <c:pt idx="11">
                  <c:v>3.22</c:v>
                </c:pt>
                <c:pt idx="12">
                  <c:v>8.34</c:v>
                </c:pt>
                <c:pt idx="13">
                  <c:v>19.88</c:v>
                </c:pt>
                <c:pt idx="14">
                  <c:v>17.93</c:v>
                </c:pt>
                <c:pt idx="15">
                  <c:v>37.1</c:v>
                </c:pt>
                <c:pt idx="16">
                  <c:v>41.16</c:v>
                </c:pt>
                <c:pt idx="17">
                  <c:v>52.53</c:v>
                </c:pt>
                <c:pt idx="18">
                  <c:v>68.36</c:v>
                </c:pt>
                <c:pt idx="19">
                  <c:v>77.94</c:v>
                </c:pt>
                <c:pt idx="20">
                  <c:v>78.92</c:v>
                </c:pt>
                <c:pt idx="21">
                  <c:v>47.78</c:v>
                </c:pt>
                <c:pt idx="22">
                  <c:v>46.83</c:v>
                </c:pt>
                <c:pt idx="23">
                  <c:v>60.58</c:v>
                </c:pt>
                <c:pt idx="24">
                  <c:v>46.82</c:v>
                </c:pt>
                <c:pt idx="25">
                  <c:v>42.17</c:v>
                </c:pt>
                <c:pt idx="26">
                  <c:v>64.510000000000005</c:v>
                </c:pt>
                <c:pt idx="27">
                  <c:v>51.13</c:v>
                </c:pt>
                <c:pt idx="28">
                  <c:v>32.1</c:v>
                </c:pt>
                <c:pt idx="29">
                  <c:v>34.65</c:v>
                </c:pt>
                <c:pt idx="30">
                  <c:v>25.12</c:v>
                </c:pt>
                <c:pt idx="31">
                  <c:v>43.28</c:v>
                </c:pt>
                <c:pt idx="32">
                  <c:v>52.23</c:v>
                </c:pt>
                <c:pt idx="33">
                  <c:v>28.67</c:v>
                </c:pt>
                <c:pt idx="34">
                  <c:v>19.29</c:v>
                </c:pt>
                <c:pt idx="35">
                  <c:v>59.36</c:v>
                </c:pt>
                <c:pt idx="36">
                  <c:v>52.11</c:v>
                </c:pt>
                <c:pt idx="37">
                  <c:v>83.77</c:v>
                </c:pt>
                <c:pt idx="38">
                  <c:v>89.03</c:v>
                </c:pt>
                <c:pt idx="39">
                  <c:v>60.55</c:v>
                </c:pt>
                <c:pt idx="40">
                  <c:v>98.16</c:v>
                </c:pt>
                <c:pt idx="41">
                  <c:v>168.86</c:v>
                </c:pt>
                <c:pt idx="42">
                  <c:v>133.66999999999999</c:v>
                </c:pt>
                <c:pt idx="43">
                  <c:v>96.57</c:v>
                </c:pt>
                <c:pt idx="44">
                  <c:v>108.36</c:v>
                </c:pt>
                <c:pt idx="45">
                  <c:v>101.83</c:v>
                </c:pt>
                <c:pt idx="46">
                  <c:v>38.03</c:v>
                </c:pt>
                <c:pt idx="47">
                  <c:v>17.739999999999998</c:v>
                </c:pt>
                <c:pt idx="48">
                  <c:v>15.78</c:v>
                </c:pt>
                <c:pt idx="49">
                  <c:v>16.48</c:v>
                </c:pt>
                <c:pt idx="50">
                  <c:v>6.38</c:v>
                </c:pt>
                <c:pt idx="51">
                  <c:v>7.19</c:v>
                </c:pt>
                <c:pt idx="52">
                  <c:v>7.53</c:v>
                </c:pt>
                <c:pt idx="53">
                  <c:v>13.79</c:v>
                </c:pt>
                <c:pt idx="54">
                  <c:v>2.65</c:v>
                </c:pt>
                <c:pt idx="55">
                  <c:v>1.72</c:v>
                </c:pt>
                <c:pt idx="56">
                  <c:v>1.02</c:v>
                </c:pt>
                <c:pt idx="57">
                  <c:v>1.2</c:v>
                </c:pt>
                <c:pt idx="58">
                  <c:v>2.35</c:v>
                </c:pt>
                <c:pt idx="59">
                  <c:v>1.54</c:v>
                </c:pt>
                <c:pt idx="60">
                  <c:v>1.27</c:v>
                </c:pt>
                <c:pt idx="61">
                  <c:v>1.78</c:v>
                </c:pt>
                <c:pt idx="62">
                  <c:v>0.15</c:v>
                </c:pt>
                <c:pt idx="63">
                  <c:v>0.87</c:v>
                </c:pt>
                <c:pt idx="64">
                  <c:v>0.27</c:v>
                </c:pt>
                <c:pt idx="65">
                  <c:v>0.42</c:v>
                </c:pt>
                <c:pt idx="66">
                  <c:v>0.73</c:v>
                </c:pt>
                <c:pt idx="67">
                  <c:v>0.28000000000000003</c:v>
                </c:pt>
                <c:pt idx="68">
                  <c:v>0.92</c:v>
                </c:pt>
                <c:pt idx="69">
                  <c:v>0.35</c:v>
                </c:pt>
                <c:pt idx="70">
                  <c:v>0.23</c:v>
                </c:pt>
                <c:pt idx="71">
                  <c:v>2.19</c:v>
                </c:pt>
                <c:pt idx="72">
                  <c:v>0.25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6-4EC1-B510-451446F1FE04}"/>
            </c:ext>
          </c:extLst>
        </c:ser>
        <c:ser>
          <c:idx val="1"/>
          <c:order val="1"/>
          <c:tx>
            <c:strRef>
              <c:f>Evolution!$B$5</c:f>
              <c:strCache>
                <c:ptCount val="1"/>
                <c:pt idx="0">
                  <c:v>Aérien nu de faible section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Evolution!$E$3:$CF$3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Evolution!$E$5:$CF$5</c:f>
              <c:numCache>
                <c:formatCode>#\ ##0.0</c:formatCode>
                <c:ptCount val="80"/>
                <c:pt idx="0">
                  <c:v>0</c:v>
                </c:pt>
                <c:pt idx="1">
                  <c:v>0.13</c:v>
                </c:pt>
                <c:pt idx="2">
                  <c:v>0</c:v>
                </c:pt>
                <c:pt idx="3">
                  <c:v>0.3</c:v>
                </c:pt>
                <c:pt idx="4">
                  <c:v>0</c:v>
                </c:pt>
                <c:pt idx="5">
                  <c:v>0.66</c:v>
                </c:pt>
                <c:pt idx="6">
                  <c:v>0.67</c:v>
                </c:pt>
                <c:pt idx="7">
                  <c:v>0</c:v>
                </c:pt>
                <c:pt idx="8">
                  <c:v>0</c:v>
                </c:pt>
                <c:pt idx="9">
                  <c:v>3.11</c:v>
                </c:pt>
                <c:pt idx="10">
                  <c:v>0</c:v>
                </c:pt>
                <c:pt idx="11">
                  <c:v>0.17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0.08</c:v>
                </c:pt>
                <c:pt idx="16">
                  <c:v>0.23</c:v>
                </c:pt>
                <c:pt idx="17">
                  <c:v>0.12</c:v>
                </c:pt>
                <c:pt idx="18">
                  <c:v>0.03</c:v>
                </c:pt>
                <c:pt idx="19">
                  <c:v>0</c:v>
                </c:pt>
                <c:pt idx="20">
                  <c:v>0.47</c:v>
                </c:pt>
                <c:pt idx="21">
                  <c:v>7.0000000000000007E-2</c:v>
                </c:pt>
                <c:pt idx="22">
                  <c:v>0</c:v>
                </c:pt>
                <c:pt idx="23">
                  <c:v>0</c:v>
                </c:pt>
                <c:pt idx="24">
                  <c:v>1.0900000000000001</c:v>
                </c:pt>
                <c:pt idx="25">
                  <c:v>0.25</c:v>
                </c:pt>
                <c:pt idx="26">
                  <c:v>0.45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0.27</c:v>
                </c:pt>
                <c:pt idx="33">
                  <c:v>0.43</c:v>
                </c:pt>
                <c:pt idx="34">
                  <c:v>0</c:v>
                </c:pt>
                <c:pt idx="35">
                  <c:v>0.28000000000000003</c:v>
                </c:pt>
                <c:pt idx="36">
                  <c:v>0.49</c:v>
                </c:pt>
                <c:pt idx="37">
                  <c:v>0.95</c:v>
                </c:pt>
                <c:pt idx="38">
                  <c:v>0.42</c:v>
                </c:pt>
                <c:pt idx="39">
                  <c:v>0</c:v>
                </c:pt>
                <c:pt idx="40">
                  <c:v>7.0000000000000007E-2</c:v>
                </c:pt>
                <c:pt idx="41">
                  <c:v>0.02</c:v>
                </c:pt>
                <c:pt idx="42">
                  <c:v>0.79</c:v>
                </c:pt>
                <c:pt idx="43">
                  <c:v>1.26</c:v>
                </c:pt>
                <c:pt idx="44">
                  <c:v>0</c:v>
                </c:pt>
                <c:pt idx="45">
                  <c:v>2.3199999999999998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6-4EC1-B510-451446F1FE04}"/>
            </c:ext>
          </c:extLst>
        </c:ser>
        <c:ser>
          <c:idx val="2"/>
          <c:order val="2"/>
          <c:tx>
            <c:strRef>
              <c:f>Evolution!$B$6</c:f>
              <c:strCache>
                <c:ptCount val="1"/>
                <c:pt idx="0">
                  <c:v>Aérien torsadé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Evolution!$E$3:$CF$3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Evolution!$E$6:$CF$6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1.28</c:v>
                </c:pt>
                <c:pt idx="41">
                  <c:v>0.83</c:v>
                </c:pt>
                <c:pt idx="42">
                  <c:v>0.96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0.46</c:v>
                </c:pt>
                <c:pt idx="53">
                  <c:v>0.32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6-4EC1-B510-451446F1FE04}"/>
            </c:ext>
          </c:extLst>
        </c:ser>
        <c:ser>
          <c:idx val="3"/>
          <c:order val="3"/>
          <c:tx>
            <c:strRef>
              <c:f>Evolution!$B$7</c:f>
              <c:strCache>
                <c:ptCount val="1"/>
                <c:pt idx="0">
                  <c:v>Souterrain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Evolution!$E$3:$CF$3</c:f>
              <c:numCache>
                <c:formatCode>General</c:formatCode>
                <c:ptCount val="80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  <c:pt idx="74">
                  <c:v>2021</c:v>
                </c:pt>
                <c:pt idx="75">
                  <c:v>2022</c:v>
                </c:pt>
                <c:pt idx="76">
                  <c:v>2023</c:v>
                </c:pt>
              </c:numCache>
            </c:numRef>
          </c:cat>
          <c:val>
            <c:numRef>
              <c:f>Evolution!$E$7:$CF$7</c:f>
              <c:numCache>
                <c:formatCode>#\ ##0.0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26.77</c:v>
                </c:pt>
                <c:pt idx="14">
                  <c:v>2.17</c:v>
                </c:pt>
                <c:pt idx="15">
                  <c:v>0</c:v>
                </c:pt>
                <c:pt idx="16">
                  <c:v>0</c:v>
                </c:pt>
                <c:pt idx="17">
                  <c:v>0.91</c:v>
                </c:pt>
                <c:pt idx="18">
                  <c:v>1.2</c:v>
                </c:pt>
                <c:pt idx="19">
                  <c:v>19.600000000000001</c:v>
                </c:pt>
                <c:pt idx="20">
                  <c:v>1.51</c:v>
                </c:pt>
                <c:pt idx="21">
                  <c:v>0.18</c:v>
                </c:pt>
                <c:pt idx="22">
                  <c:v>0.97</c:v>
                </c:pt>
                <c:pt idx="23">
                  <c:v>0.61</c:v>
                </c:pt>
                <c:pt idx="24">
                  <c:v>0.67</c:v>
                </c:pt>
                <c:pt idx="25">
                  <c:v>0.43</c:v>
                </c:pt>
                <c:pt idx="26">
                  <c:v>0.94</c:v>
                </c:pt>
                <c:pt idx="27">
                  <c:v>0.04</c:v>
                </c:pt>
                <c:pt idx="28">
                  <c:v>2.5499999999999998</c:v>
                </c:pt>
                <c:pt idx="29">
                  <c:v>0.56999999999999995</c:v>
                </c:pt>
                <c:pt idx="30">
                  <c:v>4.5599999999999996</c:v>
                </c:pt>
                <c:pt idx="31">
                  <c:v>50.44</c:v>
                </c:pt>
                <c:pt idx="32">
                  <c:v>3.08</c:v>
                </c:pt>
                <c:pt idx="33">
                  <c:v>9.31</c:v>
                </c:pt>
                <c:pt idx="34">
                  <c:v>15.44</c:v>
                </c:pt>
                <c:pt idx="35">
                  <c:v>15.96</c:v>
                </c:pt>
                <c:pt idx="36">
                  <c:v>12.73</c:v>
                </c:pt>
                <c:pt idx="37">
                  <c:v>18.260000000000002</c:v>
                </c:pt>
                <c:pt idx="38">
                  <c:v>17.079999999999998</c:v>
                </c:pt>
                <c:pt idx="39">
                  <c:v>17.329999999999998</c:v>
                </c:pt>
                <c:pt idx="40">
                  <c:v>16.260000000000002</c:v>
                </c:pt>
                <c:pt idx="41">
                  <c:v>24.41</c:v>
                </c:pt>
                <c:pt idx="42">
                  <c:v>19.57</c:v>
                </c:pt>
                <c:pt idx="43">
                  <c:v>15.84</c:v>
                </c:pt>
                <c:pt idx="44">
                  <c:v>17.86</c:v>
                </c:pt>
                <c:pt idx="45">
                  <c:v>30.34</c:v>
                </c:pt>
                <c:pt idx="46">
                  <c:v>47.65</c:v>
                </c:pt>
                <c:pt idx="47">
                  <c:v>49.87</c:v>
                </c:pt>
                <c:pt idx="48">
                  <c:v>40.119999999999997</c:v>
                </c:pt>
                <c:pt idx="49">
                  <c:v>90.2</c:v>
                </c:pt>
                <c:pt idx="50">
                  <c:v>61.63</c:v>
                </c:pt>
                <c:pt idx="51">
                  <c:v>51.89</c:v>
                </c:pt>
                <c:pt idx="52">
                  <c:v>92.36</c:v>
                </c:pt>
                <c:pt idx="53">
                  <c:v>82.71</c:v>
                </c:pt>
                <c:pt idx="54">
                  <c:v>79.709999999999994</c:v>
                </c:pt>
                <c:pt idx="55">
                  <c:v>112.06</c:v>
                </c:pt>
                <c:pt idx="56">
                  <c:v>31.51</c:v>
                </c:pt>
                <c:pt idx="57">
                  <c:v>38.46</c:v>
                </c:pt>
                <c:pt idx="58">
                  <c:v>55.87</c:v>
                </c:pt>
                <c:pt idx="59">
                  <c:v>22.86</c:v>
                </c:pt>
                <c:pt idx="60">
                  <c:v>42.26</c:v>
                </c:pt>
                <c:pt idx="61">
                  <c:v>78.39</c:v>
                </c:pt>
                <c:pt idx="62">
                  <c:v>92.06</c:v>
                </c:pt>
                <c:pt idx="63">
                  <c:v>106.5</c:v>
                </c:pt>
                <c:pt idx="64">
                  <c:v>90.02</c:v>
                </c:pt>
                <c:pt idx="65">
                  <c:v>180.73</c:v>
                </c:pt>
                <c:pt idx="66">
                  <c:v>38.22</c:v>
                </c:pt>
                <c:pt idx="67">
                  <c:v>84.13</c:v>
                </c:pt>
                <c:pt idx="68">
                  <c:v>109.74</c:v>
                </c:pt>
                <c:pt idx="69">
                  <c:v>73.849999999999994</c:v>
                </c:pt>
                <c:pt idx="70">
                  <c:v>91.45</c:v>
                </c:pt>
                <c:pt idx="71">
                  <c:v>187.25</c:v>
                </c:pt>
                <c:pt idx="72">
                  <c:v>34.380000000000003</c:v>
                </c:pt>
                <c:pt idx="73">
                  <c:v>36.08</c:v>
                </c:pt>
                <c:pt idx="74">
                  <c:v>155.13999999999999</c:v>
                </c:pt>
                <c:pt idx="75">
                  <c:v>38.56</c:v>
                </c:pt>
                <c:pt idx="76">
                  <c:v>32.01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6-4EC1-B510-451446F1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202298015"/>
        <c:axId val="650853775"/>
      </c:barChart>
      <c:catAx>
        <c:axId val="120229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0853775"/>
        <c:crosses val="autoZero"/>
        <c:auto val="1"/>
        <c:lblAlgn val="ctr"/>
        <c:lblOffset val="100"/>
        <c:noMultiLvlLbl val="0"/>
      </c:catAx>
      <c:valAx>
        <c:axId val="6508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Linéaires mis en service (km)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0229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/>
              <a:t>Evolution des taux d'enfouissement</a:t>
            </a:r>
            <a:r>
              <a:rPr lang="fr-FR" sz="1200" b="1" baseline="0"/>
              <a:t> de la concession </a:t>
            </a:r>
            <a:endParaRPr lang="fr-FR" sz="1200" b="1"/>
          </a:p>
        </c:rich>
      </c:tx>
      <c:layout>
        <c:manualLayout>
          <c:xMode val="edge"/>
          <c:yMode val="edge"/>
          <c:x val="0.23790654775793751"/>
          <c:y val="2.7512267488303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2972542722662742E-2"/>
          <c:y val="0.10630407945943791"/>
          <c:w val="0.92845744308145395"/>
          <c:h val="0.71066878634854125"/>
        </c:manualLayout>
      </c:layout>
      <c:lineChart>
        <c:grouping val="standard"/>
        <c:varyColors val="0"/>
        <c:ser>
          <c:idx val="0"/>
          <c:order val="0"/>
          <c:tx>
            <c:strRef>
              <c:f>Enfouissement!$B$7</c:f>
              <c:strCache>
                <c:ptCount val="1"/>
                <c:pt idx="0">
                  <c:v>National HTA</c:v>
                </c:pt>
              </c:strCache>
            </c:strRef>
          </c:tx>
          <c:spPr>
            <a:ln w="28575" cap="rnd">
              <a:noFill/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Enfouissement!$K$6:$O$6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Enfouissement!$K$7:$O$7</c:f>
              <c:numCache>
                <c:formatCode>0.0%</c:formatCode>
                <c:ptCount val="5"/>
                <c:pt idx="0">
                  <c:v>0.50429999999999997</c:v>
                </c:pt>
                <c:pt idx="1">
                  <c:v>0.51049999999999995</c:v>
                </c:pt>
                <c:pt idx="2">
                  <c:v>0.5181</c:v>
                </c:pt>
                <c:pt idx="3">
                  <c:v>0.52370000000000005</c:v>
                </c:pt>
                <c:pt idx="4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D-4AAC-859C-70F5AAC8FE69}"/>
            </c:ext>
          </c:extLst>
        </c:ser>
        <c:ser>
          <c:idx val="1"/>
          <c:order val="1"/>
          <c:tx>
            <c:strRef>
              <c:f>Enfouissement!$B$8</c:f>
              <c:strCache>
                <c:ptCount val="1"/>
                <c:pt idx="0">
                  <c:v>National BT</c:v>
                </c:pt>
              </c:strCache>
            </c:strRef>
          </c:tx>
          <c:spPr>
            <a:ln w="28575" cap="rnd">
              <a:noFill/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FF0000">
                  <a:alpha val="97000"/>
                </a:srgbClr>
              </a:solidFill>
              <a:ln w="25400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Enfouissement!$K$6:$O$6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Enfouissement!$K$8:$O$8</c:f>
              <c:numCache>
                <c:formatCode>0.0%</c:formatCode>
                <c:ptCount val="5"/>
                <c:pt idx="0">
                  <c:v>0.46539999999999998</c:v>
                </c:pt>
                <c:pt idx="1">
                  <c:v>0.47239999999999999</c:v>
                </c:pt>
                <c:pt idx="2">
                  <c:v>0.48020000000000002</c:v>
                </c:pt>
                <c:pt idx="3">
                  <c:v>0.48749999999999999</c:v>
                </c:pt>
                <c:pt idx="4">
                  <c:v>0.49440000000000001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0D-4AAC-859C-70F5AAC8FE69}"/>
            </c:ext>
          </c:extLst>
        </c:ser>
        <c:ser>
          <c:idx val="2"/>
          <c:order val="2"/>
          <c:tx>
            <c:strRef>
              <c:f>Enfouissement!$B$13</c:f>
              <c:strCache>
                <c:ptCount val="1"/>
                <c:pt idx="0">
                  <c:v>HTA concession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Enfouissement!$K$6:$O$6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Enfouissement!$K$13:$O$13</c:f>
              <c:numCache>
                <c:formatCode>0.0%</c:formatCode>
                <c:ptCount val="5"/>
                <c:pt idx="0">
                  <c:v>0</c:v>
                </c:pt>
                <c:pt idx="1">
                  <c:v>0.5202</c:v>
                </c:pt>
                <c:pt idx="2">
                  <c:v>0.5363</c:v>
                </c:pt>
                <c:pt idx="3">
                  <c:v>0.54049999999999998</c:v>
                </c:pt>
                <c:pt idx="4">
                  <c:v>0.54300000000000004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0D-4AAC-859C-70F5AAC8FE69}"/>
            </c:ext>
          </c:extLst>
        </c:ser>
        <c:ser>
          <c:idx val="3"/>
          <c:order val="3"/>
          <c:tx>
            <c:strRef>
              <c:f>Enfouissement!$B$14</c:f>
              <c:strCache>
                <c:ptCount val="1"/>
                <c:pt idx="0">
                  <c:v>BT concession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numFmt formatCode="0.0%;0.0%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Enfouissement!$K$6:$O$6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Enfouissement!$K$14:$O$14</c:f>
              <c:numCache>
                <c:formatCode>0.0%</c:formatCode>
                <c:ptCount val="5"/>
                <c:pt idx="0">
                  <c:v>0.59230000000000005</c:v>
                </c:pt>
                <c:pt idx="1">
                  <c:v>0.59970000000000001</c:v>
                </c:pt>
                <c:pt idx="2">
                  <c:v>0.6079</c:v>
                </c:pt>
                <c:pt idx="3">
                  <c:v>0.61550000000000005</c:v>
                </c:pt>
                <c:pt idx="4">
                  <c:v>0.62260000000000004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0D-4AAC-859C-70F5AAC8FE6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560959"/>
        <c:axId val="742246975"/>
      </c:lineChart>
      <c:catAx>
        <c:axId val="6856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2246975"/>
        <c:crosses val="autoZero"/>
        <c:auto val="1"/>
        <c:lblAlgn val="ctr"/>
        <c:lblOffset val="100"/>
        <c:noMultiLvlLbl val="0"/>
      </c:catAx>
      <c:valAx>
        <c:axId val="74224697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6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 (En-têtes)"/>
              </a:rPr>
              <a:t>Taux de sécurisation BT en fonction de la densité de population</a:t>
            </a:r>
          </a:p>
          <a:p>
            <a:pPr>
              <a:defRPr sz="1200" b="1"/>
            </a:pPr>
            <a:r>
              <a:rPr lang="fr-FR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 (En-têtes)"/>
              </a:rPr>
              <a:t>- comparaison entre départements</a:t>
            </a:r>
          </a:p>
        </c:rich>
      </c:tx>
      <c:layout>
        <c:manualLayout>
          <c:xMode val="edge"/>
          <c:yMode val="edge"/>
          <c:x val="0.16662305550952233"/>
          <c:y val="2.136871978373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262176502182726"/>
          <c:y val="0.2097347388675041"/>
          <c:w val="0.8252560086100621"/>
          <c:h val="0.55935103527446806"/>
        </c:manualLayout>
      </c:layout>
      <c:scatterChart>
        <c:scatterStyle val="lineMarker"/>
        <c:varyColors val="0"/>
        <c:ser>
          <c:idx val="0"/>
          <c:order val="0"/>
          <c:tx>
            <c:v>Départements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D_enf!$J$5:$J$484</c:f>
              <c:numCache>
                <c:formatCode>General</c:formatCode>
                <c:ptCount val="480"/>
                <c:pt idx="0">
                  <c:v>47.306600000000003</c:v>
                </c:pt>
                <c:pt idx="1">
                  <c:v>47.100700000000003</c:v>
                </c:pt>
                <c:pt idx="2">
                  <c:v>46.811999999999998</c:v>
                </c:pt>
                <c:pt idx="3">
                  <c:v>46.551900000000003</c:v>
                </c:pt>
                <c:pt idx="4">
                  <c:v>46.341200000000001</c:v>
                </c:pt>
                <c:pt idx="5">
                  <c:v>83.274799999999999</c:v>
                </c:pt>
                <c:pt idx="6">
                  <c:v>82.778300000000002</c:v>
                </c:pt>
                <c:pt idx="7">
                  <c:v>82.075000000000003</c:v>
                </c:pt>
                <c:pt idx="8">
                  <c:v>81.730800000000002</c:v>
                </c:pt>
                <c:pt idx="9">
                  <c:v>81.117800000000003</c:v>
                </c:pt>
                <c:pt idx="10">
                  <c:v>81.635499999999993</c:v>
                </c:pt>
                <c:pt idx="11">
                  <c:v>81.635499999999993</c:v>
                </c:pt>
                <c:pt idx="12">
                  <c:v>81.635499999999993</c:v>
                </c:pt>
                <c:pt idx="13">
                  <c:v>81.635499999999993</c:v>
                </c:pt>
                <c:pt idx="14">
                  <c:v>81.635499999999993</c:v>
                </c:pt>
                <c:pt idx="15">
                  <c:v>85.641499999999994</c:v>
                </c:pt>
                <c:pt idx="16">
                  <c:v>85.641499999999994</c:v>
                </c:pt>
                <c:pt idx="17">
                  <c:v>85.641499999999994</c:v>
                </c:pt>
                <c:pt idx="18">
                  <c:v>85.641499999999994</c:v>
                </c:pt>
                <c:pt idx="19">
                  <c:v>85.641499999999994</c:v>
                </c:pt>
                <c:pt idx="20">
                  <c:v>62.613700000000001</c:v>
                </c:pt>
                <c:pt idx="21">
                  <c:v>62.613700000000001</c:v>
                </c:pt>
                <c:pt idx="22">
                  <c:v>62.613700000000001</c:v>
                </c:pt>
                <c:pt idx="23">
                  <c:v>62.613700000000001</c:v>
                </c:pt>
                <c:pt idx="24">
                  <c:v>62.613700000000001</c:v>
                </c:pt>
                <c:pt idx="25">
                  <c:v>37.081299999999999</c:v>
                </c:pt>
                <c:pt idx="26">
                  <c:v>37.081299999999999</c:v>
                </c:pt>
                <c:pt idx="27">
                  <c:v>37.081299999999999</c:v>
                </c:pt>
                <c:pt idx="28">
                  <c:v>37.081299999999999</c:v>
                </c:pt>
                <c:pt idx="29">
                  <c:v>37.081299999999999</c:v>
                </c:pt>
                <c:pt idx="30">
                  <c:v>126.895</c:v>
                </c:pt>
                <c:pt idx="31">
                  <c:v>126.895</c:v>
                </c:pt>
                <c:pt idx="32">
                  <c:v>126.895</c:v>
                </c:pt>
                <c:pt idx="33">
                  <c:v>126.895</c:v>
                </c:pt>
                <c:pt idx="34">
                  <c:v>126.895</c:v>
                </c:pt>
                <c:pt idx="35">
                  <c:v>62.475999999999999</c:v>
                </c:pt>
                <c:pt idx="36">
                  <c:v>62.475999999999999</c:v>
                </c:pt>
                <c:pt idx="37">
                  <c:v>62.475999999999999</c:v>
                </c:pt>
                <c:pt idx="38">
                  <c:v>62.475999999999999</c:v>
                </c:pt>
                <c:pt idx="39">
                  <c:v>62.475999999999999</c:v>
                </c:pt>
                <c:pt idx="40">
                  <c:v>29.248999999999999</c:v>
                </c:pt>
                <c:pt idx="41">
                  <c:v>29.248999999999999</c:v>
                </c:pt>
                <c:pt idx="42">
                  <c:v>29.248999999999999</c:v>
                </c:pt>
                <c:pt idx="43">
                  <c:v>29.248999999999999</c:v>
                </c:pt>
                <c:pt idx="44">
                  <c:v>29.248999999999999</c:v>
                </c:pt>
                <c:pt idx="45">
                  <c:v>59.554200000000002</c:v>
                </c:pt>
                <c:pt idx="46">
                  <c:v>59.554200000000002</c:v>
                </c:pt>
                <c:pt idx="47">
                  <c:v>59.554200000000002</c:v>
                </c:pt>
                <c:pt idx="48">
                  <c:v>59.554200000000002</c:v>
                </c:pt>
                <c:pt idx="49">
                  <c:v>59.554200000000002</c:v>
                </c:pt>
                <c:pt idx="50">
                  <c:v>64.174700000000001</c:v>
                </c:pt>
                <c:pt idx="51">
                  <c:v>64.174700000000001</c:v>
                </c:pt>
                <c:pt idx="52">
                  <c:v>64.174700000000001</c:v>
                </c:pt>
                <c:pt idx="53">
                  <c:v>64.174700000000001</c:v>
                </c:pt>
                <c:pt idx="54">
                  <c:v>64.174700000000001</c:v>
                </c:pt>
                <c:pt idx="55">
                  <c:v>51.493499999999997</c:v>
                </c:pt>
                <c:pt idx="56">
                  <c:v>51.493499999999997</c:v>
                </c:pt>
                <c:pt idx="57">
                  <c:v>51.493499999999997</c:v>
                </c:pt>
                <c:pt idx="58">
                  <c:v>51.493499999999997</c:v>
                </c:pt>
                <c:pt idx="59">
                  <c:v>51.493499999999997</c:v>
                </c:pt>
                <c:pt idx="60">
                  <c:v>34.563400000000001</c:v>
                </c:pt>
                <c:pt idx="61">
                  <c:v>34.563400000000001</c:v>
                </c:pt>
                <c:pt idx="62">
                  <c:v>34.563400000000001</c:v>
                </c:pt>
                <c:pt idx="63">
                  <c:v>34.563400000000001</c:v>
                </c:pt>
                <c:pt idx="64">
                  <c:v>34.563400000000001</c:v>
                </c:pt>
                <c:pt idx="65">
                  <c:v>108.4594</c:v>
                </c:pt>
                <c:pt idx="66">
                  <c:v>108.4594</c:v>
                </c:pt>
                <c:pt idx="67">
                  <c:v>108.4594</c:v>
                </c:pt>
                <c:pt idx="68">
                  <c:v>108.4594</c:v>
                </c:pt>
                <c:pt idx="69">
                  <c:v>108.4594</c:v>
                </c:pt>
                <c:pt idx="70">
                  <c:v>97.158900000000003</c:v>
                </c:pt>
                <c:pt idx="71">
                  <c:v>97.158900000000003</c:v>
                </c:pt>
                <c:pt idx="72">
                  <c:v>97.158900000000003</c:v>
                </c:pt>
                <c:pt idx="73">
                  <c:v>97.158900000000003</c:v>
                </c:pt>
                <c:pt idx="74">
                  <c:v>97.158900000000003</c:v>
                </c:pt>
                <c:pt idx="75">
                  <c:v>43.256100000000004</c:v>
                </c:pt>
                <c:pt idx="76">
                  <c:v>43.256100000000004</c:v>
                </c:pt>
                <c:pt idx="77">
                  <c:v>43.256100000000004</c:v>
                </c:pt>
                <c:pt idx="78">
                  <c:v>43.256100000000004</c:v>
                </c:pt>
                <c:pt idx="79">
                  <c:v>43.256100000000004</c:v>
                </c:pt>
                <c:pt idx="80">
                  <c:v>28.035</c:v>
                </c:pt>
                <c:pt idx="81">
                  <c:v>28.035</c:v>
                </c:pt>
                <c:pt idx="82">
                  <c:v>28.035</c:v>
                </c:pt>
                <c:pt idx="83">
                  <c:v>28.035</c:v>
                </c:pt>
                <c:pt idx="84">
                  <c:v>28.035</c:v>
                </c:pt>
                <c:pt idx="85">
                  <c:v>30.681000000000001</c:v>
                </c:pt>
                <c:pt idx="86">
                  <c:v>30.681000000000001</c:v>
                </c:pt>
                <c:pt idx="87">
                  <c:v>30.681000000000001</c:v>
                </c:pt>
                <c:pt idx="88">
                  <c:v>30.681000000000001</c:v>
                </c:pt>
                <c:pt idx="89">
                  <c:v>30.681000000000001</c:v>
                </c:pt>
                <c:pt idx="90">
                  <c:v>95.768299999999996</c:v>
                </c:pt>
                <c:pt idx="91">
                  <c:v>95.768299999999996</c:v>
                </c:pt>
                <c:pt idx="92">
                  <c:v>95.768299999999996</c:v>
                </c:pt>
                <c:pt idx="93">
                  <c:v>95.768299999999996</c:v>
                </c:pt>
                <c:pt idx="94">
                  <c:v>95.768299999999996</c:v>
                </c:pt>
                <c:pt idx="95">
                  <c:v>51.630499999999998</c:v>
                </c:pt>
                <c:pt idx="96">
                  <c:v>51.630499999999998</c:v>
                </c:pt>
                <c:pt idx="97">
                  <c:v>51.630499999999998</c:v>
                </c:pt>
                <c:pt idx="98">
                  <c:v>51.630499999999998</c:v>
                </c:pt>
                <c:pt idx="99">
                  <c:v>51.630499999999998</c:v>
                </c:pt>
                <c:pt idx="100">
                  <c:v>72.592200000000005</c:v>
                </c:pt>
                <c:pt idx="101">
                  <c:v>72.592200000000005</c:v>
                </c:pt>
                <c:pt idx="102">
                  <c:v>72.592200000000005</c:v>
                </c:pt>
                <c:pt idx="103">
                  <c:v>72.592200000000005</c:v>
                </c:pt>
                <c:pt idx="104">
                  <c:v>72.592200000000005</c:v>
                </c:pt>
                <c:pt idx="105">
                  <c:v>111.1737</c:v>
                </c:pt>
                <c:pt idx="106">
                  <c:v>111.1737</c:v>
                </c:pt>
                <c:pt idx="107">
                  <c:v>111.1737</c:v>
                </c:pt>
                <c:pt idx="108">
                  <c:v>111.1737</c:v>
                </c:pt>
                <c:pt idx="109">
                  <c:v>111.1737</c:v>
                </c:pt>
                <c:pt idx="110">
                  <c:v>57.0871</c:v>
                </c:pt>
                <c:pt idx="111">
                  <c:v>57.0871</c:v>
                </c:pt>
                <c:pt idx="112">
                  <c:v>57.0871</c:v>
                </c:pt>
                <c:pt idx="113">
                  <c:v>57.0871</c:v>
                </c:pt>
                <c:pt idx="114">
                  <c:v>57.0871</c:v>
                </c:pt>
                <c:pt idx="115">
                  <c:v>43.738999999999997</c:v>
                </c:pt>
                <c:pt idx="116">
                  <c:v>43.738999999999997</c:v>
                </c:pt>
                <c:pt idx="117">
                  <c:v>43.738999999999997</c:v>
                </c:pt>
                <c:pt idx="118">
                  <c:v>43.738999999999997</c:v>
                </c:pt>
                <c:pt idx="119">
                  <c:v>43.738999999999997</c:v>
                </c:pt>
                <c:pt idx="120">
                  <c:v>73.274600000000007</c:v>
                </c:pt>
                <c:pt idx="121">
                  <c:v>73.274600000000007</c:v>
                </c:pt>
                <c:pt idx="122">
                  <c:v>73.274600000000007</c:v>
                </c:pt>
                <c:pt idx="123">
                  <c:v>73.274600000000007</c:v>
                </c:pt>
                <c:pt idx="124">
                  <c:v>73.274600000000007</c:v>
                </c:pt>
                <c:pt idx="125">
                  <c:v>88.687899999999999</c:v>
                </c:pt>
                <c:pt idx="126">
                  <c:v>88.687899999999999</c:v>
                </c:pt>
                <c:pt idx="127">
                  <c:v>88.687899999999999</c:v>
                </c:pt>
                <c:pt idx="128">
                  <c:v>88.687899999999999</c:v>
                </c:pt>
                <c:pt idx="129">
                  <c:v>88.687899999999999</c:v>
                </c:pt>
                <c:pt idx="130">
                  <c:v>24.192799999999998</c:v>
                </c:pt>
                <c:pt idx="131">
                  <c:v>24.192799999999998</c:v>
                </c:pt>
                <c:pt idx="132">
                  <c:v>24.192799999999998</c:v>
                </c:pt>
                <c:pt idx="133">
                  <c:v>24.192799999999998</c:v>
                </c:pt>
                <c:pt idx="134">
                  <c:v>24.192799999999998</c:v>
                </c:pt>
                <c:pt idx="135">
                  <c:v>88.914400000000001</c:v>
                </c:pt>
                <c:pt idx="136">
                  <c:v>88.914400000000001</c:v>
                </c:pt>
                <c:pt idx="137">
                  <c:v>88.914400000000001</c:v>
                </c:pt>
                <c:pt idx="138">
                  <c:v>88.914400000000001</c:v>
                </c:pt>
                <c:pt idx="139">
                  <c:v>88.914400000000001</c:v>
                </c:pt>
                <c:pt idx="140">
                  <c:v>123.4811</c:v>
                </c:pt>
                <c:pt idx="141">
                  <c:v>123.4811</c:v>
                </c:pt>
                <c:pt idx="142">
                  <c:v>123.4811</c:v>
                </c:pt>
                <c:pt idx="143">
                  <c:v>123.4811</c:v>
                </c:pt>
                <c:pt idx="144">
                  <c:v>123.4811</c:v>
                </c:pt>
                <c:pt idx="145">
                  <c:v>75.613699999999994</c:v>
                </c:pt>
                <c:pt idx="146">
                  <c:v>75.613699999999994</c:v>
                </c:pt>
                <c:pt idx="147">
                  <c:v>75.613699999999994</c:v>
                </c:pt>
                <c:pt idx="148">
                  <c:v>75.613699999999994</c:v>
                </c:pt>
                <c:pt idx="149">
                  <c:v>75.613699999999994</c:v>
                </c:pt>
                <c:pt idx="150">
                  <c:v>45.055599999999998</c:v>
                </c:pt>
                <c:pt idx="151">
                  <c:v>45.055599999999998</c:v>
                </c:pt>
                <c:pt idx="152">
                  <c:v>45.055599999999998</c:v>
                </c:pt>
                <c:pt idx="153">
                  <c:v>45.055599999999998</c:v>
                </c:pt>
                <c:pt idx="154">
                  <c:v>45.055599999999998</c:v>
                </c:pt>
                <c:pt idx="155">
                  <c:v>78.294899999999998</c:v>
                </c:pt>
                <c:pt idx="156">
                  <c:v>78.294899999999998</c:v>
                </c:pt>
                <c:pt idx="157">
                  <c:v>78.294899999999998</c:v>
                </c:pt>
                <c:pt idx="158">
                  <c:v>78.294899999999998</c:v>
                </c:pt>
                <c:pt idx="159">
                  <c:v>78.294899999999998</c:v>
                </c:pt>
                <c:pt idx="160">
                  <c:v>96.068100000000001</c:v>
                </c:pt>
                <c:pt idx="161">
                  <c:v>96.068100000000001</c:v>
                </c:pt>
                <c:pt idx="162">
                  <c:v>96.068100000000001</c:v>
                </c:pt>
                <c:pt idx="163">
                  <c:v>96.068100000000001</c:v>
                </c:pt>
                <c:pt idx="164">
                  <c:v>96.068100000000001</c:v>
                </c:pt>
                <c:pt idx="165">
                  <c:v>64.014799999999994</c:v>
                </c:pt>
                <c:pt idx="166">
                  <c:v>64.014799999999994</c:v>
                </c:pt>
                <c:pt idx="167">
                  <c:v>64.014799999999994</c:v>
                </c:pt>
                <c:pt idx="168">
                  <c:v>64.014799999999994</c:v>
                </c:pt>
                <c:pt idx="169">
                  <c:v>64.014799999999994</c:v>
                </c:pt>
                <c:pt idx="170">
                  <c:v>38.742800000000003</c:v>
                </c:pt>
                <c:pt idx="171">
                  <c:v>38.742800000000003</c:v>
                </c:pt>
                <c:pt idx="172">
                  <c:v>38.742800000000003</c:v>
                </c:pt>
                <c:pt idx="173">
                  <c:v>38.742800000000003</c:v>
                </c:pt>
                <c:pt idx="174">
                  <c:v>38.742800000000003</c:v>
                </c:pt>
                <c:pt idx="175">
                  <c:v>40.142600000000002</c:v>
                </c:pt>
                <c:pt idx="176">
                  <c:v>40.142600000000002</c:v>
                </c:pt>
                <c:pt idx="177">
                  <c:v>40.142600000000002</c:v>
                </c:pt>
                <c:pt idx="178">
                  <c:v>40.142600000000002</c:v>
                </c:pt>
                <c:pt idx="179">
                  <c:v>40.142600000000002</c:v>
                </c:pt>
                <c:pt idx="180">
                  <c:v>55.599499999999999</c:v>
                </c:pt>
                <c:pt idx="181">
                  <c:v>55.599499999999999</c:v>
                </c:pt>
                <c:pt idx="182">
                  <c:v>55.599499999999999</c:v>
                </c:pt>
                <c:pt idx="183">
                  <c:v>55.599499999999999</c:v>
                </c:pt>
                <c:pt idx="184">
                  <c:v>55.599499999999999</c:v>
                </c:pt>
                <c:pt idx="185">
                  <c:v>77.643699999999995</c:v>
                </c:pt>
                <c:pt idx="186">
                  <c:v>77.643699999999995</c:v>
                </c:pt>
                <c:pt idx="187">
                  <c:v>77.643699999999995</c:v>
                </c:pt>
                <c:pt idx="188">
                  <c:v>77.643699999999995</c:v>
                </c:pt>
                <c:pt idx="189">
                  <c:v>77.643699999999995</c:v>
                </c:pt>
                <c:pt idx="190">
                  <c:v>39.6982</c:v>
                </c:pt>
                <c:pt idx="191">
                  <c:v>39.6982</c:v>
                </c:pt>
                <c:pt idx="192">
                  <c:v>39.6982</c:v>
                </c:pt>
                <c:pt idx="193">
                  <c:v>39.6982</c:v>
                </c:pt>
                <c:pt idx="194">
                  <c:v>39.6982</c:v>
                </c:pt>
                <c:pt idx="195">
                  <c:v>98.849299999999999</c:v>
                </c:pt>
                <c:pt idx="196">
                  <c:v>98.849299999999999</c:v>
                </c:pt>
                <c:pt idx="197">
                  <c:v>98.849299999999999</c:v>
                </c:pt>
                <c:pt idx="198">
                  <c:v>98.849299999999999</c:v>
                </c:pt>
                <c:pt idx="199">
                  <c:v>98.849299999999999</c:v>
                </c:pt>
                <c:pt idx="200">
                  <c:v>94.284400000000005</c:v>
                </c:pt>
                <c:pt idx="201">
                  <c:v>94.284400000000005</c:v>
                </c:pt>
                <c:pt idx="202">
                  <c:v>94.284400000000005</c:v>
                </c:pt>
                <c:pt idx="203">
                  <c:v>94.284400000000005</c:v>
                </c:pt>
                <c:pt idx="204">
                  <c:v>94.284400000000005</c:v>
                </c:pt>
                <c:pt idx="205">
                  <c:v>26.2376</c:v>
                </c:pt>
                <c:pt idx="206">
                  <c:v>26.2376</c:v>
                </c:pt>
                <c:pt idx="207">
                  <c:v>26.2376</c:v>
                </c:pt>
                <c:pt idx="208">
                  <c:v>26.2376</c:v>
                </c:pt>
                <c:pt idx="209">
                  <c:v>26.2376</c:v>
                </c:pt>
                <c:pt idx="210">
                  <c:v>34.734099999999998</c:v>
                </c:pt>
                <c:pt idx="211">
                  <c:v>34.734099999999998</c:v>
                </c:pt>
                <c:pt idx="212">
                  <c:v>34.734099999999998</c:v>
                </c:pt>
                <c:pt idx="213">
                  <c:v>34.734099999999998</c:v>
                </c:pt>
                <c:pt idx="214">
                  <c:v>34.734099999999998</c:v>
                </c:pt>
                <c:pt idx="215">
                  <c:v>30.721699999999998</c:v>
                </c:pt>
                <c:pt idx="216">
                  <c:v>30.721699999999998</c:v>
                </c:pt>
                <c:pt idx="217">
                  <c:v>30.721699999999998</c:v>
                </c:pt>
                <c:pt idx="218">
                  <c:v>30.721699999999998</c:v>
                </c:pt>
                <c:pt idx="219">
                  <c:v>30.721699999999998</c:v>
                </c:pt>
                <c:pt idx="220">
                  <c:v>74.606200000000001</c:v>
                </c:pt>
                <c:pt idx="221">
                  <c:v>74.606200000000001</c:v>
                </c:pt>
                <c:pt idx="222">
                  <c:v>74.606200000000001</c:v>
                </c:pt>
                <c:pt idx="223">
                  <c:v>74.606200000000001</c:v>
                </c:pt>
                <c:pt idx="224">
                  <c:v>74.606200000000001</c:v>
                </c:pt>
                <c:pt idx="225">
                  <c:v>48.959400000000002</c:v>
                </c:pt>
                <c:pt idx="226">
                  <c:v>48.959400000000002</c:v>
                </c:pt>
                <c:pt idx="227">
                  <c:v>48.959400000000002</c:v>
                </c:pt>
                <c:pt idx="228">
                  <c:v>48.959400000000002</c:v>
                </c:pt>
                <c:pt idx="229">
                  <c:v>48.959400000000002</c:v>
                </c:pt>
                <c:pt idx="230">
                  <c:v>45.889299999999999</c:v>
                </c:pt>
                <c:pt idx="231">
                  <c:v>45.889299999999999</c:v>
                </c:pt>
                <c:pt idx="232">
                  <c:v>45.889299999999999</c:v>
                </c:pt>
                <c:pt idx="233">
                  <c:v>45.889299999999999</c:v>
                </c:pt>
                <c:pt idx="234">
                  <c:v>45.889299999999999</c:v>
                </c:pt>
                <c:pt idx="235">
                  <c:v>113.48690000000001</c:v>
                </c:pt>
                <c:pt idx="236">
                  <c:v>113.48690000000001</c:v>
                </c:pt>
                <c:pt idx="237">
                  <c:v>113.48690000000001</c:v>
                </c:pt>
                <c:pt idx="238">
                  <c:v>113.48690000000001</c:v>
                </c:pt>
                <c:pt idx="239">
                  <c:v>113.48690000000001</c:v>
                </c:pt>
                <c:pt idx="240">
                  <c:v>77.016599999999997</c:v>
                </c:pt>
                <c:pt idx="241">
                  <c:v>77.016599999999997</c:v>
                </c:pt>
                <c:pt idx="242">
                  <c:v>77.016599999999997</c:v>
                </c:pt>
                <c:pt idx="243">
                  <c:v>77.016599999999997</c:v>
                </c:pt>
                <c:pt idx="244">
                  <c:v>77.016599999999997</c:v>
                </c:pt>
                <c:pt idx="245">
                  <c:v>41.929200000000002</c:v>
                </c:pt>
                <c:pt idx="246">
                  <c:v>41.929200000000002</c:v>
                </c:pt>
                <c:pt idx="247">
                  <c:v>41.929200000000002</c:v>
                </c:pt>
                <c:pt idx="248">
                  <c:v>41.929200000000002</c:v>
                </c:pt>
                <c:pt idx="249">
                  <c:v>41.929200000000002</c:v>
                </c:pt>
                <c:pt idx="250">
                  <c:v>142.01159999999999</c:v>
                </c:pt>
                <c:pt idx="251">
                  <c:v>142.01159999999999</c:v>
                </c:pt>
                <c:pt idx="252">
                  <c:v>142.01159999999999</c:v>
                </c:pt>
                <c:pt idx="253">
                  <c:v>142.01159999999999</c:v>
                </c:pt>
                <c:pt idx="254">
                  <c:v>142.01159999999999</c:v>
                </c:pt>
                <c:pt idx="255">
                  <c:v>81.152100000000004</c:v>
                </c:pt>
                <c:pt idx="256">
                  <c:v>81.152100000000004</c:v>
                </c:pt>
                <c:pt idx="257">
                  <c:v>81.152100000000004</c:v>
                </c:pt>
                <c:pt idx="258">
                  <c:v>81.152100000000004</c:v>
                </c:pt>
                <c:pt idx="259">
                  <c:v>81.152100000000004</c:v>
                </c:pt>
                <c:pt idx="260">
                  <c:v>56.838900000000002</c:v>
                </c:pt>
                <c:pt idx="261">
                  <c:v>56.838900000000002</c:v>
                </c:pt>
                <c:pt idx="262">
                  <c:v>56.838900000000002</c:v>
                </c:pt>
                <c:pt idx="263">
                  <c:v>56.838900000000002</c:v>
                </c:pt>
                <c:pt idx="264">
                  <c:v>56.838900000000002</c:v>
                </c:pt>
                <c:pt idx="265">
                  <c:v>191.76580000000001</c:v>
                </c:pt>
                <c:pt idx="266">
                  <c:v>191.76580000000001</c:v>
                </c:pt>
                <c:pt idx="267">
                  <c:v>191.76580000000001</c:v>
                </c:pt>
                <c:pt idx="268">
                  <c:v>191.76580000000001</c:v>
                </c:pt>
                <c:pt idx="269">
                  <c:v>191.76580000000001</c:v>
                </c:pt>
                <c:pt idx="270">
                  <c:v>42.4251</c:v>
                </c:pt>
                <c:pt idx="271">
                  <c:v>42.4251</c:v>
                </c:pt>
                <c:pt idx="272">
                  <c:v>42.4251</c:v>
                </c:pt>
                <c:pt idx="273">
                  <c:v>42.4251</c:v>
                </c:pt>
                <c:pt idx="274">
                  <c:v>42.4251</c:v>
                </c:pt>
                <c:pt idx="275">
                  <c:v>147.40870000000001</c:v>
                </c:pt>
                <c:pt idx="276">
                  <c:v>147.40870000000001</c:v>
                </c:pt>
                <c:pt idx="277">
                  <c:v>147.40870000000001</c:v>
                </c:pt>
                <c:pt idx="278">
                  <c:v>147.40870000000001</c:v>
                </c:pt>
                <c:pt idx="279">
                  <c:v>147.40870000000001</c:v>
                </c:pt>
                <c:pt idx="280">
                  <c:v>124.82470000000001</c:v>
                </c:pt>
                <c:pt idx="281">
                  <c:v>124.82470000000001</c:v>
                </c:pt>
                <c:pt idx="282">
                  <c:v>124.82470000000001</c:v>
                </c:pt>
                <c:pt idx="283">
                  <c:v>124.82470000000001</c:v>
                </c:pt>
                <c:pt idx="284">
                  <c:v>124.82470000000001</c:v>
                </c:pt>
                <c:pt idx="285">
                  <c:v>176.2988</c:v>
                </c:pt>
                <c:pt idx="286">
                  <c:v>176.2988</c:v>
                </c:pt>
                <c:pt idx="287">
                  <c:v>176.2988</c:v>
                </c:pt>
                <c:pt idx="288">
                  <c:v>176.2988</c:v>
                </c:pt>
                <c:pt idx="289">
                  <c:v>176.2988</c:v>
                </c:pt>
                <c:pt idx="290">
                  <c:v>36.8446</c:v>
                </c:pt>
                <c:pt idx="291">
                  <c:v>36.8446</c:v>
                </c:pt>
                <c:pt idx="292">
                  <c:v>36.8446</c:v>
                </c:pt>
                <c:pt idx="293">
                  <c:v>36.8446</c:v>
                </c:pt>
                <c:pt idx="294">
                  <c:v>36.8446</c:v>
                </c:pt>
                <c:pt idx="295">
                  <c:v>119.38890000000001</c:v>
                </c:pt>
                <c:pt idx="296">
                  <c:v>119.38890000000001</c:v>
                </c:pt>
                <c:pt idx="297">
                  <c:v>119.38890000000001</c:v>
                </c:pt>
                <c:pt idx="298">
                  <c:v>119.38890000000001</c:v>
                </c:pt>
                <c:pt idx="299">
                  <c:v>119.38890000000001</c:v>
                </c:pt>
                <c:pt idx="300">
                  <c:v>66.485200000000006</c:v>
                </c:pt>
                <c:pt idx="301">
                  <c:v>66.485200000000006</c:v>
                </c:pt>
                <c:pt idx="302">
                  <c:v>66.485200000000006</c:v>
                </c:pt>
                <c:pt idx="303">
                  <c:v>66.485200000000006</c:v>
                </c:pt>
                <c:pt idx="304">
                  <c:v>66.485200000000006</c:v>
                </c:pt>
                <c:pt idx="305">
                  <c:v>56.852200000000003</c:v>
                </c:pt>
                <c:pt idx="306">
                  <c:v>56.852200000000003</c:v>
                </c:pt>
                <c:pt idx="307">
                  <c:v>56.852200000000003</c:v>
                </c:pt>
                <c:pt idx="308">
                  <c:v>56.852200000000003</c:v>
                </c:pt>
                <c:pt idx="309">
                  <c:v>56.852200000000003</c:v>
                </c:pt>
                <c:pt idx="310">
                  <c:v>49.902299999999997</c:v>
                </c:pt>
                <c:pt idx="311">
                  <c:v>49.902299999999997</c:v>
                </c:pt>
                <c:pt idx="312">
                  <c:v>49.902299999999997</c:v>
                </c:pt>
                <c:pt idx="313">
                  <c:v>49.902299999999997</c:v>
                </c:pt>
                <c:pt idx="314">
                  <c:v>49.902299999999997</c:v>
                </c:pt>
                <c:pt idx="315">
                  <c:v>85.026200000000003</c:v>
                </c:pt>
                <c:pt idx="316">
                  <c:v>85.026200000000003</c:v>
                </c:pt>
                <c:pt idx="317">
                  <c:v>85.026200000000003</c:v>
                </c:pt>
                <c:pt idx="318">
                  <c:v>85.026200000000003</c:v>
                </c:pt>
                <c:pt idx="319">
                  <c:v>85.026200000000003</c:v>
                </c:pt>
                <c:pt idx="320">
                  <c:v>737.02750000000003</c:v>
                </c:pt>
                <c:pt idx="321">
                  <c:v>737.02750000000003</c:v>
                </c:pt>
                <c:pt idx="322">
                  <c:v>737.02750000000003</c:v>
                </c:pt>
                <c:pt idx="323">
                  <c:v>737.02750000000003</c:v>
                </c:pt>
                <c:pt idx="324">
                  <c:v>737.02750000000003</c:v>
                </c:pt>
                <c:pt idx="325">
                  <c:v>122.54649999999999</c:v>
                </c:pt>
                <c:pt idx="326">
                  <c:v>122.54649999999999</c:v>
                </c:pt>
                <c:pt idx="327">
                  <c:v>122.54649999999999</c:v>
                </c:pt>
                <c:pt idx="328">
                  <c:v>122.54649999999999</c:v>
                </c:pt>
                <c:pt idx="329">
                  <c:v>122.54649999999999</c:v>
                </c:pt>
                <c:pt idx="330">
                  <c:v>153.81120000000001</c:v>
                </c:pt>
                <c:pt idx="331">
                  <c:v>153.81120000000001</c:v>
                </c:pt>
                <c:pt idx="332">
                  <c:v>153.81120000000001</c:v>
                </c:pt>
                <c:pt idx="333">
                  <c:v>153.81120000000001</c:v>
                </c:pt>
                <c:pt idx="334">
                  <c:v>153.81120000000001</c:v>
                </c:pt>
                <c:pt idx="335">
                  <c:v>39.812600000000003</c:v>
                </c:pt>
                <c:pt idx="336">
                  <c:v>39.812600000000003</c:v>
                </c:pt>
                <c:pt idx="337">
                  <c:v>39.812600000000003</c:v>
                </c:pt>
                <c:pt idx="338">
                  <c:v>39.812600000000003</c:v>
                </c:pt>
                <c:pt idx="339">
                  <c:v>39.812600000000003</c:v>
                </c:pt>
                <c:pt idx="340">
                  <c:v>71.637</c:v>
                </c:pt>
                <c:pt idx="341">
                  <c:v>71.637</c:v>
                </c:pt>
                <c:pt idx="342">
                  <c:v>71.637</c:v>
                </c:pt>
                <c:pt idx="343">
                  <c:v>71.637</c:v>
                </c:pt>
                <c:pt idx="344">
                  <c:v>71.637</c:v>
                </c:pt>
                <c:pt idx="345">
                  <c:v>52.2196</c:v>
                </c:pt>
                <c:pt idx="346">
                  <c:v>52.2196</c:v>
                </c:pt>
                <c:pt idx="347">
                  <c:v>52.2196</c:v>
                </c:pt>
                <c:pt idx="348">
                  <c:v>52.2196</c:v>
                </c:pt>
                <c:pt idx="349">
                  <c:v>52.2196</c:v>
                </c:pt>
                <c:pt idx="350">
                  <c:v>53.662700000000001</c:v>
                </c:pt>
                <c:pt idx="351">
                  <c:v>53.662700000000001</c:v>
                </c:pt>
                <c:pt idx="352">
                  <c:v>53.662700000000001</c:v>
                </c:pt>
                <c:pt idx="353">
                  <c:v>53.662700000000001</c:v>
                </c:pt>
                <c:pt idx="354">
                  <c:v>53.662700000000001</c:v>
                </c:pt>
                <c:pt idx="355">
                  <c:v>77.553399999999996</c:v>
                </c:pt>
                <c:pt idx="356">
                  <c:v>77.553399999999996</c:v>
                </c:pt>
                <c:pt idx="357">
                  <c:v>77.553399999999996</c:v>
                </c:pt>
                <c:pt idx="358">
                  <c:v>77.553399999999996</c:v>
                </c:pt>
                <c:pt idx="359">
                  <c:v>77.553399999999996</c:v>
                </c:pt>
                <c:pt idx="360">
                  <c:v>102.08329999999999</c:v>
                </c:pt>
                <c:pt idx="361">
                  <c:v>102.08329999999999</c:v>
                </c:pt>
                <c:pt idx="362">
                  <c:v>102.08329999999999</c:v>
                </c:pt>
                <c:pt idx="363">
                  <c:v>102.08329999999999</c:v>
                </c:pt>
                <c:pt idx="364">
                  <c:v>102.08329999999999</c:v>
                </c:pt>
                <c:pt idx="365">
                  <c:v>501.2971</c:v>
                </c:pt>
                <c:pt idx="366">
                  <c:v>501.2971</c:v>
                </c:pt>
                <c:pt idx="367">
                  <c:v>501.2971</c:v>
                </c:pt>
                <c:pt idx="368">
                  <c:v>501.2971</c:v>
                </c:pt>
                <c:pt idx="369">
                  <c:v>501.2971</c:v>
                </c:pt>
                <c:pt idx="370">
                  <c:v>107.2165</c:v>
                </c:pt>
                <c:pt idx="371">
                  <c:v>107.2165</c:v>
                </c:pt>
                <c:pt idx="372">
                  <c:v>107.2165</c:v>
                </c:pt>
                <c:pt idx="373">
                  <c:v>107.2165</c:v>
                </c:pt>
                <c:pt idx="374">
                  <c:v>107.2165</c:v>
                </c:pt>
                <c:pt idx="375">
                  <c:v>158.68600000000001</c:v>
                </c:pt>
                <c:pt idx="376">
                  <c:v>158.68600000000001</c:v>
                </c:pt>
                <c:pt idx="377">
                  <c:v>158.68600000000001</c:v>
                </c:pt>
                <c:pt idx="378">
                  <c:v>158.68600000000001</c:v>
                </c:pt>
                <c:pt idx="379">
                  <c:v>158.68600000000001</c:v>
                </c:pt>
                <c:pt idx="380">
                  <c:v>202.65780000000001</c:v>
                </c:pt>
                <c:pt idx="381">
                  <c:v>202.65780000000001</c:v>
                </c:pt>
                <c:pt idx="382">
                  <c:v>202.65780000000001</c:v>
                </c:pt>
                <c:pt idx="383">
                  <c:v>202.65780000000001</c:v>
                </c:pt>
                <c:pt idx="384">
                  <c:v>202.65780000000001</c:v>
                </c:pt>
                <c:pt idx="385">
                  <c:v>480.83390000000003</c:v>
                </c:pt>
                <c:pt idx="386">
                  <c:v>480.83390000000003</c:v>
                </c:pt>
                <c:pt idx="387">
                  <c:v>480.83390000000003</c:v>
                </c:pt>
                <c:pt idx="388">
                  <c:v>480.83390000000003</c:v>
                </c:pt>
                <c:pt idx="389">
                  <c:v>480.83390000000003</c:v>
                </c:pt>
                <c:pt idx="390">
                  <c:v>88.047200000000004</c:v>
                </c:pt>
                <c:pt idx="391">
                  <c:v>88.047200000000004</c:v>
                </c:pt>
                <c:pt idx="392">
                  <c:v>88.047200000000004</c:v>
                </c:pt>
                <c:pt idx="393">
                  <c:v>88.047200000000004</c:v>
                </c:pt>
                <c:pt idx="394">
                  <c:v>88.047200000000004</c:v>
                </c:pt>
                <c:pt idx="395">
                  <c:v>121.6328</c:v>
                </c:pt>
                <c:pt idx="396">
                  <c:v>121.6328</c:v>
                </c:pt>
                <c:pt idx="397">
                  <c:v>121.6328</c:v>
                </c:pt>
                <c:pt idx="398">
                  <c:v>121.6328</c:v>
                </c:pt>
                <c:pt idx="399">
                  <c:v>121.6328</c:v>
                </c:pt>
                <c:pt idx="400">
                  <c:v>49.1203</c:v>
                </c:pt>
                <c:pt idx="401">
                  <c:v>49.1203</c:v>
                </c:pt>
                <c:pt idx="402">
                  <c:v>49.1203</c:v>
                </c:pt>
                <c:pt idx="403">
                  <c:v>49.1203</c:v>
                </c:pt>
                <c:pt idx="404">
                  <c:v>49.1203</c:v>
                </c:pt>
                <c:pt idx="405">
                  <c:v>39.630699999999997</c:v>
                </c:pt>
                <c:pt idx="406">
                  <c:v>39.630699999999997</c:v>
                </c:pt>
                <c:pt idx="407">
                  <c:v>39.630699999999997</c:v>
                </c:pt>
                <c:pt idx="408">
                  <c:v>39.630699999999997</c:v>
                </c:pt>
                <c:pt idx="409">
                  <c:v>39.630699999999997</c:v>
                </c:pt>
                <c:pt idx="410">
                  <c:v>78.723699999999994</c:v>
                </c:pt>
                <c:pt idx="411">
                  <c:v>78.723699999999994</c:v>
                </c:pt>
                <c:pt idx="412">
                  <c:v>78.723699999999994</c:v>
                </c:pt>
                <c:pt idx="413">
                  <c:v>78.723699999999994</c:v>
                </c:pt>
                <c:pt idx="414">
                  <c:v>78.723699999999994</c:v>
                </c:pt>
                <c:pt idx="415">
                  <c:v>58.269399999999997</c:v>
                </c:pt>
                <c:pt idx="416">
                  <c:v>58.269399999999997</c:v>
                </c:pt>
                <c:pt idx="417">
                  <c:v>58.269399999999997</c:v>
                </c:pt>
                <c:pt idx="418">
                  <c:v>58.269399999999997</c:v>
                </c:pt>
                <c:pt idx="419">
                  <c:v>58.269399999999997</c:v>
                </c:pt>
                <c:pt idx="420">
                  <c:v>60.167499999999997</c:v>
                </c:pt>
                <c:pt idx="421">
                  <c:v>60.167499999999997</c:v>
                </c:pt>
                <c:pt idx="422">
                  <c:v>60.167499999999997</c:v>
                </c:pt>
                <c:pt idx="423">
                  <c:v>60.167499999999997</c:v>
                </c:pt>
                <c:pt idx="424">
                  <c:v>60.167499999999997</c:v>
                </c:pt>
                <c:pt idx="425">
                  <c:v>254.11959999999999</c:v>
                </c:pt>
                <c:pt idx="426">
                  <c:v>254.11959999999999</c:v>
                </c:pt>
                <c:pt idx="427">
                  <c:v>254.11959999999999</c:v>
                </c:pt>
                <c:pt idx="428">
                  <c:v>254.11959999999999</c:v>
                </c:pt>
                <c:pt idx="429">
                  <c:v>254.11959999999999</c:v>
                </c:pt>
                <c:pt idx="430">
                  <c:v>56.897500000000001</c:v>
                </c:pt>
                <c:pt idx="431">
                  <c:v>56.897500000000001</c:v>
                </c:pt>
                <c:pt idx="432">
                  <c:v>56.897500000000001</c:v>
                </c:pt>
                <c:pt idx="433">
                  <c:v>56.897500000000001</c:v>
                </c:pt>
                <c:pt idx="434">
                  <c:v>56.897500000000001</c:v>
                </c:pt>
                <c:pt idx="435">
                  <c:v>61.480600000000003</c:v>
                </c:pt>
                <c:pt idx="436">
                  <c:v>61.480600000000003</c:v>
                </c:pt>
                <c:pt idx="437">
                  <c:v>61.480600000000003</c:v>
                </c:pt>
                <c:pt idx="438">
                  <c:v>61.480600000000003</c:v>
                </c:pt>
                <c:pt idx="439">
                  <c:v>61.480600000000003</c:v>
                </c:pt>
                <c:pt idx="440">
                  <c:v>64.748199999999997</c:v>
                </c:pt>
                <c:pt idx="441">
                  <c:v>64.748199999999997</c:v>
                </c:pt>
                <c:pt idx="442">
                  <c:v>64.748199999999997</c:v>
                </c:pt>
                <c:pt idx="443">
                  <c:v>64.748199999999997</c:v>
                </c:pt>
                <c:pt idx="444">
                  <c:v>64.748199999999997</c:v>
                </c:pt>
                <c:pt idx="445">
                  <c:v>41.852200000000003</c:v>
                </c:pt>
                <c:pt idx="446">
                  <c:v>41.852200000000003</c:v>
                </c:pt>
                <c:pt idx="447">
                  <c:v>41.852200000000003</c:v>
                </c:pt>
                <c:pt idx="448">
                  <c:v>41.852200000000003</c:v>
                </c:pt>
                <c:pt idx="449">
                  <c:v>41.852200000000003</c:v>
                </c:pt>
                <c:pt idx="450">
                  <c:v>121.36920000000001</c:v>
                </c:pt>
                <c:pt idx="451">
                  <c:v>121.36920000000001</c:v>
                </c:pt>
                <c:pt idx="452">
                  <c:v>121.36920000000001</c:v>
                </c:pt>
                <c:pt idx="453">
                  <c:v>121.36920000000001</c:v>
                </c:pt>
                <c:pt idx="454">
                  <c:v>121.36920000000001</c:v>
                </c:pt>
                <c:pt idx="455">
                  <c:v>203.1377</c:v>
                </c:pt>
                <c:pt idx="456">
                  <c:v>203.1377</c:v>
                </c:pt>
                <c:pt idx="457">
                  <c:v>203.1377</c:v>
                </c:pt>
                <c:pt idx="458">
                  <c:v>203.1377</c:v>
                </c:pt>
                <c:pt idx="459">
                  <c:v>203.1377</c:v>
                </c:pt>
                <c:pt idx="460">
                  <c:v>410.47649999999999</c:v>
                </c:pt>
                <c:pt idx="461">
                  <c:v>410.47649999999999</c:v>
                </c:pt>
                <c:pt idx="462">
                  <c:v>410.47649999999999</c:v>
                </c:pt>
                <c:pt idx="463">
                  <c:v>410.47649999999999</c:v>
                </c:pt>
                <c:pt idx="464">
                  <c:v>410.47649999999999</c:v>
                </c:pt>
                <c:pt idx="465">
                  <c:v>377.78039999999999</c:v>
                </c:pt>
                <c:pt idx="466">
                  <c:v>377.78039999999999</c:v>
                </c:pt>
                <c:pt idx="467">
                  <c:v>377.78039999999999</c:v>
                </c:pt>
                <c:pt idx="468">
                  <c:v>377.78039999999999</c:v>
                </c:pt>
                <c:pt idx="469">
                  <c:v>377.78039999999999</c:v>
                </c:pt>
                <c:pt idx="470">
                  <c:v>333.16640000000001</c:v>
                </c:pt>
                <c:pt idx="471">
                  <c:v>333.16640000000001</c:v>
                </c:pt>
                <c:pt idx="472">
                  <c:v>333.16640000000001</c:v>
                </c:pt>
                <c:pt idx="473">
                  <c:v>333.16640000000001</c:v>
                </c:pt>
                <c:pt idx="474">
                  <c:v>333.16640000000001</c:v>
                </c:pt>
                <c:pt idx="475">
                  <c:v>234.4314</c:v>
                </c:pt>
                <c:pt idx="476">
                  <c:v>234.4314</c:v>
                </c:pt>
                <c:pt idx="477">
                  <c:v>234.4314</c:v>
                </c:pt>
                <c:pt idx="478">
                  <c:v>234.4314</c:v>
                </c:pt>
                <c:pt idx="479">
                  <c:v>234.4314</c:v>
                </c:pt>
              </c:numCache>
            </c:numRef>
          </c:xVal>
          <c:yVal>
            <c:numRef>
              <c:f>D_enf!$H$5:$H$484</c:f>
              <c:numCache>
                <c:formatCode>General</c:formatCode>
                <c:ptCount val="480"/>
                <c:pt idx="5">
                  <c:v>0.92900000000000005</c:v>
                </c:pt>
                <c:pt idx="6">
                  <c:v>0.93210000000000004</c:v>
                </c:pt>
                <c:pt idx="7">
                  <c:v>0.93520000000000003</c:v>
                </c:pt>
                <c:pt idx="8">
                  <c:v>0.93710000000000004</c:v>
                </c:pt>
                <c:pt idx="9">
                  <c:v>0.94</c:v>
                </c:pt>
                <c:pt idx="10">
                  <c:v>0.98140000000000005</c:v>
                </c:pt>
                <c:pt idx="11">
                  <c:v>0.98299999999999998</c:v>
                </c:pt>
                <c:pt idx="12">
                  <c:v>0.98480000000000001</c:v>
                </c:pt>
                <c:pt idx="13">
                  <c:v>0.98740000000000006</c:v>
                </c:pt>
                <c:pt idx="14">
                  <c:v>0.99199999999999999</c:v>
                </c:pt>
                <c:pt idx="15">
                  <c:v>0.92969999999999997</c:v>
                </c:pt>
                <c:pt idx="16">
                  <c:v>0.93320000000000003</c:v>
                </c:pt>
                <c:pt idx="17">
                  <c:v>0.93630000000000002</c:v>
                </c:pt>
                <c:pt idx="18">
                  <c:v>0.93840000000000001</c:v>
                </c:pt>
                <c:pt idx="19">
                  <c:v>0.94169999999999998</c:v>
                </c:pt>
                <c:pt idx="20">
                  <c:v>0.9345</c:v>
                </c:pt>
                <c:pt idx="21">
                  <c:v>0.9375</c:v>
                </c:pt>
                <c:pt idx="22">
                  <c:v>0.94120000000000004</c:v>
                </c:pt>
                <c:pt idx="23">
                  <c:v>0.94410000000000005</c:v>
                </c:pt>
                <c:pt idx="24">
                  <c:v>0.94630000000000003</c:v>
                </c:pt>
                <c:pt idx="25">
                  <c:v>0.90110000000000001</c:v>
                </c:pt>
                <c:pt idx="26">
                  <c:v>0.91310000000000002</c:v>
                </c:pt>
                <c:pt idx="27">
                  <c:v>0.92689999999999995</c:v>
                </c:pt>
                <c:pt idx="28">
                  <c:v>0.93640000000000001</c:v>
                </c:pt>
                <c:pt idx="29">
                  <c:v>0.95369999999999999</c:v>
                </c:pt>
                <c:pt idx="30">
                  <c:v>0.96830000000000005</c:v>
                </c:pt>
                <c:pt idx="31">
                  <c:v>0.96909999999999996</c:v>
                </c:pt>
                <c:pt idx="32">
                  <c:v>0.97009999999999996</c:v>
                </c:pt>
                <c:pt idx="33">
                  <c:v>0.9708</c:v>
                </c:pt>
                <c:pt idx="34">
                  <c:v>0.98419999999999996</c:v>
                </c:pt>
                <c:pt idx="35">
                  <c:v>0.94869999999999999</c:v>
                </c:pt>
                <c:pt idx="36">
                  <c:v>0.95509999999999995</c:v>
                </c:pt>
                <c:pt idx="37">
                  <c:v>0.96130000000000004</c:v>
                </c:pt>
                <c:pt idx="38">
                  <c:v>0.96550000000000002</c:v>
                </c:pt>
                <c:pt idx="39">
                  <c:v>0.96850000000000003</c:v>
                </c:pt>
                <c:pt idx="40">
                  <c:v>0.91810000000000003</c:v>
                </c:pt>
                <c:pt idx="41">
                  <c:v>0.92490000000000006</c:v>
                </c:pt>
                <c:pt idx="42">
                  <c:v>0.92989999999999995</c:v>
                </c:pt>
                <c:pt idx="43">
                  <c:v>0.94220000000000004</c:v>
                </c:pt>
                <c:pt idx="44">
                  <c:v>0.94450000000000001</c:v>
                </c:pt>
                <c:pt idx="45">
                  <c:v>0.90849999999999997</c:v>
                </c:pt>
                <c:pt idx="46">
                  <c:v>0.91210000000000002</c:v>
                </c:pt>
                <c:pt idx="47">
                  <c:v>0.91590000000000005</c:v>
                </c:pt>
                <c:pt idx="48">
                  <c:v>0.93469999999999998</c:v>
                </c:pt>
                <c:pt idx="49">
                  <c:v>0.93810000000000004</c:v>
                </c:pt>
                <c:pt idx="50">
                  <c:v>0.96630000000000005</c:v>
                </c:pt>
                <c:pt idx="51">
                  <c:v>0.96830000000000005</c:v>
                </c:pt>
                <c:pt idx="52">
                  <c:v>0.97030000000000005</c:v>
                </c:pt>
                <c:pt idx="53">
                  <c:v>0.97199999999999998</c:v>
                </c:pt>
                <c:pt idx="54">
                  <c:v>0.97360000000000002</c:v>
                </c:pt>
                <c:pt idx="55">
                  <c:v>0.90890000000000004</c:v>
                </c:pt>
                <c:pt idx="56">
                  <c:v>0.92079999999999995</c:v>
                </c:pt>
                <c:pt idx="57">
                  <c:v>0.92889999999999995</c:v>
                </c:pt>
                <c:pt idx="58">
                  <c:v>0.93579999999999997</c:v>
                </c:pt>
                <c:pt idx="59">
                  <c:v>0.94030000000000002</c:v>
                </c:pt>
                <c:pt idx="60">
                  <c:v>0.96579999999999999</c:v>
                </c:pt>
                <c:pt idx="61">
                  <c:v>0.97</c:v>
                </c:pt>
                <c:pt idx="62">
                  <c:v>0.97250000000000003</c:v>
                </c:pt>
                <c:pt idx="63">
                  <c:v>0.97440000000000004</c:v>
                </c:pt>
                <c:pt idx="64">
                  <c:v>0.98089999999999999</c:v>
                </c:pt>
                <c:pt idx="65">
                  <c:v>0.92200000000000004</c:v>
                </c:pt>
                <c:pt idx="66">
                  <c:v>0.92490000000000006</c:v>
                </c:pt>
                <c:pt idx="67">
                  <c:v>0.92749999999999999</c:v>
                </c:pt>
                <c:pt idx="68">
                  <c:v>0.94610000000000005</c:v>
                </c:pt>
                <c:pt idx="69">
                  <c:v>0.94850000000000001</c:v>
                </c:pt>
                <c:pt idx="70">
                  <c:v>0.95640000000000003</c:v>
                </c:pt>
                <c:pt idx="71">
                  <c:v>0.96040000000000003</c:v>
                </c:pt>
                <c:pt idx="72">
                  <c:v>0.96340000000000003</c:v>
                </c:pt>
                <c:pt idx="73">
                  <c:v>0.96579999999999999</c:v>
                </c:pt>
                <c:pt idx="74">
                  <c:v>0.96940000000000004</c:v>
                </c:pt>
                <c:pt idx="75">
                  <c:v>0.73170000000000002</c:v>
                </c:pt>
                <c:pt idx="76">
                  <c:v>0.74670000000000003</c:v>
                </c:pt>
                <c:pt idx="77">
                  <c:v>0.76259999999999994</c:v>
                </c:pt>
                <c:pt idx="78">
                  <c:v>0.77669999999999995</c:v>
                </c:pt>
                <c:pt idx="79">
                  <c:v>0.79869999999999997</c:v>
                </c:pt>
                <c:pt idx="80">
                  <c:v>0.93200000000000005</c:v>
                </c:pt>
                <c:pt idx="81">
                  <c:v>0.9456</c:v>
                </c:pt>
                <c:pt idx="82">
                  <c:v>0.95909999999999995</c:v>
                </c:pt>
                <c:pt idx="83">
                  <c:v>0.96709999999999996</c:v>
                </c:pt>
                <c:pt idx="84">
                  <c:v>0.97150000000000003</c:v>
                </c:pt>
                <c:pt idx="85">
                  <c:v>0.94589999999999996</c:v>
                </c:pt>
                <c:pt idx="86">
                  <c:v>0.96089999999999998</c:v>
                </c:pt>
                <c:pt idx="87">
                  <c:v>0.97219999999999995</c:v>
                </c:pt>
                <c:pt idx="88">
                  <c:v>0.9768</c:v>
                </c:pt>
                <c:pt idx="89">
                  <c:v>0.98080000000000001</c:v>
                </c:pt>
                <c:pt idx="90">
                  <c:v>0.92649999999999999</c:v>
                </c:pt>
                <c:pt idx="91">
                  <c:v>0.92820000000000003</c:v>
                </c:pt>
                <c:pt idx="92">
                  <c:v>0.93020000000000003</c:v>
                </c:pt>
                <c:pt idx="93">
                  <c:v>0.93289999999999995</c:v>
                </c:pt>
                <c:pt idx="94">
                  <c:v>0.93500000000000005</c:v>
                </c:pt>
                <c:pt idx="95">
                  <c:v>0.97130000000000005</c:v>
                </c:pt>
                <c:pt idx="96">
                  <c:v>0.97419999999999995</c:v>
                </c:pt>
                <c:pt idx="97">
                  <c:v>0.97829999999999995</c:v>
                </c:pt>
                <c:pt idx="98">
                  <c:v>0.98060000000000003</c:v>
                </c:pt>
                <c:pt idx="99">
                  <c:v>0.98229999999999995</c:v>
                </c:pt>
                <c:pt idx="100">
                  <c:v>0.92169999999999996</c:v>
                </c:pt>
                <c:pt idx="101">
                  <c:v>0.92689999999999995</c:v>
                </c:pt>
                <c:pt idx="102">
                  <c:v>0.93259999999999998</c:v>
                </c:pt>
                <c:pt idx="103">
                  <c:v>0.93779999999999997</c:v>
                </c:pt>
                <c:pt idx="104">
                  <c:v>0.94530000000000003</c:v>
                </c:pt>
                <c:pt idx="105">
                  <c:v>0.9224</c:v>
                </c:pt>
                <c:pt idx="106">
                  <c:v>0.92649999999999999</c:v>
                </c:pt>
                <c:pt idx="107">
                  <c:v>0.9294</c:v>
                </c:pt>
                <c:pt idx="108">
                  <c:v>0.93189999999999995</c:v>
                </c:pt>
                <c:pt idx="109">
                  <c:v>0.93459999999999999</c:v>
                </c:pt>
                <c:pt idx="110">
                  <c:v>0.7792</c:v>
                </c:pt>
                <c:pt idx="111">
                  <c:v>0.78810000000000002</c:v>
                </c:pt>
                <c:pt idx="112">
                  <c:v>0.8004</c:v>
                </c:pt>
                <c:pt idx="113">
                  <c:v>0.81120000000000003</c:v>
                </c:pt>
                <c:pt idx="114">
                  <c:v>0.82789999999999997</c:v>
                </c:pt>
                <c:pt idx="115">
                  <c:v>0.95269999999999999</c:v>
                </c:pt>
                <c:pt idx="116">
                  <c:v>0.95699999999999996</c:v>
                </c:pt>
                <c:pt idx="117">
                  <c:v>0.95960000000000001</c:v>
                </c:pt>
                <c:pt idx="118">
                  <c:v>0.96130000000000004</c:v>
                </c:pt>
                <c:pt idx="119">
                  <c:v>0.96740000000000004</c:v>
                </c:pt>
                <c:pt idx="120">
                  <c:v>0.96099999999999997</c:v>
                </c:pt>
                <c:pt idx="121">
                  <c:v>0.9637</c:v>
                </c:pt>
                <c:pt idx="122">
                  <c:v>0.96689999999999998</c:v>
                </c:pt>
                <c:pt idx="123">
                  <c:v>0.96879999999999999</c:v>
                </c:pt>
                <c:pt idx="124">
                  <c:v>0.98060000000000003</c:v>
                </c:pt>
                <c:pt idx="125">
                  <c:v>0.9274</c:v>
                </c:pt>
                <c:pt idx="126">
                  <c:v>0.93300000000000005</c:v>
                </c:pt>
                <c:pt idx="127">
                  <c:v>0.93920000000000003</c:v>
                </c:pt>
                <c:pt idx="128">
                  <c:v>0.94369999999999998</c:v>
                </c:pt>
                <c:pt idx="129">
                  <c:v>0.94820000000000004</c:v>
                </c:pt>
                <c:pt idx="130">
                  <c:v>0.83979999999999999</c:v>
                </c:pt>
                <c:pt idx="131">
                  <c:v>0.85060000000000002</c:v>
                </c:pt>
                <c:pt idx="132">
                  <c:v>0.86619999999999997</c:v>
                </c:pt>
                <c:pt idx="133">
                  <c:v>0.87919999999999998</c:v>
                </c:pt>
                <c:pt idx="134">
                  <c:v>0.88949999999999996</c:v>
                </c:pt>
                <c:pt idx="135">
                  <c:v>0.9385</c:v>
                </c:pt>
                <c:pt idx="136">
                  <c:v>0.94440000000000002</c:v>
                </c:pt>
                <c:pt idx="137">
                  <c:v>0.9506</c:v>
                </c:pt>
                <c:pt idx="138">
                  <c:v>0.95720000000000005</c:v>
                </c:pt>
                <c:pt idx="139">
                  <c:v>0.96479999999999999</c:v>
                </c:pt>
                <c:pt idx="140">
                  <c:v>0.96</c:v>
                </c:pt>
                <c:pt idx="141">
                  <c:v>0.96209999999999996</c:v>
                </c:pt>
                <c:pt idx="142">
                  <c:v>0.96509999999999996</c:v>
                </c:pt>
                <c:pt idx="143">
                  <c:v>0.96679999999999999</c:v>
                </c:pt>
                <c:pt idx="144">
                  <c:v>0.97409999999999997</c:v>
                </c:pt>
                <c:pt idx="145">
                  <c:v>0.87070000000000003</c:v>
                </c:pt>
                <c:pt idx="146">
                  <c:v>0.87909999999999999</c:v>
                </c:pt>
                <c:pt idx="147">
                  <c:v>0.88900000000000001</c:v>
                </c:pt>
                <c:pt idx="148">
                  <c:v>0.89729999999999999</c:v>
                </c:pt>
                <c:pt idx="149">
                  <c:v>0.91190000000000004</c:v>
                </c:pt>
                <c:pt idx="150">
                  <c:v>0.90490000000000004</c:v>
                </c:pt>
                <c:pt idx="151">
                  <c:v>0.9113</c:v>
                </c:pt>
                <c:pt idx="152">
                  <c:v>0.91769999999999996</c:v>
                </c:pt>
                <c:pt idx="153">
                  <c:v>0.92310000000000003</c:v>
                </c:pt>
                <c:pt idx="154">
                  <c:v>0.92730000000000001</c:v>
                </c:pt>
                <c:pt idx="155">
                  <c:v>0.89600000000000002</c:v>
                </c:pt>
                <c:pt idx="156">
                  <c:v>0.90300000000000002</c:v>
                </c:pt>
                <c:pt idx="157">
                  <c:v>0.90769999999999995</c:v>
                </c:pt>
                <c:pt idx="158">
                  <c:v>0.91290000000000004</c:v>
                </c:pt>
                <c:pt idx="159">
                  <c:v>0.9173</c:v>
                </c:pt>
                <c:pt idx="160">
                  <c:v>0.98780000000000001</c:v>
                </c:pt>
                <c:pt idx="161">
                  <c:v>0.98899999999999999</c:v>
                </c:pt>
                <c:pt idx="162">
                  <c:v>0.99080000000000001</c:v>
                </c:pt>
                <c:pt idx="163">
                  <c:v>0.99309999999999998</c:v>
                </c:pt>
                <c:pt idx="164">
                  <c:v>0.99419999999999997</c:v>
                </c:pt>
                <c:pt idx="165">
                  <c:v>0.93540000000000001</c:v>
                </c:pt>
                <c:pt idx="166">
                  <c:v>0.93830000000000002</c:v>
                </c:pt>
                <c:pt idx="167">
                  <c:v>0.9405</c:v>
                </c:pt>
                <c:pt idx="168">
                  <c:v>0.94340000000000002</c:v>
                </c:pt>
                <c:pt idx="169">
                  <c:v>0.94720000000000004</c:v>
                </c:pt>
                <c:pt idx="170">
                  <c:v>0.95799999999999996</c:v>
                </c:pt>
                <c:pt idx="171">
                  <c:v>0.96399999999999997</c:v>
                </c:pt>
                <c:pt idx="172">
                  <c:v>0.9667</c:v>
                </c:pt>
                <c:pt idx="173">
                  <c:v>0.96909999999999996</c:v>
                </c:pt>
                <c:pt idx="174">
                  <c:v>0.97960000000000003</c:v>
                </c:pt>
                <c:pt idx="175">
                  <c:v>0.94689999999999996</c:v>
                </c:pt>
                <c:pt idx="176">
                  <c:v>0.95099999999999996</c:v>
                </c:pt>
                <c:pt idx="177">
                  <c:v>0.95469999999999999</c:v>
                </c:pt>
                <c:pt idx="178">
                  <c:v>0.96609999999999996</c:v>
                </c:pt>
                <c:pt idx="179">
                  <c:v>0.96940000000000004</c:v>
                </c:pt>
                <c:pt idx="180">
                  <c:v>0.87749999999999995</c:v>
                </c:pt>
                <c:pt idx="181">
                  <c:v>0.88800000000000001</c:v>
                </c:pt>
                <c:pt idx="182">
                  <c:v>0.89529999999999998</c:v>
                </c:pt>
                <c:pt idx="183">
                  <c:v>0.90200000000000002</c:v>
                </c:pt>
                <c:pt idx="184">
                  <c:v>0.90739999999999998</c:v>
                </c:pt>
                <c:pt idx="185">
                  <c:v>0.94520000000000004</c:v>
                </c:pt>
                <c:pt idx="186">
                  <c:v>0.94840000000000002</c:v>
                </c:pt>
                <c:pt idx="187">
                  <c:v>0.9536</c:v>
                </c:pt>
                <c:pt idx="188">
                  <c:v>0.95779999999999998</c:v>
                </c:pt>
                <c:pt idx="189">
                  <c:v>0.96109999999999995</c:v>
                </c:pt>
                <c:pt idx="190">
                  <c:v>0.97809999999999997</c:v>
                </c:pt>
                <c:pt idx="191">
                  <c:v>0.98009999999999997</c:v>
                </c:pt>
                <c:pt idx="192">
                  <c:v>0.98140000000000005</c:v>
                </c:pt>
                <c:pt idx="193">
                  <c:v>0.98629999999999995</c:v>
                </c:pt>
                <c:pt idx="194">
                  <c:v>0.98750000000000004</c:v>
                </c:pt>
                <c:pt idx="195">
                  <c:v>0.89</c:v>
                </c:pt>
                <c:pt idx="196">
                  <c:v>0.89580000000000004</c:v>
                </c:pt>
                <c:pt idx="197">
                  <c:v>0.90100000000000002</c:v>
                </c:pt>
                <c:pt idx="198">
                  <c:v>0.90759999999999996</c:v>
                </c:pt>
                <c:pt idx="199">
                  <c:v>0.91490000000000005</c:v>
                </c:pt>
                <c:pt idx="200">
                  <c:v>0.92749999999999999</c:v>
                </c:pt>
                <c:pt idx="201">
                  <c:v>0.92989999999999995</c:v>
                </c:pt>
                <c:pt idx="202">
                  <c:v>0.9325</c:v>
                </c:pt>
                <c:pt idx="203">
                  <c:v>0.93440000000000001</c:v>
                </c:pt>
                <c:pt idx="204">
                  <c:v>0.93720000000000003</c:v>
                </c:pt>
                <c:pt idx="205">
                  <c:v>0.93920000000000003</c:v>
                </c:pt>
                <c:pt idx="206">
                  <c:v>0.94299999999999995</c:v>
                </c:pt>
                <c:pt idx="207">
                  <c:v>0.94769999999999999</c:v>
                </c:pt>
                <c:pt idx="208">
                  <c:v>0.95299999999999996</c:v>
                </c:pt>
                <c:pt idx="209">
                  <c:v>0.96689999999999998</c:v>
                </c:pt>
                <c:pt idx="210">
                  <c:v>0.95450000000000002</c:v>
                </c:pt>
                <c:pt idx="211">
                  <c:v>0.9597</c:v>
                </c:pt>
                <c:pt idx="212">
                  <c:v>0.96309999999999996</c:v>
                </c:pt>
                <c:pt idx="213">
                  <c:v>0.96660000000000001</c:v>
                </c:pt>
                <c:pt idx="214">
                  <c:v>0.97230000000000005</c:v>
                </c:pt>
                <c:pt idx="215">
                  <c:v>0.97609999999999997</c:v>
                </c:pt>
                <c:pt idx="216">
                  <c:v>0.97770000000000001</c:v>
                </c:pt>
                <c:pt idx="217">
                  <c:v>0.98019999999999996</c:v>
                </c:pt>
                <c:pt idx="218">
                  <c:v>0.98140000000000005</c:v>
                </c:pt>
                <c:pt idx="219">
                  <c:v>0.98960000000000004</c:v>
                </c:pt>
                <c:pt idx="220">
                  <c:v>0.82950000000000002</c:v>
                </c:pt>
                <c:pt idx="221">
                  <c:v>0.83979999999999999</c:v>
                </c:pt>
                <c:pt idx="222">
                  <c:v>0.84970000000000001</c:v>
                </c:pt>
                <c:pt idx="223">
                  <c:v>0.86229999999999996</c:v>
                </c:pt>
                <c:pt idx="224">
                  <c:v>0.87450000000000006</c:v>
                </c:pt>
                <c:pt idx="225">
                  <c:v>0.96609999999999996</c:v>
                </c:pt>
                <c:pt idx="226">
                  <c:v>0.96809999999999996</c:v>
                </c:pt>
                <c:pt idx="227">
                  <c:v>0.97009999999999996</c:v>
                </c:pt>
                <c:pt idx="228">
                  <c:v>0.97189999999999999</c:v>
                </c:pt>
                <c:pt idx="229">
                  <c:v>0.97970000000000002</c:v>
                </c:pt>
                <c:pt idx="230">
                  <c:v>0.88819999999999999</c:v>
                </c:pt>
                <c:pt idx="231">
                  <c:v>0.89749999999999996</c:v>
                </c:pt>
                <c:pt idx="232">
                  <c:v>0.90910000000000002</c:v>
                </c:pt>
                <c:pt idx="233">
                  <c:v>0.91900000000000004</c:v>
                </c:pt>
                <c:pt idx="234">
                  <c:v>0.9284</c:v>
                </c:pt>
                <c:pt idx="235">
                  <c:v>0.94799999999999995</c:v>
                </c:pt>
                <c:pt idx="236">
                  <c:v>0.95140000000000002</c:v>
                </c:pt>
                <c:pt idx="237">
                  <c:v>0.95440000000000003</c:v>
                </c:pt>
                <c:pt idx="238">
                  <c:v>0.95709999999999995</c:v>
                </c:pt>
                <c:pt idx="239">
                  <c:v>0.95960000000000001</c:v>
                </c:pt>
                <c:pt idx="240">
                  <c:v>0.92930000000000001</c:v>
                </c:pt>
                <c:pt idx="241">
                  <c:v>0.93220000000000003</c:v>
                </c:pt>
                <c:pt idx="242">
                  <c:v>0.93620000000000003</c:v>
                </c:pt>
                <c:pt idx="243">
                  <c:v>0.93840000000000001</c:v>
                </c:pt>
                <c:pt idx="244">
                  <c:v>0.94820000000000004</c:v>
                </c:pt>
                <c:pt idx="245">
                  <c:v>0.7359</c:v>
                </c:pt>
                <c:pt idx="246">
                  <c:v>0.74770000000000003</c:v>
                </c:pt>
                <c:pt idx="247">
                  <c:v>0.75890000000000002</c:v>
                </c:pt>
                <c:pt idx="248">
                  <c:v>0.77190000000000003</c:v>
                </c:pt>
                <c:pt idx="249">
                  <c:v>0.78469999999999995</c:v>
                </c:pt>
                <c:pt idx="250">
                  <c:v>0.89049999999999996</c:v>
                </c:pt>
                <c:pt idx="251">
                  <c:v>0.89259999999999995</c:v>
                </c:pt>
                <c:pt idx="252">
                  <c:v>0.89610000000000001</c:v>
                </c:pt>
                <c:pt idx="253">
                  <c:v>0.90180000000000005</c:v>
                </c:pt>
                <c:pt idx="254">
                  <c:v>0.91120000000000001</c:v>
                </c:pt>
                <c:pt idx="255">
                  <c:v>0.88129999999999997</c:v>
                </c:pt>
                <c:pt idx="256">
                  <c:v>0.88460000000000005</c:v>
                </c:pt>
                <c:pt idx="257">
                  <c:v>0.8901</c:v>
                </c:pt>
                <c:pt idx="258">
                  <c:v>0.89449999999999996</c:v>
                </c:pt>
                <c:pt idx="259">
                  <c:v>0.91349999999999998</c:v>
                </c:pt>
                <c:pt idx="260">
                  <c:v>0.9274</c:v>
                </c:pt>
                <c:pt idx="261">
                  <c:v>0.93779999999999997</c:v>
                </c:pt>
                <c:pt idx="262">
                  <c:v>0.94610000000000005</c:v>
                </c:pt>
                <c:pt idx="263">
                  <c:v>0.95140000000000002</c:v>
                </c:pt>
                <c:pt idx="264">
                  <c:v>0.95750000000000002</c:v>
                </c:pt>
                <c:pt idx="265">
                  <c:v>0.90629999999999999</c:v>
                </c:pt>
                <c:pt idx="266">
                  <c:v>0.90920000000000001</c:v>
                </c:pt>
                <c:pt idx="267">
                  <c:v>0.91310000000000002</c:v>
                </c:pt>
                <c:pt idx="268">
                  <c:v>0.91869999999999996</c:v>
                </c:pt>
                <c:pt idx="269">
                  <c:v>0.92769999999999997</c:v>
                </c:pt>
                <c:pt idx="270">
                  <c:v>0.93830000000000002</c:v>
                </c:pt>
                <c:pt idx="271">
                  <c:v>0.94430000000000003</c:v>
                </c:pt>
                <c:pt idx="272">
                  <c:v>0.94869999999999999</c:v>
                </c:pt>
                <c:pt idx="273">
                  <c:v>0.95269999999999999</c:v>
                </c:pt>
                <c:pt idx="274">
                  <c:v>0.96220000000000006</c:v>
                </c:pt>
                <c:pt idx="275">
                  <c:v>0.86650000000000005</c:v>
                </c:pt>
                <c:pt idx="276">
                  <c:v>0.87129999999999996</c:v>
                </c:pt>
                <c:pt idx="277">
                  <c:v>0.87619999999999998</c:v>
                </c:pt>
                <c:pt idx="278">
                  <c:v>0.88919999999999999</c:v>
                </c:pt>
                <c:pt idx="279">
                  <c:v>0.89490000000000003</c:v>
                </c:pt>
                <c:pt idx="280">
                  <c:v>0.97499999999999998</c:v>
                </c:pt>
                <c:pt idx="281">
                  <c:v>0.97570000000000001</c:v>
                </c:pt>
                <c:pt idx="282">
                  <c:v>0.97640000000000005</c:v>
                </c:pt>
                <c:pt idx="283">
                  <c:v>0.97699999999999998</c:v>
                </c:pt>
                <c:pt idx="284">
                  <c:v>0.97750000000000004</c:v>
                </c:pt>
                <c:pt idx="285">
                  <c:v>0.91959999999999997</c:v>
                </c:pt>
                <c:pt idx="286">
                  <c:v>0.92400000000000004</c:v>
                </c:pt>
                <c:pt idx="287">
                  <c:v>0.93820000000000003</c:v>
                </c:pt>
                <c:pt idx="288">
                  <c:v>0.94240000000000002</c:v>
                </c:pt>
                <c:pt idx="289">
                  <c:v>0.94630000000000003</c:v>
                </c:pt>
                <c:pt idx="290">
                  <c:v>0.83030000000000004</c:v>
                </c:pt>
                <c:pt idx="291">
                  <c:v>0.84750000000000003</c:v>
                </c:pt>
                <c:pt idx="292">
                  <c:v>0.86780000000000002</c:v>
                </c:pt>
                <c:pt idx="293">
                  <c:v>0.88249999999999995</c:v>
                </c:pt>
                <c:pt idx="294">
                  <c:v>0.90549999999999997</c:v>
                </c:pt>
                <c:pt idx="295">
                  <c:v>0.86909999999999998</c:v>
                </c:pt>
                <c:pt idx="296">
                  <c:v>0.873</c:v>
                </c:pt>
                <c:pt idx="297">
                  <c:v>0.87829999999999997</c:v>
                </c:pt>
                <c:pt idx="298">
                  <c:v>0.8831</c:v>
                </c:pt>
                <c:pt idx="299">
                  <c:v>0.88749999999999996</c:v>
                </c:pt>
                <c:pt idx="300">
                  <c:v>0.97050000000000003</c:v>
                </c:pt>
                <c:pt idx="301">
                  <c:v>0.97189999999999999</c:v>
                </c:pt>
                <c:pt idx="302">
                  <c:v>0.97319999999999995</c:v>
                </c:pt>
                <c:pt idx="303">
                  <c:v>0.97799999999999998</c:v>
                </c:pt>
                <c:pt idx="304">
                  <c:v>0.97870000000000001</c:v>
                </c:pt>
                <c:pt idx="305">
                  <c:v>0.91010000000000002</c:v>
                </c:pt>
                <c:pt idx="306">
                  <c:v>0.91869999999999996</c:v>
                </c:pt>
                <c:pt idx="307">
                  <c:v>0.9264</c:v>
                </c:pt>
                <c:pt idx="308">
                  <c:v>0.94269999999999998</c:v>
                </c:pt>
                <c:pt idx="309">
                  <c:v>0.94789999999999996</c:v>
                </c:pt>
                <c:pt idx="310">
                  <c:v>0.90780000000000005</c:v>
                </c:pt>
                <c:pt idx="311">
                  <c:v>0.91600000000000004</c:v>
                </c:pt>
                <c:pt idx="312">
                  <c:v>0.92310000000000003</c:v>
                </c:pt>
                <c:pt idx="313">
                  <c:v>0.93179999999999996</c:v>
                </c:pt>
                <c:pt idx="314">
                  <c:v>0.93530000000000002</c:v>
                </c:pt>
                <c:pt idx="315">
                  <c:v>0.97150000000000003</c:v>
                </c:pt>
                <c:pt idx="316">
                  <c:v>0.97270000000000001</c:v>
                </c:pt>
                <c:pt idx="317">
                  <c:v>0.9748</c:v>
                </c:pt>
                <c:pt idx="318">
                  <c:v>0.97640000000000005</c:v>
                </c:pt>
                <c:pt idx="319">
                  <c:v>0.97850000000000004</c:v>
                </c:pt>
                <c:pt idx="320">
                  <c:v>0.96289999999999998</c:v>
                </c:pt>
                <c:pt idx="321">
                  <c:v>0.96399999999999997</c:v>
                </c:pt>
                <c:pt idx="322">
                  <c:v>0.96609999999999996</c:v>
                </c:pt>
                <c:pt idx="323">
                  <c:v>0.96750000000000003</c:v>
                </c:pt>
                <c:pt idx="324">
                  <c:v>0.96889999999999998</c:v>
                </c:pt>
                <c:pt idx="325">
                  <c:v>0.96209999999999996</c:v>
                </c:pt>
                <c:pt idx="326">
                  <c:v>0.96330000000000005</c:v>
                </c:pt>
                <c:pt idx="327">
                  <c:v>0.96460000000000001</c:v>
                </c:pt>
                <c:pt idx="328">
                  <c:v>0.96589999999999998</c:v>
                </c:pt>
                <c:pt idx="329">
                  <c:v>0.9677</c:v>
                </c:pt>
                <c:pt idx="330">
                  <c:v>0.96589999999999998</c:v>
                </c:pt>
                <c:pt idx="331">
                  <c:v>0.9677</c:v>
                </c:pt>
                <c:pt idx="332">
                  <c:v>0.96960000000000002</c:v>
                </c:pt>
                <c:pt idx="333">
                  <c:v>0.97160000000000002</c:v>
                </c:pt>
                <c:pt idx="334">
                  <c:v>0.97550000000000003</c:v>
                </c:pt>
                <c:pt idx="335">
                  <c:v>0.97509999999999997</c:v>
                </c:pt>
                <c:pt idx="336">
                  <c:v>0.97699999999999998</c:v>
                </c:pt>
                <c:pt idx="337">
                  <c:v>0.97860000000000003</c:v>
                </c:pt>
                <c:pt idx="338">
                  <c:v>0.98199999999999998</c:v>
                </c:pt>
                <c:pt idx="339">
                  <c:v>0.98450000000000004</c:v>
                </c:pt>
                <c:pt idx="340">
                  <c:v>0.92149999999999999</c:v>
                </c:pt>
                <c:pt idx="341">
                  <c:v>0.92469999999999997</c:v>
                </c:pt>
                <c:pt idx="342">
                  <c:v>0.9294</c:v>
                </c:pt>
                <c:pt idx="343">
                  <c:v>0.93589999999999995</c:v>
                </c:pt>
                <c:pt idx="344">
                  <c:v>0.94310000000000005</c:v>
                </c:pt>
                <c:pt idx="345">
                  <c:v>0.95269999999999999</c:v>
                </c:pt>
                <c:pt idx="346">
                  <c:v>0.95589999999999997</c:v>
                </c:pt>
                <c:pt idx="347">
                  <c:v>0.95809999999999995</c:v>
                </c:pt>
                <c:pt idx="348">
                  <c:v>0.96060000000000001</c:v>
                </c:pt>
                <c:pt idx="349">
                  <c:v>0.96879999999999999</c:v>
                </c:pt>
                <c:pt idx="350">
                  <c:v>0.82310000000000005</c:v>
                </c:pt>
                <c:pt idx="351">
                  <c:v>0.82989999999999997</c:v>
                </c:pt>
                <c:pt idx="352">
                  <c:v>0.83850000000000002</c:v>
                </c:pt>
                <c:pt idx="353">
                  <c:v>0.84809999999999997</c:v>
                </c:pt>
                <c:pt idx="354">
                  <c:v>0.85840000000000005</c:v>
                </c:pt>
                <c:pt idx="355">
                  <c:v>0.97909999999999997</c:v>
                </c:pt>
                <c:pt idx="356">
                  <c:v>0.98150000000000004</c:v>
                </c:pt>
                <c:pt idx="357">
                  <c:v>0.98270000000000002</c:v>
                </c:pt>
                <c:pt idx="358">
                  <c:v>0.98329999999999995</c:v>
                </c:pt>
                <c:pt idx="359">
                  <c:v>0.9839</c:v>
                </c:pt>
                <c:pt idx="360">
                  <c:v>0.97299999999999998</c:v>
                </c:pt>
                <c:pt idx="361">
                  <c:v>0.97499999999999998</c:v>
                </c:pt>
                <c:pt idx="362">
                  <c:v>0.97619999999999996</c:v>
                </c:pt>
                <c:pt idx="363">
                  <c:v>0.97709999999999997</c:v>
                </c:pt>
                <c:pt idx="364">
                  <c:v>0.98560000000000003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0.9345</c:v>
                </c:pt>
                <c:pt idx="371">
                  <c:v>0.9375</c:v>
                </c:pt>
                <c:pt idx="372">
                  <c:v>0.94089999999999996</c:v>
                </c:pt>
                <c:pt idx="373">
                  <c:v>0.94399999999999995</c:v>
                </c:pt>
                <c:pt idx="374">
                  <c:v>0.94820000000000004</c:v>
                </c:pt>
                <c:pt idx="375">
                  <c:v>0.96140000000000003</c:v>
                </c:pt>
                <c:pt idx="376">
                  <c:v>0.96360000000000001</c:v>
                </c:pt>
                <c:pt idx="377">
                  <c:v>0.96550000000000002</c:v>
                </c:pt>
                <c:pt idx="378">
                  <c:v>0.97160000000000002</c:v>
                </c:pt>
                <c:pt idx="379">
                  <c:v>0.97309999999999997</c:v>
                </c:pt>
                <c:pt idx="380">
                  <c:v>0.9143</c:v>
                </c:pt>
                <c:pt idx="381">
                  <c:v>0.91669999999999996</c:v>
                </c:pt>
                <c:pt idx="382">
                  <c:v>0.91910000000000003</c:v>
                </c:pt>
                <c:pt idx="383">
                  <c:v>0.92130000000000001</c:v>
                </c:pt>
                <c:pt idx="384">
                  <c:v>0.93889999999999996</c:v>
                </c:pt>
                <c:pt idx="385">
                  <c:v>0.83140000000000003</c:v>
                </c:pt>
                <c:pt idx="386">
                  <c:v>0.83460000000000001</c:v>
                </c:pt>
                <c:pt idx="387">
                  <c:v>0.83789999999999998</c:v>
                </c:pt>
                <c:pt idx="388">
                  <c:v>0.84079999999999999</c:v>
                </c:pt>
                <c:pt idx="389">
                  <c:v>0.84499999999999997</c:v>
                </c:pt>
                <c:pt idx="390">
                  <c:v>0.95679999999999998</c:v>
                </c:pt>
                <c:pt idx="391">
                  <c:v>0.95850000000000002</c:v>
                </c:pt>
                <c:pt idx="392">
                  <c:v>0.95960000000000001</c:v>
                </c:pt>
                <c:pt idx="393">
                  <c:v>0.96060000000000001</c:v>
                </c:pt>
                <c:pt idx="394">
                  <c:v>0.96599999999999997</c:v>
                </c:pt>
                <c:pt idx="395">
                  <c:v>0.94830000000000003</c:v>
                </c:pt>
                <c:pt idx="396">
                  <c:v>0.95089999999999997</c:v>
                </c:pt>
                <c:pt idx="397">
                  <c:v>0.95340000000000003</c:v>
                </c:pt>
                <c:pt idx="398">
                  <c:v>0.96240000000000003</c:v>
                </c:pt>
                <c:pt idx="399">
                  <c:v>0.96460000000000001</c:v>
                </c:pt>
                <c:pt idx="400">
                  <c:v>0.92390000000000005</c:v>
                </c:pt>
                <c:pt idx="401">
                  <c:v>0.93130000000000002</c:v>
                </c:pt>
                <c:pt idx="402">
                  <c:v>0.93799999999999994</c:v>
                </c:pt>
                <c:pt idx="403">
                  <c:v>0.96309999999999996</c:v>
                </c:pt>
                <c:pt idx="404">
                  <c:v>0.96789999999999998</c:v>
                </c:pt>
                <c:pt idx="405">
                  <c:v>0.89600000000000002</c:v>
                </c:pt>
                <c:pt idx="406">
                  <c:v>0.90600000000000003</c:v>
                </c:pt>
                <c:pt idx="407">
                  <c:v>0.91900000000000004</c:v>
                </c:pt>
                <c:pt idx="408">
                  <c:v>0.94520000000000004</c:v>
                </c:pt>
                <c:pt idx="409">
                  <c:v>0.95320000000000005</c:v>
                </c:pt>
                <c:pt idx="410">
                  <c:v>0.97170000000000001</c:v>
                </c:pt>
                <c:pt idx="411">
                  <c:v>0.97270000000000001</c:v>
                </c:pt>
                <c:pt idx="412">
                  <c:v>0.97370000000000001</c:v>
                </c:pt>
                <c:pt idx="413">
                  <c:v>0.97450000000000003</c:v>
                </c:pt>
                <c:pt idx="414">
                  <c:v>0.97529999999999994</c:v>
                </c:pt>
                <c:pt idx="415">
                  <c:v>0.96660000000000001</c:v>
                </c:pt>
                <c:pt idx="416">
                  <c:v>0.9677</c:v>
                </c:pt>
                <c:pt idx="417">
                  <c:v>0.96840000000000004</c:v>
                </c:pt>
                <c:pt idx="418">
                  <c:v>0.96940000000000004</c:v>
                </c:pt>
                <c:pt idx="419">
                  <c:v>0.9859</c:v>
                </c:pt>
                <c:pt idx="420">
                  <c:v>0.90229999999999999</c:v>
                </c:pt>
                <c:pt idx="421">
                  <c:v>0.90880000000000005</c:v>
                </c:pt>
                <c:pt idx="422">
                  <c:v>0.91579999999999995</c:v>
                </c:pt>
                <c:pt idx="423">
                  <c:v>0.92559999999999998</c:v>
                </c:pt>
                <c:pt idx="424">
                  <c:v>0.93389999999999995</c:v>
                </c:pt>
                <c:pt idx="425">
                  <c:v>0.89939999999999998</c:v>
                </c:pt>
                <c:pt idx="426">
                  <c:v>0.90239999999999998</c:v>
                </c:pt>
                <c:pt idx="427">
                  <c:v>0.90480000000000005</c:v>
                </c:pt>
                <c:pt idx="428">
                  <c:v>0.9093</c:v>
                </c:pt>
                <c:pt idx="429">
                  <c:v>0.91479999999999995</c:v>
                </c:pt>
                <c:pt idx="430">
                  <c:v>0.94120000000000004</c:v>
                </c:pt>
                <c:pt idx="431">
                  <c:v>0.94630000000000003</c:v>
                </c:pt>
                <c:pt idx="432">
                  <c:v>0.95050000000000001</c:v>
                </c:pt>
                <c:pt idx="433">
                  <c:v>0.95499999999999996</c:v>
                </c:pt>
                <c:pt idx="434">
                  <c:v>0.96799999999999997</c:v>
                </c:pt>
                <c:pt idx="435">
                  <c:v>0.91800000000000004</c:v>
                </c:pt>
                <c:pt idx="436">
                  <c:v>0.92169999999999996</c:v>
                </c:pt>
                <c:pt idx="437">
                  <c:v>0.92679999999999996</c:v>
                </c:pt>
                <c:pt idx="438">
                  <c:v>0.93220000000000003</c:v>
                </c:pt>
                <c:pt idx="439">
                  <c:v>0.9526</c:v>
                </c:pt>
                <c:pt idx="440">
                  <c:v>0.95179999999999998</c:v>
                </c:pt>
                <c:pt idx="441">
                  <c:v>0.95550000000000002</c:v>
                </c:pt>
                <c:pt idx="442">
                  <c:v>0.95699999999999996</c:v>
                </c:pt>
                <c:pt idx="443">
                  <c:v>0.95830000000000004</c:v>
                </c:pt>
                <c:pt idx="444">
                  <c:v>0.96479999999999999</c:v>
                </c:pt>
                <c:pt idx="445">
                  <c:v>0.92559999999999998</c:v>
                </c:pt>
                <c:pt idx="446">
                  <c:v>0.93030000000000002</c:v>
                </c:pt>
                <c:pt idx="447">
                  <c:v>0.93600000000000005</c:v>
                </c:pt>
                <c:pt idx="448">
                  <c:v>0.94110000000000005</c:v>
                </c:pt>
                <c:pt idx="449">
                  <c:v>0.94520000000000004</c:v>
                </c:pt>
                <c:pt idx="450">
                  <c:v>0.90890000000000004</c:v>
                </c:pt>
                <c:pt idx="451">
                  <c:v>0.91080000000000005</c:v>
                </c:pt>
                <c:pt idx="452">
                  <c:v>0.91469999999999996</c:v>
                </c:pt>
                <c:pt idx="453">
                  <c:v>0.91690000000000005</c:v>
                </c:pt>
                <c:pt idx="454">
                  <c:v>0.92159999999999997</c:v>
                </c:pt>
                <c:pt idx="455">
                  <c:v>0.89270000000000005</c:v>
                </c:pt>
                <c:pt idx="456">
                  <c:v>0.89459999999999995</c:v>
                </c:pt>
                <c:pt idx="457">
                  <c:v>0.89670000000000005</c:v>
                </c:pt>
                <c:pt idx="458">
                  <c:v>0.89849999999999997</c:v>
                </c:pt>
                <c:pt idx="459">
                  <c:v>0.90869999999999995</c:v>
                </c:pt>
                <c:pt idx="460">
                  <c:v>0.98680000000000001</c:v>
                </c:pt>
                <c:pt idx="461">
                  <c:v>0.98829999999999996</c:v>
                </c:pt>
                <c:pt idx="462">
                  <c:v>0.98929999999999996</c:v>
                </c:pt>
                <c:pt idx="463">
                  <c:v>0.99050000000000005</c:v>
                </c:pt>
                <c:pt idx="464">
                  <c:v>0.99299999999999999</c:v>
                </c:pt>
                <c:pt idx="465">
                  <c:v>0.9274</c:v>
                </c:pt>
                <c:pt idx="466">
                  <c:v>0.93069999999999997</c:v>
                </c:pt>
                <c:pt idx="467">
                  <c:v>0.93259999999999998</c:v>
                </c:pt>
                <c:pt idx="468">
                  <c:v>0.93689999999999996</c:v>
                </c:pt>
                <c:pt idx="469">
                  <c:v>0.94230000000000003</c:v>
                </c:pt>
                <c:pt idx="470">
                  <c:v>0.96809999999999996</c:v>
                </c:pt>
                <c:pt idx="471">
                  <c:v>0.96989999999999998</c:v>
                </c:pt>
                <c:pt idx="472">
                  <c:v>0.97109999999999996</c:v>
                </c:pt>
                <c:pt idx="473">
                  <c:v>0.97240000000000004</c:v>
                </c:pt>
                <c:pt idx="474">
                  <c:v>0.9758</c:v>
                </c:pt>
                <c:pt idx="475">
                  <c:v>0.87929999999999997</c:v>
                </c:pt>
                <c:pt idx="476">
                  <c:v>0.88160000000000005</c:v>
                </c:pt>
                <c:pt idx="477">
                  <c:v>0.8841</c:v>
                </c:pt>
                <c:pt idx="478">
                  <c:v>0.88729999999999998</c:v>
                </c:pt>
                <c:pt idx="479">
                  <c:v>0.90659999999999996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2E-45A2-99FD-9786CDD9F9B7}"/>
            </c:ext>
          </c:extLst>
        </c:ser>
        <c:ser>
          <c:idx val="1"/>
          <c:order val="1"/>
          <c:tx>
            <c:strRef>
              <c:f>Enfouissement!$B$41</c:f>
              <c:strCache>
                <c:ptCount val="1"/>
                <c:pt idx="0">
                  <c:v>BT du dpt.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Enfouissement!$C$41</c:f>
              <c:numCache>
                <c:formatCode>#\ ##0.0</c:formatCode>
                <c:ptCount val="1"/>
                <c:pt idx="0">
                  <c:v>428.20749999999998</c:v>
                </c:pt>
              </c:numCache>
            </c:numRef>
          </c:xVal>
          <c:yVal>
            <c:numRef>
              <c:f>Enfouissement!$D$41</c:f>
              <c:numCache>
                <c:formatCode>0.0%</c:formatCode>
                <c:ptCount val="1"/>
                <c:pt idx="0">
                  <c:v>4.6792999999999996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2E-45A2-99FD-9786CDD9F9B7}"/>
            </c:ext>
          </c:extLst>
        </c:ser>
        <c:ser>
          <c:idx val="2"/>
          <c:order val="2"/>
          <c:tx>
            <c:strRef>
              <c:f>Enfouissement!$B$43</c:f>
              <c:strCache>
                <c:ptCount val="1"/>
                <c:pt idx="0">
                  <c:v>BT concession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1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Enfouissement!$C$43</c:f>
              <c:numCache>
                <c:formatCode>#\ ##0.0</c:formatCode>
                <c:ptCount val="1"/>
                <c:pt idx="0">
                  <c:v>410.97669999999999</c:v>
                </c:pt>
              </c:numCache>
            </c:numRef>
          </c:xVal>
          <c:yVal>
            <c:numRef>
              <c:f>Enfouissement!$D$43</c:f>
              <c:numCache>
                <c:formatCode>0.0%</c:formatCode>
                <c:ptCount val="1"/>
                <c:pt idx="0">
                  <c:v>4.6734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2E-45A2-99FD-9786CDD9F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23599"/>
        <c:axId val="742332255"/>
      </c:scatterChart>
      <c:valAx>
        <c:axId val="62752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Densité de population sur le réseau BT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2332255"/>
        <c:crosses val="autoZero"/>
        <c:crossBetween val="midCat"/>
      </c:valAx>
      <c:valAx>
        <c:axId val="742332255"/>
        <c:scaling>
          <c:orientation val="minMax"/>
          <c:max val="1.100000000000000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Taux de sécurisation</a:t>
                </a:r>
                <a:r>
                  <a:rPr lang="fr-FR" baseline="0"/>
                  <a:t> BT (%)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523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16664017388192E-2"/>
          <c:y val="0.91544619255961046"/>
          <c:w val="0.89999986986000469"/>
          <c:h val="7.1791044426139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 (En-têtes)"/>
              </a:rPr>
              <a:t>Taux d'enfouissement BT en fonction de la densité de population</a:t>
            </a:r>
          </a:p>
          <a:p>
            <a:pPr>
              <a:defRPr sz="1200" b="1"/>
            </a:pPr>
            <a:r>
              <a:rPr lang="fr-FR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 Light (En-têtes)"/>
              </a:rPr>
              <a:t>- comparaison entre départements</a:t>
            </a:r>
          </a:p>
        </c:rich>
      </c:tx>
      <c:layout>
        <c:manualLayout>
          <c:xMode val="edge"/>
          <c:yMode val="edge"/>
          <c:x val="0.16662305550952233"/>
          <c:y val="2.136871978373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262176502182726"/>
          <c:y val="0.2097347388675041"/>
          <c:w val="0.8252560086100621"/>
          <c:h val="0.55935103527446806"/>
        </c:manualLayout>
      </c:layout>
      <c:scatterChart>
        <c:scatterStyle val="lineMarker"/>
        <c:varyColors val="0"/>
        <c:ser>
          <c:idx val="0"/>
          <c:order val="0"/>
          <c:tx>
            <c:v>Départements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D_enf!$J$5:$J$484</c:f>
              <c:numCache>
                <c:formatCode>General</c:formatCode>
                <c:ptCount val="480"/>
                <c:pt idx="0">
                  <c:v>47.306600000000003</c:v>
                </c:pt>
                <c:pt idx="1">
                  <c:v>47.100700000000003</c:v>
                </c:pt>
                <c:pt idx="2">
                  <c:v>46.811999999999998</c:v>
                </c:pt>
                <c:pt idx="3">
                  <c:v>46.551900000000003</c:v>
                </c:pt>
                <c:pt idx="4">
                  <c:v>46.341200000000001</c:v>
                </c:pt>
                <c:pt idx="5">
                  <c:v>83.274799999999999</c:v>
                </c:pt>
                <c:pt idx="6">
                  <c:v>82.778300000000002</c:v>
                </c:pt>
                <c:pt idx="7">
                  <c:v>82.075000000000003</c:v>
                </c:pt>
                <c:pt idx="8">
                  <c:v>81.730800000000002</c:v>
                </c:pt>
                <c:pt idx="9">
                  <c:v>81.117800000000003</c:v>
                </c:pt>
                <c:pt idx="10">
                  <c:v>81.635499999999993</c:v>
                </c:pt>
                <c:pt idx="11">
                  <c:v>81.635499999999993</c:v>
                </c:pt>
                <c:pt idx="12">
                  <c:v>81.635499999999993</c:v>
                </c:pt>
                <c:pt idx="13">
                  <c:v>81.635499999999993</c:v>
                </c:pt>
                <c:pt idx="14">
                  <c:v>81.635499999999993</c:v>
                </c:pt>
                <c:pt idx="15">
                  <c:v>85.641499999999994</c:v>
                </c:pt>
                <c:pt idx="16">
                  <c:v>85.641499999999994</c:v>
                </c:pt>
                <c:pt idx="17">
                  <c:v>85.641499999999994</c:v>
                </c:pt>
                <c:pt idx="18">
                  <c:v>85.641499999999994</c:v>
                </c:pt>
                <c:pt idx="19">
                  <c:v>85.641499999999994</c:v>
                </c:pt>
                <c:pt idx="20">
                  <c:v>62.613700000000001</c:v>
                </c:pt>
                <c:pt idx="21">
                  <c:v>62.613700000000001</c:v>
                </c:pt>
                <c:pt idx="22">
                  <c:v>62.613700000000001</c:v>
                </c:pt>
                <c:pt idx="23">
                  <c:v>62.613700000000001</c:v>
                </c:pt>
                <c:pt idx="24">
                  <c:v>62.613700000000001</c:v>
                </c:pt>
                <c:pt idx="25">
                  <c:v>37.081299999999999</c:v>
                </c:pt>
                <c:pt idx="26">
                  <c:v>37.081299999999999</c:v>
                </c:pt>
                <c:pt idx="27">
                  <c:v>37.081299999999999</c:v>
                </c:pt>
                <c:pt idx="28">
                  <c:v>37.081299999999999</c:v>
                </c:pt>
                <c:pt idx="29">
                  <c:v>37.081299999999999</c:v>
                </c:pt>
                <c:pt idx="30">
                  <c:v>126.895</c:v>
                </c:pt>
                <c:pt idx="31">
                  <c:v>126.895</c:v>
                </c:pt>
                <c:pt idx="32">
                  <c:v>126.895</c:v>
                </c:pt>
                <c:pt idx="33">
                  <c:v>126.895</c:v>
                </c:pt>
                <c:pt idx="34">
                  <c:v>126.895</c:v>
                </c:pt>
                <c:pt idx="35">
                  <c:v>62.475999999999999</c:v>
                </c:pt>
                <c:pt idx="36">
                  <c:v>62.475999999999999</c:v>
                </c:pt>
                <c:pt idx="37">
                  <c:v>62.475999999999999</c:v>
                </c:pt>
                <c:pt idx="38">
                  <c:v>62.475999999999999</c:v>
                </c:pt>
                <c:pt idx="39">
                  <c:v>62.475999999999999</c:v>
                </c:pt>
                <c:pt idx="40">
                  <c:v>29.248999999999999</c:v>
                </c:pt>
                <c:pt idx="41">
                  <c:v>29.248999999999999</c:v>
                </c:pt>
                <c:pt idx="42">
                  <c:v>29.248999999999999</c:v>
                </c:pt>
                <c:pt idx="43">
                  <c:v>29.248999999999999</c:v>
                </c:pt>
                <c:pt idx="44">
                  <c:v>29.248999999999999</c:v>
                </c:pt>
                <c:pt idx="45">
                  <c:v>59.554200000000002</c:v>
                </c:pt>
                <c:pt idx="46">
                  <c:v>59.554200000000002</c:v>
                </c:pt>
                <c:pt idx="47">
                  <c:v>59.554200000000002</c:v>
                </c:pt>
                <c:pt idx="48">
                  <c:v>59.554200000000002</c:v>
                </c:pt>
                <c:pt idx="49">
                  <c:v>59.554200000000002</c:v>
                </c:pt>
                <c:pt idx="50">
                  <c:v>64.174700000000001</c:v>
                </c:pt>
                <c:pt idx="51">
                  <c:v>64.174700000000001</c:v>
                </c:pt>
                <c:pt idx="52">
                  <c:v>64.174700000000001</c:v>
                </c:pt>
                <c:pt idx="53">
                  <c:v>64.174700000000001</c:v>
                </c:pt>
                <c:pt idx="54">
                  <c:v>64.174700000000001</c:v>
                </c:pt>
                <c:pt idx="55">
                  <c:v>51.493499999999997</c:v>
                </c:pt>
                <c:pt idx="56">
                  <c:v>51.493499999999997</c:v>
                </c:pt>
                <c:pt idx="57">
                  <c:v>51.493499999999997</c:v>
                </c:pt>
                <c:pt idx="58">
                  <c:v>51.493499999999997</c:v>
                </c:pt>
                <c:pt idx="59">
                  <c:v>51.493499999999997</c:v>
                </c:pt>
                <c:pt idx="60">
                  <c:v>34.563400000000001</c:v>
                </c:pt>
                <c:pt idx="61">
                  <c:v>34.563400000000001</c:v>
                </c:pt>
                <c:pt idx="62">
                  <c:v>34.563400000000001</c:v>
                </c:pt>
                <c:pt idx="63">
                  <c:v>34.563400000000001</c:v>
                </c:pt>
                <c:pt idx="64">
                  <c:v>34.563400000000001</c:v>
                </c:pt>
                <c:pt idx="65">
                  <c:v>108.4594</c:v>
                </c:pt>
                <c:pt idx="66">
                  <c:v>108.4594</c:v>
                </c:pt>
                <c:pt idx="67">
                  <c:v>108.4594</c:v>
                </c:pt>
                <c:pt idx="68">
                  <c:v>108.4594</c:v>
                </c:pt>
                <c:pt idx="69">
                  <c:v>108.4594</c:v>
                </c:pt>
                <c:pt idx="70">
                  <c:v>97.158900000000003</c:v>
                </c:pt>
                <c:pt idx="71">
                  <c:v>97.158900000000003</c:v>
                </c:pt>
                <c:pt idx="72">
                  <c:v>97.158900000000003</c:v>
                </c:pt>
                <c:pt idx="73">
                  <c:v>97.158900000000003</c:v>
                </c:pt>
                <c:pt idx="74">
                  <c:v>97.158900000000003</c:v>
                </c:pt>
                <c:pt idx="75">
                  <c:v>43.256100000000004</c:v>
                </c:pt>
                <c:pt idx="76">
                  <c:v>43.256100000000004</c:v>
                </c:pt>
                <c:pt idx="77">
                  <c:v>43.256100000000004</c:v>
                </c:pt>
                <c:pt idx="78">
                  <c:v>43.256100000000004</c:v>
                </c:pt>
                <c:pt idx="79">
                  <c:v>43.256100000000004</c:v>
                </c:pt>
                <c:pt idx="80">
                  <c:v>28.035</c:v>
                </c:pt>
                <c:pt idx="81">
                  <c:v>28.035</c:v>
                </c:pt>
                <c:pt idx="82">
                  <c:v>28.035</c:v>
                </c:pt>
                <c:pt idx="83">
                  <c:v>28.035</c:v>
                </c:pt>
                <c:pt idx="84">
                  <c:v>28.035</c:v>
                </c:pt>
                <c:pt idx="85">
                  <c:v>30.681000000000001</c:v>
                </c:pt>
                <c:pt idx="86">
                  <c:v>30.681000000000001</c:v>
                </c:pt>
                <c:pt idx="87">
                  <c:v>30.681000000000001</c:v>
                </c:pt>
                <c:pt idx="88">
                  <c:v>30.681000000000001</c:v>
                </c:pt>
                <c:pt idx="89">
                  <c:v>30.681000000000001</c:v>
                </c:pt>
                <c:pt idx="90">
                  <c:v>95.768299999999996</c:v>
                </c:pt>
                <c:pt idx="91">
                  <c:v>95.768299999999996</c:v>
                </c:pt>
                <c:pt idx="92">
                  <c:v>95.768299999999996</c:v>
                </c:pt>
                <c:pt idx="93">
                  <c:v>95.768299999999996</c:v>
                </c:pt>
                <c:pt idx="94">
                  <c:v>95.768299999999996</c:v>
                </c:pt>
                <c:pt idx="95">
                  <c:v>51.630499999999998</c:v>
                </c:pt>
                <c:pt idx="96">
                  <c:v>51.630499999999998</c:v>
                </c:pt>
                <c:pt idx="97">
                  <c:v>51.630499999999998</c:v>
                </c:pt>
                <c:pt idx="98">
                  <c:v>51.630499999999998</c:v>
                </c:pt>
                <c:pt idx="99">
                  <c:v>51.630499999999998</c:v>
                </c:pt>
                <c:pt idx="100">
                  <c:v>72.592200000000005</c:v>
                </c:pt>
                <c:pt idx="101">
                  <c:v>72.592200000000005</c:v>
                </c:pt>
                <c:pt idx="102">
                  <c:v>72.592200000000005</c:v>
                </c:pt>
                <c:pt idx="103">
                  <c:v>72.592200000000005</c:v>
                </c:pt>
                <c:pt idx="104">
                  <c:v>72.592200000000005</c:v>
                </c:pt>
                <c:pt idx="105">
                  <c:v>111.1737</c:v>
                </c:pt>
                <c:pt idx="106">
                  <c:v>111.1737</c:v>
                </c:pt>
                <c:pt idx="107">
                  <c:v>111.1737</c:v>
                </c:pt>
                <c:pt idx="108">
                  <c:v>111.1737</c:v>
                </c:pt>
                <c:pt idx="109">
                  <c:v>111.1737</c:v>
                </c:pt>
                <c:pt idx="110">
                  <c:v>57.0871</c:v>
                </c:pt>
                <c:pt idx="111">
                  <c:v>57.0871</c:v>
                </c:pt>
                <c:pt idx="112">
                  <c:v>57.0871</c:v>
                </c:pt>
                <c:pt idx="113">
                  <c:v>57.0871</c:v>
                </c:pt>
                <c:pt idx="114">
                  <c:v>57.0871</c:v>
                </c:pt>
                <c:pt idx="115">
                  <c:v>43.738999999999997</c:v>
                </c:pt>
                <c:pt idx="116">
                  <c:v>43.738999999999997</c:v>
                </c:pt>
                <c:pt idx="117">
                  <c:v>43.738999999999997</c:v>
                </c:pt>
                <c:pt idx="118">
                  <c:v>43.738999999999997</c:v>
                </c:pt>
                <c:pt idx="119">
                  <c:v>43.738999999999997</c:v>
                </c:pt>
                <c:pt idx="120">
                  <c:v>73.274600000000007</c:v>
                </c:pt>
                <c:pt idx="121">
                  <c:v>73.274600000000007</c:v>
                </c:pt>
                <c:pt idx="122">
                  <c:v>73.274600000000007</c:v>
                </c:pt>
                <c:pt idx="123">
                  <c:v>73.274600000000007</c:v>
                </c:pt>
                <c:pt idx="124">
                  <c:v>73.274600000000007</c:v>
                </c:pt>
                <c:pt idx="125">
                  <c:v>88.687899999999999</c:v>
                </c:pt>
                <c:pt idx="126">
                  <c:v>88.687899999999999</c:v>
                </c:pt>
                <c:pt idx="127">
                  <c:v>88.687899999999999</c:v>
                </c:pt>
                <c:pt idx="128">
                  <c:v>88.687899999999999</c:v>
                </c:pt>
                <c:pt idx="129">
                  <c:v>88.687899999999999</c:v>
                </c:pt>
                <c:pt idx="130">
                  <c:v>24.192799999999998</c:v>
                </c:pt>
                <c:pt idx="131">
                  <c:v>24.192799999999998</c:v>
                </c:pt>
                <c:pt idx="132">
                  <c:v>24.192799999999998</c:v>
                </c:pt>
                <c:pt idx="133">
                  <c:v>24.192799999999998</c:v>
                </c:pt>
                <c:pt idx="134">
                  <c:v>24.192799999999998</c:v>
                </c:pt>
                <c:pt idx="135">
                  <c:v>88.914400000000001</c:v>
                </c:pt>
                <c:pt idx="136">
                  <c:v>88.914400000000001</c:v>
                </c:pt>
                <c:pt idx="137">
                  <c:v>88.914400000000001</c:v>
                </c:pt>
                <c:pt idx="138">
                  <c:v>88.914400000000001</c:v>
                </c:pt>
                <c:pt idx="139">
                  <c:v>88.914400000000001</c:v>
                </c:pt>
                <c:pt idx="140">
                  <c:v>123.4811</c:v>
                </c:pt>
                <c:pt idx="141">
                  <c:v>123.4811</c:v>
                </c:pt>
                <c:pt idx="142">
                  <c:v>123.4811</c:v>
                </c:pt>
                <c:pt idx="143">
                  <c:v>123.4811</c:v>
                </c:pt>
                <c:pt idx="144">
                  <c:v>123.4811</c:v>
                </c:pt>
                <c:pt idx="145">
                  <c:v>75.613699999999994</c:v>
                </c:pt>
                <c:pt idx="146">
                  <c:v>75.613699999999994</c:v>
                </c:pt>
                <c:pt idx="147">
                  <c:v>75.613699999999994</c:v>
                </c:pt>
                <c:pt idx="148">
                  <c:v>75.613699999999994</c:v>
                </c:pt>
                <c:pt idx="149">
                  <c:v>75.613699999999994</c:v>
                </c:pt>
                <c:pt idx="150">
                  <c:v>45.055599999999998</c:v>
                </c:pt>
                <c:pt idx="151">
                  <c:v>45.055599999999998</c:v>
                </c:pt>
                <c:pt idx="152">
                  <c:v>45.055599999999998</c:v>
                </c:pt>
                <c:pt idx="153">
                  <c:v>45.055599999999998</c:v>
                </c:pt>
                <c:pt idx="154">
                  <c:v>45.055599999999998</c:v>
                </c:pt>
                <c:pt idx="155">
                  <c:v>78.294899999999998</c:v>
                </c:pt>
                <c:pt idx="156">
                  <c:v>78.294899999999998</c:v>
                </c:pt>
                <c:pt idx="157">
                  <c:v>78.294899999999998</c:v>
                </c:pt>
                <c:pt idx="158">
                  <c:v>78.294899999999998</c:v>
                </c:pt>
                <c:pt idx="159">
                  <c:v>78.294899999999998</c:v>
                </c:pt>
                <c:pt idx="160">
                  <c:v>96.068100000000001</c:v>
                </c:pt>
                <c:pt idx="161">
                  <c:v>96.068100000000001</c:v>
                </c:pt>
                <c:pt idx="162">
                  <c:v>96.068100000000001</c:v>
                </c:pt>
                <c:pt idx="163">
                  <c:v>96.068100000000001</c:v>
                </c:pt>
                <c:pt idx="164">
                  <c:v>96.068100000000001</c:v>
                </c:pt>
                <c:pt idx="165">
                  <c:v>64.014799999999994</c:v>
                </c:pt>
                <c:pt idx="166">
                  <c:v>64.014799999999994</c:v>
                </c:pt>
                <c:pt idx="167">
                  <c:v>64.014799999999994</c:v>
                </c:pt>
                <c:pt idx="168">
                  <c:v>64.014799999999994</c:v>
                </c:pt>
                <c:pt idx="169">
                  <c:v>64.014799999999994</c:v>
                </c:pt>
                <c:pt idx="170">
                  <c:v>38.742800000000003</c:v>
                </c:pt>
                <c:pt idx="171">
                  <c:v>38.742800000000003</c:v>
                </c:pt>
                <c:pt idx="172">
                  <c:v>38.742800000000003</c:v>
                </c:pt>
                <c:pt idx="173">
                  <c:v>38.742800000000003</c:v>
                </c:pt>
                <c:pt idx="174">
                  <c:v>38.742800000000003</c:v>
                </c:pt>
                <c:pt idx="175">
                  <c:v>40.142600000000002</c:v>
                </c:pt>
                <c:pt idx="176">
                  <c:v>40.142600000000002</c:v>
                </c:pt>
                <c:pt idx="177">
                  <c:v>40.142600000000002</c:v>
                </c:pt>
                <c:pt idx="178">
                  <c:v>40.142600000000002</c:v>
                </c:pt>
                <c:pt idx="179">
                  <c:v>40.142600000000002</c:v>
                </c:pt>
                <c:pt idx="180">
                  <c:v>55.599499999999999</c:v>
                </c:pt>
                <c:pt idx="181">
                  <c:v>55.599499999999999</c:v>
                </c:pt>
                <c:pt idx="182">
                  <c:v>55.599499999999999</c:v>
                </c:pt>
                <c:pt idx="183">
                  <c:v>55.599499999999999</c:v>
                </c:pt>
                <c:pt idx="184">
                  <c:v>55.599499999999999</c:v>
                </c:pt>
                <c:pt idx="185">
                  <c:v>77.643699999999995</c:v>
                </c:pt>
                <c:pt idx="186">
                  <c:v>77.643699999999995</c:v>
                </c:pt>
                <c:pt idx="187">
                  <c:v>77.643699999999995</c:v>
                </c:pt>
                <c:pt idx="188">
                  <c:v>77.643699999999995</c:v>
                </c:pt>
                <c:pt idx="189">
                  <c:v>77.643699999999995</c:v>
                </c:pt>
                <c:pt idx="190">
                  <c:v>39.6982</c:v>
                </c:pt>
                <c:pt idx="191">
                  <c:v>39.6982</c:v>
                </c:pt>
                <c:pt idx="192">
                  <c:v>39.6982</c:v>
                </c:pt>
                <c:pt idx="193">
                  <c:v>39.6982</c:v>
                </c:pt>
                <c:pt idx="194">
                  <c:v>39.6982</c:v>
                </c:pt>
                <c:pt idx="195">
                  <c:v>98.849299999999999</c:v>
                </c:pt>
                <c:pt idx="196">
                  <c:v>98.849299999999999</c:v>
                </c:pt>
                <c:pt idx="197">
                  <c:v>98.849299999999999</c:v>
                </c:pt>
                <c:pt idx="198">
                  <c:v>98.849299999999999</c:v>
                </c:pt>
                <c:pt idx="199">
                  <c:v>98.849299999999999</c:v>
                </c:pt>
                <c:pt idx="200">
                  <c:v>94.284400000000005</c:v>
                </c:pt>
                <c:pt idx="201">
                  <c:v>94.284400000000005</c:v>
                </c:pt>
                <c:pt idx="202">
                  <c:v>94.284400000000005</c:v>
                </c:pt>
                <c:pt idx="203">
                  <c:v>94.284400000000005</c:v>
                </c:pt>
                <c:pt idx="204">
                  <c:v>94.284400000000005</c:v>
                </c:pt>
                <c:pt idx="205">
                  <c:v>26.2376</c:v>
                </c:pt>
                <c:pt idx="206">
                  <c:v>26.2376</c:v>
                </c:pt>
                <c:pt idx="207">
                  <c:v>26.2376</c:v>
                </c:pt>
                <c:pt idx="208">
                  <c:v>26.2376</c:v>
                </c:pt>
                <c:pt idx="209">
                  <c:v>26.2376</c:v>
                </c:pt>
                <c:pt idx="210">
                  <c:v>34.734099999999998</c:v>
                </c:pt>
                <c:pt idx="211">
                  <c:v>34.734099999999998</c:v>
                </c:pt>
                <c:pt idx="212">
                  <c:v>34.734099999999998</c:v>
                </c:pt>
                <c:pt idx="213">
                  <c:v>34.734099999999998</c:v>
                </c:pt>
                <c:pt idx="214">
                  <c:v>34.734099999999998</c:v>
                </c:pt>
                <c:pt idx="215">
                  <c:v>30.721699999999998</c:v>
                </c:pt>
                <c:pt idx="216">
                  <c:v>30.721699999999998</c:v>
                </c:pt>
                <c:pt idx="217">
                  <c:v>30.721699999999998</c:v>
                </c:pt>
                <c:pt idx="218">
                  <c:v>30.721699999999998</c:v>
                </c:pt>
                <c:pt idx="219">
                  <c:v>30.721699999999998</c:v>
                </c:pt>
                <c:pt idx="220">
                  <c:v>74.606200000000001</c:v>
                </c:pt>
                <c:pt idx="221">
                  <c:v>74.606200000000001</c:v>
                </c:pt>
                <c:pt idx="222">
                  <c:v>74.606200000000001</c:v>
                </c:pt>
                <c:pt idx="223">
                  <c:v>74.606200000000001</c:v>
                </c:pt>
                <c:pt idx="224">
                  <c:v>74.606200000000001</c:v>
                </c:pt>
                <c:pt idx="225">
                  <c:v>48.959400000000002</c:v>
                </c:pt>
                <c:pt idx="226">
                  <c:v>48.959400000000002</c:v>
                </c:pt>
                <c:pt idx="227">
                  <c:v>48.959400000000002</c:v>
                </c:pt>
                <c:pt idx="228">
                  <c:v>48.959400000000002</c:v>
                </c:pt>
                <c:pt idx="229">
                  <c:v>48.959400000000002</c:v>
                </c:pt>
                <c:pt idx="230">
                  <c:v>45.889299999999999</c:v>
                </c:pt>
                <c:pt idx="231">
                  <c:v>45.889299999999999</c:v>
                </c:pt>
                <c:pt idx="232">
                  <c:v>45.889299999999999</c:v>
                </c:pt>
                <c:pt idx="233">
                  <c:v>45.889299999999999</c:v>
                </c:pt>
                <c:pt idx="234">
                  <c:v>45.889299999999999</c:v>
                </c:pt>
                <c:pt idx="235">
                  <c:v>113.48690000000001</c:v>
                </c:pt>
                <c:pt idx="236">
                  <c:v>113.48690000000001</c:v>
                </c:pt>
                <c:pt idx="237">
                  <c:v>113.48690000000001</c:v>
                </c:pt>
                <c:pt idx="238">
                  <c:v>113.48690000000001</c:v>
                </c:pt>
                <c:pt idx="239">
                  <c:v>113.48690000000001</c:v>
                </c:pt>
                <c:pt idx="240">
                  <c:v>77.016599999999997</c:v>
                </c:pt>
                <c:pt idx="241">
                  <c:v>77.016599999999997</c:v>
                </c:pt>
                <c:pt idx="242">
                  <c:v>77.016599999999997</c:v>
                </c:pt>
                <c:pt idx="243">
                  <c:v>77.016599999999997</c:v>
                </c:pt>
                <c:pt idx="244">
                  <c:v>77.016599999999997</c:v>
                </c:pt>
                <c:pt idx="245">
                  <c:v>41.929200000000002</c:v>
                </c:pt>
                <c:pt idx="246">
                  <c:v>41.929200000000002</c:v>
                </c:pt>
                <c:pt idx="247">
                  <c:v>41.929200000000002</c:v>
                </c:pt>
                <c:pt idx="248">
                  <c:v>41.929200000000002</c:v>
                </c:pt>
                <c:pt idx="249">
                  <c:v>41.929200000000002</c:v>
                </c:pt>
                <c:pt idx="250">
                  <c:v>142.01159999999999</c:v>
                </c:pt>
                <c:pt idx="251">
                  <c:v>142.01159999999999</c:v>
                </c:pt>
                <c:pt idx="252">
                  <c:v>142.01159999999999</c:v>
                </c:pt>
                <c:pt idx="253">
                  <c:v>142.01159999999999</c:v>
                </c:pt>
                <c:pt idx="254">
                  <c:v>142.01159999999999</c:v>
                </c:pt>
                <c:pt idx="255">
                  <c:v>81.152100000000004</c:v>
                </c:pt>
                <c:pt idx="256">
                  <c:v>81.152100000000004</c:v>
                </c:pt>
                <c:pt idx="257">
                  <c:v>81.152100000000004</c:v>
                </c:pt>
                <c:pt idx="258">
                  <c:v>81.152100000000004</c:v>
                </c:pt>
                <c:pt idx="259">
                  <c:v>81.152100000000004</c:v>
                </c:pt>
                <c:pt idx="260">
                  <c:v>56.838900000000002</c:v>
                </c:pt>
                <c:pt idx="261">
                  <c:v>56.838900000000002</c:v>
                </c:pt>
                <c:pt idx="262">
                  <c:v>56.838900000000002</c:v>
                </c:pt>
                <c:pt idx="263">
                  <c:v>56.838900000000002</c:v>
                </c:pt>
                <c:pt idx="264">
                  <c:v>56.838900000000002</c:v>
                </c:pt>
                <c:pt idx="265">
                  <c:v>191.76580000000001</c:v>
                </c:pt>
                <c:pt idx="266">
                  <c:v>191.76580000000001</c:v>
                </c:pt>
                <c:pt idx="267">
                  <c:v>191.76580000000001</c:v>
                </c:pt>
                <c:pt idx="268">
                  <c:v>191.76580000000001</c:v>
                </c:pt>
                <c:pt idx="269">
                  <c:v>191.76580000000001</c:v>
                </c:pt>
                <c:pt idx="270">
                  <c:v>42.4251</c:v>
                </c:pt>
                <c:pt idx="271">
                  <c:v>42.4251</c:v>
                </c:pt>
                <c:pt idx="272">
                  <c:v>42.4251</c:v>
                </c:pt>
                <c:pt idx="273">
                  <c:v>42.4251</c:v>
                </c:pt>
                <c:pt idx="274">
                  <c:v>42.4251</c:v>
                </c:pt>
                <c:pt idx="275">
                  <c:v>147.40870000000001</c:v>
                </c:pt>
                <c:pt idx="276">
                  <c:v>147.40870000000001</c:v>
                </c:pt>
                <c:pt idx="277">
                  <c:v>147.40870000000001</c:v>
                </c:pt>
                <c:pt idx="278">
                  <c:v>147.40870000000001</c:v>
                </c:pt>
                <c:pt idx="279">
                  <c:v>147.40870000000001</c:v>
                </c:pt>
                <c:pt idx="280">
                  <c:v>124.82470000000001</c:v>
                </c:pt>
                <c:pt idx="281">
                  <c:v>124.82470000000001</c:v>
                </c:pt>
                <c:pt idx="282">
                  <c:v>124.82470000000001</c:v>
                </c:pt>
                <c:pt idx="283">
                  <c:v>124.82470000000001</c:v>
                </c:pt>
                <c:pt idx="284">
                  <c:v>124.82470000000001</c:v>
                </c:pt>
                <c:pt idx="285">
                  <c:v>176.2988</c:v>
                </c:pt>
                <c:pt idx="286">
                  <c:v>176.2988</c:v>
                </c:pt>
                <c:pt idx="287">
                  <c:v>176.2988</c:v>
                </c:pt>
                <c:pt idx="288">
                  <c:v>176.2988</c:v>
                </c:pt>
                <c:pt idx="289">
                  <c:v>176.2988</c:v>
                </c:pt>
                <c:pt idx="290">
                  <c:v>36.8446</c:v>
                </c:pt>
                <c:pt idx="291">
                  <c:v>36.8446</c:v>
                </c:pt>
                <c:pt idx="292">
                  <c:v>36.8446</c:v>
                </c:pt>
                <c:pt idx="293">
                  <c:v>36.8446</c:v>
                </c:pt>
                <c:pt idx="294">
                  <c:v>36.8446</c:v>
                </c:pt>
                <c:pt idx="295">
                  <c:v>119.38890000000001</c:v>
                </c:pt>
                <c:pt idx="296">
                  <c:v>119.38890000000001</c:v>
                </c:pt>
                <c:pt idx="297">
                  <c:v>119.38890000000001</c:v>
                </c:pt>
                <c:pt idx="298">
                  <c:v>119.38890000000001</c:v>
                </c:pt>
                <c:pt idx="299">
                  <c:v>119.38890000000001</c:v>
                </c:pt>
                <c:pt idx="300">
                  <c:v>66.485200000000006</c:v>
                </c:pt>
                <c:pt idx="301">
                  <c:v>66.485200000000006</c:v>
                </c:pt>
                <c:pt idx="302">
                  <c:v>66.485200000000006</c:v>
                </c:pt>
                <c:pt idx="303">
                  <c:v>66.485200000000006</c:v>
                </c:pt>
                <c:pt idx="304">
                  <c:v>66.485200000000006</c:v>
                </c:pt>
                <c:pt idx="305">
                  <c:v>56.852200000000003</c:v>
                </c:pt>
                <c:pt idx="306">
                  <c:v>56.852200000000003</c:v>
                </c:pt>
                <c:pt idx="307">
                  <c:v>56.852200000000003</c:v>
                </c:pt>
                <c:pt idx="308">
                  <c:v>56.852200000000003</c:v>
                </c:pt>
                <c:pt idx="309">
                  <c:v>56.852200000000003</c:v>
                </c:pt>
                <c:pt idx="310">
                  <c:v>49.902299999999997</c:v>
                </c:pt>
                <c:pt idx="311">
                  <c:v>49.902299999999997</c:v>
                </c:pt>
                <c:pt idx="312">
                  <c:v>49.902299999999997</c:v>
                </c:pt>
                <c:pt idx="313">
                  <c:v>49.902299999999997</c:v>
                </c:pt>
                <c:pt idx="314">
                  <c:v>49.902299999999997</c:v>
                </c:pt>
                <c:pt idx="315">
                  <c:v>85.026200000000003</c:v>
                </c:pt>
                <c:pt idx="316">
                  <c:v>85.026200000000003</c:v>
                </c:pt>
                <c:pt idx="317">
                  <c:v>85.026200000000003</c:v>
                </c:pt>
                <c:pt idx="318">
                  <c:v>85.026200000000003</c:v>
                </c:pt>
                <c:pt idx="319">
                  <c:v>85.026200000000003</c:v>
                </c:pt>
                <c:pt idx="320">
                  <c:v>737.02750000000003</c:v>
                </c:pt>
                <c:pt idx="321">
                  <c:v>737.02750000000003</c:v>
                </c:pt>
                <c:pt idx="322">
                  <c:v>737.02750000000003</c:v>
                </c:pt>
                <c:pt idx="323">
                  <c:v>737.02750000000003</c:v>
                </c:pt>
                <c:pt idx="324">
                  <c:v>737.02750000000003</c:v>
                </c:pt>
                <c:pt idx="325">
                  <c:v>122.54649999999999</c:v>
                </c:pt>
                <c:pt idx="326">
                  <c:v>122.54649999999999</c:v>
                </c:pt>
                <c:pt idx="327">
                  <c:v>122.54649999999999</c:v>
                </c:pt>
                <c:pt idx="328">
                  <c:v>122.54649999999999</c:v>
                </c:pt>
                <c:pt idx="329">
                  <c:v>122.54649999999999</c:v>
                </c:pt>
                <c:pt idx="330">
                  <c:v>153.81120000000001</c:v>
                </c:pt>
                <c:pt idx="331">
                  <c:v>153.81120000000001</c:v>
                </c:pt>
                <c:pt idx="332">
                  <c:v>153.81120000000001</c:v>
                </c:pt>
                <c:pt idx="333">
                  <c:v>153.81120000000001</c:v>
                </c:pt>
                <c:pt idx="334">
                  <c:v>153.81120000000001</c:v>
                </c:pt>
                <c:pt idx="335">
                  <c:v>39.812600000000003</c:v>
                </c:pt>
                <c:pt idx="336">
                  <c:v>39.812600000000003</c:v>
                </c:pt>
                <c:pt idx="337">
                  <c:v>39.812600000000003</c:v>
                </c:pt>
                <c:pt idx="338">
                  <c:v>39.812600000000003</c:v>
                </c:pt>
                <c:pt idx="339">
                  <c:v>39.812600000000003</c:v>
                </c:pt>
                <c:pt idx="340">
                  <c:v>71.637</c:v>
                </c:pt>
                <c:pt idx="341">
                  <c:v>71.637</c:v>
                </c:pt>
                <c:pt idx="342">
                  <c:v>71.637</c:v>
                </c:pt>
                <c:pt idx="343">
                  <c:v>71.637</c:v>
                </c:pt>
                <c:pt idx="344">
                  <c:v>71.637</c:v>
                </c:pt>
                <c:pt idx="345">
                  <c:v>52.2196</c:v>
                </c:pt>
                <c:pt idx="346">
                  <c:v>52.2196</c:v>
                </c:pt>
                <c:pt idx="347">
                  <c:v>52.2196</c:v>
                </c:pt>
                <c:pt idx="348">
                  <c:v>52.2196</c:v>
                </c:pt>
                <c:pt idx="349">
                  <c:v>52.2196</c:v>
                </c:pt>
                <c:pt idx="350">
                  <c:v>53.662700000000001</c:v>
                </c:pt>
                <c:pt idx="351">
                  <c:v>53.662700000000001</c:v>
                </c:pt>
                <c:pt idx="352">
                  <c:v>53.662700000000001</c:v>
                </c:pt>
                <c:pt idx="353">
                  <c:v>53.662700000000001</c:v>
                </c:pt>
                <c:pt idx="354">
                  <c:v>53.662700000000001</c:v>
                </c:pt>
                <c:pt idx="355">
                  <c:v>77.553399999999996</c:v>
                </c:pt>
                <c:pt idx="356">
                  <c:v>77.553399999999996</c:v>
                </c:pt>
                <c:pt idx="357">
                  <c:v>77.553399999999996</c:v>
                </c:pt>
                <c:pt idx="358">
                  <c:v>77.553399999999996</c:v>
                </c:pt>
                <c:pt idx="359">
                  <c:v>77.553399999999996</c:v>
                </c:pt>
                <c:pt idx="360">
                  <c:v>102.08329999999999</c:v>
                </c:pt>
                <c:pt idx="361">
                  <c:v>102.08329999999999</c:v>
                </c:pt>
                <c:pt idx="362">
                  <c:v>102.08329999999999</c:v>
                </c:pt>
                <c:pt idx="363">
                  <c:v>102.08329999999999</c:v>
                </c:pt>
                <c:pt idx="364">
                  <c:v>102.08329999999999</c:v>
                </c:pt>
                <c:pt idx="365">
                  <c:v>501.2971</c:v>
                </c:pt>
                <c:pt idx="366">
                  <c:v>501.2971</c:v>
                </c:pt>
                <c:pt idx="367">
                  <c:v>501.2971</c:v>
                </c:pt>
                <c:pt idx="368">
                  <c:v>501.2971</c:v>
                </c:pt>
                <c:pt idx="369">
                  <c:v>501.2971</c:v>
                </c:pt>
                <c:pt idx="370">
                  <c:v>107.2165</c:v>
                </c:pt>
                <c:pt idx="371">
                  <c:v>107.2165</c:v>
                </c:pt>
                <c:pt idx="372">
                  <c:v>107.2165</c:v>
                </c:pt>
                <c:pt idx="373">
                  <c:v>107.2165</c:v>
                </c:pt>
                <c:pt idx="374">
                  <c:v>107.2165</c:v>
                </c:pt>
                <c:pt idx="375">
                  <c:v>158.68600000000001</c:v>
                </c:pt>
                <c:pt idx="376">
                  <c:v>158.68600000000001</c:v>
                </c:pt>
                <c:pt idx="377">
                  <c:v>158.68600000000001</c:v>
                </c:pt>
                <c:pt idx="378">
                  <c:v>158.68600000000001</c:v>
                </c:pt>
                <c:pt idx="379">
                  <c:v>158.68600000000001</c:v>
                </c:pt>
                <c:pt idx="380">
                  <c:v>202.65780000000001</c:v>
                </c:pt>
                <c:pt idx="381">
                  <c:v>202.65780000000001</c:v>
                </c:pt>
                <c:pt idx="382">
                  <c:v>202.65780000000001</c:v>
                </c:pt>
                <c:pt idx="383">
                  <c:v>202.65780000000001</c:v>
                </c:pt>
                <c:pt idx="384">
                  <c:v>202.65780000000001</c:v>
                </c:pt>
                <c:pt idx="385">
                  <c:v>480.83390000000003</c:v>
                </c:pt>
                <c:pt idx="386">
                  <c:v>480.83390000000003</c:v>
                </c:pt>
                <c:pt idx="387">
                  <c:v>480.83390000000003</c:v>
                </c:pt>
                <c:pt idx="388">
                  <c:v>480.83390000000003</c:v>
                </c:pt>
                <c:pt idx="389">
                  <c:v>480.83390000000003</c:v>
                </c:pt>
                <c:pt idx="390">
                  <c:v>88.047200000000004</c:v>
                </c:pt>
                <c:pt idx="391">
                  <c:v>88.047200000000004</c:v>
                </c:pt>
                <c:pt idx="392">
                  <c:v>88.047200000000004</c:v>
                </c:pt>
                <c:pt idx="393">
                  <c:v>88.047200000000004</c:v>
                </c:pt>
                <c:pt idx="394">
                  <c:v>88.047200000000004</c:v>
                </c:pt>
                <c:pt idx="395">
                  <c:v>121.6328</c:v>
                </c:pt>
                <c:pt idx="396">
                  <c:v>121.6328</c:v>
                </c:pt>
                <c:pt idx="397">
                  <c:v>121.6328</c:v>
                </c:pt>
                <c:pt idx="398">
                  <c:v>121.6328</c:v>
                </c:pt>
                <c:pt idx="399">
                  <c:v>121.6328</c:v>
                </c:pt>
                <c:pt idx="400">
                  <c:v>49.1203</c:v>
                </c:pt>
                <c:pt idx="401">
                  <c:v>49.1203</c:v>
                </c:pt>
                <c:pt idx="402">
                  <c:v>49.1203</c:v>
                </c:pt>
                <c:pt idx="403">
                  <c:v>49.1203</c:v>
                </c:pt>
                <c:pt idx="404">
                  <c:v>49.1203</c:v>
                </c:pt>
                <c:pt idx="405">
                  <c:v>39.630699999999997</c:v>
                </c:pt>
                <c:pt idx="406">
                  <c:v>39.630699999999997</c:v>
                </c:pt>
                <c:pt idx="407">
                  <c:v>39.630699999999997</c:v>
                </c:pt>
                <c:pt idx="408">
                  <c:v>39.630699999999997</c:v>
                </c:pt>
                <c:pt idx="409">
                  <c:v>39.630699999999997</c:v>
                </c:pt>
                <c:pt idx="410">
                  <c:v>78.723699999999994</c:v>
                </c:pt>
                <c:pt idx="411">
                  <c:v>78.723699999999994</c:v>
                </c:pt>
                <c:pt idx="412">
                  <c:v>78.723699999999994</c:v>
                </c:pt>
                <c:pt idx="413">
                  <c:v>78.723699999999994</c:v>
                </c:pt>
                <c:pt idx="414">
                  <c:v>78.723699999999994</c:v>
                </c:pt>
                <c:pt idx="415">
                  <c:v>58.269399999999997</c:v>
                </c:pt>
                <c:pt idx="416">
                  <c:v>58.269399999999997</c:v>
                </c:pt>
                <c:pt idx="417">
                  <c:v>58.269399999999997</c:v>
                </c:pt>
                <c:pt idx="418">
                  <c:v>58.269399999999997</c:v>
                </c:pt>
                <c:pt idx="419">
                  <c:v>58.269399999999997</c:v>
                </c:pt>
                <c:pt idx="420">
                  <c:v>60.167499999999997</c:v>
                </c:pt>
                <c:pt idx="421">
                  <c:v>60.167499999999997</c:v>
                </c:pt>
                <c:pt idx="422">
                  <c:v>60.167499999999997</c:v>
                </c:pt>
                <c:pt idx="423">
                  <c:v>60.167499999999997</c:v>
                </c:pt>
                <c:pt idx="424">
                  <c:v>60.167499999999997</c:v>
                </c:pt>
                <c:pt idx="425">
                  <c:v>254.11959999999999</c:v>
                </c:pt>
                <c:pt idx="426">
                  <c:v>254.11959999999999</c:v>
                </c:pt>
                <c:pt idx="427">
                  <c:v>254.11959999999999</c:v>
                </c:pt>
                <c:pt idx="428">
                  <c:v>254.11959999999999</c:v>
                </c:pt>
                <c:pt idx="429">
                  <c:v>254.11959999999999</c:v>
                </c:pt>
                <c:pt idx="430">
                  <c:v>56.897500000000001</c:v>
                </c:pt>
                <c:pt idx="431">
                  <c:v>56.897500000000001</c:v>
                </c:pt>
                <c:pt idx="432">
                  <c:v>56.897500000000001</c:v>
                </c:pt>
                <c:pt idx="433">
                  <c:v>56.897500000000001</c:v>
                </c:pt>
                <c:pt idx="434">
                  <c:v>56.897500000000001</c:v>
                </c:pt>
                <c:pt idx="435">
                  <c:v>61.480600000000003</c:v>
                </c:pt>
                <c:pt idx="436">
                  <c:v>61.480600000000003</c:v>
                </c:pt>
                <c:pt idx="437">
                  <c:v>61.480600000000003</c:v>
                </c:pt>
                <c:pt idx="438">
                  <c:v>61.480600000000003</c:v>
                </c:pt>
                <c:pt idx="439">
                  <c:v>61.480600000000003</c:v>
                </c:pt>
                <c:pt idx="440">
                  <c:v>64.748199999999997</c:v>
                </c:pt>
                <c:pt idx="441">
                  <c:v>64.748199999999997</c:v>
                </c:pt>
                <c:pt idx="442">
                  <c:v>64.748199999999997</c:v>
                </c:pt>
                <c:pt idx="443">
                  <c:v>64.748199999999997</c:v>
                </c:pt>
                <c:pt idx="444">
                  <c:v>64.748199999999997</c:v>
                </c:pt>
                <c:pt idx="445">
                  <c:v>41.852200000000003</c:v>
                </c:pt>
                <c:pt idx="446">
                  <c:v>41.852200000000003</c:v>
                </c:pt>
                <c:pt idx="447">
                  <c:v>41.852200000000003</c:v>
                </c:pt>
                <c:pt idx="448">
                  <c:v>41.852200000000003</c:v>
                </c:pt>
                <c:pt idx="449">
                  <c:v>41.852200000000003</c:v>
                </c:pt>
                <c:pt idx="450">
                  <c:v>121.36920000000001</c:v>
                </c:pt>
                <c:pt idx="451">
                  <c:v>121.36920000000001</c:v>
                </c:pt>
                <c:pt idx="452">
                  <c:v>121.36920000000001</c:v>
                </c:pt>
                <c:pt idx="453">
                  <c:v>121.36920000000001</c:v>
                </c:pt>
                <c:pt idx="454">
                  <c:v>121.36920000000001</c:v>
                </c:pt>
                <c:pt idx="455">
                  <c:v>203.1377</c:v>
                </c:pt>
                <c:pt idx="456">
                  <c:v>203.1377</c:v>
                </c:pt>
                <c:pt idx="457">
                  <c:v>203.1377</c:v>
                </c:pt>
                <c:pt idx="458">
                  <c:v>203.1377</c:v>
                </c:pt>
                <c:pt idx="459">
                  <c:v>203.1377</c:v>
                </c:pt>
                <c:pt idx="460">
                  <c:v>410.47649999999999</c:v>
                </c:pt>
                <c:pt idx="461">
                  <c:v>410.47649999999999</c:v>
                </c:pt>
                <c:pt idx="462">
                  <c:v>410.47649999999999</c:v>
                </c:pt>
                <c:pt idx="463">
                  <c:v>410.47649999999999</c:v>
                </c:pt>
                <c:pt idx="464">
                  <c:v>410.47649999999999</c:v>
                </c:pt>
                <c:pt idx="465">
                  <c:v>377.78039999999999</c:v>
                </c:pt>
                <c:pt idx="466">
                  <c:v>377.78039999999999</c:v>
                </c:pt>
                <c:pt idx="467">
                  <c:v>377.78039999999999</c:v>
                </c:pt>
                <c:pt idx="468">
                  <c:v>377.78039999999999</c:v>
                </c:pt>
                <c:pt idx="469">
                  <c:v>377.78039999999999</c:v>
                </c:pt>
                <c:pt idx="470">
                  <c:v>333.16640000000001</c:v>
                </c:pt>
                <c:pt idx="471">
                  <c:v>333.16640000000001</c:v>
                </c:pt>
                <c:pt idx="472">
                  <c:v>333.16640000000001</c:v>
                </c:pt>
                <c:pt idx="473">
                  <c:v>333.16640000000001</c:v>
                </c:pt>
                <c:pt idx="474">
                  <c:v>333.16640000000001</c:v>
                </c:pt>
                <c:pt idx="475">
                  <c:v>234.4314</c:v>
                </c:pt>
                <c:pt idx="476">
                  <c:v>234.4314</c:v>
                </c:pt>
                <c:pt idx="477">
                  <c:v>234.4314</c:v>
                </c:pt>
                <c:pt idx="478">
                  <c:v>234.4314</c:v>
                </c:pt>
                <c:pt idx="479">
                  <c:v>234.4314</c:v>
                </c:pt>
              </c:numCache>
            </c:numRef>
          </c:xVal>
          <c:yVal>
            <c:numRef>
              <c:f>D_enf!$I$5:$I$484</c:f>
              <c:numCache>
                <c:formatCode>General</c:formatCode>
                <c:ptCount val="480"/>
                <c:pt idx="5">
                  <c:v>0.59230000000000005</c:v>
                </c:pt>
                <c:pt idx="6">
                  <c:v>0.59970000000000001</c:v>
                </c:pt>
                <c:pt idx="7">
                  <c:v>0.6079</c:v>
                </c:pt>
                <c:pt idx="8">
                  <c:v>0.61550000000000005</c:v>
                </c:pt>
                <c:pt idx="9">
                  <c:v>0.62260000000000004</c:v>
                </c:pt>
                <c:pt idx="10">
                  <c:v>0.5242</c:v>
                </c:pt>
                <c:pt idx="11">
                  <c:v>0.53</c:v>
                </c:pt>
                <c:pt idx="12">
                  <c:v>0.53559999999999997</c:v>
                </c:pt>
                <c:pt idx="13">
                  <c:v>0.54110000000000003</c:v>
                </c:pt>
                <c:pt idx="14">
                  <c:v>0.54720000000000002</c:v>
                </c:pt>
                <c:pt idx="15">
                  <c:v>0.59319999999999995</c:v>
                </c:pt>
                <c:pt idx="16">
                  <c:v>0.60219999999999996</c:v>
                </c:pt>
                <c:pt idx="17">
                  <c:v>0.61170000000000002</c:v>
                </c:pt>
                <c:pt idx="18">
                  <c:v>0.61829999999999996</c:v>
                </c:pt>
                <c:pt idx="19">
                  <c:v>0.62649999999999995</c:v>
                </c:pt>
                <c:pt idx="20">
                  <c:v>0.49130000000000001</c:v>
                </c:pt>
                <c:pt idx="21">
                  <c:v>0.49680000000000002</c:v>
                </c:pt>
                <c:pt idx="22">
                  <c:v>0.50249999999999995</c:v>
                </c:pt>
                <c:pt idx="23">
                  <c:v>0.50870000000000004</c:v>
                </c:pt>
                <c:pt idx="24">
                  <c:v>0.51429999999999998</c:v>
                </c:pt>
                <c:pt idx="25">
                  <c:v>0.32829999999999998</c:v>
                </c:pt>
                <c:pt idx="26">
                  <c:v>0.3347</c:v>
                </c:pt>
                <c:pt idx="27">
                  <c:v>0.34329999999999999</c:v>
                </c:pt>
                <c:pt idx="28">
                  <c:v>0.35110000000000002</c:v>
                </c:pt>
                <c:pt idx="29">
                  <c:v>0.35859999999999997</c:v>
                </c:pt>
                <c:pt idx="30">
                  <c:v>0.54210000000000003</c:v>
                </c:pt>
                <c:pt idx="31">
                  <c:v>0.5464</c:v>
                </c:pt>
                <c:pt idx="32">
                  <c:v>0.55100000000000005</c:v>
                </c:pt>
                <c:pt idx="33">
                  <c:v>0.55510000000000004</c:v>
                </c:pt>
                <c:pt idx="34">
                  <c:v>0.56100000000000005</c:v>
                </c:pt>
                <c:pt idx="35">
                  <c:v>0.54959999999999998</c:v>
                </c:pt>
                <c:pt idx="36">
                  <c:v>0.55910000000000004</c:v>
                </c:pt>
                <c:pt idx="37">
                  <c:v>0.56989999999999996</c:v>
                </c:pt>
                <c:pt idx="38">
                  <c:v>0.57889999999999997</c:v>
                </c:pt>
                <c:pt idx="39">
                  <c:v>0.58789999999999998</c:v>
                </c:pt>
                <c:pt idx="40">
                  <c:v>0.44169999999999998</c:v>
                </c:pt>
                <c:pt idx="41">
                  <c:v>0.45950000000000002</c:v>
                </c:pt>
                <c:pt idx="42">
                  <c:v>0.47510000000000002</c:v>
                </c:pt>
                <c:pt idx="43">
                  <c:v>0.4904</c:v>
                </c:pt>
                <c:pt idx="44">
                  <c:v>0.499</c:v>
                </c:pt>
                <c:pt idx="45">
                  <c:v>0.33900000000000002</c:v>
                </c:pt>
                <c:pt idx="46">
                  <c:v>0.34260000000000002</c:v>
                </c:pt>
                <c:pt idx="47">
                  <c:v>0.34839999999999999</c:v>
                </c:pt>
                <c:pt idx="48">
                  <c:v>0.35489999999999999</c:v>
                </c:pt>
                <c:pt idx="49">
                  <c:v>0.35949999999999999</c:v>
                </c:pt>
                <c:pt idx="50">
                  <c:v>0.56669999999999998</c:v>
                </c:pt>
                <c:pt idx="51">
                  <c:v>0.57379999999999998</c:v>
                </c:pt>
                <c:pt idx="52">
                  <c:v>0.58079999999999998</c:v>
                </c:pt>
                <c:pt idx="53">
                  <c:v>0.58699999999999997</c:v>
                </c:pt>
                <c:pt idx="54">
                  <c:v>0.59319999999999995</c:v>
                </c:pt>
                <c:pt idx="55">
                  <c:v>0.37069999999999997</c:v>
                </c:pt>
                <c:pt idx="56">
                  <c:v>0.377</c:v>
                </c:pt>
                <c:pt idx="57">
                  <c:v>0.38469999999999999</c:v>
                </c:pt>
                <c:pt idx="58">
                  <c:v>0.39040000000000002</c:v>
                </c:pt>
                <c:pt idx="59">
                  <c:v>0.39589999999999997</c:v>
                </c:pt>
                <c:pt idx="60">
                  <c:v>0.26650000000000001</c:v>
                </c:pt>
                <c:pt idx="61">
                  <c:v>0.27229999999999999</c:v>
                </c:pt>
                <c:pt idx="62">
                  <c:v>0.2787</c:v>
                </c:pt>
                <c:pt idx="63">
                  <c:v>0.28489999999999999</c:v>
                </c:pt>
                <c:pt idx="64">
                  <c:v>0.29160000000000003</c:v>
                </c:pt>
                <c:pt idx="65">
                  <c:v>0.46610000000000001</c:v>
                </c:pt>
                <c:pt idx="66">
                  <c:v>0.47420000000000001</c:v>
                </c:pt>
                <c:pt idx="67">
                  <c:v>0.48380000000000001</c:v>
                </c:pt>
                <c:pt idx="68">
                  <c:v>0.49680000000000002</c:v>
                </c:pt>
                <c:pt idx="69">
                  <c:v>0.50509999999999999</c:v>
                </c:pt>
                <c:pt idx="70">
                  <c:v>0.53649999999999998</c:v>
                </c:pt>
                <c:pt idx="71">
                  <c:v>0.54249999999999998</c:v>
                </c:pt>
                <c:pt idx="72">
                  <c:v>0.54730000000000001</c:v>
                </c:pt>
                <c:pt idx="73">
                  <c:v>0.55169999999999997</c:v>
                </c:pt>
                <c:pt idx="74">
                  <c:v>0.55549999999999999</c:v>
                </c:pt>
                <c:pt idx="75">
                  <c:v>0.34370000000000001</c:v>
                </c:pt>
                <c:pt idx="76">
                  <c:v>0.35149999999999998</c:v>
                </c:pt>
                <c:pt idx="77">
                  <c:v>0.36080000000000001</c:v>
                </c:pt>
                <c:pt idx="78">
                  <c:v>0.36899999999999999</c:v>
                </c:pt>
                <c:pt idx="79">
                  <c:v>0.3775</c:v>
                </c:pt>
                <c:pt idx="80">
                  <c:v>0.17929999999999999</c:v>
                </c:pt>
                <c:pt idx="81">
                  <c:v>0.18820000000000001</c:v>
                </c:pt>
                <c:pt idx="82">
                  <c:v>0.19639999999999999</c:v>
                </c:pt>
                <c:pt idx="83">
                  <c:v>0.2036</c:v>
                </c:pt>
                <c:pt idx="84">
                  <c:v>0.21149999999999999</c:v>
                </c:pt>
                <c:pt idx="85">
                  <c:v>0.36309999999999998</c:v>
                </c:pt>
                <c:pt idx="86">
                  <c:v>0.37119999999999997</c:v>
                </c:pt>
                <c:pt idx="87">
                  <c:v>0.38159999999999999</c:v>
                </c:pt>
                <c:pt idx="88">
                  <c:v>0.3896</c:v>
                </c:pt>
                <c:pt idx="89">
                  <c:v>0.3977</c:v>
                </c:pt>
                <c:pt idx="90">
                  <c:v>0.4768</c:v>
                </c:pt>
                <c:pt idx="91">
                  <c:v>0.4829</c:v>
                </c:pt>
                <c:pt idx="92">
                  <c:v>0.48930000000000001</c:v>
                </c:pt>
                <c:pt idx="93">
                  <c:v>0.49659999999999999</c:v>
                </c:pt>
                <c:pt idx="94">
                  <c:v>0.50580000000000003</c:v>
                </c:pt>
                <c:pt idx="95">
                  <c:v>0.36820000000000003</c:v>
                </c:pt>
                <c:pt idx="96">
                  <c:v>0.37530000000000002</c:v>
                </c:pt>
                <c:pt idx="97">
                  <c:v>0.38369999999999999</c:v>
                </c:pt>
                <c:pt idx="98">
                  <c:v>0.39190000000000003</c:v>
                </c:pt>
                <c:pt idx="99">
                  <c:v>0.40010000000000001</c:v>
                </c:pt>
                <c:pt idx="100">
                  <c:v>0.48230000000000001</c:v>
                </c:pt>
                <c:pt idx="101">
                  <c:v>0.49519999999999997</c:v>
                </c:pt>
                <c:pt idx="102">
                  <c:v>0.51180000000000003</c:v>
                </c:pt>
                <c:pt idx="103">
                  <c:v>0.52729999999999999</c:v>
                </c:pt>
                <c:pt idx="104">
                  <c:v>0.54190000000000005</c:v>
                </c:pt>
                <c:pt idx="105">
                  <c:v>0.49819999999999998</c:v>
                </c:pt>
                <c:pt idx="106">
                  <c:v>0.50770000000000004</c:v>
                </c:pt>
                <c:pt idx="107">
                  <c:v>0.51619999999999999</c:v>
                </c:pt>
                <c:pt idx="108">
                  <c:v>0.52480000000000004</c:v>
                </c:pt>
                <c:pt idx="109">
                  <c:v>0.53369999999999995</c:v>
                </c:pt>
                <c:pt idx="110">
                  <c:v>0.43419999999999997</c:v>
                </c:pt>
                <c:pt idx="111">
                  <c:v>0.44309999999999999</c:v>
                </c:pt>
                <c:pt idx="112">
                  <c:v>0.45379999999999998</c:v>
                </c:pt>
                <c:pt idx="113">
                  <c:v>0.4642</c:v>
                </c:pt>
                <c:pt idx="114">
                  <c:v>0.47539999999999999</c:v>
                </c:pt>
                <c:pt idx="115">
                  <c:v>0.32319999999999999</c:v>
                </c:pt>
                <c:pt idx="116">
                  <c:v>0.33189999999999997</c:v>
                </c:pt>
                <c:pt idx="117">
                  <c:v>0.33979999999999999</c:v>
                </c:pt>
                <c:pt idx="118">
                  <c:v>0.34639999999999999</c:v>
                </c:pt>
                <c:pt idx="119">
                  <c:v>0.35470000000000002</c:v>
                </c:pt>
                <c:pt idx="120">
                  <c:v>0.44180000000000003</c:v>
                </c:pt>
                <c:pt idx="121">
                  <c:v>0.44779999999999998</c:v>
                </c:pt>
                <c:pt idx="122">
                  <c:v>0.45519999999999999</c:v>
                </c:pt>
                <c:pt idx="123">
                  <c:v>0.4602</c:v>
                </c:pt>
                <c:pt idx="124">
                  <c:v>0.46739999999999998</c:v>
                </c:pt>
                <c:pt idx="125">
                  <c:v>0.4889</c:v>
                </c:pt>
                <c:pt idx="126">
                  <c:v>0.495</c:v>
                </c:pt>
                <c:pt idx="127">
                  <c:v>0.50249999999999995</c:v>
                </c:pt>
                <c:pt idx="128">
                  <c:v>0.50919999999999999</c:v>
                </c:pt>
                <c:pt idx="129">
                  <c:v>0.51500000000000001</c:v>
                </c:pt>
                <c:pt idx="130">
                  <c:v>0.1961</c:v>
                </c:pt>
                <c:pt idx="131">
                  <c:v>0.20130000000000001</c:v>
                </c:pt>
                <c:pt idx="132">
                  <c:v>0.21149999999999999</c:v>
                </c:pt>
                <c:pt idx="133">
                  <c:v>0.2195</c:v>
                </c:pt>
                <c:pt idx="134">
                  <c:v>0.22739999999999999</c:v>
                </c:pt>
                <c:pt idx="135">
                  <c:v>0.47289999999999999</c:v>
                </c:pt>
                <c:pt idx="136">
                  <c:v>0.4798</c:v>
                </c:pt>
                <c:pt idx="137">
                  <c:v>0.48709999999999998</c:v>
                </c:pt>
                <c:pt idx="138">
                  <c:v>0.49349999999999999</c:v>
                </c:pt>
                <c:pt idx="139">
                  <c:v>0.50019999999999998</c:v>
                </c:pt>
                <c:pt idx="140">
                  <c:v>0.63490000000000002</c:v>
                </c:pt>
                <c:pt idx="141">
                  <c:v>0.6401</c:v>
                </c:pt>
                <c:pt idx="142">
                  <c:v>0.64610000000000001</c:v>
                </c:pt>
                <c:pt idx="143">
                  <c:v>0.65049999999999997</c:v>
                </c:pt>
                <c:pt idx="144">
                  <c:v>0.65680000000000005</c:v>
                </c:pt>
                <c:pt idx="145">
                  <c:v>0.43190000000000001</c:v>
                </c:pt>
                <c:pt idx="146">
                  <c:v>0.4385</c:v>
                </c:pt>
                <c:pt idx="147">
                  <c:v>0.44619999999999999</c:v>
                </c:pt>
                <c:pt idx="148">
                  <c:v>0.45329999999999998</c:v>
                </c:pt>
                <c:pt idx="149">
                  <c:v>0.45989999999999998</c:v>
                </c:pt>
                <c:pt idx="150">
                  <c:v>0.27979999999999999</c:v>
                </c:pt>
                <c:pt idx="151">
                  <c:v>0.28799999999999998</c:v>
                </c:pt>
                <c:pt idx="152">
                  <c:v>0.29609999999999997</c:v>
                </c:pt>
                <c:pt idx="153">
                  <c:v>0.30370000000000003</c:v>
                </c:pt>
                <c:pt idx="154">
                  <c:v>0.30969999999999998</c:v>
                </c:pt>
                <c:pt idx="155">
                  <c:v>0.4602</c:v>
                </c:pt>
                <c:pt idx="156">
                  <c:v>0.46870000000000001</c:v>
                </c:pt>
                <c:pt idx="157">
                  <c:v>0.47639999999999999</c:v>
                </c:pt>
                <c:pt idx="158">
                  <c:v>0.48420000000000002</c:v>
                </c:pt>
                <c:pt idx="159">
                  <c:v>0.49109999999999998</c:v>
                </c:pt>
                <c:pt idx="160">
                  <c:v>0.47020000000000001</c:v>
                </c:pt>
                <c:pt idx="161">
                  <c:v>0.47610000000000002</c:v>
                </c:pt>
                <c:pt idx="162">
                  <c:v>0.48259999999999997</c:v>
                </c:pt>
                <c:pt idx="163">
                  <c:v>0.48859999999999998</c:v>
                </c:pt>
                <c:pt idx="164">
                  <c:v>0.49659999999999999</c:v>
                </c:pt>
                <c:pt idx="165">
                  <c:v>0.34610000000000002</c:v>
                </c:pt>
                <c:pt idx="166">
                  <c:v>0.3533</c:v>
                </c:pt>
                <c:pt idx="167">
                  <c:v>0.36030000000000001</c:v>
                </c:pt>
                <c:pt idx="168">
                  <c:v>0.36820000000000003</c:v>
                </c:pt>
                <c:pt idx="169">
                  <c:v>0.37669999999999998</c:v>
                </c:pt>
                <c:pt idx="170">
                  <c:v>0.4345</c:v>
                </c:pt>
                <c:pt idx="171">
                  <c:v>0.44490000000000002</c:v>
                </c:pt>
                <c:pt idx="172">
                  <c:v>0.45269999999999999</c:v>
                </c:pt>
                <c:pt idx="173">
                  <c:v>0.46039999999999998</c:v>
                </c:pt>
                <c:pt idx="174">
                  <c:v>0.46899999999999997</c:v>
                </c:pt>
                <c:pt idx="175">
                  <c:v>0.56110000000000004</c:v>
                </c:pt>
                <c:pt idx="176">
                  <c:v>0.57320000000000004</c:v>
                </c:pt>
                <c:pt idx="177">
                  <c:v>0.58389999999999997</c:v>
                </c:pt>
                <c:pt idx="178">
                  <c:v>0.59670000000000001</c:v>
                </c:pt>
                <c:pt idx="179">
                  <c:v>0.60460000000000003</c:v>
                </c:pt>
                <c:pt idx="180">
                  <c:v>0.41980000000000001</c:v>
                </c:pt>
                <c:pt idx="181">
                  <c:v>0.43090000000000001</c:v>
                </c:pt>
                <c:pt idx="182">
                  <c:v>0.44190000000000002</c:v>
                </c:pt>
                <c:pt idx="183">
                  <c:v>0.45119999999999999</c:v>
                </c:pt>
                <c:pt idx="184">
                  <c:v>0.4592</c:v>
                </c:pt>
                <c:pt idx="185">
                  <c:v>0.40060000000000001</c:v>
                </c:pt>
                <c:pt idx="186">
                  <c:v>0.40579999999999999</c:v>
                </c:pt>
                <c:pt idx="187">
                  <c:v>0.41199999999999998</c:v>
                </c:pt>
                <c:pt idx="188">
                  <c:v>0.41870000000000002</c:v>
                </c:pt>
                <c:pt idx="189">
                  <c:v>0.42599999999999999</c:v>
                </c:pt>
                <c:pt idx="190">
                  <c:v>0.39850000000000002</c:v>
                </c:pt>
                <c:pt idx="191">
                  <c:v>0.4088</c:v>
                </c:pt>
                <c:pt idx="192">
                  <c:v>0.4214</c:v>
                </c:pt>
                <c:pt idx="193">
                  <c:v>0.43120000000000003</c:v>
                </c:pt>
                <c:pt idx="194">
                  <c:v>0.44319999999999998</c:v>
                </c:pt>
                <c:pt idx="195">
                  <c:v>0.52300000000000002</c:v>
                </c:pt>
                <c:pt idx="196">
                  <c:v>0.5302</c:v>
                </c:pt>
                <c:pt idx="197">
                  <c:v>0.53680000000000005</c:v>
                </c:pt>
                <c:pt idx="198">
                  <c:v>0.54369999999999996</c:v>
                </c:pt>
                <c:pt idx="199">
                  <c:v>0.55059999999999998</c:v>
                </c:pt>
                <c:pt idx="200">
                  <c:v>0.48249999999999998</c:v>
                </c:pt>
                <c:pt idx="201">
                  <c:v>0.48899999999999999</c:v>
                </c:pt>
                <c:pt idx="202">
                  <c:v>0.4945</c:v>
                </c:pt>
                <c:pt idx="203">
                  <c:v>0.49980000000000002</c:v>
                </c:pt>
                <c:pt idx="204">
                  <c:v>0.50590000000000002</c:v>
                </c:pt>
                <c:pt idx="205">
                  <c:v>0.2462</c:v>
                </c:pt>
                <c:pt idx="206">
                  <c:v>0.25259999999999999</c:v>
                </c:pt>
                <c:pt idx="207">
                  <c:v>0.26050000000000001</c:v>
                </c:pt>
                <c:pt idx="208">
                  <c:v>0.26650000000000001</c:v>
                </c:pt>
                <c:pt idx="209">
                  <c:v>0.27539999999999998</c:v>
                </c:pt>
                <c:pt idx="210">
                  <c:v>0.23019999999999999</c:v>
                </c:pt>
                <c:pt idx="211">
                  <c:v>0.2361</c:v>
                </c:pt>
                <c:pt idx="212">
                  <c:v>0.24210000000000001</c:v>
                </c:pt>
                <c:pt idx="213">
                  <c:v>0.24829999999999999</c:v>
                </c:pt>
                <c:pt idx="214">
                  <c:v>0.25530000000000003</c:v>
                </c:pt>
                <c:pt idx="215">
                  <c:v>0.47739999999999999</c:v>
                </c:pt>
                <c:pt idx="216">
                  <c:v>0.48670000000000002</c:v>
                </c:pt>
                <c:pt idx="217">
                  <c:v>0.49790000000000001</c:v>
                </c:pt>
                <c:pt idx="218">
                  <c:v>0.50649999999999995</c:v>
                </c:pt>
                <c:pt idx="219">
                  <c:v>0.51639999999999997</c:v>
                </c:pt>
                <c:pt idx="220">
                  <c:v>0.43630000000000002</c:v>
                </c:pt>
                <c:pt idx="221">
                  <c:v>0.44540000000000002</c:v>
                </c:pt>
                <c:pt idx="222">
                  <c:v>0.45500000000000002</c:v>
                </c:pt>
                <c:pt idx="223">
                  <c:v>0.46450000000000002</c:v>
                </c:pt>
                <c:pt idx="224">
                  <c:v>0.4758</c:v>
                </c:pt>
                <c:pt idx="225">
                  <c:v>0.62570000000000003</c:v>
                </c:pt>
                <c:pt idx="226">
                  <c:v>0.63249999999999995</c:v>
                </c:pt>
                <c:pt idx="227">
                  <c:v>0.63859999999999995</c:v>
                </c:pt>
                <c:pt idx="228">
                  <c:v>0.64429999999999998</c:v>
                </c:pt>
                <c:pt idx="229">
                  <c:v>0.64970000000000006</c:v>
                </c:pt>
                <c:pt idx="230">
                  <c:v>0.37769999999999998</c:v>
                </c:pt>
                <c:pt idx="231">
                  <c:v>0.38450000000000001</c:v>
                </c:pt>
                <c:pt idx="232">
                  <c:v>0.3931</c:v>
                </c:pt>
                <c:pt idx="233">
                  <c:v>0.40050000000000002</c:v>
                </c:pt>
                <c:pt idx="234">
                  <c:v>0.4073</c:v>
                </c:pt>
                <c:pt idx="235">
                  <c:v>0.70740000000000003</c:v>
                </c:pt>
                <c:pt idx="236">
                  <c:v>0.71970000000000001</c:v>
                </c:pt>
                <c:pt idx="237">
                  <c:v>0.73089999999999999</c:v>
                </c:pt>
                <c:pt idx="238">
                  <c:v>0.74050000000000005</c:v>
                </c:pt>
                <c:pt idx="239">
                  <c:v>0.749</c:v>
                </c:pt>
                <c:pt idx="240">
                  <c:v>0.47020000000000001</c:v>
                </c:pt>
                <c:pt idx="241">
                  <c:v>0.47870000000000001</c:v>
                </c:pt>
                <c:pt idx="242">
                  <c:v>0.4869</c:v>
                </c:pt>
                <c:pt idx="243">
                  <c:v>0.49469999999999997</c:v>
                </c:pt>
                <c:pt idx="244">
                  <c:v>0.50109999999999999</c:v>
                </c:pt>
                <c:pt idx="245">
                  <c:v>0.31830000000000003</c:v>
                </c:pt>
                <c:pt idx="246">
                  <c:v>0.3271</c:v>
                </c:pt>
                <c:pt idx="247">
                  <c:v>0.33689999999999998</c:v>
                </c:pt>
                <c:pt idx="248">
                  <c:v>0.34820000000000001</c:v>
                </c:pt>
                <c:pt idx="249">
                  <c:v>0.35880000000000001</c:v>
                </c:pt>
                <c:pt idx="250">
                  <c:v>0.5534</c:v>
                </c:pt>
                <c:pt idx="251">
                  <c:v>0.55659999999999998</c:v>
                </c:pt>
                <c:pt idx="252">
                  <c:v>0.56169999999999998</c:v>
                </c:pt>
                <c:pt idx="253">
                  <c:v>0.56569999999999998</c:v>
                </c:pt>
                <c:pt idx="254">
                  <c:v>0.57120000000000004</c:v>
                </c:pt>
                <c:pt idx="255">
                  <c:v>0.34689999999999999</c:v>
                </c:pt>
                <c:pt idx="256">
                  <c:v>0.35289999999999999</c:v>
                </c:pt>
                <c:pt idx="257">
                  <c:v>0.3639</c:v>
                </c:pt>
                <c:pt idx="258">
                  <c:v>0.37180000000000002</c:v>
                </c:pt>
                <c:pt idx="259">
                  <c:v>0.38</c:v>
                </c:pt>
                <c:pt idx="260">
                  <c:v>0.42649999999999999</c:v>
                </c:pt>
                <c:pt idx="261">
                  <c:v>0.4385</c:v>
                </c:pt>
                <c:pt idx="262">
                  <c:v>0.45069999999999999</c:v>
                </c:pt>
                <c:pt idx="263">
                  <c:v>0.4632</c:v>
                </c:pt>
                <c:pt idx="264">
                  <c:v>0.47210000000000002</c:v>
                </c:pt>
                <c:pt idx="265">
                  <c:v>0.55379999999999996</c:v>
                </c:pt>
                <c:pt idx="266">
                  <c:v>0.56000000000000005</c:v>
                </c:pt>
                <c:pt idx="267">
                  <c:v>0.56659999999999999</c:v>
                </c:pt>
                <c:pt idx="268">
                  <c:v>0.57250000000000001</c:v>
                </c:pt>
                <c:pt idx="269">
                  <c:v>0.57930000000000004</c:v>
                </c:pt>
                <c:pt idx="270">
                  <c:v>0.41799999999999998</c:v>
                </c:pt>
                <c:pt idx="271">
                  <c:v>0.42770000000000002</c:v>
                </c:pt>
                <c:pt idx="272">
                  <c:v>0.43669999999999998</c:v>
                </c:pt>
                <c:pt idx="273">
                  <c:v>0.4446</c:v>
                </c:pt>
                <c:pt idx="274">
                  <c:v>0.45229999999999998</c:v>
                </c:pt>
                <c:pt idx="275">
                  <c:v>0.51190000000000002</c:v>
                </c:pt>
                <c:pt idx="276">
                  <c:v>0.51680000000000004</c:v>
                </c:pt>
                <c:pt idx="277">
                  <c:v>0.52170000000000005</c:v>
                </c:pt>
                <c:pt idx="278">
                  <c:v>0.52729999999999999</c:v>
                </c:pt>
                <c:pt idx="279">
                  <c:v>0.53210000000000002</c:v>
                </c:pt>
                <c:pt idx="280">
                  <c:v>0.58299999999999996</c:v>
                </c:pt>
                <c:pt idx="281">
                  <c:v>0.58679999999999999</c:v>
                </c:pt>
                <c:pt idx="282">
                  <c:v>0.58930000000000005</c:v>
                </c:pt>
                <c:pt idx="283">
                  <c:v>0.59189999999999998</c:v>
                </c:pt>
                <c:pt idx="284">
                  <c:v>0.59450000000000003</c:v>
                </c:pt>
                <c:pt idx="285">
                  <c:v>0.56440000000000001</c:v>
                </c:pt>
                <c:pt idx="286">
                  <c:v>0.5696</c:v>
                </c:pt>
                <c:pt idx="287">
                  <c:v>0.57720000000000005</c:v>
                </c:pt>
                <c:pt idx="288">
                  <c:v>0.58530000000000004</c:v>
                </c:pt>
                <c:pt idx="289">
                  <c:v>0.59279999999999999</c:v>
                </c:pt>
                <c:pt idx="290">
                  <c:v>0.29580000000000001</c:v>
                </c:pt>
                <c:pt idx="291">
                  <c:v>0.30890000000000001</c:v>
                </c:pt>
                <c:pt idx="292">
                  <c:v>0.32600000000000001</c:v>
                </c:pt>
                <c:pt idx="293">
                  <c:v>0.33900000000000002</c:v>
                </c:pt>
                <c:pt idx="294">
                  <c:v>0.35270000000000001</c:v>
                </c:pt>
                <c:pt idx="295">
                  <c:v>0.43530000000000002</c:v>
                </c:pt>
                <c:pt idx="296">
                  <c:v>0.43980000000000002</c:v>
                </c:pt>
                <c:pt idx="297">
                  <c:v>0.44569999999999999</c:v>
                </c:pt>
                <c:pt idx="298">
                  <c:v>0.4516</c:v>
                </c:pt>
                <c:pt idx="299">
                  <c:v>0.45729999999999998</c:v>
                </c:pt>
                <c:pt idx="300">
                  <c:v>0.45019999999999999</c:v>
                </c:pt>
                <c:pt idx="301">
                  <c:v>0.4582</c:v>
                </c:pt>
                <c:pt idx="302">
                  <c:v>0.46629999999999999</c:v>
                </c:pt>
                <c:pt idx="303">
                  <c:v>0.4743</c:v>
                </c:pt>
                <c:pt idx="304">
                  <c:v>0.48110000000000003</c:v>
                </c:pt>
                <c:pt idx="305">
                  <c:v>0.37509999999999999</c:v>
                </c:pt>
                <c:pt idx="306">
                  <c:v>0.3821</c:v>
                </c:pt>
                <c:pt idx="307">
                  <c:v>0.38969999999999999</c:v>
                </c:pt>
                <c:pt idx="308">
                  <c:v>0.3967</c:v>
                </c:pt>
                <c:pt idx="309">
                  <c:v>0.40250000000000002</c:v>
                </c:pt>
                <c:pt idx="310">
                  <c:v>0.35520000000000002</c:v>
                </c:pt>
                <c:pt idx="311">
                  <c:v>0.36159999999999998</c:v>
                </c:pt>
                <c:pt idx="312">
                  <c:v>0.36919999999999997</c:v>
                </c:pt>
                <c:pt idx="313">
                  <c:v>0.37490000000000001</c:v>
                </c:pt>
                <c:pt idx="314">
                  <c:v>0.3821</c:v>
                </c:pt>
                <c:pt idx="315">
                  <c:v>0.59750000000000003</c:v>
                </c:pt>
                <c:pt idx="316">
                  <c:v>0.60199999999999998</c:v>
                </c:pt>
                <c:pt idx="317">
                  <c:v>0.60740000000000005</c:v>
                </c:pt>
                <c:pt idx="318">
                  <c:v>0.61260000000000003</c:v>
                </c:pt>
                <c:pt idx="319">
                  <c:v>0.61770000000000003</c:v>
                </c:pt>
                <c:pt idx="320">
                  <c:v>0.42699999999999999</c:v>
                </c:pt>
                <c:pt idx="321">
                  <c:v>0.43120000000000003</c:v>
                </c:pt>
                <c:pt idx="322">
                  <c:v>0.43659999999999999</c:v>
                </c:pt>
                <c:pt idx="323">
                  <c:v>0.44319999999999998</c:v>
                </c:pt>
                <c:pt idx="324">
                  <c:v>0.44819999999999999</c:v>
                </c:pt>
                <c:pt idx="325">
                  <c:v>0.56200000000000006</c:v>
                </c:pt>
                <c:pt idx="326">
                  <c:v>0.56669999999999998</c:v>
                </c:pt>
                <c:pt idx="327">
                  <c:v>0.57130000000000003</c:v>
                </c:pt>
                <c:pt idx="328">
                  <c:v>0.57550000000000001</c:v>
                </c:pt>
                <c:pt idx="329">
                  <c:v>0.57979999999999998</c:v>
                </c:pt>
                <c:pt idx="330">
                  <c:v>0.61429999999999996</c:v>
                </c:pt>
                <c:pt idx="331">
                  <c:v>0.61909999999999998</c:v>
                </c:pt>
                <c:pt idx="332">
                  <c:v>0.62460000000000004</c:v>
                </c:pt>
                <c:pt idx="333">
                  <c:v>0.63049999999999995</c:v>
                </c:pt>
                <c:pt idx="334">
                  <c:v>0.63639999999999997</c:v>
                </c:pt>
                <c:pt idx="335">
                  <c:v>0.26429999999999998</c:v>
                </c:pt>
                <c:pt idx="336">
                  <c:v>0.27110000000000001</c:v>
                </c:pt>
                <c:pt idx="337">
                  <c:v>0.27760000000000001</c:v>
                </c:pt>
                <c:pt idx="338">
                  <c:v>0.2848</c:v>
                </c:pt>
                <c:pt idx="339">
                  <c:v>0.29370000000000002</c:v>
                </c:pt>
                <c:pt idx="340">
                  <c:v>0.32500000000000001</c:v>
                </c:pt>
                <c:pt idx="341">
                  <c:v>0.33189999999999997</c:v>
                </c:pt>
                <c:pt idx="342">
                  <c:v>0.33860000000000001</c:v>
                </c:pt>
                <c:pt idx="343">
                  <c:v>0.34749999999999998</c:v>
                </c:pt>
                <c:pt idx="344">
                  <c:v>0.35909999999999997</c:v>
                </c:pt>
                <c:pt idx="345">
                  <c:v>0.31369999999999998</c:v>
                </c:pt>
                <c:pt idx="346">
                  <c:v>0.31819999999999998</c:v>
                </c:pt>
                <c:pt idx="347">
                  <c:v>0.3236</c:v>
                </c:pt>
                <c:pt idx="348">
                  <c:v>0.32940000000000003</c:v>
                </c:pt>
                <c:pt idx="349">
                  <c:v>0.33460000000000001</c:v>
                </c:pt>
                <c:pt idx="350">
                  <c:v>0.33950000000000002</c:v>
                </c:pt>
                <c:pt idx="351">
                  <c:v>0.3453</c:v>
                </c:pt>
                <c:pt idx="352">
                  <c:v>0.3518</c:v>
                </c:pt>
                <c:pt idx="353">
                  <c:v>0.35820000000000002</c:v>
                </c:pt>
                <c:pt idx="354">
                  <c:v>0.36599999999999999</c:v>
                </c:pt>
                <c:pt idx="355">
                  <c:v>0.59719999999999995</c:v>
                </c:pt>
                <c:pt idx="356">
                  <c:v>0.60440000000000005</c:v>
                </c:pt>
                <c:pt idx="357">
                  <c:v>0.61199999999999999</c:v>
                </c:pt>
                <c:pt idx="358">
                  <c:v>0.61729999999999996</c:v>
                </c:pt>
                <c:pt idx="359">
                  <c:v>0.62380000000000002</c:v>
                </c:pt>
                <c:pt idx="360">
                  <c:v>0.67500000000000004</c:v>
                </c:pt>
                <c:pt idx="361">
                  <c:v>0.6804</c:v>
                </c:pt>
                <c:pt idx="362">
                  <c:v>0.68659999999999999</c:v>
                </c:pt>
                <c:pt idx="363">
                  <c:v>0.69169999999999998</c:v>
                </c:pt>
                <c:pt idx="364">
                  <c:v>0.7016</c:v>
                </c:pt>
                <c:pt idx="365">
                  <c:v>0.99990000000000001</c:v>
                </c:pt>
                <c:pt idx="366">
                  <c:v>0.99990000000000001</c:v>
                </c:pt>
                <c:pt idx="367">
                  <c:v>0.99990000000000001</c:v>
                </c:pt>
                <c:pt idx="368">
                  <c:v>0.99990000000000001</c:v>
                </c:pt>
                <c:pt idx="369">
                  <c:v>0.99990000000000001</c:v>
                </c:pt>
                <c:pt idx="370">
                  <c:v>0.58179999999999998</c:v>
                </c:pt>
                <c:pt idx="371">
                  <c:v>0.5907</c:v>
                </c:pt>
                <c:pt idx="372">
                  <c:v>0.60109999999999997</c:v>
                </c:pt>
                <c:pt idx="373">
                  <c:v>0.6099</c:v>
                </c:pt>
                <c:pt idx="374">
                  <c:v>0.61880000000000002</c:v>
                </c:pt>
                <c:pt idx="375">
                  <c:v>0.63719999999999999</c:v>
                </c:pt>
                <c:pt idx="376">
                  <c:v>0.64380000000000004</c:v>
                </c:pt>
                <c:pt idx="377">
                  <c:v>0.65049999999999997</c:v>
                </c:pt>
                <c:pt idx="378">
                  <c:v>0.65669999999999995</c:v>
                </c:pt>
                <c:pt idx="379">
                  <c:v>0.66180000000000005</c:v>
                </c:pt>
                <c:pt idx="380">
                  <c:v>0.75609999999999999</c:v>
                </c:pt>
                <c:pt idx="381">
                  <c:v>0.76019999999999999</c:v>
                </c:pt>
                <c:pt idx="382">
                  <c:v>0.76459999999999995</c:v>
                </c:pt>
                <c:pt idx="383">
                  <c:v>0.76900000000000002</c:v>
                </c:pt>
                <c:pt idx="384">
                  <c:v>0.77559999999999996</c:v>
                </c:pt>
                <c:pt idx="385">
                  <c:v>0.49580000000000002</c:v>
                </c:pt>
                <c:pt idx="386">
                  <c:v>0.49819999999999998</c:v>
                </c:pt>
                <c:pt idx="387">
                  <c:v>0.50239999999999996</c:v>
                </c:pt>
                <c:pt idx="388">
                  <c:v>0.50580000000000003</c:v>
                </c:pt>
                <c:pt idx="389">
                  <c:v>0.5111</c:v>
                </c:pt>
                <c:pt idx="390">
                  <c:v>0.50549999999999995</c:v>
                </c:pt>
                <c:pt idx="391">
                  <c:v>0.51490000000000002</c:v>
                </c:pt>
                <c:pt idx="392">
                  <c:v>0.52370000000000005</c:v>
                </c:pt>
                <c:pt idx="393">
                  <c:v>0.53259999999999996</c:v>
                </c:pt>
                <c:pt idx="394">
                  <c:v>0.54459999999999997</c:v>
                </c:pt>
                <c:pt idx="395">
                  <c:v>0.50600000000000001</c:v>
                </c:pt>
                <c:pt idx="396">
                  <c:v>0.51549999999999996</c:v>
                </c:pt>
                <c:pt idx="397">
                  <c:v>0.52429999999999999</c:v>
                </c:pt>
                <c:pt idx="398">
                  <c:v>0.53410000000000002</c:v>
                </c:pt>
                <c:pt idx="399">
                  <c:v>0.54320000000000002</c:v>
                </c:pt>
                <c:pt idx="400">
                  <c:v>0.25090000000000001</c:v>
                </c:pt>
                <c:pt idx="401">
                  <c:v>0.25580000000000003</c:v>
                </c:pt>
                <c:pt idx="402">
                  <c:v>0.26240000000000002</c:v>
                </c:pt>
                <c:pt idx="403">
                  <c:v>0.27039999999999997</c:v>
                </c:pt>
                <c:pt idx="404">
                  <c:v>0.27629999999999999</c:v>
                </c:pt>
                <c:pt idx="405">
                  <c:v>0.29049999999999998</c:v>
                </c:pt>
                <c:pt idx="406">
                  <c:v>0.29830000000000001</c:v>
                </c:pt>
                <c:pt idx="407">
                  <c:v>0.30890000000000001</c:v>
                </c:pt>
                <c:pt idx="408">
                  <c:v>0.31859999999999999</c:v>
                </c:pt>
                <c:pt idx="409">
                  <c:v>0.32769999999999999</c:v>
                </c:pt>
                <c:pt idx="410">
                  <c:v>0.45800000000000002</c:v>
                </c:pt>
                <c:pt idx="411">
                  <c:v>0.46189999999999998</c:v>
                </c:pt>
                <c:pt idx="412">
                  <c:v>0.4662</c:v>
                </c:pt>
                <c:pt idx="413">
                  <c:v>0.47089999999999999</c:v>
                </c:pt>
                <c:pt idx="414">
                  <c:v>0.4753</c:v>
                </c:pt>
                <c:pt idx="415">
                  <c:v>0.43330000000000002</c:v>
                </c:pt>
                <c:pt idx="416">
                  <c:v>0.43819999999999998</c:v>
                </c:pt>
                <c:pt idx="417">
                  <c:v>0.44330000000000003</c:v>
                </c:pt>
                <c:pt idx="418">
                  <c:v>0.44779999999999998</c:v>
                </c:pt>
                <c:pt idx="419">
                  <c:v>0.45429999999999998</c:v>
                </c:pt>
                <c:pt idx="420">
                  <c:v>0.61439999999999995</c:v>
                </c:pt>
                <c:pt idx="421">
                  <c:v>0.62239999999999995</c:v>
                </c:pt>
                <c:pt idx="422">
                  <c:v>0.63180000000000003</c:v>
                </c:pt>
                <c:pt idx="423">
                  <c:v>0.64400000000000002</c:v>
                </c:pt>
                <c:pt idx="424">
                  <c:v>0.6552</c:v>
                </c:pt>
                <c:pt idx="425">
                  <c:v>0.55179999999999996</c:v>
                </c:pt>
                <c:pt idx="426">
                  <c:v>0.55530000000000002</c:v>
                </c:pt>
                <c:pt idx="427">
                  <c:v>0.56030000000000002</c:v>
                </c:pt>
                <c:pt idx="428">
                  <c:v>0.56369999999999998</c:v>
                </c:pt>
                <c:pt idx="429">
                  <c:v>0.56759999999999999</c:v>
                </c:pt>
                <c:pt idx="430">
                  <c:v>0.41</c:v>
                </c:pt>
                <c:pt idx="431">
                  <c:v>0.41849999999999998</c:v>
                </c:pt>
                <c:pt idx="432">
                  <c:v>0.42980000000000002</c:v>
                </c:pt>
                <c:pt idx="433">
                  <c:v>0.44059999999999999</c:v>
                </c:pt>
                <c:pt idx="434">
                  <c:v>0.45040000000000002</c:v>
                </c:pt>
                <c:pt idx="435">
                  <c:v>0.3579</c:v>
                </c:pt>
                <c:pt idx="436">
                  <c:v>0.3634</c:v>
                </c:pt>
                <c:pt idx="437">
                  <c:v>0.37130000000000002</c:v>
                </c:pt>
                <c:pt idx="438">
                  <c:v>0.3795</c:v>
                </c:pt>
                <c:pt idx="439">
                  <c:v>0.3866</c:v>
                </c:pt>
                <c:pt idx="440">
                  <c:v>0.4264</c:v>
                </c:pt>
                <c:pt idx="441">
                  <c:v>0.43159999999999998</c:v>
                </c:pt>
                <c:pt idx="442">
                  <c:v>0.4365</c:v>
                </c:pt>
                <c:pt idx="443">
                  <c:v>0.44119999999999998</c:v>
                </c:pt>
                <c:pt idx="444">
                  <c:v>0.44729999999999998</c:v>
                </c:pt>
                <c:pt idx="445">
                  <c:v>0.25800000000000001</c:v>
                </c:pt>
                <c:pt idx="446">
                  <c:v>0.2641</c:v>
                </c:pt>
                <c:pt idx="447">
                  <c:v>0.27079999999999999</c:v>
                </c:pt>
                <c:pt idx="448">
                  <c:v>0.27750000000000002</c:v>
                </c:pt>
                <c:pt idx="449">
                  <c:v>0.28299999999999997</c:v>
                </c:pt>
                <c:pt idx="450">
                  <c:v>0.52459999999999996</c:v>
                </c:pt>
                <c:pt idx="451">
                  <c:v>0.52910000000000001</c:v>
                </c:pt>
                <c:pt idx="452">
                  <c:v>0.53310000000000002</c:v>
                </c:pt>
                <c:pt idx="453">
                  <c:v>0.53769999999999996</c:v>
                </c:pt>
                <c:pt idx="454">
                  <c:v>0.54390000000000005</c:v>
                </c:pt>
                <c:pt idx="455">
                  <c:v>0.70369999999999999</c:v>
                </c:pt>
                <c:pt idx="456">
                  <c:v>0.70820000000000005</c:v>
                </c:pt>
                <c:pt idx="457">
                  <c:v>0.71189999999999998</c:v>
                </c:pt>
                <c:pt idx="458">
                  <c:v>0.71579999999999999</c:v>
                </c:pt>
                <c:pt idx="459">
                  <c:v>0.72009999999999996</c:v>
                </c:pt>
                <c:pt idx="460">
                  <c:v>0.94530000000000003</c:v>
                </c:pt>
                <c:pt idx="461">
                  <c:v>0.94879999999999998</c:v>
                </c:pt>
                <c:pt idx="462">
                  <c:v>0.95179999999999998</c:v>
                </c:pt>
                <c:pt idx="463">
                  <c:v>0.95469999999999999</c:v>
                </c:pt>
                <c:pt idx="464">
                  <c:v>0.95740000000000003</c:v>
                </c:pt>
                <c:pt idx="465">
                  <c:v>0.77700000000000002</c:v>
                </c:pt>
                <c:pt idx="466">
                  <c:v>0.78349999999999997</c:v>
                </c:pt>
                <c:pt idx="467">
                  <c:v>0.78820000000000001</c:v>
                </c:pt>
                <c:pt idx="468">
                  <c:v>0.79630000000000001</c:v>
                </c:pt>
                <c:pt idx="469">
                  <c:v>0.80249999999999999</c:v>
                </c:pt>
                <c:pt idx="470">
                  <c:v>0.89049999999999996</c:v>
                </c:pt>
                <c:pt idx="471">
                  <c:v>0.89590000000000003</c:v>
                </c:pt>
                <c:pt idx="472">
                  <c:v>0.89959999999999996</c:v>
                </c:pt>
                <c:pt idx="473">
                  <c:v>0.90349999999999997</c:v>
                </c:pt>
                <c:pt idx="474">
                  <c:v>0.9093</c:v>
                </c:pt>
                <c:pt idx="475">
                  <c:v>0.72789999999999999</c:v>
                </c:pt>
                <c:pt idx="476">
                  <c:v>0.73080000000000001</c:v>
                </c:pt>
                <c:pt idx="477">
                  <c:v>0.73419999999999996</c:v>
                </c:pt>
                <c:pt idx="478">
                  <c:v>0.73809999999999998</c:v>
                </c:pt>
                <c:pt idx="479">
                  <c:v>0.74329999999999996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4-492B-ABB2-678D0B6F621E}"/>
            </c:ext>
          </c:extLst>
        </c:ser>
        <c:ser>
          <c:idx val="1"/>
          <c:order val="1"/>
          <c:tx>
            <c:strRef>
              <c:f>Enfouissement!$B$41</c:f>
              <c:strCache>
                <c:ptCount val="1"/>
                <c:pt idx="0">
                  <c:v>BT du dpt.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Enfouissement!$C$41</c:f>
              <c:numCache>
                <c:formatCode>#\ ##0.0</c:formatCode>
                <c:ptCount val="1"/>
                <c:pt idx="0">
                  <c:v>428.20749999999998</c:v>
                </c:pt>
              </c:numCache>
            </c:numRef>
          </c:xVal>
          <c:yVal>
            <c:numRef>
              <c:f>Enfouissement!$D$41</c:f>
              <c:numCache>
                <c:formatCode>0.0%</c:formatCode>
                <c:ptCount val="1"/>
                <c:pt idx="0">
                  <c:v>4.6792999999999996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4-492B-ABB2-678D0B6F621E}"/>
            </c:ext>
          </c:extLst>
        </c:ser>
        <c:ser>
          <c:idx val="2"/>
          <c:order val="2"/>
          <c:tx>
            <c:strRef>
              <c:f>Enfouissement!$B$43</c:f>
              <c:strCache>
                <c:ptCount val="1"/>
                <c:pt idx="0">
                  <c:v>BT concession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1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Enfouissement!$C$43</c:f>
              <c:numCache>
                <c:formatCode>#\ ##0.0</c:formatCode>
                <c:ptCount val="1"/>
                <c:pt idx="0">
                  <c:v>410.97669999999999</c:v>
                </c:pt>
              </c:numCache>
            </c:numRef>
          </c:xVal>
          <c:yVal>
            <c:numRef>
              <c:f>Enfouissement!$D$43</c:f>
              <c:numCache>
                <c:formatCode>0.0%</c:formatCode>
                <c:ptCount val="1"/>
                <c:pt idx="0">
                  <c:v>4.6734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4-492B-ABB2-678D0B6F6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523599"/>
        <c:axId val="742332255"/>
      </c:scatterChart>
      <c:valAx>
        <c:axId val="627523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Densité de population sur le réseau BT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2332255"/>
        <c:crosses val="autoZero"/>
        <c:crossBetween val="midCat"/>
      </c:valAx>
      <c:valAx>
        <c:axId val="742332255"/>
        <c:scaling>
          <c:orientation val="minMax"/>
          <c:max val="1.1000000000000001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Taux d'enfouissement</a:t>
                </a:r>
                <a:r>
                  <a:rPr lang="fr-FR" baseline="0"/>
                  <a:t> BT (%)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7523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16664017388192E-2"/>
          <c:y val="0.91544619255961046"/>
          <c:w val="0.89999986986000469"/>
          <c:h val="7.1791044426139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505536033352621E-2"/>
          <c:y val="3.0244554056782089E-2"/>
          <c:w val="0.93020448305208736"/>
          <c:h val="0.47671242613349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'Maille benchmark'!$E$5</c:f>
              <c:strCache>
                <c:ptCount val="1"/>
                <c:pt idx="0">
                  <c:v>Durée cumulée de coupure HTA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'Maille benchmark'!$B$6:$B$55</c:f>
              <c:strCache>
                <c:ptCount val="50"/>
                <c:pt idx="0">
                  <c:v>Jonction HTA câble synthétique/câble synthétique</c:v>
                </c:pt>
                <c:pt idx="1">
                  <c:v>Attache</c:v>
                </c:pt>
                <c:pt idx="2">
                  <c:v>Transformateur HTA/BT</c:v>
                </c:pt>
                <c:pt idx="3">
                  <c:v>Plein câble synthétique</c:v>
                </c:pt>
                <c:pt idx="4">
                  <c:v>Poste HTA/BT: partie HTA</c:v>
                </c:pt>
                <c:pt idx="5">
                  <c:v>Jonction HTA câble papier/câble papier</c:v>
                </c:pt>
                <c:pt idx="6">
                  <c:v>Raccord, pont, bretelle</c:v>
                </c:pt>
                <c:pt idx="7">
                  <c:v>Coffret hors sol BT</c:v>
                </c:pt>
                <c:pt idx="8">
                  <c:v>Isolateur</c:v>
                </c:pt>
                <c:pt idx="9">
                  <c:v>Poste HTA/BT: partie BT</c:v>
                </c:pt>
                <c:pt idx="10">
                  <c:v>Armoire de coupure</c:v>
                </c:pt>
                <c:pt idx="11">
                  <c:v>Poste source : autre installation HTA ou BT</c:v>
                </c:pt>
                <c:pt idx="12">
                  <c:v>Boîte de coupure souterraine BT</c:v>
                </c:pt>
                <c:pt idx="13">
                  <c:v>Interrupteur manuel : IACM, ISP</c:v>
                </c:pt>
                <c:pt idx="14">
                  <c:v>Conducteurs nus rompus, hors faibles sections</c:v>
                </c:pt>
                <c:pt idx="15">
                  <c:v>Accessoire de dérivation HTA ou BT</c:v>
                </c:pt>
                <c:pt idx="16">
                  <c:v>Autre interrupteur : IAT, IACT</c:v>
                </c:pt>
                <c:pt idx="17">
                  <c:v>Ligne à conducteurs isolés</c:v>
                </c:pt>
                <c:pt idx="18">
                  <c:v>Plein câble papier</c:v>
                </c:pt>
                <c:pt idx="19">
                  <c:v>Incidents BT avec siège sur branchement BT</c:v>
                </c:pt>
                <c:pt idx="20">
                  <c:v>Accessoire de jonction BT</c:v>
                </c:pt>
                <c:pt idx="21">
                  <c:v>Remontée aéro-souterraine : câble</c:v>
                </c:pt>
                <c:pt idx="22">
                  <c:v>Autres accessoires BT</c:v>
                </c:pt>
                <c:pt idx="23">
                  <c:v>Parafoudres ou éclateurs</c:v>
                </c:pt>
                <c:pt idx="24">
                  <c:v>Poste source : transformateur de puissance</c:v>
                </c:pt>
                <c:pt idx="25">
                  <c:v>Remontée aéro-souterraine HTA - Extrémités (EUEP,... )</c:v>
                </c:pt>
                <c:pt idx="26">
                  <c:v>Conducteurs nus rompus, faible section</c:v>
                </c:pt>
                <c:pt idx="27">
                  <c:v>Contact entre conducteurs</c:v>
                </c:pt>
                <c:pt idx="28">
                  <c:v>Siège en attente didentification ou non identifié</c:v>
                </c:pt>
                <c:pt idx="29">
                  <c:v>Armement</c:v>
                </c:pt>
                <c:pt idx="30">
                  <c:v>Remontée aéro-souterraine BT - Extrémités</c:v>
                </c:pt>
                <c:pt idx="31">
                  <c:v>Jonction de transition HTA Rétractable à Froid (synthétique/papier) - JTRF - 3M</c:v>
                </c:pt>
                <c:pt idx="32">
                  <c:v>Accessoire de branchement BT</c:v>
                </c:pt>
                <c:pt idx="33">
                  <c:v>Raccordement matériel - Connecteurs séparables HTA</c:v>
                </c:pt>
                <c:pt idx="34">
                  <c:v>Jonction de transition HTA Rétractable à Froid (synthétique/papier) - JTRF - Hors 3M</c:v>
                </c:pt>
                <c:pt idx="35">
                  <c:v>Rupture de neutre aérien</c:v>
                </c:pt>
                <c:pt idx="36">
                  <c:v>Jonction de Transition Rubanée HTA (synthétique/papier) - JTR</c:v>
                </c:pt>
                <c:pt idx="37">
                  <c:v>Pas de dégât : éliminé avec manoeuvres manuelles</c:v>
                </c:pt>
                <c:pt idx="38">
                  <c:v>Support bois</c:v>
                </c:pt>
                <c:pt idx="39">
                  <c:v>Pas de siège</c:v>
                </c:pt>
                <c:pt idx="40">
                  <c:v>Boîte de jonction</c:v>
                </c:pt>
                <c:pt idx="41">
                  <c:v>Rupture de neutre souterrain</c:v>
                </c:pt>
                <c:pt idx="42">
                  <c:v>Raccordement matériel - Extrémité BT</c:v>
                </c:pt>
                <c:pt idx="43">
                  <c:v>Support béton</c:v>
                </c:pt>
                <c:pt idx="44">
                  <c:v>Jonction de Transition Thermo rétractable HTA (synthétique/papier) - JT TH</c:v>
                </c:pt>
                <c:pt idx="45">
                  <c:v>Ligne aérienne: accessoires</c:v>
                </c:pt>
                <c:pt idx="46">
                  <c:v>Pas de dégât : éliminé avec manoeuvres d'OMT</c:v>
                </c:pt>
                <c:pt idx="47">
                  <c:v>Support béton</c:v>
                </c:pt>
                <c:pt idx="48">
                  <c:v>Bout perdu raccordé sur tout type de câble</c:v>
                </c:pt>
                <c:pt idx="49">
                  <c:v>Pas de dégât : éliminé avec manoeuvres d'OMT</c:v>
                </c:pt>
              </c:strCache>
            </c:strRef>
          </c:cat>
          <c:val>
            <c:numRef>
              <c:f>'Maille benchmark'!$E$6:$E$55</c:f>
              <c:numCache>
                <c:formatCode>#,##0</c:formatCode>
                <c:ptCount val="50"/>
                <c:pt idx="0">
                  <c:v>4442704</c:v>
                </c:pt>
                <c:pt idx="1">
                  <c:v>2591036</c:v>
                </c:pt>
                <c:pt idx="2">
                  <c:v>1177061</c:v>
                </c:pt>
                <c:pt idx="3">
                  <c:v>955676</c:v>
                </c:pt>
                <c:pt idx="4">
                  <c:v>1636840</c:v>
                </c:pt>
                <c:pt idx="5">
                  <c:v>1218142</c:v>
                </c:pt>
                <c:pt idx="6">
                  <c:v>553736</c:v>
                </c:pt>
                <c:pt idx="7">
                  <c:v>0</c:v>
                </c:pt>
                <c:pt idx="8">
                  <c:v>883192</c:v>
                </c:pt>
                <c:pt idx="9">
                  <c:v>0</c:v>
                </c:pt>
                <c:pt idx="10">
                  <c:v>796279</c:v>
                </c:pt>
                <c:pt idx="11">
                  <c:v>779258</c:v>
                </c:pt>
                <c:pt idx="12">
                  <c:v>0</c:v>
                </c:pt>
                <c:pt idx="13">
                  <c:v>659278</c:v>
                </c:pt>
                <c:pt idx="14">
                  <c:v>474165</c:v>
                </c:pt>
                <c:pt idx="15">
                  <c:v>453272</c:v>
                </c:pt>
                <c:pt idx="16">
                  <c:v>492609</c:v>
                </c:pt>
                <c:pt idx="17">
                  <c:v>0</c:v>
                </c:pt>
                <c:pt idx="18">
                  <c:v>402728</c:v>
                </c:pt>
                <c:pt idx="19">
                  <c:v>0</c:v>
                </c:pt>
                <c:pt idx="20">
                  <c:v>0</c:v>
                </c:pt>
                <c:pt idx="21">
                  <c:v>209154</c:v>
                </c:pt>
                <c:pt idx="22">
                  <c:v>0</c:v>
                </c:pt>
                <c:pt idx="23">
                  <c:v>300929</c:v>
                </c:pt>
                <c:pt idx="24">
                  <c:v>289921</c:v>
                </c:pt>
                <c:pt idx="25">
                  <c:v>277450</c:v>
                </c:pt>
                <c:pt idx="26">
                  <c:v>99416</c:v>
                </c:pt>
                <c:pt idx="27">
                  <c:v>67505</c:v>
                </c:pt>
                <c:pt idx="28">
                  <c:v>37106</c:v>
                </c:pt>
                <c:pt idx="29">
                  <c:v>237692</c:v>
                </c:pt>
                <c:pt idx="30">
                  <c:v>0</c:v>
                </c:pt>
                <c:pt idx="31">
                  <c:v>190702</c:v>
                </c:pt>
                <c:pt idx="32">
                  <c:v>0</c:v>
                </c:pt>
                <c:pt idx="33">
                  <c:v>173541</c:v>
                </c:pt>
                <c:pt idx="34">
                  <c:v>167224</c:v>
                </c:pt>
                <c:pt idx="35">
                  <c:v>0</c:v>
                </c:pt>
                <c:pt idx="36">
                  <c:v>127317</c:v>
                </c:pt>
                <c:pt idx="37">
                  <c:v>0</c:v>
                </c:pt>
                <c:pt idx="38">
                  <c:v>83257</c:v>
                </c:pt>
                <c:pt idx="39">
                  <c:v>0</c:v>
                </c:pt>
                <c:pt idx="40">
                  <c:v>61527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9940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5-4630-B93A-234197ADDF27}"/>
            </c:ext>
          </c:extLst>
        </c:ser>
        <c:ser>
          <c:idx val="1"/>
          <c:order val="1"/>
          <c:tx>
            <c:strRef>
              <c:f>'Maille benchmark'!$G$5</c:f>
              <c:strCache>
                <c:ptCount val="1"/>
                <c:pt idx="0">
                  <c:v>Durée cumulée de coupure BT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'Maille benchmark'!$B$6:$B$55</c:f>
              <c:strCache>
                <c:ptCount val="50"/>
                <c:pt idx="0">
                  <c:v>Jonction HTA câble synthétique/câble synthétique</c:v>
                </c:pt>
                <c:pt idx="1">
                  <c:v>Attache</c:v>
                </c:pt>
                <c:pt idx="2">
                  <c:v>Transformateur HTA/BT</c:v>
                </c:pt>
                <c:pt idx="3">
                  <c:v>Plein câble synthétique</c:v>
                </c:pt>
                <c:pt idx="4">
                  <c:v>Poste HTA/BT: partie HTA</c:v>
                </c:pt>
                <c:pt idx="5">
                  <c:v>Jonction HTA câble papier/câble papier</c:v>
                </c:pt>
                <c:pt idx="6">
                  <c:v>Raccord, pont, bretelle</c:v>
                </c:pt>
                <c:pt idx="7">
                  <c:v>Coffret hors sol BT</c:v>
                </c:pt>
                <c:pt idx="8">
                  <c:v>Isolateur</c:v>
                </c:pt>
                <c:pt idx="9">
                  <c:v>Poste HTA/BT: partie BT</c:v>
                </c:pt>
                <c:pt idx="10">
                  <c:v>Armoire de coupure</c:v>
                </c:pt>
                <c:pt idx="11">
                  <c:v>Poste source : autre installation HTA ou BT</c:v>
                </c:pt>
                <c:pt idx="12">
                  <c:v>Boîte de coupure souterraine BT</c:v>
                </c:pt>
                <c:pt idx="13">
                  <c:v>Interrupteur manuel : IACM, ISP</c:v>
                </c:pt>
                <c:pt idx="14">
                  <c:v>Conducteurs nus rompus, hors faibles sections</c:v>
                </c:pt>
                <c:pt idx="15">
                  <c:v>Accessoire de dérivation HTA ou BT</c:v>
                </c:pt>
                <c:pt idx="16">
                  <c:v>Autre interrupteur : IAT, IACT</c:v>
                </c:pt>
                <c:pt idx="17">
                  <c:v>Ligne à conducteurs isolés</c:v>
                </c:pt>
                <c:pt idx="18">
                  <c:v>Plein câble papier</c:v>
                </c:pt>
                <c:pt idx="19">
                  <c:v>Incidents BT avec siège sur branchement BT</c:v>
                </c:pt>
                <c:pt idx="20">
                  <c:v>Accessoire de jonction BT</c:v>
                </c:pt>
                <c:pt idx="21">
                  <c:v>Remontée aéro-souterraine : câble</c:v>
                </c:pt>
                <c:pt idx="22">
                  <c:v>Autres accessoires BT</c:v>
                </c:pt>
                <c:pt idx="23">
                  <c:v>Parafoudres ou éclateurs</c:v>
                </c:pt>
                <c:pt idx="24">
                  <c:v>Poste source : transformateur de puissance</c:v>
                </c:pt>
                <c:pt idx="25">
                  <c:v>Remontée aéro-souterraine HTA - Extrémités (EUEP,... )</c:v>
                </c:pt>
                <c:pt idx="26">
                  <c:v>Conducteurs nus rompus, faible section</c:v>
                </c:pt>
                <c:pt idx="27">
                  <c:v>Contact entre conducteurs</c:v>
                </c:pt>
                <c:pt idx="28">
                  <c:v>Siège en attente didentification ou non identifié</c:v>
                </c:pt>
                <c:pt idx="29">
                  <c:v>Armement</c:v>
                </c:pt>
                <c:pt idx="30">
                  <c:v>Remontée aéro-souterraine BT - Extrémités</c:v>
                </c:pt>
                <c:pt idx="31">
                  <c:v>Jonction de transition HTA Rétractable à Froid (synthétique/papier) - JTRF - 3M</c:v>
                </c:pt>
                <c:pt idx="32">
                  <c:v>Accessoire de branchement BT</c:v>
                </c:pt>
                <c:pt idx="33">
                  <c:v>Raccordement matériel - Connecteurs séparables HTA</c:v>
                </c:pt>
                <c:pt idx="34">
                  <c:v>Jonction de transition HTA Rétractable à Froid (synthétique/papier) - JTRF - Hors 3M</c:v>
                </c:pt>
                <c:pt idx="35">
                  <c:v>Rupture de neutre aérien</c:v>
                </c:pt>
                <c:pt idx="36">
                  <c:v>Jonction de Transition Rubanée HTA (synthétique/papier) - JTR</c:v>
                </c:pt>
                <c:pt idx="37">
                  <c:v>Pas de dégât : éliminé avec manoeuvres manuelles</c:v>
                </c:pt>
                <c:pt idx="38">
                  <c:v>Support bois</c:v>
                </c:pt>
                <c:pt idx="39">
                  <c:v>Pas de siège</c:v>
                </c:pt>
                <c:pt idx="40">
                  <c:v>Boîte de jonction</c:v>
                </c:pt>
                <c:pt idx="41">
                  <c:v>Rupture de neutre souterrain</c:v>
                </c:pt>
                <c:pt idx="42">
                  <c:v>Raccordement matériel - Extrémité BT</c:v>
                </c:pt>
                <c:pt idx="43">
                  <c:v>Support béton</c:v>
                </c:pt>
                <c:pt idx="44">
                  <c:v>Jonction de Transition Thermo rétractable HTA (synthétique/papier) - JT TH</c:v>
                </c:pt>
                <c:pt idx="45">
                  <c:v>Ligne aérienne: accessoires</c:v>
                </c:pt>
                <c:pt idx="46">
                  <c:v>Pas de dégât : éliminé avec manoeuvres d'OMT</c:v>
                </c:pt>
                <c:pt idx="47">
                  <c:v>Support béton</c:v>
                </c:pt>
                <c:pt idx="48">
                  <c:v>Bout perdu raccordé sur tout type de câble</c:v>
                </c:pt>
                <c:pt idx="49">
                  <c:v>Pas de dégât : éliminé avec manoeuvres d'OMT</c:v>
                </c:pt>
              </c:strCache>
            </c:strRef>
          </c:cat>
          <c:val>
            <c:numRef>
              <c:f>'Maille benchmark'!$G$6:$G$55</c:f>
              <c:numCache>
                <c:formatCode>#,##0</c:formatCode>
                <c:ptCount val="50"/>
                <c:pt idx="0">
                  <c:v>0</c:v>
                </c:pt>
                <c:pt idx="1">
                  <c:v>220058</c:v>
                </c:pt>
                <c:pt idx="2">
                  <c:v>882321</c:v>
                </c:pt>
                <c:pt idx="3">
                  <c:v>909156</c:v>
                </c:pt>
                <c:pt idx="4">
                  <c:v>0</c:v>
                </c:pt>
                <c:pt idx="5">
                  <c:v>0</c:v>
                </c:pt>
                <c:pt idx="6">
                  <c:v>619038</c:v>
                </c:pt>
                <c:pt idx="7">
                  <c:v>973841</c:v>
                </c:pt>
                <c:pt idx="8">
                  <c:v>15928</c:v>
                </c:pt>
                <c:pt idx="9">
                  <c:v>848155</c:v>
                </c:pt>
                <c:pt idx="10">
                  <c:v>0</c:v>
                </c:pt>
                <c:pt idx="11">
                  <c:v>0</c:v>
                </c:pt>
                <c:pt idx="12">
                  <c:v>681329</c:v>
                </c:pt>
                <c:pt idx="13">
                  <c:v>0</c:v>
                </c:pt>
                <c:pt idx="14">
                  <c:v>168245</c:v>
                </c:pt>
                <c:pt idx="15">
                  <c:v>77045</c:v>
                </c:pt>
                <c:pt idx="16">
                  <c:v>0</c:v>
                </c:pt>
                <c:pt idx="17">
                  <c:v>472122</c:v>
                </c:pt>
                <c:pt idx="18">
                  <c:v>26614</c:v>
                </c:pt>
                <c:pt idx="19">
                  <c:v>368316</c:v>
                </c:pt>
                <c:pt idx="20">
                  <c:v>355148</c:v>
                </c:pt>
                <c:pt idx="21">
                  <c:v>123585</c:v>
                </c:pt>
                <c:pt idx="22">
                  <c:v>308162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176491</c:v>
                </c:pt>
                <c:pt idx="27">
                  <c:v>198140</c:v>
                </c:pt>
                <c:pt idx="28">
                  <c:v>211770</c:v>
                </c:pt>
                <c:pt idx="29">
                  <c:v>639</c:v>
                </c:pt>
                <c:pt idx="30">
                  <c:v>227482</c:v>
                </c:pt>
                <c:pt idx="31">
                  <c:v>0</c:v>
                </c:pt>
                <c:pt idx="32">
                  <c:v>179506</c:v>
                </c:pt>
                <c:pt idx="33">
                  <c:v>0</c:v>
                </c:pt>
                <c:pt idx="34">
                  <c:v>0</c:v>
                </c:pt>
                <c:pt idx="35">
                  <c:v>150944</c:v>
                </c:pt>
                <c:pt idx="36">
                  <c:v>0</c:v>
                </c:pt>
                <c:pt idx="37">
                  <c:v>102799</c:v>
                </c:pt>
                <c:pt idx="38">
                  <c:v>9086</c:v>
                </c:pt>
                <c:pt idx="39">
                  <c:v>86377</c:v>
                </c:pt>
                <c:pt idx="40">
                  <c:v>0</c:v>
                </c:pt>
                <c:pt idx="41">
                  <c:v>53106</c:v>
                </c:pt>
                <c:pt idx="42">
                  <c:v>29133</c:v>
                </c:pt>
                <c:pt idx="43">
                  <c:v>25379</c:v>
                </c:pt>
                <c:pt idx="44">
                  <c:v>0</c:v>
                </c:pt>
                <c:pt idx="45">
                  <c:v>6960</c:v>
                </c:pt>
                <c:pt idx="46">
                  <c:v>5680</c:v>
                </c:pt>
                <c:pt idx="47">
                  <c:v>56599</c:v>
                </c:pt>
                <c:pt idx="48">
                  <c:v>9829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5-4630-B93A-234197ADD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867775"/>
        <c:axId val="2144258576"/>
      </c:barChart>
      <c:catAx>
        <c:axId val="3218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44258576"/>
        <c:crosses val="autoZero"/>
        <c:auto val="1"/>
        <c:lblAlgn val="ctr"/>
        <c:lblOffset val="100"/>
        <c:noMultiLvlLbl val="0"/>
      </c:catAx>
      <c:valAx>
        <c:axId val="21442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186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119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1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 mods="ignoreCSTransforms">
      <cs:styleClr val="0">
        <a:shade val="25000"/>
      </cs:styl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 mods="ignoreCSTransforms">
      <cs:styleClr val="0">
        <a:tint val="25000"/>
      </cs:styl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1.xml"/><Relationship Id="rId34" Type="http://schemas.openxmlformats.org/officeDocument/2006/relationships/chart" Target="../charts/chart3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1.png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8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13" Type="http://schemas.openxmlformats.org/officeDocument/2006/relationships/chart" Target="../charts/chart71.xml"/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12" Type="http://schemas.openxmlformats.org/officeDocument/2006/relationships/chart" Target="../charts/chart70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0" Type="http://schemas.openxmlformats.org/officeDocument/2006/relationships/chart" Target="../charts/chart68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Relationship Id="rId14" Type="http://schemas.openxmlformats.org/officeDocument/2006/relationships/chart" Target="../charts/chart7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18" Type="http://schemas.openxmlformats.org/officeDocument/2006/relationships/chart" Target="../charts/chart98.xml"/><Relationship Id="rId26" Type="http://schemas.openxmlformats.org/officeDocument/2006/relationships/chart" Target="../charts/chart106.xml"/><Relationship Id="rId3" Type="http://schemas.openxmlformats.org/officeDocument/2006/relationships/chart" Target="../charts/chart83.xml"/><Relationship Id="rId21" Type="http://schemas.openxmlformats.org/officeDocument/2006/relationships/chart" Target="../charts/chart101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17" Type="http://schemas.openxmlformats.org/officeDocument/2006/relationships/chart" Target="../charts/chart97.xml"/><Relationship Id="rId25" Type="http://schemas.openxmlformats.org/officeDocument/2006/relationships/chart" Target="../charts/chart105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20" Type="http://schemas.openxmlformats.org/officeDocument/2006/relationships/chart" Target="../charts/chart100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24" Type="http://schemas.openxmlformats.org/officeDocument/2006/relationships/chart" Target="../charts/chart104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23" Type="http://schemas.openxmlformats.org/officeDocument/2006/relationships/chart" Target="../charts/chart103.xml"/><Relationship Id="rId10" Type="http://schemas.openxmlformats.org/officeDocument/2006/relationships/chart" Target="../charts/chart90.xml"/><Relationship Id="rId19" Type="http://schemas.openxmlformats.org/officeDocument/2006/relationships/chart" Target="../charts/chart99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Relationship Id="rId22" Type="http://schemas.openxmlformats.org/officeDocument/2006/relationships/chart" Target="../charts/chart10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7" Type="http://schemas.openxmlformats.org/officeDocument/2006/relationships/chart" Target="../charts/chart113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chart" Target="../charts/chart1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6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742752</xdr:colOff>
      <xdr:row>510</xdr:row>
      <xdr:rowOff>163763</xdr:rowOff>
    </xdr:from>
    <xdr:to>
      <xdr:col>15</xdr:col>
      <xdr:colOff>34636</xdr:colOff>
      <xdr:row>524</xdr:row>
      <xdr:rowOff>103909</xdr:rowOff>
    </xdr:to>
    <xdr:graphicFrame macro="">
      <xdr:nvGraphicFramePr>
        <xdr:cNvPr id="22" name="Graphique 3">
          <a:extLst>
            <a:ext uri="{FF2B5EF4-FFF2-40B4-BE49-F238E27FC236}">
              <a16:creationId xmlns:a16="http://schemas.microsoft.com/office/drawing/2014/main" id="{B62B5500-888B-4D24-89F4-AA04391C6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139320</xdr:colOff>
      <xdr:row>527</xdr:row>
      <xdr:rowOff>83739</xdr:rowOff>
    </xdr:from>
    <xdr:to>
      <xdr:col>15</xdr:col>
      <xdr:colOff>346363</xdr:colOff>
      <xdr:row>542</xdr:row>
      <xdr:rowOff>69273</xdr:rowOff>
    </xdr:to>
    <xdr:graphicFrame macro="">
      <xdr:nvGraphicFramePr>
        <xdr:cNvPr id="35" name="Graphique 5">
          <a:extLst>
            <a:ext uri="{FF2B5EF4-FFF2-40B4-BE49-F238E27FC236}">
              <a16:creationId xmlns:a16="http://schemas.microsoft.com/office/drawing/2014/main" id="{17C1B178-BE69-44FF-9FF6-3D2F74C68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6724</xdr:colOff>
      <xdr:row>28</xdr:row>
      <xdr:rowOff>0</xdr:rowOff>
    </xdr:from>
    <xdr:to>
      <xdr:col>3</xdr:col>
      <xdr:colOff>770965</xdr:colOff>
      <xdr:row>40</xdr:row>
      <xdr:rowOff>174701</xdr:rowOff>
    </xdr:to>
    <xdr:graphicFrame macro="">
      <xdr:nvGraphicFramePr>
        <xdr:cNvPr id="51" name="Graphique 6">
          <a:extLst>
            <a:ext uri="{FF2B5EF4-FFF2-40B4-BE49-F238E27FC236}">
              <a16:creationId xmlns:a16="http://schemas.microsoft.com/office/drawing/2014/main" id="{027254F9-DCE9-4FDC-A18F-9721C1AC23AF}"/>
            </a:ext>
            <a:ext uri="{147F2762-F138-4A5C-976F-8EAC2B608ADB}">
              <a16:predDERef xmlns:a16="http://schemas.microsoft.com/office/drawing/2014/main" pred="{17C1B178-BE69-44FF-9FF6-3D2F74C68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294852</xdr:colOff>
      <xdr:row>166</xdr:row>
      <xdr:rowOff>104991</xdr:rowOff>
    </xdr:from>
    <xdr:to>
      <xdr:col>15</xdr:col>
      <xdr:colOff>131671</xdr:colOff>
      <xdr:row>178</xdr:row>
      <xdr:rowOff>44823</xdr:rowOff>
    </xdr:to>
    <xdr:graphicFrame macro="">
      <xdr:nvGraphicFramePr>
        <xdr:cNvPr id="8" name="Graphique 28">
          <a:extLst>
            <a:ext uri="{FF2B5EF4-FFF2-40B4-BE49-F238E27FC236}">
              <a16:creationId xmlns:a16="http://schemas.microsoft.com/office/drawing/2014/main" id="{8AA80E13-F9F7-4929-9ACC-19B07F04B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123142</xdr:colOff>
      <xdr:row>61</xdr:row>
      <xdr:rowOff>21112</xdr:rowOff>
    </xdr:from>
    <xdr:to>
      <xdr:col>13</xdr:col>
      <xdr:colOff>573742</xdr:colOff>
      <xdr:row>74</xdr:row>
      <xdr:rowOff>161364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5E84C6DE-8EBC-4984-B2C1-C4694D44D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716952</xdr:colOff>
      <xdr:row>282</xdr:row>
      <xdr:rowOff>7956</xdr:rowOff>
    </xdr:from>
    <xdr:to>
      <xdr:col>16</xdr:col>
      <xdr:colOff>112059</xdr:colOff>
      <xdr:row>295</xdr:row>
      <xdr:rowOff>414618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1BD1400F-8FC0-4FBE-BFDE-F9CD0B4F7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343796</xdr:colOff>
      <xdr:row>327</xdr:row>
      <xdr:rowOff>121504</xdr:rowOff>
    </xdr:from>
    <xdr:to>
      <xdr:col>22</xdr:col>
      <xdr:colOff>13157</xdr:colOff>
      <xdr:row>339</xdr:row>
      <xdr:rowOff>152400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F012110A-71EE-488F-8172-6F6F6078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178524</xdr:colOff>
      <xdr:row>352</xdr:row>
      <xdr:rowOff>60960</xdr:rowOff>
    </xdr:from>
    <xdr:to>
      <xdr:col>21</xdr:col>
      <xdr:colOff>41364</xdr:colOff>
      <xdr:row>363</xdr:row>
      <xdr:rowOff>40549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BC67FE81-CDA8-4DCE-82AE-93ABA7A8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125730</xdr:colOff>
      <xdr:row>352</xdr:row>
      <xdr:rowOff>0</xdr:rowOff>
    </xdr:from>
    <xdr:to>
      <xdr:col>14</xdr:col>
      <xdr:colOff>181311</xdr:colOff>
      <xdr:row>365</xdr:row>
      <xdr:rowOff>62920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D1B73122-83DC-4030-9212-CCEF57D16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1084021</xdr:colOff>
      <xdr:row>128</xdr:row>
      <xdr:rowOff>8964</xdr:rowOff>
    </xdr:from>
    <xdr:to>
      <xdr:col>3</xdr:col>
      <xdr:colOff>770965</xdr:colOff>
      <xdr:row>145</xdr:row>
      <xdr:rowOff>98612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0D1DA39-C76E-4F33-8BE3-242022FC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21232</xdr:colOff>
      <xdr:row>128</xdr:row>
      <xdr:rowOff>0</xdr:rowOff>
    </xdr:from>
    <xdr:to>
      <xdr:col>11</xdr:col>
      <xdr:colOff>600636</xdr:colOff>
      <xdr:row>145</xdr:row>
      <xdr:rowOff>98611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88CAFA51-58E9-4C47-AAD8-97AD38422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108073</xdr:colOff>
      <xdr:row>674</xdr:row>
      <xdr:rowOff>36195</xdr:rowOff>
    </xdr:from>
    <xdr:to>
      <xdr:col>36</xdr:col>
      <xdr:colOff>632768</xdr:colOff>
      <xdr:row>684</xdr:row>
      <xdr:rowOff>129116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3A4B7776-D218-4496-8C2C-58EA9DFC9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718633</xdr:colOff>
      <xdr:row>185</xdr:row>
      <xdr:rowOff>35858</xdr:rowOff>
    </xdr:from>
    <xdr:to>
      <xdr:col>20</xdr:col>
      <xdr:colOff>170329</xdr:colOff>
      <xdr:row>199</xdr:row>
      <xdr:rowOff>8963</xdr:rowOff>
    </xdr:to>
    <xdr:graphicFrame macro="">
      <xdr:nvGraphicFramePr>
        <xdr:cNvPr id="26" name="Graphique 25">
          <a:extLst>
            <a:ext uri="{FF2B5EF4-FFF2-40B4-BE49-F238E27FC236}">
              <a16:creationId xmlns:a16="http://schemas.microsoft.com/office/drawing/2014/main" id="{8B3FDA25-8986-4F86-9DAA-4F7D58E61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621683</xdr:colOff>
      <xdr:row>316</xdr:row>
      <xdr:rowOff>0</xdr:rowOff>
    </xdr:from>
    <xdr:to>
      <xdr:col>25</xdr:col>
      <xdr:colOff>196338</xdr:colOff>
      <xdr:row>324</xdr:row>
      <xdr:rowOff>154042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DEC3740A-40B1-4D67-9DB7-499A6B639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484414</xdr:colOff>
      <xdr:row>371</xdr:row>
      <xdr:rowOff>170907</xdr:rowOff>
    </xdr:from>
    <xdr:to>
      <xdr:col>15</xdr:col>
      <xdr:colOff>538844</xdr:colOff>
      <xdr:row>384</xdr:row>
      <xdr:rowOff>89263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28C737E6-0878-4FE8-9DF6-86F0BDB83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328058</xdr:colOff>
      <xdr:row>526</xdr:row>
      <xdr:rowOff>108860</xdr:rowOff>
    </xdr:from>
    <xdr:to>
      <xdr:col>37</xdr:col>
      <xdr:colOff>744682</xdr:colOff>
      <xdr:row>543</xdr:row>
      <xdr:rowOff>0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5408CB86-F6FC-4595-8F19-B6BFDF9C5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365760</xdr:colOff>
      <xdr:row>371</xdr:row>
      <xdr:rowOff>289560</xdr:rowOff>
    </xdr:from>
    <xdr:to>
      <xdr:col>23</xdr:col>
      <xdr:colOff>487680</xdr:colOff>
      <xdr:row>384</xdr:row>
      <xdr:rowOff>109946</xdr:rowOff>
    </xdr:to>
    <xdr:graphicFrame macro="">
      <xdr:nvGraphicFramePr>
        <xdr:cNvPr id="37" name="Graphique 36">
          <a:extLst>
            <a:ext uri="{FF2B5EF4-FFF2-40B4-BE49-F238E27FC236}">
              <a16:creationId xmlns:a16="http://schemas.microsoft.com/office/drawing/2014/main" id="{CFB98C45-EA62-474D-9920-0766280CE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6607</xdr:colOff>
      <xdr:row>441</xdr:row>
      <xdr:rowOff>5490</xdr:rowOff>
    </xdr:from>
    <xdr:to>
      <xdr:col>7</xdr:col>
      <xdr:colOff>8963</xdr:colOff>
      <xdr:row>455</xdr:row>
      <xdr:rowOff>179294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B575AD04-3944-4F37-8ABE-28A0D2AE1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114097</xdr:colOff>
      <xdr:row>511</xdr:row>
      <xdr:rowOff>138546</xdr:rowOff>
    </xdr:from>
    <xdr:to>
      <xdr:col>21</xdr:col>
      <xdr:colOff>450272</xdr:colOff>
      <xdr:row>525</xdr:row>
      <xdr:rowOff>138546</xdr:rowOff>
    </xdr:to>
    <xdr:graphicFrame macro="">
      <xdr:nvGraphicFramePr>
        <xdr:cNvPr id="43" name="Graphique 42">
          <a:extLst>
            <a:ext uri="{FF2B5EF4-FFF2-40B4-BE49-F238E27FC236}">
              <a16:creationId xmlns:a16="http://schemas.microsoft.com/office/drawing/2014/main" id="{2DB8D596-F5BC-4512-BD6C-996F667F1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386849</xdr:colOff>
      <xdr:row>511</xdr:row>
      <xdr:rowOff>82064</xdr:rowOff>
    </xdr:from>
    <xdr:to>
      <xdr:col>29</xdr:col>
      <xdr:colOff>242528</xdr:colOff>
      <xdr:row>526</xdr:row>
      <xdr:rowOff>60936</xdr:rowOff>
    </xdr:to>
    <xdr:graphicFrame macro="">
      <xdr:nvGraphicFramePr>
        <xdr:cNvPr id="45" name="Graphique 44">
          <a:extLst>
            <a:ext uri="{FF2B5EF4-FFF2-40B4-BE49-F238E27FC236}">
              <a16:creationId xmlns:a16="http://schemas.microsoft.com/office/drawing/2014/main" id="{336B0D82-6B05-4D04-AF4B-222C7971F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357307</xdr:colOff>
      <xdr:row>527</xdr:row>
      <xdr:rowOff>14807</xdr:rowOff>
    </xdr:from>
    <xdr:to>
      <xdr:col>22</xdr:col>
      <xdr:colOff>173181</xdr:colOff>
      <xdr:row>542</xdr:row>
      <xdr:rowOff>155864</xdr:rowOff>
    </xdr:to>
    <xdr:graphicFrame macro="">
      <xdr:nvGraphicFramePr>
        <xdr:cNvPr id="47" name="Graphique 46">
          <a:extLst>
            <a:ext uri="{FF2B5EF4-FFF2-40B4-BE49-F238E27FC236}">
              <a16:creationId xmlns:a16="http://schemas.microsoft.com/office/drawing/2014/main" id="{E97255C3-7DFE-4DA6-A6C3-BEE224FBB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</xdr:colOff>
      <xdr:row>42</xdr:row>
      <xdr:rowOff>7620</xdr:rowOff>
    </xdr:from>
    <xdr:to>
      <xdr:col>3</xdr:col>
      <xdr:colOff>769620</xdr:colOff>
      <xdr:row>59</xdr:row>
      <xdr:rowOff>160020</xdr:rowOff>
    </xdr:to>
    <xdr:graphicFrame macro="">
      <xdr:nvGraphicFramePr>
        <xdr:cNvPr id="6" name="Graphique 2">
          <a:extLst>
            <a:ext uri="{FF2B5EF4-FFF2-40B4-BE49-F238E27FC236}">
              <a16:creationId xmlns:a16="http://schemas.microsoft.com/office/drawing/2014/main" id="{D5330F22-AC5C-4253-8D64-E7A251929388}"/>
            </a:ext>
            <a:ext uri="{147F2762-F138-4A5C-976F-8EAC2B608ADB}">
              <a16:predDERef xmlns:a16="http://schemas.microsoft.com/office/drawing/2014/main" pred="{61BE2197-7CA5-4FB3-B482-089762153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8965</xdr:colOff>
      <xdr:row>42</xdr:row>
      <xdr:rowOff>8965</xdr:rowOff>
    </xdr:from>
    <xdr:to>
      <xdr:col>11</xdr:col>
      <xdr:colOff>591671</xdr:colOff>
      <xdr:row>59</xdr:row>
      <xdr:rowOff>143435</xdr:rowOff>
    </xdr:to>
    <xdr:graphicFrame macro="">
      <xdr:nvGraphicFramePr>
        <xdr:cNvPr id="36" name="Graphique 35">
          <a:extLst>
            <a:ext uri="{FF2B5EF4-FFF2-40B4-BE49-F238E27FC236}">
              <a16:creationId xmlns:a16="http://schemas.microsoft.com/office/drawing/2014/main" id="{67D48D02-C65B-4316-97CE-E9267A174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35860</xdr:colOff>
      <xdr:row>61</xdr:row>
      <xdr:rowOff>17930</xdr:rowOff>
    </xdr:from>
    <xdr:to>
      <xdr:col>6</xdr:col>
      <xdr:colOff>726139</xdr:colOff>
      <xdr:row>74</xdr:row>
      <xdr:rowOff>125504</xdr:rowOff>
    </xdr:to>
    <xdr:graphicFrame macro="">
      <xdr:nvGraphicFramePr>
        <xdr:cNvPr id="52" name="Graphique 51">
          <a:extLst>
            <a:ext uri="{FF2B5EF4-FFF2-40B4-BE49-F238E27FC236}">
              <a16:creationId xmlns:a16="http://schemas.microsoft.com/office/drawing/2014/main" id="{F9E94293-8465-3A12-01D2-041EA7ADC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8</xdr:col>
      <xdr:colOff>565385</xdr:colOff>
      <xdr:row>101</xdr:row>
      <xdr:rowOff>1208</xdr:rowOff>
    </xdr:from>
    <xdr:to>
      <xdr:col>12</xdr:col>
      <xdr:colOff>149148</xdr:colOff>
      <xdr:row>116</xdr:row>
      <xdr:rowOff>74849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230C8377-356D-C941-4751-8F44DD68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18985" y="21095161"/>
          <a:ext cx="2805343" cy="3094747"/>
        </a:xfrm>
        <a:prstGeom prst="rect">
          <a:avLst/>
        </a:prstGeom>
      </xdr:spPr>
    </xdr:pic>
    <xdr:clientData/>
  </xdr:twoCellAnchor>
  <xdr:twoCellAnchor>
    <xdr:from>
      <xdr:col>1</xdr:col>
      <xdr:colOff>8967</xdr:colOff>
      <xdr:row>226</xdr:row>
      <xdr:rowOff>0</xdr:rowOff>
    </xdr:from>
    <xdr:to>
      <xdr:col>2</xdr:col>
      <xdr:colOff>71719</xdr:colOff>
      <xdr:row>237</xdr:row>
      <xdr:rowOff>161364</xdr:rowOff>
    </xdr:to>
    <xdr:graphicFrame macro="">
      <xdr:nvGraphicFramePr>
        <xdr:cNvPr id="59" name="Graphique 58">
          <a:extLst>
            <a:ext uri="{FF2B5EF4-FFF2-40B4-BE49-F238E27FC236}">
              <a16:creationId xmlns:a16="http://schemas.microsoft.com/office/drawing/2014/main" id="{55B55249-3E0D-4534-B6AD-9724D9215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17929</xdr:colOff>
      <xdr:row>226</xdr:row>
      <xdr:rowOff>8964</xdr:rowOff>
    </xdr:from>
    <xdr:to>
      <xdr:col>8</xdr:col>
      <xdr:colOff>770965</xdr:colOff>
      <xdr:row>237</xdr:row>
      <xdr:rowOff>170328</xdr:rowOff>
    </xdr:to>
    <xdr:graphicFrame macro="">
      <xdr:nvGraphicFramePr>
        <xdr:cNvPr id="60" name="Graphique 59">
          <a:extLst>
            <a:ext uri="{FF2B5EF4-FFF2-40B4-BE49-F238E27FC236}">
              <a16:creationId xmlns:a16="http://schemas.microsoft.com/office/drawing/2014/main" id="{B5DEB5A1-1A39-45C7-87BA-A828D03A0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8964</xdr:colOff>
      <xdr:row>408</xdr:row>
      <xdr:rowOff>8966</xdr:rowOff>
    </xdr:from>
    <xdr:to>
      <xdr:col>3</xdr:col>
      <xdr:colOff>773205</xdr:colOff>
      <xdr:row>420</xdr:row>
      <xdr:rowOff>183666</xdr:rowOff>
    </xdr:to>
    <xdr:graphicFrame macro="">
      <xdr:nvGraphicFramePr>
        <xdr:cNvPr id="3" name="Graphique 61">
          <a:extLst>
            <a:ext uri="{FF2B5EF4-FFF2-40B4-BE49-F238E27FC236}">
              <a16:creationId xmlns:a16="http://schemas.microsoft.com/office/drawing/2014/main" id="{2951AC93-E1E9-4236-BC1C-BEE8ACDC982D}"/>
            </a:ext>
            <a:ext uri="{147F2762-F138-4A5C-976F-8EAC2B608ADB}">
              <a16:predDERef xmlns:a16="http://schemas.microsoft.com/office/drawing/2014/main" pred="{17C1B178-BE69-44FF-9FF6-3D2F74C68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</xdr:col>
      <xdr:colOff>8965</xdr:colOff>
      <xdr:row>422</xdr:row>
      <xdr:rowOff>8965</xdr:rowOff>
    </xdr:from>
    <xdr:to>
      <xdr:col>11</xdr:col>
      <xdr:colOff>591671</xdr:colOff>
      <xdr:row>439</xdr:row>
      <xdr:rowOff>143435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999816D8-4C3A-48CD-BD0E-D8329F4E4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0</xdr:colOff>
      <xdr:row>408</xdr:row>
      <xdr:rowOff>0</xdr:rowOff>
    </xdr:from>
    <xdr:to>
      <xdr:col>11</xdr:col>
      <xdr:colOff>557412</xdr:colOff>
      <xdr:row>420</xdr:row>
      <xdr:rowOff>174700</xdr:rowOff>
    </xdr:to>
    <xdr:graphicFrame macro="">
      <xdr:nvGraphicFramePr>
        <xdr:cNvPr id="11" name="Graphique 62">
          <a:extLst>
            <a:ext uri="{FF2B5EF4-FFF2-40B4-BE49-F238E27FC236}">
              <a16:creationId xmlns:a16="http://schemas.microsoft.com/office/drawing/2014/main" id="{3D7E3D41-AA76-4FB4-BBAB-CB0191345E9A}"/>
            </a:ext>
            <a:ext uri="{147F2762-F138-4A5C-976F-8EAC2B608ADB}">
              <a16:predDERef xmlns:a16="http://schemas.microsoft.com/office/drawing/2014/main" pred="{17C1B178-BE69-44FF-9FF6-3D2F74C68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1</xdr:colOff>
      <xdr:row>735</xdr:row>
      <xdr:rowOff>0</xdr:rowOff>
    </xdr:from>
    <xdr:to>
      <xdr:col>4</xdr:col>
      <xdr:colOff>792481</xdr:colOff>
      <xdr:row>748</xdr:row>
      <xdr:rowOff>123320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8A0C1134-54E0-49F0-A861-D3ADD3521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1066800</xdr:colOff>
      <xdr:row>757</xdr:row>
      <xdr:rowOff>1</xdr:rowOff>
    </xdr:from>
    <xdr:to>
      <xdr:col>3</xdr:col>
      <xdr:colOff>784860</xdr:colOff>
      <xdr:row>770</xdr:row>
      <xdr:rowOff>7620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6859660B-057A-4E23-8626-121DBE812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</xdr:col>
      <xdr:colOff>0</xdr:colOff>
      <xdr:row>757</xdr:row>
      <xdr:rowOff>0</xdr:rowOff>
    </xdr:from>
    <xdr:to>
      <xdr:col>11</xdr:col>
      <xdr:colOff>601980</xdr:colOff>
      <xdr:row>770</xdr:row>
      <xdr:rowOff>15240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E8040071-BBED-450E-829D-61C4BA887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356151</xdr:colOff>
      <xdr:row>645</xdr:row>
      <xdr:rowOff>115956</xdr:rowOff>
    </xdr:from>
    <xdr:to>
      <xdr:col>22</xdr:col>
      <xdr:colOff>637760</xdr:colOff>
      <xdr:row>660</xdr:row>
      <xdr:rowOff>154057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9F2025D-72DE-575D-C9B2-AB633F47B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414618</xdr:colOff>
      <xdr:row>153</xdr:row>
      <xdr:rowOff>190501</xdr:rowOff>
    </xdr:from>
    <xdr:to>
      <xdr:col>15</xdr:col>
      <xdr:colOff>251437</xdr:colOff>
      <xdr:row>165</xdr:row>
      <xdr:rowOff>130333</xdr:rowOff>
    </xdr:to>
    <xdr:graphicFrame macro="">
      <xdr:nvGraphicFramePr>
        <xdr:cNvPr id="4" name="Graphique 7">
          <a:extLst>
            <a:ext uri="{FF2B5EF4-FFF2-40B4-BE49-F238E27FC236}">
              <a16:creationId xmlns:a16="http://schemas.microsoft.com/office/drawing/2014/main" id="{56A8541E-9361-4DB1-ADCB-071F1D3A2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733425</xdr:colOff>
      <xdr:row>527</xdr:row>
      <xdr:rowOff>126546</xdr:rowOff>
    </xdr:from>
    <xdr:to>
      <xdr:col>31</xdr:col>
      <xdr:colOff>34018</xdr:colOff>
      <xdr:row>544</xdr:row>
      <xdr:rowOff>59871</xdr:rowOff>
    </xdr:to>
    <xdr:graphicFrame macro="">
      <xdr:nvGraphicFramePr>
        <xdr:cNvPr id="19" name="Graphique 52">
          <a:extLst>
            <a:ext uri="{FF2B5EF4-FFF2-40B4-BE49-F238E27FC236}">
              <a16:creationId xmlns:a16="http://schemas.microsoft.com/office/drawing/2014/main" id="{E336CBDC-7BF2-4246-AA31-95411715A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341539</xdr:colOff>
      <xdr:row>509</xdr:row>
      <xdr:rowOff>161925</xdr:rowOff>
    </xdr:from>
    <xdr:to>
      <xdr:col>37</xdr:col>
      <xdr:colOff>561423</xdr:colOff>
      <xdr:row>526</xdr:row>
      <xdr:rowOff>60112</xdr:rowOff>
    </xdr:to>
    <xdr:graphicFrame macro="">
      <xdr:nvGraphicFramePr>
        <xdr:cNvPr id="30" name="Graphique 57">
          <a:extLst>
            <a:ext uri="{FF2B5EF4-FFF2-40B4-BE49-F238E27FC236}">
              <a16:creationId xmlns:a16="http://schemas.microsoft.com/office/drawing/2014/main" id="{D4223F62-1C94-48D0-AF7D-7DF7873C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38</xdr:col>
      <xdr:colOff>100694</xdr:colOff>
      <xdr:row>508</xdr:row>
      <xdr:rowOff>157842</xdr:rowOff>
    </xdr:from>
    <xdr:to>
      <xdr:col>46</xdr:col>
      <xdr:colOff>62594</xdr:colOff>
      <xdr:row>526</xdr:row>
      <xdr:rowOff>176891</xdr:rowOff>
    </xdr:to>
    <xdr:graphicFrame macro="">
      <xdr:nvGraphicFramePr>
        <xdr:cNvPr id="33" name="Graphique 45">
          <a:extLst>
            <a:ext uri="{FF2B5EF4-FFF2-40B4-BE49-F238E27FC236}">
              <a16:creationId xmlns:a16="http://schemas.microsoft.com/office/drawing/2014/main" id="{025935F9-F096-4EB2-9C70-F5F8DB6F7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38</xdr:col>
      <xdr:colOff>81643</xdr:colOff>
      <xdr:row>527</xdr:row>
      <xdr:rowOff>0</xdr:rowOff>
    </xdr:from>
    <xdr:to>
      <xdr:col>46</xdr:col>
      <xdr:colOff>39461</xdr:colOff>
      <xdr:row>545</xdr:row>
      <xdr:rowOff>19049</xdr:rowOff>
    </xdr:to>
    <xdr:graphicFrame macro="">
      <xdr:nvGraphicFramePr>
        <xdr:cNvPr id="34" name="Graphique 38">
          <a:extLst>
            <a:ext uri="{FF2B5EF4-FFF2-40B4-BE49-F238E27FC236}">
              <a16:creationId xmlns:a16="http://schemas.microsoft.com/office/drawing/2014/main" id="{B0CA787C-5DD3-4B60-B679-79AD05D51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0.01572</cdr:x>
      <cdr:y>0.17688</cdr:y>
    </cdr:from>
    <cdr:to>
      <cdr:x>0.79913</cdr:x>
      <cdr:y>0.17808</cdr:y>
    </cdr:to>
    <cdr:cxnSp macro="">
      <cdr:nvCxnSpPr>
        <cdr:cNvPr id="3" name="Connecteur droit 2">
          <a:extLst xmlns:a="http://schemas.openxmlformats.org/drawingml/2006/main">
            <a:ext uri="{FF2B5EF4-FFF2-40B4-BE49-F238E27FC236}">
              <a16:creationId xmlns:a16="http://schemas.microsoft.com/office/drawing/2014/main" id="{242DA3C9-0C84-A92D-98FE-89E2C2CD7339}"/>
            </a:ext>
          </a:extLst>
        </cdr:cNvPr>
        <cdr:cNvCxnSpPr/>
      </cdr:nvCxnSpPr>
      <cdr:spPr>
        <a:xfrm xmlns:a="http://schemas.openxmlformats.org/drawingml/2006/main">
          <a:off x="84841" y="578767"/>
          <a:ext cx="4228437" cy="3939"/>
        </a:xfrm>
        <a:prstGeom xmlns:a="http://schemas.openxmlformats.org/drawingml/2006/main" prst="line">
          <a:avLst/>
        </a:prstGeom>
        <a:ln xmlns:a="http://schemas.openxmlformats.org/drawingml/2006/main" w="38100" cap="flat" cmpd="sng" algn="ctr">
          <a:solidFill>
            <a:srgbClr val="58267E"/>
          </a:solidFill>
          <a:prstDash val="solid"/>
          <a:round/>
          <a:headEnd type="arrow" w="med" len="med"/>
          <a:tailEnd type="arrow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0.41946</cdr:x>
      <cdr:y>0.20459</cdr:y>
    </cdr:from>
    <cdr:to>
      <cdr:x>0.49542</cdr:x>
      <cdr:y>0.29059</cdr:y>
    </cdr:to>
    <cdr:sp macro="" textlink="">
      <cdr:nvSpPr>
        <cdr:cNvPr id="6" name="ZoneTexte 5">
          <a:extLst xmlns:a="http://schemas.openxmlformats.org/drawingml/2006/main">
            <a:ext uri="{FF2B5EF4-FFF2-40B4-BE49-F238E27FC236}">
              <a16:creationId xmlns:a16="http://schemas.microsoft.com/office/drawing/2014/main" id="{4C89334C-1D3D-B534-7F37-0BB9BD459CC9}"/>
            </a:ext>
          </a:extLst>
        </cdr:cNvPr>
        <cdr:cNvSpPr txBox="1"/>
      </cdr:nvSpPr>
      <cdr:spPr>
        <a:xfrm xmlns:a="http://schemas.openxmlformats.org/drawingml/2006/main">
          <a:off x="2264039" y="669458"/>
          <a:ext cx="409992" cy="28140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1100"/>
            <a:t>PDV</a:t>
          </a:r>
        </a:p>
      </cdr:txBody>
    </cdr:sp>
  </cdr:relSizeAnchor>
  <cdr:relSizeAnchor xmlns:cdr="http://schemas.openxmlformats.org/drawingml/2006/chartDrawing">
    <cdr:from>
      <cdr:x>0.8472</cdr:x>
      <cdr:y>0.2071</cdr:y>
    </cdr:from>
    <cdr:to>
      <cdr:x>0.92317</cdr:x>
      <cdr:y>0.2931</cdr:y>
    </cdr:to>
    <cdr:sp macro="" textlink="">
      <cdr:nvSpPr>
        <cdr:cNvPr id="7" name="ZoneTexte 1">
          <a:extLst xmlns:a="http://schemas.openxmlformats.org/drawingml/2006/main">
            <a:ext uri="{FF2B5EF4-FFF2-40B4-BE49-F238E27FC236}">
              <a16:creationId xmlns:a16="http://schemas.microsoft.com/office/drawing/2014/main" id="{F0E5F903-73ED-B000-7337-F3F8B31B8399}"/>
            </a:ext>
          </a:extLst>
        </cdr:cNvPr>
        <cdr:cNvSpPr txBox="1"/>
      </cdr:nvSpPr>
      <cdr:spPr>
        <a:xfrm xmlns:a="http://schemas.openxmlformats.org/drawingml/2006/main">
          <a:off x="4572712" y="677666"/>
          <a:ext cx="410045" cy="28140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fr-FR" sz="1100"/>
            <a:t>RP</a:t>
          </a:r>
        </a:p>
      </cdr:txBody>
    </cdr:sp>
  </cdr:relSizeAnchor>
  <cdr:relSizeAnchor xmlns:cdr="http://schemas.openxmlformats.org/drawingml/2006/chartDrawing">
    <cdr:from>
      <cdr:x>0.80494</cdr:x>
      <cdr:y>0.17808</cdr:y>
    </cdr:from>
    <cdr:to>
      <cdr:x>0.96664</cdr:x>
      <cdr:y>0.17864</cdr:y>
    </cdr:to>
    <cdr:cxnSp macro="">
      <cdr:nvCxnSpPr>
        <cdr:cNvPr id="10" name="Connecteur droit 9">
          <a:extLst xmlns:a="http://schemas.openxmlformats.org/drawingml/2006/main">
            <a:ext uri="{FF2B5EF4-FFF2-40B4-BE49-F238E27FC236}">
              <a16:creationId xmlns:a16="http://schemas.microsoft.com/office/drawing/2014/main" id="{21D494B7-7374-D2D6-D0CF-D4CE1574CC8E}"/>
            </a:ext>
          </a:extLst>
        </cdr:cNvPr>
        <cdr:cNvCxnSpPr/>
      </cdr:nvCxnSpPr>
      <cdr:spPr>
        <a:xfrm xmlns:a="http://schemas.openxmlformats.org/drawingml/2006/main" flipV="1">
          <a:off x="4344633" y="582706"/>
          <a:ext cx="872760" cy="1818"/>
        </a:xfrm>
        <a:prstGeom xmlns:a="http://schemas.openxmlformats.org/drawingml/2006/main" prst="line">
          <a:avLst/>
        </a:prstGeom>
        <a:ln xmlns:a="http://schemas.openxmlformats.org/drawingml/2006/main" w="38100" cap="flat" cmpd="sng" algn="ctr">
          <a:solidFill>
            <a:srgbClr val="58267E"/>
          </a:solidFill>
          <a:prstDash val="solid"/>
          <a:round/>
          <a:headEnd type="arrow" w="med" len="med"/>
          <a:tailEnd type="arrow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0.14902</cdr:x>
      <cdr:y>0.47335</cdr:y>
    </cdr:from>
    <cdr:to>
      <cdr:x>1</cdr:x>
      <cdr:y>0.47604</cdr:y>
    </cdr:to>
    <cdr:cxnSp macro="">
      <cdr:nvCxnSpPr>
        <cdr:cNvPr id="2" name="Connecteur droit 1">
          <a:extLst xmlns:a="http://schemas.openxmlformats.org/drawingml/2006/main">
            <a:ext uri="{FF2B5EF4-FFF2-40B4-BE49-F238E27FC236}">
              <a16:creationId xmlns:a16="http://schemas.microsoft.com/office/drawing/2014/main" id="{72FE8B6A-C996-4BE9-9D08-F43E6030491C}"/>
            </a:ext>
          </a:extLst>
        </cdr:cNvPr>
        <cdr:cNvCxnSpPr/>
      </cdr:nvCxnSpPr>
      <cdr:spPr>
        <a:xfrm xmlns:a="http://schemas.openxmlformats.org/drawingml/2006/main" flipV="1">
          <a:off x="868120" y="1328195"/>
          <a:ext cx="4957481" cy="754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0.47286</cdr:x>
      <cdr:y>0.45261</cdr:y>
    </cdr:from>
    <cdr:to>
      <cdr:x>1</cdr:x>
      <cdr:y>0.49261</cdr:y>
    </cdr:to>
    <cdr:sp macro="" textlink="">
      <cdr:nvSpPr>
        <cdr:cNvPr id="3" name="ZoneTexte 1">
          <a:extLst xmlns:a="http://schemas.openxmlformats.org/drawingml/2006/main">
            <a:ext uri="{FF2B5EF4-FFF2-40B4-BE49-F238E27FC236}">
              <a16:creationId xmlns:a16="http://schemas.microsoft.com/office/drawing/2014/main" id="{925C7253-5851-4543-B3FC-26276FD3CC97}"/>
            </a:ext>
          </a:extLst>
        </cdr:cNvPr>
        <cdr:cNvSpPr txBox="1"/>
      </cdr:nvSpPr>
      <cdr:spPr>
        <a:xfrm xmlns:a="http://schemas.openxmlformats.org/drawingml/2006/main">
          <a:off x="2754680" y="1270000"/>
          <a:ext cx="3070921" cy="112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fr-FR" sz="900" b="1">
              <a:solidFill>
                <a:srgbClr val="FF0000"/>
              </a:solidFill>
            </a:rPr>
            <a:t>40 ans : Durée d'amortissement réseaux HTA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0.11824</cdr:x>
      <cdr:y>0.37574</cdr:y>
    </cdr:from>
    <cdr:to>
      <cdr:x>0.95178</cdr:x>
      <cdr:y>0.37788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2B0D34A-4B78-46C5-B279-BEA7D17E4DCC}"/>
            </a:ext>
          </a:extLst>
        </cdr:cNvPr>
        <cdr:cNvCxnSpPr/>
      </cdr:nvCxnSpPr>
      <cdr:spPr>
        <a:xfrm xmlns:a="http://schemas.openxmlformats.org/drawingml/2006/main" flipV="1">
          <a:off x="853000" y="1159565"/>
          <a:ext cx="6013284" cy="662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0.11841</cdr:x>
      <cdr:y>0.4915</cdr:y>
    </cdr:from>
    <cdr:to>
      <cdr:x>0.95195</cdr:x>
      <cdr:y>0.49365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5FE0F80-51A1-BFA5-12BE-ECB5DA7F8C8A}"/>
            </a:ext>
          </a:extLst>
        </cdr:cNvPr>
        <cdr:cNvCxnSpPr/>
      </cdr:nvCxnSpPr>
      <cdr:spPr>
        <a:xfrm xmlns:a="http://schemas.openxmlformats.org/drawingml/2006/main" flipV="1">
          <a:off x="854213" y="1516822"/>
          <a:ext cx="6013284" cy="6626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0.5465</cdr:x>
      <cdr:y>0.33816</cdr:y>
    </cdr:from>
    <cdr:to>
      <cdr:x>0.91045</cdr:x>
      <cdr:y>0.37037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DBC6AC6-E2D7-02D7-0AED-70DAF0961C95}"/>
            </a:ext>
          </a:extLst>
        </cdr:cNvPr>
        <cdr:cNvSpPr txBox="1"/>
      </cdr:nvSpPr>
      <cdr:spPr>
        <a:xfrm xmlns:a="http://schemas.openxmlformats.org/drawingml/2006/main">
          <a:off x="3942522" y="1043609"/>
          <a:ext cx="2625587" cy="99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fr-FR" sz="1100"/>
        </a:p>
      </cdr:txBody>
    </cdr:sp>
  </cdr:relSizeAnchor>
  <cdr:relSizeAnchor xmlns:cdr="http://schemas.openxmlformats.org/drawingml/2006/chartDrawing">
    <cdr:from>
      <cdr:x>0.49828</cdr:x>
      <cdr:y>0.31133</cdr:y>
    </cdr:from>
    <cdr:to>
      <cdr:x>0.8473</cdr:x>
      <cdr:y>0.39721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796E1B3-FE99-A581-1B98-B4D97F6B796C}"/>
            </a:ext>
          </a:extLst>
        </cdr:cNvPr>
        <cdr:cNvSpPr txBox="1"/>
      </cdr:nvSpPr>
      <cdr:spPr>
        <a:xfrm xmlns:a="http://schemas.openxmlformats.org/drawingml/2006/main">
          <a:off x="3594652" y="960782"/>
          <a:ext cx="2517913" cy="2650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900" b="1">
              <a:solidFill>
                <a:srgbClr val="FF0000"/>
              </a:solidFill>
            </a:rPr>
            <a:t>50 ans : Durée</a:t>
          </a:r>
          <a:r>
            <a:rPr lang="fr-FR" sz="900" b="1" baseline="0">
              <a:solidFill>
                <a:srgbClr val="FF0000"/>
              </a:solidFill>
            </a:rPr>
            <a:t> d'amortissement réseaux torsadé</a:t>
          </a:r>
          <a:endParaRPr lang="fr-FR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0.49958</cdr:x>
      <cdr:y>0.42172</cdr:y>
    </cdr:from>
    <cdr:to>
      <cdr:x>0.95752</cdr:x>
      <cdr:y>0.5076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2B6DEF18-89F9-15C9-12C4-19611B526CC2}"/>
            </a:ext>
          </a:extLst>
        </cdr:cNvPr>
        <cdr:cNvSpPr txBox="1"/>
      </cdr:nvSpPr>
      <cdr:spPr>
        <a:xfrm xmlns:a="http://schemas.openxmlformats.org/drawingml/2006/main">
          <a:off x="3604039" y="1301474"/>
          <a:ext cx="3303658" cy="2650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fr-FR" sz="900" b="1">
              <a:solidFill>
                <a:srgbClr val="FF0000"/>
              </a:solidFill>
            </a:rPr>
            <a:t>40 ans : Durée</a:t>
          </a:r>
          <a:r>
            <a:rPr lang="fr-FR" sz="900" b="1" baseline="0">
              <a:solidFill>
                <a:srgbClr val="FF0000"/>
              </a:solidFill>
            </a:rPr>
            <a:t> d'amortissement réseaux aériens nus et souterrains</a:t>
          </a:r>
          <a:endParaRPr lang="fr-FR" sz="900" b="1">
            <a:solidFill>
              <a:srgbClr val="FF0000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761673</xdr:colOff>
      <xdr:row>118</xdr:row>
      <xdr:rowOff>23156</xdr:rowOff>
    </xdr:from>
    <xdr:to>
      <xdr:col>29</xdr:col>
      <xdr:colOff>11205</xdr:colOff>
      <xdr:row>131</xdr:row>
      <xdr:rowOff>78441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94523E2-33E8-4F6E-8819-F2A183B4F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214761</xdr:colOff>
      <xdr:row>103</xdr:row>
      <xdr:rowOff>167147</xdr:rowOff>
    </xdr:from>
    <xdr:to>
      <xdr:col>17</xdr:col>
      <xdr:colOff>785949</xdr:colOff>
      <xdr:row>118</xdr:row>
      <xdr:rowOff>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81BE8690-EACA-4653-9426-15A49E3A5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145678</xdr:colOff>
      <xdr:row>103</xdr:row>
      <xdr:rowOff>54557</xdr:rowOff>
    </xdr:from>
    <xdr:to>
      <xdr:col>23</xdr:col>
      <xdr:colOff>403413</xdr:colOff>
      <xdr:row>117</xdr:row>
      <xdr:rowOff>44823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4F3310BF-089F-4143-9B49-8B47B1A72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743909</xdr:colOff>
      <xdr:row>103</xdr:row>
      <xdr:rowOff>87279</xdr:rowOff>
    </xdr:from>
    <xdr:to>
      <xdr:col>28</xdr:col>
      <xdr:colOff>364543</xdr:colOff>
      <xdr:row>118</xdr:row>
      <xdr:rowOff>44824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7231C332-3C27-4073-BCAC-CF553C268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10083</xdr:colOff>
      <xdr:row>2</xdr:row>
      <xdr:rowOff>188613</xdr:rowOff>
    </xdr:from>
    <xdr:to>
      <xdr:col>4</xdr:col>
      <xdr:colOff>30480</xdr:colOff>
      <xdr:row>16</xdr:row>
      <xdr:rowOff>22860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7DBFE3-CF0A-4384-977C-08BA1007D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365760</xdr:colOff>
      <xdr:row>121</xdr:row>
      <xdr:rowOff>99060</xdr:rowOff>
    </xdr:from>
    <xdr:to>
      <xdr:col>14</xdr:col>
      <xdr:colOff>189378</xdr:colOff>
      <xdr:row>132</xdr:row>
      <xdr:rowOff>316790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8B82082-3BEF-4C19-A142-B0AFCDE50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30480</xdr:colOff>
      <xdr:row>118</xdr:row>
      <xdr:rowOff>0</xdr:rowOff>
    </xdr:from>
    <xdr:to>
      <xdr:col>21</xdr:col>
      <xdr:colOff>320376</xdr:colOff>
      <xdr:row>129</xdr:row>
      <xdr:rowOff>38100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B8FDFE6B-294A-4B4C-BE2C-E17475538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101189</xdr:colOff>
      <xdr:row>66</xdr:row>
      <xdr:rowOff>124721</xdr:rowOff>
    </xdr:from>
    <xdr:to>
      <xdr:col>20</xdr:col>
      <xdr:colOff>407781</xdr:colOff>
      <xdr:row>72</xdr:row>
      <xdr:rowOff>171002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E5BB9E6-A2D0-433C-A78E-E8E8383FD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805815</xdr:colOff>
      <xdr:row>17</xdr:row>
      <xdr:rowOff>106680</xdr:rowOff>
    </xdr:from>
    <xdr:to>
      <xdr:col>13</xdr:col>
      <xdr:colOff>30480</xdr:colOff>
      <xdr:row>28</xdr:row>
      <xdr:rowOff>106680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E9F404F8-A95D-D8E0-5947-23EF3C89D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64546</xdr:colOff>
      <xdr:row>3</xdr:row>
      <xdr:rowOff>76201</xdr:rowOff>
    </xdr:from>
    <xdr:ext cx="5536154" cy="2468879"/>
    <xdr:graphicFrame macro="">
      <xdr:nvGraphicFramePr>
        <xdr:cNvPr id="2" name="dép_HTA_contrainte">
          <a:extLst>
            <a:ext uri="{FF2B5EF4-FFF2-40B4-BE49-F238E27FC236}">
              <a16:creationId xmlns:a16="http://schemas.microsoft.com/office/drawing/2014/main" id="{D8D81338-210A-4008-BDE0-A874E6D3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15</xdr:col>
      <xdr:colOff>353658</xdr:colOff>
      <xdr:row>3</xdr:row>
      <xdr:rowOff>24766</xdr:rowOff>
    </xdr:from>
    <xdr:ext cx="5626953" cy="2592159"/>
    <xdr:graphicFrame macro="">
      <xdr:nvGraphicFramePr>
        <xdr:cNvPr id="5" name="dép_HTA_contrainte_2">
          <a:extLst>
            <a:ext uri="{FF2B5EF4-FFF2-40B4-BE49-F238E27FC236}">
              <a16:creationId xmlns:a16="http://schemas.microsoft.com/office/drawing/2014/main" id="{A1040A9C-2D6B-4DA6-B51F-EA0A8694A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twoCellAnchor>
    <xdr:from>
      <xdr:col>7</xdr:col>
      <xdr:colOff>724988</xdr:colOff>
      <xdr:row>31</xdr:row>
      <xdr:rowOff>66403</xdr:rowOff>
    </xdr:from>
    <xdr:to>
      <xdr:col>14</xdr:col>
      <xdr:colOff>624840</xdr:colOff>
      <xdr:row>44</xdr:row>
      <xdr:rowOff>44632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42AAEAF-8A88-4B1B-813B-CD067085B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293543</xdr:colOff>
      <xdr:row>3</xdr:row>
      <xdr:rowOff>202275</xdr:rowOff>
    </xdr:from>
    <xdr:to>
      <xdr:col>32</xdr:col>
      <xdr:colOff>344978</xdr:colOff>
      <xdr:row>13</xdr:row>
      <xdr:rowOff>288000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F1C6290-00C2-43FB-92E7-F4347D097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508198</xdr:colOff>
      <xdr:row>7</xdr:row>
      <xdr:rowOff>21525</xdr:rowOff>
    </xdr:from>
    <xdr:to>
      <xdr:col>16</xdr:col>
      <xdr:colOff>407422</xdr:colOff>
      <xdr:row>22</xdr:row>
      <xdr:rowOff>139634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618402-6136-43A0-9A8C-DAF5D953B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73751</xdr:colOff>
      <xdr:row>3</xdr:row>
      <xdr:rowOff>378451</xdr:rowOff>
    </xdr:from>
    <xdr:to>
      <xdr:col>26</xdr:col>
      <xdr:colOff>642257</xdr:colOff>
      <xdr:row>20</xdr:row>
      <xdr:rowOff>166254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FACE6E6-489F-45E6-9C72-9DC361250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676275</xdr:colOff>
      <xdr:row>32</xdr:row>
      <xdr:rowOff>186690</xdr:rowOff>
    </xdr:from>
    <xdr:to>
      <xdr:col>14</xdr:col>
      <xdr:colOff>228332</xdr:colOff>
      <xdr:row>45</xdr:row>
      <xdr:rowOff>187419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5B484CB-93A1-4BD6-8975-04AC88A81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463866</xdr:colOff>
      <xdr:row>32</xdr:row>
      <xdr:rowOff>131445</xdr:rowOff>
    </xdr:from>
    <xdr:to>
      <xdr:col>20</xdr:col>
      <xdr:colOff>15923</xdr:colOff>
      <xdr:row>45</xdr:row>
      <xdr:rowOff>137617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57DCECF8-A869-41A7-9CBF-12E36220C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48986</xdr:colOff>
      <xdr:row>46</xdr:row>
      <xdr:rowOff>1497</xdr:rowOff>
    </xdr:from>
    <xdr:to>
      <xdr:col>13</xdr:col>
      <xdr:colOff>395700</xdr:colOff>
      <xdr:row>60</xdr:row>
      <xdr:rowOff>105640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A289910-319C-4381-999D-BEFA08441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461009</xdr:colOff>
      <xdr:row>46</xdr:row>
      <xdr:rowOff>84773</xdr:rowOff>
    </xdr:from>
    <xdr:to>
      <xdr:col>20</xdr:col>
      <xdr:colOff>13066</xdr:colOff>
      <xdr:row>61</xdr:row>
      <xdr:rowOff>3859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629DE80E-A49C-4467-A0AD-9491D5946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781051</xdr:colOff>
      <xdr:row>61</xdr:row>
      <xdr:rowOff>9798</xdr:rowOff>
    </xdr:from>
    <xdr:to>
      <xdr:col>16</xdr:col>
      <xdr:colOff>98613</xdr:colOff>
      <xdr:row>73</xdr:row>
      <xdr:rowOff>26894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16BB12D5-5721-4E42-A22D-1D2E75CFF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310136</xdr:colOff>
      <xdr:row>43</xdr:row>
      <xdr:rowOff>9607</xdr:rowOff>
    </xdr:from>
    <xdr:to>
      <xdr:col>17</xdr:col>
      <xdr:colOff>498764</xdr:colOff>
      <xdr:row>55</xdr:row>
      <xdr:rowOff>41563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7E9433D-1CBB-4313-8B4A-8FD3F6B96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61976</xdr:colOff>
      <xdr:row>58</xdr:row>
      <xdr:rowOff>39461</xdr:rowOff>
    </xdr:from>
    <xdr:to>
      <xdr:col>16</xdr:col>
      <xdr:colOff>484909</xdr:colOff>
      <xdr:row>70</xdr:row>
      <xdr:rowOff>152400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6B6A295-8394-40E1-AA77-9F72F4E5C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54925</xdr:colOff>
      <xdr:row>58</xdr:row>
      <xdr:rowOff>35241</xdr:rowOff>
    </xdr:from>
    <xdr:to>
      <xdr:col>22</xdr:col>
      <xdr:colOff>27709</xdr:colOff>
      <xdr:row>70</xdr:row>
      <xdr:rowOff>83127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BD7650A9-4562-4661-9D5F-E833428A9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95003</xdr:colOff>
      <xdr:row>73</xdr:row>
      <xdr:rowOff>51955</xdr:rowOff>
    </xdr:from>
    <xdr:to>
      <xdr:col>16</xdr:col>
      <xdr:colOff>785633</xdr:colOff>
      <xdr:row>85</xdr:row>
      <xdr:rowOff>110836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4BB786F0-A4CD-4233-88CF-C6138946F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57225</xdr:colOff>
      <xdr:row>73</xdr:row>
      <xdr:rowOff>22665</xdr:rowOff>
    </xdr:from>
    <xdr:to>
      <xdr:col>28</xdr:col>
      <xdr:colOff>637309</xdr:colOff>
      <xdr:row>85</xdr:row>
      <xdr:rowOff>96983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7699935-D79C-4CB1-BAC2-38B24433E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51954</xdr:colOff>
      <xdr:row>116</xdr:row>
      <xdr:rowOff>31174</xdr:rowOff>
    </xdr:from>
    <xdr:to>
      <xdr:col>15</xdr:col>
      <xdr:colOff>427511</xdr:colOff>
      <xdr:row>128</xdr:row>
      <xdr:rowOff>144780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927C6746-D335-45F5-AA28-5DBC23D6B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190397</xdr:colOff>
      <xdr:row>116</xdr:row>
      <xdr:rowOff>26793</xdr:rowOff>
    </xdr:from>
    <xdr:to>
      <xdr:col>22</xdr:col>
      <xdr:colOff>443345</xdr:colOff>
      <xdr:row>129</xdr:row>
      <xdr:rowOff>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B5ACDA48-3DE6-48BD-9E20-5DA93D1BC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113558</xdr:colOff>
      <xdr:row>172</xdr:row>
      <xdr:rowOff>37607</xdr:rowOff>
    </xdr:from>
    <xdr:to>
      <xdr:col>15</xdr:col>
      <xdr:colOff>597724</xdr:colOff>
      <xdr:row>184</xdr:row>
      <xdr:rowOff>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4D5EEF64-A394-4073-8AA2-A2699B732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79664</xdr:colOff>
      <xdr:row>172</xdr:row>
      <xdr:rowOff>51706</xdr:rowOff>
    </xdr:from>
    <xdr:to>
      <xdr:col>23</xdr:col>
      <xdr:colOff>348096</xdr:colOff>
      <xdr:row>184</xdr:row>
      <xdr:rowOff>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A6102548-A059-4159-9188-D120C6313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180975</xdr:colOff>
      <xdr:row>157</xdr:row>
      <xdr:rowOff>171451</xdr:rowOff>
    </xdr:from>
    <xdr:to>
      <xdr:col>15</xdr:col>
      <xdr:colOff>66675</xdr:colOff>
      <xdr:row>170</xdr:row>
      <xdr:rowOff>129541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24472D80-6283-4EF7-8809-99B617E69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350642</xdr:colOff>
      <xdr:row>9</xdr:row>
      <xdr:rowOff>81854</xdr:rowOff>
    </xdr:from>
    <xdr:to>
      <xdr:col>16</xdr:col>
      <xdr:colOff>114300</xdr:colOff>
      <xdr:row>23</xdr:row>
      <xdr:rowOff>114300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AC39FA74-2E11-4310-8C41-FE47FB94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174914</xdr:colOff>
      <xdr:row>9</xdr:row>
      <xdr:rowOff>55838</xdr:rowOff>
    </xdr:from>
    <xdr:to>
      <xdr:col>24</xdr:col>
      <xdr:colOff>632113</xdr:colOff>
      <xdr:row>21</xdr:row>
      <xdr:rowOff>37234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9D2A8AC8-E55C-4FB6-B631-550DAC76A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749734</xdr:colOff>
      <xdr:row>35</xdr:row>
      <xdr:rowOff>50529</xdr:rowOff>
    </xdr:from>
    <xdr:to>
      <xdr:col>15</xdr:col>
      <xdr:colOff>569542</xdr:colOff>
      <xdr:row>41</xdr:row>
      <xdr:rowOff>83820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3546BEB-93D2-4756-A494-AA0AD6E0C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420188</xdr:colOff>
      <xdr:row>130</xdr:row>
      <xdr:rowOff>256902</xdr:rowOff>
    </xdr:from>
    <xdr:to>
      <xdr:col>17</xdr:col>
      <xdr:colOff>213360</xdr:colOff>
      <xdr:row>145</xdr:row>
      <xdr:rowOff>182880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A92EA57A-EA1E-4999-8EDE-6CC2B7833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95248</xdr:colOff>
      <xdr:row>2</xdr:row>
      <xdr:rowOff>142876</xdr:rowOff>
    </xdr:from>
    <xdr:to>
      <xdr:col>16</xdr:col>
      <xdr:colOff>409575</xdr:colOff>
      <xdr:row>25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8841904-5121-420C-8122-FD005DE42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</xdr:colOff>
      <xdr:row>26</xdr:row>
      <xdr:rowOff>0</xdr:rowOff>
    </xdr:from>
    <xdr:to>
      <xdr:col>16</xdr:col>
      <xdr:colOff>219075</xdr:colOff>
      <xdr:row>47</xdr:row>
      <xdr:rowOff>128587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318A81B-5476-42C8-9C30-E031D6758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355022</xdr:colOff>
      <xdr:row>49</xdr:row>
      <xdr:rowOff>56111</xdr:rowOff>
    </xdr:from>
    <xdr:to>
      <xdr:col>27</xdr:col>
      <xdr:colOff>374072</xdr:colOff>
      <xdr:row>61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74B2038-F39C-4005-9CA5-AE4A87EC4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425507</xdr:colOff>
      <xdr:row>49</xdr:row>
      <xdr:rowOff>34199</xdr:rowOff>
    </xdr:from>
    <xdr:to>
      <xdr:col>21</xdr:col>
      <xdr:colOff>55418</xdr:colOff>
      <xdr:row>61</xdr:row>
      <xdr:rowOff>110836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E4D39DD-0EC4-4EE0-B185-A70D2B0DB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240723</xdr:colOff>
      <xdr:row>2</xdr:row>
      <xdr:rowOff>105640</xdr:rowOff>
    </xdr:from>
    <xdr:to>
      <xdr:col>24</xdr:col>
      <xdr:colOff>69273</xdr:colOff>
      <xdr:row>20</xdr:row>
      <xdr:rowOff>110836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6BFE1AB0-59C8-4722-A0D5-7AB882651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580763</xdr:colOff>
      <xdr:row>49</xdr:row>
      <xdr:rowOff>81825</xdr:rowOff>
    </xdr:from>
    <xdr:to>
      <xdr:col>32</xdr:col>
      <xdr:colOff>681317</xdr:colOff>
      <xdr:row>58</xdr:row>
      <xdr:rowOff>161364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7E4F7F53-75E1-4D85-8F91-07EC359F3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323851</xdr:colOff>
      <xdr:row>26</xdr:row>
      <xdr:rowOff>0</xdr:rowOff>
    </xdr:from>
    <xdr:to>
      <xdr:col>24</xdr:col>
      <xdr:colOff>748147</xdr:colOff>
      <xdr:row>41</xdr:row>
      <xdr:rowOff>110837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C6F84F8D-BA2E-48B0-9991-1E5E3153F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183572</xdr:colOff>
      <xdr:row>49</xdr:row>
      <xdr:rowOff>41301</xdr:rowOff>
    </xdr:from>
    <xdr:to>
      <xdr:col>14</xdr:col>
      <xdr:colOff>57150</xdr:colOff>
      <xdr:row>61</xdr:row>
      <xdr:rowOff>285750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B5BA259B-4495-4616-8982-DEB820B1F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0.79132</cdr:x>
      <cdr:y>0.9413</cdr:y>
    </cdr:from>
    <cdr:to>
      <cdr:x>0.85142</cdr:x>
      <cdr:y>0.96087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DA31EE-BD50-4F6C-A857-D1902672DB59}"/>
            </a:ext>
          </a:extLst>
        </cdr:cNvPr>
        <cdr:cNvSpPr/>
      </cdr:nvSpPr>
      <cdr:spPr>
        <a:xfrm xmlns:a="http://schemas.openxmlformats.org/drawingml/2006/main">
          <a:off x="4514853" y="4124325"/>
          <a:ext cx="342900" cy="85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229160</xdr:colOff>
      <xdr:row>0</xdr:row>
      <xdr:rowOff>26894</xdr:rowOff>
    </xdr:from>
    <xdr:to>
      <xdr:col>16</xdr:col>
      <xdr:colOff>429185</xdr:colOff>
      <xdr:row>16</xdr:row>
      <xdr:rowOff>14288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DF374AA-80A1-43CD-8925-A6A2D0CD2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290511</xdr:colOff>
      <xdr:row>16</xdr:row>
      <xdr:rowOff>52387</xdr:rowOff>
    </xdr:from>
    <xdr:to>
      <xdr:col>16</xdr:col>
      <xdr:colOff>542925</xdr:colOff>
      <xdr:row>29</xdr:row>
      <xdr:rowOff>28575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50421B7B-2510-4511-80BC-153B8EE32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715289</xdr:colOff>
      <xdr:row>9</xdr:row>
      <xdr:rowOff>139533</xdr:rowOff>
    </xdr:from>
    <xdr:to>
      <xdr:col>24</xdr:col>
      <xdr:colOff>349530</xdr:colOff>
      <xdr:row>16</xdr:row>
      <xdr:rowOff>86739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040741F-6DC0-4674-A0F8-9636F0669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606878</xdr:colOff>
      <xdr:row>15</xdr:row>
      <xdr:rowOff>121377</xdr:rowOff>
    </xdr:from>
    <xdr:to>
      <xdr:col>24</xdr:col>
      <xdr:colOff>279219</xdr:colOff>
      <xdr:row>24</xdr:row>
      <xdr:rowOff>21772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A5F8C52-89C3-4F3C-A623-F0B7630A6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618308</xdr:colOff>
      <xdr:row>24</xdr:row>
      <xdr:rowOff>59871</xdr:rowOff>
    </xdr:from>
    <xdr:to>
      <xdr:col>24</xdr:col>
      <xdr:colOff>241119</xdr:colOff>
      <xdr:row>30</xdr:row>
      <xdr:rowOff>130628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F2C4970-2306-4957-A70D-50B14854C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442912</xdr:colOff>
      <xdr:row>13</xdr:row>
      <xdr:rowOff>147636</xdr:rowOff>
    </xdr:from>
    <xdr:to>
      <xdr:col>31</xdr:col>
      <xdr:colOff>19050</xdr:colOff>
      <xdr:row>28</xdr:row>
      <xdr:rowOff>257174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BB2141E-4DDA-4DC8-9AEC-22D9F53D7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314325</xdr:colOff>
      <xdr:row>29</xdr:row>
      <xdr:rowOff>76200</xdr:rowOff>
    </xdr:from>
    <xdr:to>
      <xdr:col>16</xdr:col>
      <xdr:colOff>566739</xdr:colOff>
      <xdr:row>43</xdr:row>
      <xdr:rowOff>119063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6B349261-2E1B-43D9-8981-723D467A7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179615</xdr:colOff>
      <xdr:row>31</xdr:row>
      <xdr:rowOff>33202</xdr:rowOff>
    </xdr:from>
    <xdr:to>
      <xdr:col>24</xdr:col>
      <xdr:colOff>455433</xdr:colOff>
      <xdr:row>44</xdr:row>
      <xdr:rowOff>254862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5227770D-3295-497B-B91A-C2D1388E2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532855</xdr:colOff>
      <xdr:row>29</xdr:row>
      <xdr:rowOff>35923</xdr:rowOff>
    </xdr:from>
    <xdr:to>
      <xdr:col>31</xdr:col>
      <xdr:colOff>79874</xdr:colOff>
      <xdr:row>44</xdr:row>
      <xdr:rowOff>145461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1290A558-90BD-445C-99B0-D2FCFFA03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328612</xdr:colOff>
      <xdr:row>44</xdr:row>
      <xdr:rowOff>38099</xdr:rowOff>
    </xdr:from>
    <xdr:to>
      <xdr:col>17</xdr:col>
      <xdr:colOff>0</xdr:colOff>
      <xdr:row>57</xdr:row>
      <xdr:rowOff>95250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42B90FC-D42A-4E9D-A7B1-E01AE6C3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200569</xdr:colOff>
      <xdr:row>45</xdr:row>
      <xdr:rowOff>48170</xdr:rowOff>
    </xdr:from>
    <xdr:to>
      <xdr:col>24</xdr:col>
      <xdr:colOff>702537</xdr:colOff>
      <xdr:row>59</xdr:row>
      <xdr:rowOff>176486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F9769B95-7ABE-45E4-AC79-D13B3F996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355145</xdr:colOff>
      <xdr:row>159</xdr:row>
      <xdr:rowOff>45582</xdr:rowOff>
    </xdr:from>
    <xdr:to>
      <xdr:col>14</xdr:col>
      <xdr:colOff>625927</xdr:colOff>
      <xdr:row>171</xdr:row>
      <xdr:rowOff>178252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11DD21C5-9EFE-4A02-A959-C8C8A3C94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76200</xdr:colOff>
      <xdr:row>159</xdr:row>
      <xdr:rowOff>23812</xdr:rowOff>
    </xdr:from>
    <xdr:to>
      <xdr:col>21</xdr:col>
      <xdr:colOff>76200</xdr:colOff>
      <xdr:row>169</xdr:row>
      <xdr:rowOff>141515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3030134F-2265-4489-8C1E-7C12D2B3B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400049</xdr:colOff>
      <xdr:row>180</xdr:row>
      <xdr:rowOff>85726</xdr:rowOff>
    </xdr:from>
    <xdr:to>
      <xdr:col>17</xdr:col>
      <xdr:colOff>714374</xdr:colOff>
      <xdr:row>195</xdr:row>
      <xdr:rowOff>38100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CDB4FF12-3A53-4980-87A7-8E557C4E5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186073</xdr:colOff>
      <xdr:row>90</xdr:row>
      <xdr:rowOff>48634</xdr:rowOff>
    </xdr:from>
    <xdr:to>
      <xdr:col>16</xdr:col>
      <xdr:colOff>18378</xdr:colOff>
      <xdr:row>104</xdr:row>
      <xdr:rowOff>105336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8AE484D6-A042-4C95-8A44-53EE0A7C7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92001</xdr:colOff>
      <xdr:row>107</xdr:row>
      <xdr:rowOff>335</xdr:rowOff>
    </xdr:from>
    <xdr:to>
      <xdr:col>16</xdr:col>
      <xdr:colOff>437029</xdr:colOff>
      <xdr:row>126</xdr:row>
      <xdr:rowOff>150495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9B6E8E5B-608B-458A-AD9A-5FFEAFC82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604836</xdr:colOff>
      <xdr:row>87</xdr:row>
      <xdr:rowOff>52386</xdr:rowOff>
    </xdr:from>
    <xdr:to>
      <xdr:col>22</xdr:col>
      <xdr:colOff>380999</xdr:colOff>
      <xdr:row>103</xdr:row>
      <xdr:rowOff>19050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55B10124-F778-4C68-AE5D-71FACE063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36739</xdr:colOff>
      <xdr:row>103</xdr:row>
      <xdr:rowOff>137432</xdr:rowOff>
    </xdr:from>
    <xdr:to>
      <xdr:col>22</xdr:col>
      <xdr:colOff>607559</xdr:colOff>
      <xdr:row>118</xdr:row>
      <xdr:rowOff>33338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A3741BE5-9088-4920-B33C-311BAD3AD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290650</xdr:colOff>
      <xdr:row>58</xdr:row>
      <xdr:rowOff>9388</xdr:rowOff>
    </xdr:from>
    <xdr:to>
      <xdr:col>16</xdr:col>
      <xdr:colOff>709750</xdr:colOff>
      <xdr:row>72</xdr:row>
      <xdr:rowOff>80555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953D8533-AB16-4F04-AF70-ED523339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260169</xdr:colOff>
      <xdr:row>60</xdr:row>
      <xdr:rowOff>126819</xdr:rowOff>
    </xdr:from>
    <xdr:to>
      <xdr:col>24</xdr:col>
      <xdr:colOff>702129</xdr:colOff>
      <xdr:row>74</xdr:row>
      <xdr:rowOff>53787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7ABC73B0-9EF5-4C1A-B1C6-23303D67C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419100</xdr:colOff>
      <xdr:row>72</xdr:row>
      <xdr:rowOff>104775</xdr:rowOff>
    </xdr:from>
    <xdr:to>
      <xdr:col>17</xdr:col>
      <xdr:colOff>0</xdr:colOff>
      <xdr:row>86</xdr:row>
      <xdr:rowOff>352425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29F3ADBF-667B-4BC5-A2A9-DB7D8A362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433386</xdr:colOff>
      <xdr:row>134</xdr:row>
      <xdr:rowOff>97971</xdr:rowOff>
    </xdr:from>
    <xdr:to>
      <xdr:col>16</xdr:col>
      <xdr:colOff>664029</xdr:colOff>
      <xdr:row>151</xdr:row>
      <xdr:rowOff>38100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6DA67BDA-3AB0-47F1-8064-A52CDC228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469246</xdr:colOff>
      <xdr:row>195</xdr:row>
      <xdr:rowOff>229440</xdr:rowOff>
    </xdr:from>
    <xdr:to>
      <xdr:col>17</xdr:col>
      <xdr:colOff>735107</xdr:colOff>
      <xdr:row>208</xdr:row>
      <xdr:rowOff>134470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AE3CD3F2-0E02-4FFA-A7A7-DE603ADAC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138112</xdr:colOff>
      <xdr:row>159</xdr:row>
      <xdr:rowOff>23812</xdr:rowOff>
    </xdr:from>
    <xdr:to>
      <xdr:col>27</xdr:col>
      <xdr:colOff>138112</xdr:colOff>
      <xdr:row>171</xdr:row>
      <xdr:rowOff>138112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A8053432-2FD7-4232-B383-5713B818D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234323</xdr:colOff>
      <xdr:row>0</xdr:row>
      <xdr:rowOff>79513</xdr:rowOff>
    </xdr:from>
    <xdr:to>
      <xdr:col>31</xdr:col>
      <xdr:colOff>605591</xdr:colOff>
      <xdr:row>15</xdr:row>
      <xdr:rowOff>119778</xdr:rowOff>
    </xdr:to>
    <xdr:graphicFrame macro="">
      <xdr:nvGraphicFramePr>
        <xdr:cNvPr id="26" name="Graphique 25">
          <a:extLst>
            <a:ext uri="{FF2B5EF4-FFF2-40B4-BE49-F238E27FC236}">
              <a16:creationId xmlns:a16="http://schemas.microsoft.com/office/drawing/2014/main" id="{7BF46B8B-A3EE-4D1B-AF90-F4A84ACF9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682262</xdr:colOff>
      <xdr:row>0</xdr:row>
      <xdr:rowOff>56334</xdr:rowOff>
    </xdr:from>
    <xdr:to>
      <xdr:col>24</xdr:col>
      <xdr:colOff>320313</xdr:colOff>
      <xdr:row>8</xdr:row>
      <xdr:rowOff>147503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984C9283-B968-49EA-8737-E22B6FF2D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82</xdr:row>
      <xdr:rowOff>22860</xdr:rowOff>
    </xdr:from>
    <xdr:to>
      <xdr:col>6</xdr:col>
      <xdr:colOff>53339</xdr:colOff>
      <xdr:row>98</xdr:row>
      <xdr:rowOff>60960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F72352A-509D-4DE0-B867-4F800E9BA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16190</xdr:colOff>
      <xdr:row>57</xdr:row>
      <xdr:rowOff>35241</xdr:rowOff>
    </xdr:from>
    <xdr:to>
      <xdr:col>6</xdr:col>
      <xdr:colOff>53339</xdr:colOff>
      <xdr:row>74</xdr:row>
      <xdr:rowOff>106680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A1D5674-7CDB-4BEF-9ED4-C2573A781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783907</xdr:colOff>
      <xdr:row>34</xdr:row>
      <xdr:rowOff>33336</xdr:rowOff>
    </xdr:from>
    <xdr:to>
      <xdr:col>5</xdr:col>
      <xdr:colOff>714375</xdr:colOff>
      <xdr:row>50</xdr:row>
      <xdr:rowOff>95249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FE20B04-0846-4FBC-8CEE-6CE5C03A4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</xdr:colOff>
      <xdr:row>106</xdr:row>
      <xdr:rowOff>35242</xdr:rowOff>
    </xdr:from>
    <xdr:to>
      <xdr:col>5</xdr:col>
      <xdr:colOff>779145</xdr:colOff>
      <xdr:row>121</xdr:row>
      <xdr:rowOff>78105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E7F8036-4A05-48D6-9092-3E3B957E6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</xdr:colOff>
      <xdr:row>125</xdr:row>
      <xdr:rowOff>68580</xdr:rowOff>
    </xdr:from>
    <xdr:to>
      <xdr:col>6</xdr:col>
      <xdr:colOff>72390</xdr:colOff>
      <xdr:row>141</xdr:row>
      <xdr:rowOff>97154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8EC37377-AFA9-4096-BBEA-4278838D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10476</xdr:colOff>
      <xdr:row>147</xdr:row>
      <xdr:rowOff>39052</xdr:rowOff>
    </xdr:from>
    <xdr:to>
      <xdr:col>6</xdr:col>
      <xdr:colOff>154305</xdr:colOff>
      <xdr:row>163</xdr:row>
      <xdr:rowOff>112395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55DC49E2-CB23-4DCD-BA66-A4BD8C078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</xdr:row>
      <xdr:rowOff>0</xdr:rowOff>
    </xdr:from>
    <xdr:to>
      <xdr:col>8</xdr:col>
      <xdr:colOff>277459</xdr:colOff>
      <xdr:row>26</xdr:row>
      <xdr:rowOff>47513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5409B65-8925-4676-94D3-D0630B4D6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30556</xdr:colOff>
      <xdr:row>16</xdr:row>
      <xdr:rowOff>10886</xdr:rowOff>
    </xdr:from>
    <xdr:to>
      <xdr:col>4</xdr:col>
      <xdr:colOff>315687</xdr:colOff>
      <xdr:row>33</xdr:row>
      <xdr:rowOff>185057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1BE2197-7CA5-4FB3-B482-08976215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44</xdr:row>
      <xdr:rowOff>0</xdr:rowOff>
    </xdr:from>
    <xdr:to>
      <xdr:col>3</xdr:col>
      <xdr:colOff>752395</xdr:colOff>
      <xdr:row>59</xdr:row>
      <xdr:rowOff>46104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1272F74-97AC-414D-B5BA-077A08E8B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190499</xdr:rowOff>
    </xdr:from>
    <xdr:to>
      <xdr:col>10</xdr:col>
      <xdr:colOff>638735</xdr:colOff>
      <xdr:row>59</xdr:row>
      <xdr:rowOff>44824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106E5BD-13D0-4A45-BE29-06199C65FB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</xdr:colOff>
      <xdr:row>5</xdr:row>
      <xdr:rowOff>3810</xdr:rowOff>
    </xdr:from>
    <xdr:to>
      <xdr:col>22</xdr:col>
      <xdr:colOff>411480</xdr:colOff>
      <xdr:row>35</xdr:row>
      <xdr:rowOff>83820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82658C94-07D6-46AD-AB4A-561256212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5" xr16:uid="{4F455C91-3D35-4E4D-B779-4CE7AC5943FE}" autoFormatId="16" applyNumberFormats="0" applyBorderFormats="0" applyFontFormats="0" applyPatternFormats="0" applyAlignmentFormats="0" applyWidthHeightFormats="0">
  <queryTableRefresh nextId="29">
    <queryTableFields count="28">
      <queryTableField id="1" name="client" tableColumnId="1"/>
      <queryTableField id="2" name="annee" tableColumnId="2"/>
      <queryTableField id="3" name="nbr_sites_isoles" tableColumnId="3"/>
      <queryTableField id="4" name="puissance_tot" tableColumnId="4"/>
      <queryTableField id="5" name="hta_quantite_base_technique" tableColumnId="5"/>
      <queryTableField id="6" name="hta_quantite_base_comptable" tableColumnId="6"/>
      <queryTableField id="7" name="hta_ecart_concession_qte" tableColumnId="7"/>
      <queryTableField id="8" name="hta_ecart_concession_percent" tableColumnId="8"/>
      <queryTableField id="9" name="hta_ecart_commune_qte" tableColumnId="9"/>
      <queryTableField id="10" name="hta_ecart_commune_percent" tableColumnId="10"/>
      <queryTableField id="11" name="bt_quantite_base_technique" tableColumnId="11"/>
      <queryTableField id="12" name="bt_quantite_base_comptable" tableColumnId="12"/>
      <queryTableField id="13" name="bt_ecart_concession_qte" tableColumnId="13"/>
      <queryTableField id="14" name="bt_ecart_concession_percent" tableColumnId="14"/>
      <queryTableField id="15" name="bt_ecart_commune_qte" tableColumnId="15"/>
      <queryTableField id="16" name="bt_ecart_commune_percent" tableColumnId="16"/>
      <queryTableField id="17" name="transfos_quantite_base_technique" tableColumnId="17"/>
      <queryTableField id="18" name="transfos_quantite_base_comptable" tableColumnId="18"/>
      <queryTableField id="19" name="transfos_ecart_concession_qte" tableColumnId="19"/>
      <queryTableField id="20" name="transfos_ecart_concession_percent" tableColumnId="20"/>
      <queryTableField id="21" name="transfos_ecart_commune_qte" tableColumnId="21"/>
      <queryTableField id="22" name="transfos_ecart_commune_percent" tableColumnId="22"/>
      <queryTableField id="23" name="ocb_quantite_base_technique" tableColumnId="23"/>
      <queryTableField id="24" name="ocb_quantite_base_comptable" tableColumnId="24"/>
      <queryTableField id="25" name="ocb_ecart_concession_qte" tableColumnId="25"/>
      <queryTableField id="26" name="ocb_ecart_concession_percent" tableColumnId="26"/>
      <queryTableField id="27" name="ocb_ecart_commune_qte" tableColumnId="27"/>
      <queryTableField id="28" name="ocb_ecart_commune_percent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07" xr16:uid="{DB0C69E5-AEAA-4A2C-ADCB-F8A91A440269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aerien_nu" tableColumnId="3"/>
      <queryTableField id="4" name="aerien_nu_dont_fs" tableColumnId="4"/>
      <queryTableField id="5" name="aerien_torsade" tableColumnId="5"/>
      <queryTableField id="6" name="souterrain" tableColumnId="6"/>
      <queryTableField id="7" name="lineaire_to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119" xr16:uid="{96E3DE43-7064-42D8-AF72-D614326F3130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aerien_nu" tableColumnId="3"/>
      <queryTableField id="4" name="pourcent_aerien_nu_sur_tota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121" xr16:uid="{DB90C8F3-AABA-46E0-89B4-4A913685E896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acier_alu" tableColumnId="3"/>
      <queryTableField id="4" name="pourcent_acier_alu" tableColumnId="4"/>
      <queryTableField id="5" name="aluminium" tableColumnId="5"/>
      <queryTableField id="6" name="pourcent_aluminium" tableColumnId="6"/>
      <queryTableField id="7" name="almelec" tableColumnId="7"/>
      <queryTableField id="8" name="pourcent_almelec" tableColumnId="8"/>
      <queryTableField id="9" name="almelec_acier" tableColumnId="9"/>
      <queryTableField id="10" name="pourcent_almelec_acier" tableColumnId="10"/>
      <queryTableField id="11" name="cuivre" tableColumnId="11"/>
      <queryTableField id="12" name="pourcent_cuivre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123" xr16:uid="{4BA69DBB-7E63-4162-8674-561D6770F742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nbr_depart_bt" tableColumnId="3"/>
      <queryTableField id="4" name="long_moy_depart_bt" tableColumnId="4"/>
      <queryTableField id="5" name="nbr_depart_bt_sup_425m" tableColumnId="5"/>
      <queryTableField id="6" name="nbr_depart_bt_sup_1500m" tableColumnId="6"/>
      <queryTableField id="7" name="nbr_depart_bt_sup_2500m" tableColumnId="7"/>
      <queryTableField id="8" name="max_long_depart_bt" tableColumnId="8"/>
      <queryTableField id="9" name="nom_depart_bt_plus_long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27" xr16:uid="{90788630-B235-45D2-BCB6-59ED14F67EDB}" autoFormatId="16" applyNumberFormats="0" applyBorderFormats="0" applyFontFormats="0" applyPatternFormats="0" applyAlignmentFormats="0" applyWidthHeightFormats="0">
  <queryTableRefresh nextId="19">
    <queryTableFields count="18">
      <queryTableField id="1" name="client" tableColumnId="1"/>
      <queryTableField id="2" name="annee" tableColumnId="2"/>
      <queryTableField id="3" name="long_tot" tableColumnId="3"/>
      <queryTableField id="4" name="age_moyen" tableColumnId="4"/>
      <queryTableField id="5" name="long_inf_10_ans" tableColumnId="5"/>
      <queryTableField id="6" name="pourcent_long_inf_10_ans" tableColumnId="6"/>
      <queryTableField id="7" name="long_btw_10_20_ans" tableColumnId="7"/>
      <queryTableField id="8" name="pourcent_long_btw_10_20_ans" tableColumnId="8"/>
      <queryTableField id="9" name="long_btw_20_30_ans" tableColumnId="9"/>
      <queryTableField id="10" name="pourcent_long_btw_20_30_ans" tableColumnId="10"/>
      <queryTableField id="11" name="long_btw_30_40_ans" tableColumnId="11"/>
      <queryTableField id="12" name="pourcent_long_btw_30_40_ans" tableColumnId="12"/>
      <queryTableField id="13" name="long_btw_40_50_ans" tableColumnId="13"/>
      <queryTableField id="14" name="pourcent_long_btw_40_50_ans" tableColumnId="14"/>
      <queryTableField id="15" name="long_btw_50_60_ans" tableColumnId="15"/>
      <queryTableField id="16" name="pourcent_long_btw_50_60_ans" tableColumnId="16"/>
      <queryTableField id="17" name="long_sup_60_ans" tableColumnId="17"/>
      <queryTableField id="18" name="pourcent_sup_60_ans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32" xr16:uid="{545B3D9A-5BB3-4169-96FF-92C88511B029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aerien_nu" tableColumnId="3"/>
      <queryTableField id="4" name="aerien_torsade" tableColumnId="4"/>
      <queryTableField id="5" name="souterrain" tableColumnId="5"/>
      <queryTableField id="6" name="lineaire_tot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135" xr16:uid="{367C685A-8A3E-42D6-BCC6-4518ECA16697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acier_alu" tableColumnId="3"/>
      <queryTableField id="4" name="pourcent_acier_alu" tableColumnId="4"/>
      <queryTableField id="5" name="aluminium" tableColumnId="5"/>
      <queryTableField id="6" name="pourcent_aluminium" tableColumnId="6"/>
      <queryTableField id="7" name="almelec" tableColumnId="7"/>
      <queryTableField id="8" name="pourcent_almelec" tableColumnId="8"/>
      <queryTableField id="9" name="almelec_acier" tableColumnId="9"/>
      <queryTableField id="10" name="pourcent_almelec_acier" tableColumnId="10"/>
      <queryTableField id="11" name="cuivre" tableColumnId="11"/>
      <queryTableField id="12" name="pourcent_cuivre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138" xr16:uid="{5D906631-EF4B-405B-AFC2-22E0F7E2B105}" autoFormatId="16" applyNumberFormats="0" applyBorderFormats="0" applyFontFormats="0" applyPatternFormats="0" applyAlignmentFormats="0" applyWidthHeightFormats="0">
  <queryTableRefresh nextId="19">
    <queryTableFields count="18">
      <queryTableField id="1" name="client" tableColumnId="1"/>
      <queryTableField id="2" name="annee" tableColumnId="2"/>
      <queryTableField id="3" name="long_tot" tableColumnId="3"/>
      <queryTableField id="4" name="age_moyen" tableColumnId="4"/>
      <queryTableField id="5" name="long_inf_10_ans" tableColumnId="5"/>
      <queryTableField id="6" name="pourcent_long_inf_10_ans" tableColumnId="6"/>
      <queryTableField id="7" name="long_btw_10_20_ans" tableColumnId="7"/>
      <queryTableField id="8" name="pourcent_long_btw_10_20_ans" tableColumnId="8"/>
      <queryTableField id="9" name="long_btw_20_30_ans" tableColumnId="9"/>
      <queryTableField id="10" name="pourcent_long_btw_20_30_ans" tableColumnId="10"/>
      <queryTableField id="11" name="long_btw_30_40_ans" tableColumnId="11"/>
      <queryTableField id="12" name="pourcent_long_btw_30_40_ans" tableColumnId="12"/>
      <queryTableField id="13" name="long_btw_40_50_ans" tableColumnId="13"/>
      <queryTableField id="14" name="pourcent_long_btw_40_50_ans" tableColumnId="14"/>
      <queryTableField id="15" name="long_btw_50_60_ans" tableColumnId="15"/>
      <queryTableField id="16" name="pourcent_long_btw_50_60_ans" tableColumnId="16"/>
      <queryTableField id="17" name="long_sup_60_ans" tableColumnId="17"/>
      <queryTableField id="18" name="pourcent_sup_60_ans" tableColumnId="1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connectionId="139" xr16:uid="{04C08770-11DF-4F0A-A01F-1E7BCDCD6440}" autoFormatId="16" applyNumberFormats="0" applyBorderFormats="0" applyFontFormats="0" applyPatternFormats="0" applyAlignmentFormats="0" applyWidthHeightFormats="0">
  <queryTableRefresh nextId="19">
    <queryTableFields count="18">
      <queryTableField id="1" name="client" tableColumnId="1"/>
      <queryTableField id="2" name="annee" tableColumnId="2"/>
      <queryTableField id="3" name="long_tot" tableColumnId="3"/>
      <queryTableField id="4" name="age_moyen" tableColumnId="4"/>
      <queryTableField id="5" name="long_inf_10_ans" tableColumnId="5"/>
      <queryTableField id="6" name="pourcent_long_inf_10_ans" tableColumnId="6"/>
      <queryTableField id="7" name="long_btw_10_20_ans" tableColumnId="7"/>
      <queryTableField id="8" name="pourcent_long_btw_10_20_ans" tableColumnId="8"/>
      <queryTableField id="9" name="long_btw_20_30_ans" tableColumnId="9"/>
      <queryTableField id="10" name="pourcent_long_btw_20_30_ans" tableColumnId="10"/>
      <queryTableField id="11" name="long_btw_30_40_ans" tableColumnId="11"/>
      <queryTableField id="12" name="pourcent_long_btw_30_40_ans" tableColumnId="12"/>
      <queryTableField id="13" name="long_btw_40_50_ans" tableColumnId="13"/>
      <queryTableField id="14" name="pourcent_long_btw_40_50_ans" tableColumnId="14"/>
      <queryTableField id="15" name="long_btw_50_60_ans" tableColumnId="15"/>
      <queryTableField id="16" name="pourcent_long_btw_50_60_ans" tableColumnId="16"/>
      <queryTableField id="17" name="long_sup_60_ans" tableColumnId="17"/>
      <queryTableField id="18" name="pourcent_sup_60_ans" tableColumnId="1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0" connectionId="147" xr16:uid="{F7EB111A-2530-4BC8-9DE9-119EA9C6CCB1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nbr_cabines_hautes" tableColumnId="3"/>
      <queryTableField id="4" name="round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1" connectionId="148" xr16:uid="{17E01E25-8D29-4601-82DF-1FA22E01866E}" autoFormatId="16" applyNumberFormats="0" applyBorderFormats="0" applyFontFormats="0" applyPatternFormats="0" applyAlignmentFormats="0" applyWidthHeightFormats="0">
  <queryTableRefresh nextId="12">
    <queryTableFields count="11">
      <queryTableField id="1" name="client" tableColumnId="1"/>
      <queryTableField id="2" name="annee" tableColumnId="2"/>
      <queryTableField id="3" name="nbr_postes_sup_40ans" tableColumnId="3"/>
      <queryTableField id="4" name="round" tableColumnId="4"/>
      <queryTableField id="5" name="nbr_postes_h61_sup_40ans" tableColumnId="5"/>
      <queryTableField id="6" name="nbr_postes_immeuble_sup_40ans" tableColumnId="6"/>
      <queryTableField id="7" name="nbr_postes_cabines_hautes_sup_40ans" tableColumnId="7"/>
      <queryTableField id="8" name="nbr_postes_cabines_basses_sup_40ans" tableColumnId="8"/>
      <queryTableField id="9" name="nbr_postes_cabines_basses_sup_50ans" tableColumnId="9"/>
      <queryTableField id="10" name="nbr_postes_cabines_basses_sup_60ans" tableColumnId="10"/>
      <queryTableField id="11" name="taux_poste_sup_40ans_nat" tableColumnId="1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2" connectionId="149" xr16:uid="{99820AE1-23A4-4A4A-9F21-7C1490C608F5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type_poste" tableColumnId="3"/>
      <queryTableField id="4" name="nbr_postes" tableColumnId="4"/>
      <queryTableField id="5" name="age_moyen" tableColumnId="5"/>
      <queryTableField id="6" name="nbr_sup_40ans_hors_1946" tableColumnId="6"/>
      <queryTableField id="7" name="nbr_sup_40ans_1946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3" connectionId="150" xr16:uid="{6DAAD402-61AC-47A6-93FF-3D19EA11BC75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construit_poste_poteau" tableColumnId="3"/>
      <queryTableField id="4" name="construi_poste_maconne" tableColumnId="4"/>
      <queryTableField id="5" name="construi_poste_prefabrique" tableColumnId="5"/>
      <queryTableField id="6" name="construi_poste_non_renseigne" tableColumnId="6"/>
      <queryTableField id="7" name="construit_total" tableColumnId="7"/>
      <queryTableField id="8" name="modif_puissance" tableColumnId="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4" connectionId="151" xr16:uid="{4ADCF067-5A15-47E4-93F5-36A8218495FA}" autoFormatId="16" applyNumberFormats="0" applyBorderFormats="0" applyFontFormats="0" applyPatternFormats="0" applyAlignmentFormats="0" applyWidthHeightFormats="0">
  <queryTableRefresh nextId="19">
    <queryTableFields count="18">
      <queryTableField id="1" name="client" tableColumnId="1"/>
      <queryTableField id="2" name="annee" tableColumnId="2"/>
      <queryTableField id="3" name="nbr_total" tableColumnId="3"/>
      <queryTableField id="4" name="age_moyen" tableColumnId="4"/>
      <queryTableField id="5" name="nbr_inf_10_ans" tableColumnId="5"/>
      <queryTableField id="6" name="pourcent_nbr_inf_10_ans" tableColumnId="6"/>
      <queryTableField id="7" name="nbr_btw_10_20_ans" tableColumnId="7"/>
      <queryTableField id="8" name="pourcent_nbr_btw_10_20_ans" tableColumnId="8"/>
      <queryTableField id="9" name="nbr_btw_20_30_ans" tableColumnId="9"/>
      <queryTableField id="10" name="pourcent_nbr_btw_20_30_ans" tableColumnId="10"/>
      <queryTableField id="11" name="nbr_btw_30_40_ans" tableColumnId="11"/>
      <queryTableField id="12" name="pourcent_nbr_btw_30_40_ans" tableColumnId="12"/>
      <queryTableField id="13" name="nbr_btw_40_50_ans" tableColumnId="13"/>
      <queryTableField id="14" name="pourcent_nbr_btw_40_50_ans" tableColumnId="14"/>
      <queryTableField id="15" name="nbr_btw_50_60_ans" tableColumnId="15"/>
      <queryTableField id="16" name="pourcent_nbr_btw_50_60_ans" tableColumnId="16"/>
      <queryTableField id="17" name="nbr_sup_60_ans" tableColumnId="17"/>
      <queryTableField id="18" name="pourcent_sup_60_ans" tableColumnId="1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5" connectionId="154" xr16:uid="{E796E9A5-8CE0-4D8F-B16B-65A2038C11F4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puissance" tableColumnId="3"/>
      <queryTableField id="4" name="nbr_transfo_par_puissance" tableColumnId="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6" connectionId="155" xr16:uid="{C386883E-D6CF-491E-ADC8-0A1B240E6C03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age_moyen" tableColumnId="3"/>
      <queryTableField id="4" name="nbr_transfo_sup_40ans" tableColumnId="4"/>
      <queryTableField id="5" name="pourcent_total" tableColumnId="5"/>
      <queryTableField id="6" name="nbr_transfo_sup_50ans" tableColumnId="6"/>
      <queryTableField id="7" name="nbr_transfo_sup_60an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8" connectionId="129" xr16:uid="{2AC4F89A-44B3-4B55-BA79-16A7F4154B89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age_moyen_aerien_nu" tableColumnId="3"/>
      <queryTableField id="4" name="age_moyen_aerien_nu_fs" tableColumnId="4"/>
      <queryTableField id="5" name="age_moyen_aerien_torsade" tableColumnId="5"/>
      <queryTableField id="6" name="age_moyen_souterrain" tableColumnId="6"/>
      <queryTableField id="7" name="tech_age_moyen_aerien_nu" tableColumnId="7"/>
      <queryTableField id="8" name="tech_age_moyen_aerien_torsade" tableColumnId="8"/>
      <queryTableField id="9" name="tech_age_moyen_souterrain" tableColumnId="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9" connectionId="140" xr16:uid="{80760230-DE2F-4CF5-9C64-C1D2E96DD0FB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age_moyen_aerien_nu" tableColumnId="3"/>
      <queryTableField id="4" name="age_moyen_aerien_nu_fs" tableColumnId="4"/>
      <queryTableField id="5" name="age_moyen_aerien_torsade" tableColumnId="5"/>
      <queryTableField id="6" name="age_moyen_souterrain" tableColumnId="6"/>
      <queryTableField id="7" name="age_moyen_souterrain_cpi" tableColumnId="7"/>
      <queryTableField id="8" name="age_moyen_hta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0" connectionId="141" xr16:uid="{953F0897-E0E8-403C-B49E-A74190AFFE48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annee_pdv" tableColumnId="3"/>
      <queryTableField id="4" name="type_traitement_pdv" tableColumnId="4"/>
      <queryTableField id="5" name="longueur_km_hta_pdv" tableColumnId="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2" connectionId="113" xr16:uid="{8D58AF26-428D-44E4-AA7D-F07B248465A5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aerien_nu_fs" tableColumnId="3"/>
      <queryTableField id="4" name="lignes_bt_neutre_periph" tableColumnId="4"/>
      <queryTableField id="5" name="pourcent_ligne_incidentogene" tableColumnId="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3" connectionId="136" xr16:uid="{0B7AF4C7-BA44-46C7-8545-087060B1F1A7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sans_iso" tableColumnId="3"/>
      <queryTableField id="4" name="pourcent_sans_iso" tableColumnId="4"/>
      <queryTableField id="5" name="iso_synthe" tableColumnId="5"/>
      <queryTableField id="6" name="pourcent_iso_synthe" tableColumnId="6"/>
      <queryTableField id="7" name="iso_pap" tableColumnId="7"/>
      <queryTableField id="8" name="pourcent_iso_pap" tableColumnId="8"/>
      <queryTableField id="9" name="lg_synth_1ere_gen" tableColumnId="9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4" connectionId="109" xr16:uid="{DC502EB6-F741-4B4E-98BC-295121181568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lineaire_tot_bt_sup_40ans" tableColumnId="3"/>
      <queryTableField id="4" name="pourcent_tot" tableColumnId="4"/>
      <queryTableField id="5" name="aerien_nu_hors_fs_sup_40ans" tableColumnId="5"/>
      <queryTableField id="6" name="aerien_nu_fs_sup_40ans" tableColumnId="6"/>
      <queryTableField id="7" name="aerien_nu_torsade_sup_40ans" tableColumnId="7"/>
      <queryTableField id="8" name="souterrain_sup_40ans" tableColumnId="8"/>
      <queryTableField id="9" name="lineaire_bt_aerien_nu_souterrain_sup_40ans" tableColumnId="9"/>
      <queryTableField id="10" name="lineaire_bt_torsade_sup_50ans" tableColumnId="10"/>
      <queryTableField id="11" name="lineaire_tot_bt_sup_50ans" tableColumnId="11"/>
      <queryTableField id="12" name="lineaire_tot_bt_60ans" tableColumnId="1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5" connectionId="137" xr16:uid="{D4DFF669-7C9C-46A3-91E7-2853D7BF2631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nbr_depart_hta" tableColumnId="3"/>
      <queryTableField id="4" name="nbr_depart_hta_btw_50_70" tableColumnId="4"/>
      <queryTableField id="5" name="nbr_depart_hta_btw_70_100" tableColumnId="5"/>
      <queryTableField id="6" name="nbr_depart_hta_sup_100" tableColumnId="6"/>
      <queryTableField id="7" name="long_depart_hta_plus_long" tableColumnId="7"/>
      <queryTableField id="8" name="nom_depart_hta_plus_long" tableColumnId="8"/>
      <queryTableField id="9" name="long_moy_depart_hta" tableColumnId="9"/>
      <queryTableField id="10" name="long_moy_top_10_pourcent_depart_plus_long" tableColumnId="10"/>
      <queryTableField id="11" name="nbr_moy_omt_par_depart_hta_aerien" tableColumnId="11"/>
      <queryTableField id="12" name="nbr_omt_moy_nat" tableColumnId="1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7" connectionId="108" xr16:uid="{3EA1A64C-F74A-445F-A263-122D6A4CE857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Code Regime FACE" tableColumnId="3"/>
      <queryTableField id="4" name="aerien_nu" tableColumnId="4"/>
      <queryTableField id="5" name="aerien_nu_dont_fs" tableColumnId="5"/>
      <queryTableField id="6" name="aerien_torsade" tableColumnId="6"/>
      <queryTableField id="7" name="souterrain" tableColumnId="7"/>
      <queryTableField id="8" name="lineaire_tot" tableColumnId="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8" connectionId="110" xr16:uid="{14A6E64D-B32D-4F96-8C21-60483A52D8CE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Code Regime FACE" tableColumnId="3"/>
      <queryTableField id="4" name="lineaire_tot_bt_sup_40ans" tableColumnId="4"/>
      <queryTableField id="5" name="pourcent_tot" tableColumnId="5"/>
      <queryTableField id="6" name="aerien_nu_hors_fs_sup_40ans" tableColumnId="6"/>
      <queryTableField id="7" name="aerien_nu_fs_sup_40ans" tableColumnId="7"/>
      <queryTableField id="8" name="aerien_nu_torsade_sup_40ans" tableColumnId="8"/>
      <queryTableField id="9" name="souterrain_sup_40ans" tableColumnId="9"/>
      <queryTableField id="10" name="lineaire_bt_aerien_nu_souterrain_sup_40ans" tableColumnId="10"/>
      <queryTableField id="11" name="lineaire_bt_torsade_sup_50ans" tableColumnId="11"/>
      <queryTableField id="12" name="lineaire_tot_bt_sup_50ans" tableColumnId="12"/>
      <queryTableField id="13" name="lineaire_tot_bt_60ans" tableColumnId="1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9" connectionId="112" xr16:uid="{E6A2E0F8-2970-4081-8395-6D0DE0F37020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Code Regime FACE" tableColumnId="3"/>
      <queryTableField id="4" name="lineaire_tot_bt_sup_40ans" tableColumnId="4"/>
      <queryTableField id="5" name="pourcent_tot_lin_tot_bt_sup_40ans" tableColumnId="5"/>
      <queryTableField id="6" name="lineaire_tot_bt_sup_50ans" tableColumnId="6"/>
      <queryTableField id="7" name="lineaire_tot_bt_sup_60ans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0" connectionId="116" xr16:uid="{C712F2F4-69A2-4B52-A177-C71196D4543C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Code Regime FACE" tableColumnId="3"/>
      <queryTableField id="4" name="aerien_nu_fs" tableColumnId="4"/>
      <queryTableField id="5" name="lignes_bt_neutre_periph" tableColumnId="5"/>
      <queryTableField id="6" name="pourcent_ligne_incidentogene" tableColumnId="6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1" connectionId="120" xr16:uid="{89C1D55B-224C-4B75-AA25-9F34A1BAA51F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Code Regime FACE" tableColumnId="3"/>
      <queryTableField id="4" name="aerien_nu" tableColumnId="4"/>
      <queryTableField id="5" name="pourcent_aerien_nu_sur_total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2" connectionId="122" xr16:uid="{119EA266-7618-43D6-9FF3-035C82A62583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face" tableColumnId="3"/>
      <queryTableField id="4" name="acier_alu" tableColumnId="4"/>
      <queryTableField id="5" name="pourcent_acier_alu" tableColumnId="5"/>
      <queryTableField id="6" name="aluminium" tableColumnId="6"/>
      <queryTableField id="7" name="pourcent_aluminium" tableColumnId="7"/>
      <queryTableField id="8" name="almelec" tableColumnId="8"/>
      <queryTableField id="9" name="pourcent_almelec" tableColumnId="9"/>
      <queryTableField id="10" name="almelec_acier" tableColumnId="10"/>
      <queryTableField id="11" name="pourcent_almelec_acier" tableColumnId="11"/>
      <queryTableField id="12" name="cuivre" tableColumnId="12"/>
      <queryTableField id="13" name="pourcent_cuivre" tableColumnId="1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3" connectionId="124" xr16:uid="{548B5E90-A22F-4D40-AE98-96C85222ADC3}" autoFormatId="16" applyNumberFormats="0" applyBorderFormats="0" applyFontFormats="0" applyPatternFormats="0" applyAlignmentFormats="0" applyWidthHeightFormats="0">
  <queryTableRefresh nextId="11">
    <queryTableFields count="10">
      <queryTableField id="1" name="client" tableColumnId="1"/>
      <queryTableField id="2" name="annee" tableColumnId="2"/>
      <queryTableField id="3" name="face" tableColumnId="3"/>
      <queryTableField id="4" name="nbr_depart_bt" tableColumnId="4"/>
      <queryTableField id="5" name="long_moy_depart_bt" tableColumnId="5"/>
      <queryTableField id="6" name="nbr_depart_bt_sup_425m" tableColumnId="6"/>
      <queryTableField id="7" name="nbr_depart_bt_sup_1500m" tableColumnId="7"/>
      <queryTableField id="8" name="nbr_depart_bt_sup_2500m" tableColumnId="8"/>
      <queryTableField id="9" name="max_long_depart_bt" tableColumnId="9"/>
      <queryTableField id="10" name="nom_depart_bt_plus_long" tableColumnId="1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5" connectionId="128" xr16:uid="{422A54C1-0317-4034-B613-AC7614DFB2F8}" autoFormatId="16" applyNumberFormats="0" applyBorderFormats="0" applyFontFormats="0" applyPatternFormats="0" applyAlignmentFormats="0" applyWidthHeightFormats="0">
  <queryTableRefresh nextId="20">
    <queryTableFields count="19">
      <queryTableField id="1" name="client" tableColumnId="1"/>
      <queryTableField id="2" name="annee" tableColumnId="2"/>
      <queryTableField id="3" name="face" tableColumnId="3"/>
      <queryTableField id="4" name="long_tot" tableColumnId="4"/>
      <queryTableField id="5" name="age_moyen" tableColumnId="5"/>
      <queryTableField id="6" name="long_inf_10_ans" tableColumnId="6"/>
      <queryTableField id="7" name="pourcent_long_inf_10_ans" tableColumnId="7"/>
      <queryTableField id="8" name="long_btw_10_20_ans" tableColumnId="8"/>
      <queryTableField id="9" name="pourcent_long_btw_10_20_ans" tableColumnId="9"/>
      <queryTableField id="10" name="long_btw_20_30_ans" tableColumnId="10"/>
      <queryTableField id="11" name="pourcent_long_btw_20_30_ans" tableColumnId="11"/>
      <queryTableField id="12" name="long_btw_30_40_ans" tableColumnId="12"/>
      <queryTableField id="13" name="pourcent_long_btw_30_40_ans" tableColumnId="13"/>
      <queryTableField id="14" name="long_btw_40_50_ans" tableColumnId="14"/>
      <queryTableField id="15" name="pourcent_long_btw_40_50_ans" tableColumnId="15"/>
      <queryTableField id="16" name="long_btw_50_60_ans" tableColumnId="16"/>
      <queryTableField id="17" name="pourcent_long_btw_50_60_ans" tableColumnId="17"/>
      <queryTableField id="18" name="long_sup_60_ans" tableColumnId="18"/>
      <queryTableField id="19" name="pourcent_sup_60_ans" tableColumnId="19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6" connectionId="130" xr16:uid="{EF0F9D25-7B7F-4B1C-A539-DBCB15CA8E5A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face" tableColumnId="3"/>
      <queryTableField id="4" name="age_moyen_aerien_nu" tableColumnId="4"/>
      <queryTableField id="5" name="age_moyen_aerien_nu_fs" tableColumnId="5"/>
      <queryTableField id="6" name="age_moyen_aerien_torsade" tableColumnId="6"/>
      <queryTableField id="7" name="age_moyen_souterrain" tableColumnId="7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7" connectionId="114" xr16:uid="{CFBD5A00-9E5A-4EF0-A1BB-6C0055F4EB25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sout_1946_cu" tableColumnId="3"/>
      <queryTableField id="4" name="sout_1946_al" tableColumnId="4"/>
      <queryTableField id="5" name="sout_cpi_cu" tableColumnId="5"/>
      <queryTableField id="6" name="sout_cpi_al" tableColumnId="6"/>
      <queryTableField id="7" name="sout_np" tableColumnId="7"/>
      <queryTableField id="8" name="sout_synth" tableColumnId="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8" connectionId="115" xr16:uid="{153E9416-136F-47C7-BB36-EB2602B39D9C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face" tableColumnId="3"/>
      <queryTableField id="4" name="sout_1946_cu" tableColumnId="4"/>
      <queryTableField id="5" name="sout_1946_al" tableColumnId="5"/>
      <queryTableField id="6" name="sout_cpi_cu" tableColumnId="6"/>
      <queryTableField id="7" name="sout_cpi_al" tableColumnId="7"/>
      <queryTableField id="8" name="sout_np" tableColumnId="8"/>
      <queryTableField id="9" name="sout_synth" tableColumnId="9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9" connectionId="143" xr16:uid="{AB6ECA3D-0AD0-4749-A4B0-EC0B53139030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Catégorie de tension" tableColumnId="3"/>
      <queryTableField id="4" name="nbr_departs_hta" tableColumnId="4"/>
      <queryTableField id="5" name="nbr_poste_hta" tableColumnId="5"/>
      <queryTableField id="6" name="nbr_transfos" tableColumnId="6"/>
      <queryTableField id="7" name="nbr_departs_bt" tableColumnId="7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0" connectionId="157" xr16:uid="{3564565A-A5FC-4219-8104-0C03E3AFA91D}" autoFormatId="16" applyNumberFormats="0" applyBorderFormats="0" applyFontFormats="0" applyPatternFormats="0" applyAlignmentFormats="0" applyWidthHeightFormats="0">
  <queryTableRefresh nextId="15">
    <queryTableFields count="14">
      <queryTableField id="1" name="client" tableColumnId="1"/>
      <queryTableField id="2" name="annee" tableColumnId="2"/>
      <queryTableField id="3" name="nbr_transfo_inf_10_percent" tableColumnId="3"/>
      <queryTableField id="4" name="nbr_transfo_btw_10_20_percent" tableColumnId="4"/>
      <queryTableField id="5" name="nbr_transfo_btw_20_30_percent" tableColumnId="5"/>
      <queryTableField id="6" name="nbr_transfo_btw_30_40_percent" tableColumnId="6"/>
      <queryTableField id="7" name="nbr_transfo_btw_40_50_percent" tableColumnId="7"/>
      <queryTableField id="8" name="nbr_transfo_btw_50_60_percent" tableColumnId="8"/>
      <queryTableField id="9" name="nbr_transfo_btw_60_70_percent" tableColumnId="9"/>
      <queryTableField id="10" name="nbr_transfo_btw_70_80_percent" tableColumnId="10"/>
      <queryTableField id="11" name="nbr_transfo_btw_80_90_percent" tableColumnId="11"/>
      <queryTableField id="12" name="nbr_transfo_btw_90_100_percent" tableColumnId="12"/>
      <queryTableField id="13" name="nbr_transfo_sup_100_percent" tableColumnId="13"/>
      <queryTableField id="14" name="nbr_transfo_sup_120_percent" tableColumnId="1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1" connectionId="144" xr16:uid="{C2785A83-0015-4A47-8B6F-F65282B2098C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Annee Construction" tableColumnId="3"/>
      <queryTableField id="4" name="aerien_nu_km" tableColumnId="4"/>
      <queryTableField id="5" name="torsade_km" tableColumnId="5"/>
      <queryTableField id="6" name="souterrain_km" tableColumnId="6"/>
      <queryTableField id="7" name="dont_cpi_km" tableColumnId="7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2" connectionId="158" xr16:uid="{2BB9CA11-8ED0-40D6-BFB5-586166788C71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Annee construction" tableColumnId="3"/>
      <queryTableField id="4" name="nb_410" tableColumnId="4"/>
      <queryTableField id="5" name="nb_400" tableColumnId="5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4" connectionId="118" xr16:uid="{50B06557-F35F-4653-8902-6C0562A72007}" autoFormatId="16" applyNumberFormats="0" applyBorderFormats="0" applyFontFormats="0" applyPatternFormats="0" applyAlignmentFormats="0" applyWidthHeightFormats="0">
  <queryTableRefresh nextId="33">
    <queryTableFields count="32">
      <queryTableField id="1" name="client" tableColumnId="1"/>
      <queryTableField id="2" name="annee" tableColumnId="2"/>
      <queryTableField id="3" name="aerien_nu_km" tableColumnId="3"/>
      <queryTableField id="4" name="aerien_nu_urbain_km" tableColumnId="4"/>
      <queryTableField id="5" name="aerien_nu_rural_km" tableColumnId="5"/>
      <queryTableField id="6" name="pourcentage_aerien_nu" tableColumnId="6"/>
      <queryTableField id="7" name="pourcentage_aerien_nu_urbain" tableColumnId="7"/>
      <queryTableField id="8" name="pourcentage_aerien_nu_rural" tableColumnId="8"/>
      <queryTableField id="9" name="aerien_nu_fs_km" tableColumnId="9"/>
      <queryTableField id="10" name="aerien_nu_fs_urbain_km" tableColumnId="10"/>
      <queryTableField id="11" name="aerien_nu_fs_rural_km" tableColumnId="11"/>
      <queryTableField id="12" name="pourcentage_aerien_nu_fs" tableColumnId="12"/>
      <queryTableField id="13" name="pourcentage_aerien_nu_fs_urbain" tableColumnId="13"/>
      <queryTableField id="14" name="pourcentage_aerien_nu_fs_rural" tableColumnId="14"/>
      <queryTableField id="15" name="np_km" tableColumnId="15"/>
      <queryTableField id="16" name="np_urbain_km" tableColumnId="16"/>
      <queryTableField id="17" name="np_rural_km" tableColumnId="17"/>
      <queryTableField id="18" name="pourcentage_np" tableColumnId="18"/>
      <queryTableField id="19" name="pourcentage_np_urbain" tableColumnId="19"/>
      <queryTableField id="20" name="pourcentage_np_rural" tableColumnId="20"/>
      <queryTableField id="21" name="cpi_km" tableColumnId="21"/>
      <queryTableField id="22" name="cpi_urbain_km" tableColumnId="22"/>
      <queryTableField id="23" name="cpi_rural_km" tableColumnId="23"/>
      <queryTableField id="24" name="pourcentage_cpi" tableColumnId="24"/>
      <queryTableField id="25" name="pourcentage_cpi_urbain" tableColumnId="25"/>
      <queryTableField id="26" name="pourcentage_cpi_rural" tableColumnId="26"/>
      <queryTableField id="27" name="non_date_km" tableColumnId="27"/>
      <queryTableField id="28" name="non_date_urbain_km" tableColumnId="28"/>
      <queryTableField id="29" name="non_date_rural_km" tableColumnId="29"/>
      <queryTableField id="30" name="pourcentage_non_date" tableColumnId="30"/>
      <queryTableField id="31" name="pourcentage_non_date_urbain" tableColumnId="31"/>
      <queryTableField id="32" name="pourcentage_non_date_rural" tableColumnId="32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5" connectionId="133" xr16:uid="{CF15CA5C-C71E-4E0A-B7E8-E1372BE34EA3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lineaire_hta_sup_40ans" tableColumnId="3"/>
      <queryTableField id="4" name="pourcent_tot" tableColumnId="4"/>
      <queryTableField id="5" name="pourcent_nat" tableColumnId="5"/>
      <queryTableField id="6" name="lineaire_hta_sup_50ans" tableColumnId="6"/>
      <queryTableField id="7" name="lineaire_hta_sup_60ans" tableColumnId="7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6" connectionId="146" xr16:uid="{25289B13-C41B-4F02-9F54-79A7C99873A6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distr_publique" tableColumnId="3"/>
      <queryTableField id="4" name="distr_publique_prod" tableColumnId="4"/>
      <queryTableField id="5" name="mixte" tableColumnId="5"/>
      <queryTableField id="6" name="mixte_prod" tableColumnId="6"/>
      <queryTableField id="7" name="nbr_usagers" tableColumnId="7"/>
      <queryTableField id="8" name="nbr_poste_poteau" tableColumnId="8"/>
      <queryTableField id="9" name="nbr_poste_maconne" tableColumnId="9"/>
      <queryTableField id="10" name="nbr_poste_prefabrique" tableColumnId="10"/>
      <queryTableField id="11" name="nbr_poste_autre" tableColumnId="11"/>
      <queryTableField id="12" name="total" tableColumnId="12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8" backgroundRefresh="0" connectionId="3" xr16:uid="{12C9C094-BF36-4978-A61E-D6E213300333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nbr_prod" tableColumnId="3"/>
      <queryTableField id="4" name="nbr_poste_relie" tableColumnId="4"/>
      <queryTableField id="5" name="pv" tableColumnId="5"/>
      <queryTableField id="6" name="pv_hta" tableColumnId="6"/>
      <queryTableField id="7" name="pv_bt" tableColumnId="7"/>
      <queryTableField id="8" name="eolien" tableColumnId="8"/>
      <queryTableField id="9" name="eolien_hta" tableColumnId="9"/>
      <queryTableField id="10" name="eolien_bt" tableColumnId="10"/>
      <queryTableField id="11" name="hydraulique" tableColumnId="11"/>
      <queryTableField id="12" name="autres" tableColumnId="12"/>
    </queryTableFields>
  </queryTableRefresh>
  <extLst>
    <ext xmlns:x15="http://schemas.microsoft.com/office/spreadsheetml/2010/11/main" uri="{883FBD77-0823-4a55-B5E3-86C4891E6966}">
      <x15:queryTable sourceDataName="Requête - pat_tech_poste_07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9" connectionId="156" xr16:uid="{11325202-85C1-4057-B19A-4386E04FDB1C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nbr_transfos_400_volt" tableColumnId="3"/>
      <queryTableField id="4" name="nbr_transfos_410_volt" tableColumnId="4"/>
      <queryTableField id="5" name="nbr_transfo_15kvolt" tableColumnId="5"/>
      <queryTableField id="6" name="puissance_transfo" tableColumnId="6"/>
      <queryTableField id="7" name="total" tableColumnId="7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1" backgroundRefresh="0" connectionId="4" xr16:uid="{03057ED8-D38C-46F4-8B02-F53E6EF91932}" autoFormatId="16" applyNumberFormats="0" applyBorderFormats="0" applyFontFormats="0" applyPatternFormats="0" applyAlignmentFormats="0" applyWidthHeightFormats="0">
  <queryTableRefresh nextId="11">
    <queryTableFields count="10">
      <queryTableField id="1" name="client" tableColumnId="1"/>
      <queryTableField id="2" name="annee" tableColumnId="2"/>
      <queryTableField id="3" name="nbr" tableColumnId="3"/>
      <queryTableField id="4" name="m10" tableColumnId="4"/>
      <queryTableField id="5" name="m20" tableColumnId="5"/>
      <queryTableField id="6" name="m30" tableColumnId="6"/>
      <queryTableField id="7" name="m40" tableColumnId="7"/>
      <queryTableField id="8" name="m50" tableColumnId="8"/>
      <queryTableField id="9" name="m60" tableColumnId="9"/>
      <queryTableField id="10" name="p60" tableColumnId="10"/>
    </queryTableFields>
  </queryTableRefresh>
  <extLst>
    <ext xmlns:x15="http://schemas.microsoft.com/office/spreadsheetml/2010/11/main" uri="{883FBD77-0823-4a55-B5E3-86C4891E6966}">
      <x15:queryTable sourceDataName="Requête - pat_tech_transfo_07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2" connectionId="111" xr16:uid="{FB4CBC99-3B4A-400E-B4C7-4B666F93EC44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lineaire_tot_bt_sup_40ans" tableColumnId="3"/>
      <queryTableField id="4" name="pourcent_tot_lin_tot_bt_sup_40ans" tableColumnId="4"/>
      <queryTableField id="5" name="pourcent_tot_lin_tot_bt_sup_40ans_nat" tableColumnId="5"/>
      <queryTableField id="6" name="lineaire_tot_bt_sup_50ans" tableColumnId="6"/>
      <queryTableField id="7" name="lineaire_tot_bt_sup_60ans" tableColumnId="7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4" connectionId="125" xr16:uid="{643077CB-3DC7-46A3-838E-2F6FA4066CB7}" autoFormatId="16" applyNumberFormats="0" applyBorderFormats="0" applyFontFormats="0" applyPatternFormats="0" applyAlignmentFormats="0" applyWidthHeightFormats="0">
  <queryTableRefresh nextId="20">
    <queryTableFields count="19">
      <queryTableField id="1" name="client" tableColumnId="1"/>
      <queryTableField id="2" name="annee" tableColumnId="2"/>
      <queryTableField id="3" name="long_tot" tableColumnId="3"/>
      <queryTableField id="4" name="non_date" tableColumnId="4"/>
      <queryTableField id="5" name="age_moyen" tableColumnId="5"/>
      <queryTableField id="6" name="long_inf_10_ans" tableColumnId="6"/>
      <queryTableField id="7" name="pourcent_long_inf_10_ans" tableColumnId="7"/>
      <queryTableField id="8" name="long_btw_10_20_ans" tableColumnId="8"/>
      <queryTableField id="9" name="pourcent_long_btw_10_20_ans" tableColumnId="9"/>
      <queryTableField id="10" name="long_btw_20_30_ans" tableColumnId="10"/>
      <queryTableField id="11" name="pourcent_long_btw_20_30_ans" tableColumnId="11"/>
      <queryTableField id="12" name="long_btw_30_40_ans" tableColumnId="12"/>
      <queryTableField id="13" name="pourcent_long_btw_30_40_ans" tableColumnId="13"/>
      <queryTableField id="14" name="long_btw_40_50_ans" tableColumnId="14"/>
      <queryTableField id="15" name="pourcent_long_btw_40_50_ans" tableColumnId="15"/>
      <queryTableField id="16" name="long_btw_50_60_ans" tableColumnId="16"/>
      <queryTableField id="17" name="pourcent_long_btw_50_60_ans" tableColumnId="17"/>
      <queryTableField id="18" name="long_sup_60_ans" tableColumnId="18"/>
      <queryTableField id="19" name="pourcent_sup_60_ans" tableColumnId="19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5" connectionId="131" xr16:uid="{0FE04520-1BA5-4938-AC49-AEFBC3AFBA71}" autoFormatId="16" applyNumberFormats="0" applyBorderFormats="0" applyFontFormats="0" applyPatternFormats="0" applyAlignmentFormats="0" applyWidthHeightFormats="0">
  <queryTableRefresh nextId="5">
    <queryTableFields count="4">
      <queryTableField id="1" name="annee" tableColumnId="1"/>
      <queryTableField id="2" name="moyenne_nat_renouvel" tableColumnId="2"/>
      <queryTableField id="3" name="longueur_renouvelee" tableColumnId="3"/>
      <queryTableField id="4" name="longueur_renforcee" tableColumnId="4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6" backgroundRefresh="0" connectionId="5" xr16:uid="{902FA784-8FDF-4CB6-B26B-70EE82068861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aerien_nu_fs" tableColumnId="3"/>
      <queryTableField id="4" name="aerien_nu_reduites_50" tableColumnId="4"/>
      <queryTableField id="5" name="pourcent_aerien_nu_fs_sur_aerien" tableColumnId="5"/>
      <queryTableField id="6" name="pourcent_aerien_nu_fs_sur_total" tableColumnId="6"/>
    </queryTableFields>
  </queryTableRefresh>
  <extLst>
    <ext xmlns:x15="http://schemas.microsoft.com/office/spreadsheetml/2010/11/main" uri="{883FBD77-0823-4a55-B5E3-86C4891E6966}">
      <x15:queryTable sourceDataName="Requête - pat_tech_hta_03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7" connectionId="117" xr16:uid="{92CAEC28-E98A-4C25-AF50-1EB0A8863817}" autoFormatId="16" applyNumberFormats="0" applyBorderFormats="0" applyFontFormats="0" applyPatternFormats="0" applyAlignmentFormats="0" applyWidthHeightFormats="0">
  <queryTableRefresh nextId="4">
    <queryTableFields count="3">
      <queryTableField id="1" name="annee" tableColumnId="1"/>
      <queryTableField id="2" name="moyenne_nat_aerien_nu" tableColumnId="2"/>
      <queryTableField id="3" name="moyenne_nat_fs" tableColumnId="3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8" connectionId="126" xr16:uid="{0F7783BD-49E9-4037-95C1-C4C84B8DF570}" autoFormatId="16" applyNumberFormats="0" applyBorderFormats="0" applyFontFormats="0" applyPatternFormats="0" applyAlignmentFormats="0" applyWidthHeightFormats="0">
  <queryTableRefresh nextId="21">
    <queryTableFields count="20">
      <queryTableField id="1" name="client" tableColumnId="1"/>
      <queryTableField id="2" name="annee" tableColumnId="2"/>
      <queryTableField id="3" name="face" tableColumnId="3"/>
      <queryTableField id="4" name="long_tot" tableColumnId="4"/>
      <queryTableField id="5" name="non_date" tableColumnId="5"/>
      <queryTableField id="6" name="age_moyen" tableColumnId="6"/>
      <queryTableField id="7" name="long_inf_10_ans" tableColumnId="7"/>
      <queryTableField id="8" name="pourcent_long_inf_10_ans" tableColumnId="8"/>
      <queryTableField id="9" name="long_btw_10_20_ans" tableColumnId="9"/>
      <queryTableField id="10" name="pourcent_long_btw_10_20_ans" tableColumnId="10"/>
      <queryTableField id="11" name="long_btw_20_30_ans" tableColumnId="11"/>
      <queryTableField id="12" name="pourcent_long_btw_20_30_ans" tableColumnId="12"/>
      <queryTableField id="13" name="long_btw_30_40_ans" tableColumnId="13"/>
      <queryTableField id="14" name="pourcent_long_btw_30_40_ans" tableColumnId="14"/>
      <queryTableField id="15" name="long_btw_40_50_ans" tableColumnId="15"/>
      <queryTableField id="16" name="pourcent_long_btw_40_50_ans" tableColumnId="16"/>
      <queryTableField id="17" name="long_btw_50_60_ans" tableColumnId="17"/>
      <queryTableField id="18" name="pourcent_long_btw_50_60_ans" tableColumnId="18"/>
      <queryTableField id="19" name="long_sup_60_ans" tableColumnId="19"/>
      <queryTableField id="20" name="pourcent_sup_60_ans" tableColumnId="20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9" connectionId="106" xr16:uid="{D63E80EA-5F4F-42A5-B9CC-4F4924A62C20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nbr_brch_ind" tableColumnId="3"/>
      <queryTableField id="4" name="nbr_branchement_aerien" tableColumnId="4"/>
      <queryTableField id="5" name="nbr_derivation_liaison" tableColumnId="5"/>
      <queryTableField id="6" name="nbr_liaison_reseau_sout" tableColumnId="6"/>
      <queryTableField id="7" name="nbr_usagers" tableColumnId="7"/>
      <queryTableField id="8" name="age_moyen" tableColumnId="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1" connectionId="153" xr16:uid="{C9C16EBD-DF01-4676-BEA9-A4A4FFE26C98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nbr_ps" tableColumnId="3"/>
      <queryTableField id="4" name="nbr_ps_sur_territoire" tableColumnId="4"/>
      <queryTableField id="5" name="puissance_installe" tableColumnId="5"/>
      <queryTableField id="6" name="puissance_installe_ancien" tableColumnId="6"/>
      <queryTableField id="7" name="taux_th" tableColumnId="7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2" connectionId="145" xr16:uid="{04567EDB-4B5E-45C4-9786-880A32C94251}" autoFormatId="16" applyNumberFormats="0" applyBorderFormats="0" applyFontFormats="0" applyPatternFormats="0" applyAlignmentFormats="0" applyWidthHeightFormats="0">
  <queryTableRefresh nextId="6">
    <queryTableFields count="5">
      <queryTableField id="1" name="echelle" tableColumnId="1"/>
      <queryTableField id="2" name="annee" tableColumnId="2"/>
      <queryTableField id="3" name="moyenne_nationale_renouvellement" tableColumnId="3"/>
      <queryTableField id="4" name="min_renouvellement" tableColumnId="4"/>
      <queryTableField id="5" name="max_renouvellement" tableColumnId="5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3C31E9C-5DE2-4F6C-8A74-9CF09D51F91B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nbr_ocb" tableColumnId="3"/>
      <queryTableField id="4" name="nbr_colonne_double" tableColumnId="4"/>
      <queryTableField id="5" name="nbr_colonne_multiple_3_6" tableColumnId="5"/>
      <queryTableField id="6" name="nbr_colonne_multiple" tableColumnId="6"/>
      <queryTableField id="7" name="nbr_colonne_multiple_2_3" tableColumnId="7"/>
      <queryTableField id="8" name="nbr_colonne_multiple_2_5" tableColumnId="8"/>
      <queryTableField id="9" name="nbr_colonne_simple" tableColumnId="9"/>
      <queryTableField id="10" name="nbr_local_technique" tableColumnId="10"/>
      <queryTableField id="11" name="nbr_local_technique_coffret" tableColumnId="11"/>
      <queryTableField id="12" name="nbr_usr" tableColumnId="12"/>
      <queryTableField id="13" name="age_moyen" tableColumnId="13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AF79F7CF-7AE1-4AE2-843B-8338D1326117}" autoFormatId="16" applyNumberFormats="0" applyBorderFormats="0" applyFontFormats="0" applyPatternFormats="0" applyAlignmentFormats="0" applyWidthHeightFormats="0">
  <queryTableRefresh nextId="4">
    <queryTableFields count="3">
      <queryTableField id="1" name="annee" tableColumnId="1"/>
      <queryTableField id="2" name="moyenne_nationale_hta_sout" tableColumnId="2"/>
      <queryTableField id="3" name="moy_nat_dens_pop" tableColumnId="3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" xr16:uid="{921E8566-0A1B-4143-8577-2EA8D42C76B3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longueur_risques_averes_km" tableColumnId="3"/>
      <queryTableField id="4" name="longueur_risque_bois_km" tableColumnId="4"/>
      <queryTableField id="5" name="longueur_risque_neige_givre_km" tableColumnId="5"/>
      <queryTableField id="6" name="longueur_risque_vent_km" tableColumnId="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" xr16:uid="{739C6F19-8503-4D06-A9CF-F5CC19A29281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longueur_renouvelee_km" tableColumnId="3"/>
      <queryTableField id="4" name="longueur_renforcee_km" tableColumnId="4"/>
      <queryTableField id="5" name="taux_renouvellement_concession_percent" tableColumnId="5"/>
      <queryTableField id="6" name="taux_renouvellement_cible_theorique_percent" tableColumnId="6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CDF24518-448F-4836-A25B-2F3EBB0B00BB}" autoFormatId="16" applyNumberFormats="0" applyBorderFormats="0" applyFontFormats="0" applyPatternFormats="0" applyAlignmentFormats="0" applyWidthHeightFormats="0">
  <queryTableRefresh nextId="6">
    <queryTableFields count="5">
      <queryTableField id="1" name="annee" tableColumnId="1"/>
      <queryTableField id="2" name="moy_nat_sout" tableColumnId="2"/>
      <queryTableField id="3" name="moy_nat_secu" tableColumnId="3"/>
      <queryTableField id="4" name="moyenne_nat_densite_pop_souterrain" tableColumnId="4"/>
      <queryTableField id="5" name="moyenne_nat_densite_pop_secu" tableColumnId="5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" xr16:uid="{309CE6DB-4544-4C5B-9E30-2D0F571315B1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Annee Construction" tableColumnId="3"/>
      <queryTableField id="4" name="aerien_nu_km" tableColumnId="4"/>
      <queryTableField id="5" name="torsade_km" tableColumnId="5"/>
      <queryTableField id="6" name="souterrain_km" tableColumnId="6"/>
      <queryTableField id="7" name="dont_cpi_km" tableColumnId="7"/>
      <queryTableField id="8" name="lineaire_bt_aerien_nu_fs" tableColumnId="8"/>
      <queryTableField id="9" name="lineaire_bt_nu_hfs" tableColumnId="9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72" xr16:uid="{9967F603-FF4A-446C-BD8B-46F06D0BE497}" autoFormatId="16" applyNumberFormats="0" applyBorderFormats="0" applyFontFormats="0" applyPatternFormats="0" applyAlignmentFormats="0" applyWidthHeightFormats="0">
  <queryTableRefresh nextId="12">
    <queryTableFields count="11">
      <queryTableField id="1" name="client" tableColumnId="1"/>
      <queryTableField id="2" name="annee" tableColumnId="2"/>
      <queryTableField id="3" name="critb_tcc" tableColumnId="3"/>
      <queryTableField id="4" name="critb_rte" tableColumnId="4"/>
      <queryTableField id="5" name="critb_reseau_distrib_publique_incident" tableColumnId="5"/>
      <queryTableField id="6" name="critb_ps_incident" tableColumnId="6"/>
      <queryTableField id="7" name="critb_hta_incident" tableColumnId="7"/>
      <queryTableField id="8" name="critb_bt_incident" tableColumnId="8"/>
      <queryTableField id="9" name="critb_reseau_distrib_publique_travaux" tableColumnId="9"/>
      <queryTableField id="10" name="critb_hta_travaux" tableColumnId="10"/>
      <queryTableField id="11" name="critb_bt_travaux" tableColumnId="1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73" xr16:uid="{B126CECE-3DEA-4E80-8090-CAB378A0EF59}" autoFormatId="16" applyNumberFormats="0" applyBorderFormats="0" applyFontFormats="0" applyPatternFormats="0" applyAlignmentFormats="0" applyWidthHeightFormats="0">
  <queryTableRefresh nextId="11">
    <queryTableFields count="10">
      <queryTableField id="1" name="client" tableColumnId="1"/>
      <queryTableField id="2" name="annee" tableColumnId="2"/>
      <queryTableField id="3" name="crit_b_hix_hors_rte_ze1" tableColumnId="3"/>
      <queryTableField id="4" name="crit_b_hix_hors_rte_ze2" tableColumnId="4"/>
      <queryTableField id="5" name="crit_b_hix_hors_rte_ze3" tableColumnId="5"/>
      <queryTableField id="6" name="crit_b_hix_hors_rte_ze4" tableColumnId="6"/>
      <queryTableField id="7" name="crit_b_tcc_hors_rte_ze1" tableColumnId="7"/>
      <queryTableField id="8" name="crit_b_tcc_hors_rte_ze2" tableColumnId="8"/>
      <queryTableField id="9" name="crit_b_tcc_hors_rte_ze3" tableColumnId="9"/>
      <queryTableField id="10" name="crit_b_tcc_hors_rte_ze4" tableColumnId="10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81" xr16:uid="{27965435-F795-4381-8F50-7C29F3CA1A62}" autoFormatId="16" applyNumberFormats="0" applyBorderFormats="0" applyFontFormats="0" applyPatternFormats="0" applyAlignmentFormats="0" applyWidthHeightFormats="0">
  <queryTableRefresh nextId="15">
    <queryTableFields count="14">
      <queryTableField id="1" name="client" tableColumnId="1"/>
      <queryTableField id="2" name="annee" tableColumnId="2"/>
      <queryTableField id="3" name="nbr_coupures_totales" tableColumnId="3"/>
      <queryTableField id="4" name="nbr_coupure_incidents" tableColumnId="4"/>
      <queryTableField id="5" name="nbr_coupure_travaux" tableColumnId="5"/>
      <queryTableField id="6" name="duree_moy_coupure_usager_tot" tableColumnId="6"/>
      <queryTableField id="7" name="duree_moy_coupure_usager_incident" tableColumnId="7"/>
      <queryTableField id="8" name="duree_moy_coupure_usager_travaux" tableColumnId="8"/>
      <queryTableField id="9" name="nb_client_coupé_bt_total" tableColumnId="9"/>
      <queryTableField id="10" name="nb_client_coupé_bt_incidents" tableColumnId="10"/>
      <queryTableField id="11" name="nb_client_coupé_bt_travaux" tableColumnId="11"/>
      <queryTableField id="12" name="moy_usager_coupure_tot" tableColumnId="12"/>
      <queryTableField id="13" name="moy_usager_coupure_incidents" tableColumnId="13"/>
      <queryTableField id="14" name="moy_usager_coupure_travaux" tableColumnId="14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82" xr16:uid="{2E96FBCB-FF62-4E7E-A6A7-E881D2A596AF}" autoFormatId="16" applyNumberFormats="0" applyBorderFormats="0" applyFontFormats="0" applyPatternFormats="0" applyAlignmentFormats="0" applyWidthHeightFormats="0">
  <queryTableRefresh nextId="15">
    <queryTableFields count="14">
      <queryTableField id="1" name="client" tableColumnId="1"/>
      <queryTableField id="2" name="annee" tableColumnId="2"/>
      <queryTableField id="3" name="nbr_coupures_total" tableColumnId="3"/>
      <queryTableField id="4" name="nbr_coupure_incidents" tableColumnId="4"/>
      <queryTableField id="5" name="nbr_coupure_travaux" tableColumnId="5"/>
      <queryTableField id="6" name="duree_moy_coupure_usager_tot" tableColumnId="6"/>
      <queryTableField id="7" name="duree_moy_coupure_usager_incident" tableColumnId="7"/>
      <queryTableField id="8" name="duree_moy_coupure_usager_travaux" tableColumnId="8"/>
      <queryTableField id="9" name="nbr_usagers_coupes" tableColumnId="9"/>
      <queryTableField id="10" name="nbr_usagers_coupes_incident" tableColumnId="10"/>
      <queryTableField id="11" name="nbr_usagers_coupes_travaux" tableColumnId="11"/>
      <queryTableField id="12" name="moy_usager_coupure_tot" tableColumnId="12"/>
      <queryTableField id="13" name="moy_usager_coupure_incident" tableColumnId="13"/>
      <queryTableField id="14" name="moy_usager_coupure_travaux" tableColumnId="14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83" xr16:uid="{CFA8ACEA-A401-4493-B6C8-7635D5E1F977}" autoFormatId="16" applyNumberFormats="0" applyBorderFormats="0" applyFontFormats="0" applyPatternFormats="0" applyAlignmentFormats="0" applyWidthHeightFormats="0">
  <queryTableRefresh nextId="15">
    <queryTableFields count="14">
      <queryTableField id="1" name="client" tableColumnId="1"/>
      <queryTableField id="2" name="annee" tableColumnId="2"/>
      <queryTableField id="3" name="taux_incident_aerien_hta" tableColumnId="3"/>
      <queryTableField id="4" name="taux_incident_aerien_hta_aerien_nu" tableColumnId="4"/>
      <queryTableField id="5" name="taux_incident_aerien_hta_aerien_nu_faible_section" tableColumnId="5"/>
      <queryTableField id="6" name="taux_incident_souterrain_hta" tableColumnId="6"/>
      <queryTableField id="7" name="taux_incident_aerien_bt" tableColumnId="7"/>
      <queryTableField id="8" name="taux_incident_aerien_bt_aerien_nu" tableColumnId="8"/>
      <queryTableField id="9" name="taux_incident_aerien_bt_aerien_nu_faible_section" tableColumnId="9"/>
      <queryTableField id="10" name="taux_incident_aerien_bt_torsade" tableColumnId="10"/>
      <queryTableField id="11" name="taux_incident_souterrain_bt" tableColumnId="11"/>
      <queryTableField id="12" name="taux_incident_hta_bt" tableColumnId="12"/>
      <queryTableField id="13" name="moyenne_aerien_hta" tableColumnId="13"/>
      <queryTableField id="14" name="moyenne_souterrain_hta" tableColumnId="14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84" xr16:uid="{9275AB5F-3615-4592-8E91-5E98A579C281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freq_cb_hta" tableColumnId="3"/>
      <queryTableField id="4" name="freq_cl_inc_hta" tableColumnId="4"/>
      <queryTableField id="5" name="freq_cl_inc_ps" tableColumnId="5"/>
      <queryTableField id="6" name="freq_total" tableColumnId="6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85" xr16:uid="{AB445E8F-C3FF-4817-91B6-5D0071A04FE9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cb_ctb" tableColumnId="3"/>
      <queryTableField id="4" name="ctb" tableColumnId="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86" xr16:uid="{6D97F62E-9DC4-4764-BF5C-2B82101D53FC}" autoFormatId="16" applyNumberFormats="0" applyBorderFormats="0" applyFontFormats="0" applyPatternFormats="0" applyAlignmentFormats="0" applyWidthHeightFormats="0">
  <queryTableRefresh nextId="8">
    <queryTableFields count="6">
      <queryTableField id="1" name="Client" tableColumnId="1"/>
      <queryTableField id="2" name="Annee" tableColumnId="2"/>
      <queryTableField id="3" name="nititot_bt" tableColumnId="3"/>
      <queryTableField id="5" name="nititot_bt_hix" tableColumnId="5"/>
      <queryTableField id="4" name="nititot_hta" tableColumnId="4"/>
      <queryTableField id="6" name="nititot_hta_hix" tableColumnId="6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79" xr16:uid="{001F4729-D99A-4DAD-9F6D-B69FA07F30C1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siege_cause" tableColumnId="3"/>
      <queryTableField id="4" name="manipulation" tableColumnId="4"/>
      <queryTableField id="5" name="materiel" tableColumnId="5"/>
      <queryTableField id="6" name="externe" tableColumnId="6"/>
      <queryTableField id="7" name="bois" tableColumnId="7"/>
      <queryTableField id="8" name="climatique" tableColumnId="8"/>
      <queryTableField id="9" name="securite" tableColumnId="9"/>
      <queryTableField id="10" name="inconnue" tableColumnId="10"/>
      <queryTableField id="11" name="travaux" tableColumnId="11"/>
      <queryTableField id="12" name="rte" tableColumnId="12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80" xr16:uid="{FE9AE14A-F2FF-4D42-9AA3-F03896BE8754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siege_cause" tableColumnId="3"/>
      <queryTableField id="4" name="manipulation" tableColumnId="4"/>
      <queryTableField id="5" name="materiel" tableColumnId="5"/>
      <queryTableField id="6" name="externe" tableColumnId="6"/>
      <queryTableField id="7" name="bois" tableColumnId="7"/>
      <queryTableField id="8" name="climatique" tableColumnId="8"/>
      <queryTableField id="9" name="securite" tableColumnId="9"/>
      <queryTableField id="10" name="inconnue" tableColumnId="10"/>
      <queryTableField id="11" name="travaux" tableColumnId="11"/>
      <queryTableField id="12" name="rte" tableColumnId="12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69" xr16:uid="{E7B608F4-5DDB-4A8E-A311-FFCA81F8B53C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total_6_cl_bt" tableColumnId="3"/>
      <queryTableField id="4" name="incidents_6_cl_bt" tableColumnId="4"/>
      <queryTableField id="5" name="Nbr usager impactes par + de 30 CB" tableColumnId="5"/>
      <queryTableField id="6" name="Nbr usagers coupes + de 3H (T+I)" tableColumnId="6"/>
      <queryTableField id="7" name="Nbr usagers coupes + de 3H (incidents) amont BT" tableColumnId="7"/>
      <queryTableField id="8" name="Nb clients BT coupes &gt; 6H sur incidents" tableColumnId="8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76" xr16:uid="{A22C8F9B-8654-4148-B1BF-3662C1ADD836}" autoFormatId="16" applyNumberFormats="0" applyBorderFormats="0" applyFontFormats="0" applyPatternFormats="0" applyAlignmentFormats="0" applyWidthHeightFormats="0">
  <queryTableRefresh nextId="27">
    <queryTableFields count="26">
      <queryTableField id="1" name="client" tableColumnId="1"/>
      <queryTableField id="2" name="annee" tableColumnId="2"/>
      <queryTableField id="3" name="total_nititot_incident_hta_bt" tableColumnId="3"/>
      <queryTableField id="4" name="total_nititot_travaux_hta_bt" tableColumnId="4"/>
      <queryTableField id="5" name="taux_incident_hta_autre" tableColumnId="5"/>
      <queryTableField id="6" name="taux_incident_hta_aerien" tableColumnId="6"/>
      <queryTableField id="7" name="taux_incident_hta_poste_hta_bt" tableColumnId="7"/>
      <queryTableField id="8" name="taux_incident_hta_sans_degat" tableColumnId="8"/>
      <queryTableField id="9" name="taux_incident_hta_souterrain" tableColumnId="9"/>
      <queryTableField id="10" name="taux_incident_bt_autre" tableColumnId="10"/>
      <queryTableField id="11" name="taux_incident_bt_aerien" tableColumnId="11"/>
      <queryTableField id="12" name="taux_incident_bt_poste_hta_bt" tableColumnId="12"/>
      <queryTableField id="13" name="taux_incident_bt_sans_degat" tableColumnId="13"/>
      <queryTableField id="14" name="taux_incident_bt_souterrain" tableColumnId="14"/>
      <queryTableField id="15" name="taux_travaux_hta_autre" tableColumnId="15"/>
      <queryTableField id="16" name="taux_travaux_hta_aerien" tableColumnId="16"/>
      <queryTableField id="17" name="taux_travaux_hta_poste_hta_bt" tableColumnId="17"/>
      <queryTableField id="18" name="taux_travaux_hta_sans_degat" tableColumnId="18"/>
      <queryTableField id="19" name="taux_travaux_hta_souterrain" tableColumnId="19"/>
      <queryTableField id="20" name="taux_travaux_bt_autre" tableColumnId="20"/>
      <queryTableField id="21" name="taux_travaux_bt_aerien" tableColumnId="21"/>
      <queryTableField id="22" name="taux_travaux_bt_poste_hta_bt" tableColumnId="22"/>
      <queryTableField id="23" name="taux_travaux_bt_sans_degat" tableColumnId="23"/>
      <queryTableField id="24" name="taux_travaux_bt_souterrain" tableColumnId="24"/>
      <queryTableField id="25" name="taux_incident_hta_inconnu" tableColumnId="25"/>
      <queryTableField id="26" name="taux_travaux_hta_inconnu" tableColumnId="26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74" xr16:uid="{2C3E2DF1-AA33-4214-89CE-F99C941725E6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crit_b_hix_hors_rte_zeu" tableColumnId="3"/>
      <queryTableField id="4" name="crit_b_hix_hors_rte_zer" tableColumnId="4"/>
      <queryTableField id="5" name="crit_b_tcc_hors_rte_zeu" tableColumnId="5"/>
      <queryTableField id="6" name="crit_b_tcc_hors_rte_zer" tableColumnId="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connectionId="75" xr16:uid="{66BE017C-189E-4D4D-8976-29FBA28BFA42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Code Regime FACE" tableColumnId="3"/>
      <queryTableField id="4" name="Critère B Hix BT total" tableColumnId="4"/>
      <queryTableField id="5" name="Critère B Hix BT incident" tableColumnId="5"/>
      <queryTableField id="6" name="Critère B Hix BT travaux" tableColumnId="6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connectionId="88" xr16:uid="{6609ADF2-F681-4A9B-B973-10D616828FCA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Code Regime FACE" tableColumnId="3"/>
      <queryTableField id="4" name="nitit_bt_elagage" tableColumnId="4"/>
      <queryTableField id="5" name="nitit_bt_hix_elagage" tableColumnId="5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0" connectionId="89" xr16:uid="{CFA64524-EA1F-487F-B147-5490E9C58F2A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crit_b_inc_elag" tableColumnId="3"/>
      <queryTableField id="4" name="nititi_inc_elag" tableColumnId="4"/>
      <queryTableField id="5" name="nititi_inc_elag_hta" tableColumnId="5"/>
      <queryTableField id="6" name="nititi_inc_elag_bt" tableColumnId="6"/>
      <queryTableField id="7" name="nb_cc_inc_elag" tableColumnId="7"/>
      <queryTableField id="8" name="nb_cc_inc_elag_hta" tableColumnId="8"/>
      <queryTableField id="9" name="nb_cc_inc_elag_bt" tableColumnId="9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1" connectionId="90" xr16:uid="{38E696E0-1D0D-414F-A54B-0160540E2832}" autoFormatId="16" applyNumberFormats="0" applyBorderFormats="0" applyFontFormats="0" applyPatternFormats="0" applyAlignmentFormats="0" applyWidthHeightFormats="0">
  <queryTableRefresh nextId="20">
    <queryTableFields count="12">
      <queryTableField id="1" name="Client" tableColumnId="1"/>
      <queryTableField id="2" name="Annee" tableColumnId="2"/>
      <queryTableField id="10" name="tcc_total" tableColumnId="3"/>
      <queryTableField id="11" name="hix_total" tableColumnId="4"/>
      <queryTableField id="12" name="origine_rte" tableColumnId="5"/>
      <queryTableField id="13" name="incident_distribution_publique" tableColumnId="6"/>
      <queryTableField id="14" name="incident_poste_source" tableColumnId="7"/>
      <queryTableField id="15" name="incident_reseau_hta" tableColumnId="8"/>
      <queryTableField id="16" name="incident_reseau_bt" tableColumnId="9"/>
      <queryTableField id="17" name="travaux_distribution_publique" tableColumnId="10"/>
      <queryTableField id="18" name="travaux_reseau_hta" tableColumnId="11"/>
      <queryTableField id="19" name="travaux_reseau_bt" tableColumnId="12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2" connectionId="78" xr16:uid="{2A720DE3-F957-4AB9-A060-57636E2D78E2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siege_cause" tableColumnId="3"/>
      <queryTableField id="4" name="manipulation" tableColumnId="4"/>
      <queryTableField id="5" name="materiel" tableColumnId="5"/>
      <queryTableField id="6" name="externe" tableColumnId="6"/>
      <queryTableField id="7" name="bois" tableColumnId="7"/>
      <queryTableField id="8" name="climatique" tableColumnId="8"/>
      <queryTableField id="9" name="securite" tableColumnId="9"/>
      <queryTableField id="10" name="inconnue" tableColumnId="10"/>
      <queryTableField id="11" name="travaux" tableColumnId="11"/>
      <queryTableField id="12" name="rte" tableColumnId="12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4" backgroundRefresh="0" connectionId="1" xr16:uid="{4D862757-2CDD-4DEE-9923-3587C80EAD8B}" autoFormatId="16" applyNumberFormats="0" applyBorderFormats="0" applyFontFormats="0" applyPatternFormats="0" applyAlignmentFormats="0" applyWidthHeightFormats="0">
  <queryTableRefresh nextId="6">
    <queryTableFields count="5">
      <queryTableField id="1" name="annee" tableColumnId="1"/>
      <queryTableField id="2" name="critere_b_hix_national_hors_rte" tableColumnId="2"/>
      <queryTableField id="3" name="critere_b_hix_national_hors_rte_moyen_3_ans" tableColumnId="3"/>
      <queryTableField id="4" name="critere_b_tcc_national_hors_rte" tableColumnId="4"/>
      <queryTableField id="5" name="critere_b_tcc_national_hors_rte_moyen_3_ans" tableColumnId="5"/>
    </queryTableFields>
  </queryTableRefresh>
  <extLst>
    <ext xmlns:x15="http://schemas.microsoft.com/office/spreadsheetml/2010/11/main" uri="{883FBD77-0823-4a55-B5E3-86C4891E6966}">
      <x15:queryTable sourceDataName="Requête - inc_02_nationale"/>
    </ext>
  </extLst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5" connectionId="87" xr16:uid="{7CB0D48E-2F11-4434-9B72-88788281DA3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ongueur elaguee bt" tableColumnId="3"/>
      <queryTableField id="4" name="longueur elaguee hta" tableColumnId="4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6" backgroundRefresh="0" connectionId="2" xr16:uid="{1E22549A-8543-412F-AB35-7842BD3A8834}" autoFormatId="16" applyNumberFormats="0" applyBorderFormats="0" applyFontFormats="0" applyPatternFormats="0" applyAlignmentFormats="0" applyWidthHeightFormats="0">
  <queryTableRefresh nextId="18">
    <queryTableFields count="17">
      <queryTableField id="1" name="client" tableColumnId="1"/>
      <queryTableField id="2" name="annee" tableColumnId="2"/>
      <queryTableField id="3" name="critb_hix" tableColumnId="3"/>
      <queryTableField id="4" name="critb_rte" tableColumnId="4"/>
      <queryTableField id="5" name="critb_reseau_distrib_publique_incident" tableColumnId="5"/>
      <queryTableField id="6" name="critb_ps_incident" tableColumnId="6"/>
      <queryTableField id="7" name="critb_hta_incident" tableColumnId="7"/>
      <queryTableField id="8" name="critb_bt_incident" tableColumnId="8"/>
      <queryTableField id="9" name="critb_reseau_distrib_publique_travaux" tableColumnId="9"/>
      <queryTableField id="10" name="critb_hta_travaux" tableColumnId="10"/>
      <queryTableField id="11" name="critb_bt_travaux" tableColumnId="11"/>
      <queryTableField id="12" name="critb_hta_climatique_incident" tableColumnId="12"/>
      <queryTableField id="13" name="critb_bt_climatique_incident" tableColumnId="13"/>
      <queryTableField id="14" name="crit_b_hix_hta_inc_national" tableColumnId="14"/>
      <queryTableField id="15" name="crit_b_hix_hta_trx_national" tableColumnId="15"/>
      <queryTableField id="16" name="crit_b_hix_bt_inc_national" tableColumnId="16"/>
      <queryTableField id="17" name="crit_b_hix_bt_trx_national" tableColumnId="17"/>
    </queryTableFields>
  </queryTableRefresh>
  <extLst>
    <ext xmlns:x15="http://schemas.microsoft.com/office/spreadsheetml/2010/11/main" uri="{883FBD77-0823-4a55-B5E3-86C4891E6966}">
      <x15:queryTable sourceDataName="Requête - inc_02_hix"/>
    </ext>
  </extLst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9C32F5E-BD9F-467F-8FDC-B789F8FE9B9E}" autoFormatId="16" applyNumberFormats="0" applyBorderFormats="0" applyFontFormats="0" applyPatternFormats="0" applyAlignmentFormats="0" applyWidthHeightFormats="0">
  <queryTableRefresh nextId="13">
    <queryTableFields count="12">
      <queryTableField id="1" name="Client" tableColumnId="1"/>
      <queryTableField id="2" name="Annee" tableColumnId="2"/>
      <queryTableField id="3" name="tcc_total" tableColumnId="3"/>
      <queryTableField id="4" name="hix_total" tableColumnId="4"/>
      <queryTableField id="5" name="origine_rte" tableColumnId="5"/>
      <queryTableField id="6" name="incident_distribution_publique" tableColumnId="6"/>
      <queryTableField id="7" name="incident_poste_source" tableColumnId="7"/>
      <queryTableField id="8" name="incident_reseau_hta" tableColumnId="8"/>
      <queryTableField id="9" name="incident_reseau_bt" tableColumnId="9"/>
      <queryTableField id="10" name="travaux_distribution_publique" tableColumnId="10"/>
      <queryTableField id="11" name="travaux_reseau_hta" tableColumnId="11"/>
      <queryTableField id="12" name="travaux_reseau_bt" tableColumnId="12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E3BD8E40-933C-453E-9A38-5696A4E3E38E}" autoFormatId="16" applyNumberFormats="0" applyBorderFormats="0" applyFontFormats="0" applyPatternFormats="0" applyAlignmentFormats="0" applyWidthHeightFormats="0">
  <queryTableRefresh nextId="12">
    <queryTableFields count="11">
      <queryTableField id="1" name="Client" tableColumnId="1"/>
      <queryTableField id="2" name="Annee" tableColumnId="2"/>
      <queryTableField id="3" name="nb_incidents_hta_100km" tableColumnId="3"/>
      <queryTableField id="4" name="nb_incidents_hta_100km_aerien" tableColumnId="4"/>
      <queryTableField id="5" name="nb_incidents_hta_100km_souterrain" tableColumnId="5"/>
      <queryTableField id="6" name="nb_incidents_bt_100km" tableColumnId="6"/>
      <queryTableField id="7" name="nb_incidents_bt_100km_aerien" tableColumnId="7"/>
      <queryTableField id="8" name="nb_incidents_bt_100km_souterrain" tableColumnId="8"/>
      <queryTableField id="9" name="nb_coupures_incident_reseau" tableColumnId="9"/>
      <queryTableField id="10" name="nb_coupures_longues" tableColumnId="10"/>
      <queryTableField id="11" name="nb_coupures_breves" tableColumnId="11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BEF6F7EF-2712-4DA5-8D80-EC40E4F2E7A6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nb_coupures_travaux" tableColumnId="3"/>
      <queryTableField id="4" name="nb_coupures_travaux_hta" tableColumnId="4"/>
      <queryTableField id="5" name="nb_coupures_travaux_bt" tableColumnId="5"/>
      <queryTableField id="6" name="temps_moyen" tableColumnId="6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61" xr16:uid="{158F3C70-C217-4EE1-88EC-1347BADE0305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nbr_chute_tension_sup_7_pourcent" tableColumnId="3"/>
      <queryTableField id="4" name="nbr_chute_tension_btw_5_and_7_pourcent" tableColumnId="4"/>
      <queryTableField id="5" name="nbr_chute_tension_btw_4_and_5_pourcent" tableColumnId="5"/>
      <queryTableField id="6" name="nbr_depart_hta_chute_tension_sup_5_pourcent" tableColumnId="6"/>
      <queryTableField id="7" name="pourcentage_depart_hta_chute_tension_sup_5_pourcent" tableColumnId="7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62" xr16:uid="{367B60CB-C91F-4662-9EA0-D6F7CE08F4F2}" autoFormatId="16" applyNumberFormats="0" applyBorderFormats="0" applyFontFormats="0" applyPatternFormats="0" applyAlignmentFormats="0" applyWidthHeightFormats="0">
  <queryTableRefresh nextId="8">
    <queryTableFields count="5">
      <queryTableField id="1" name="client" tableColumnId="1"/>
      <queryTableField id="2" name="annee" tableColumnId="2"/>
      <queryTableField id="5" name="nbr_poste_hta" tableColumnId="3"/>
      <queryTableField id="6" name="nbr_transfos" tableColumnId="4"/>
      <queryTableField id="7" name="nbr_departs" tableColumnId="5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63" xr16:uid="{5C189BEE-97DD-4B13-B16C-22D6BB334AD2}" autoFormatId="16" applyNumberFormats="0" applyBorderFormats="0" applyFontFormats="0" applyPatternFormats="0" applyAlignmentFormats="0" applyWidthHeightFormats="0">
  <queryTableRefresh nextId="10">
    <queryTableFields count="9">
      <queryTableField id="1" name="client" tableColumnId="1"/>
      <queryTableField id="2" name="annee" tableColumnId="2"/>
      <queryTableField id="3" name="nbr_total_depart_bt" tableColumnId="3"/>
      <queryTableField id="4" name="longueur_troncon_mal_alimente_km" tableColumnId="4"/>
      <queryTableField id="5" name="longueur_troncon_mal_alimente_fsa_km" tableColumnId="5"/>
      <queryTableField id="6" name="nb_depart_bt_avec_cma" tableColumnId="6"/>
      <queryTableField id="7" name="taux_départ_bt_mal_alimente" tableColumnId="7"/>
      <queryTableField id="8" name="taux_depart_bt_mal_alimente_urbain" tableColumnId="8"/>
      <queryTableField id="9" name="taux_depart_bt_mal_alimente_rural" tableColumnId="9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164" xr16:uid="{B11855B1-C95E-40F7-9A20-D5D57EC36A01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nbr_chute_tension_sup_30" tableColumnId="3"/>
      <queryTableField id="4" name="nbr_chute_tension_btw_20_and_30" tableColumnId="4"/>
      <queryTableField id="5" name="nbr_chute_tension_btw_10_and_20" tableColumnId="5"/>
      <queryTableField id="6" name="nbr_depart_bt_contraite_sup_10_pourcent" tableColumnId="6"/>
      <queryTableField id="7" name="pourcentage_depart_bt_contrainte" tableColumnId="7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65" xr16:uid="{67E8910B-BA47-4D32-908C-5499132C1584}" autoFormatId="16" applyNumberFormats="0" applyBorderFormats="0" applyFontFormats="0" applyPatternFormats="0" applyAlignmentFormats="0" applyWidthHeightFormats="0">
  <queryTableRefresh nextId="11">
    <queryTableFields count="8">
      <queryTableField id="1" name="client" tableColumnId="1"/>
      <queryTableField id="2" name="annee" tableColumnId="2"/>
      <queryTableField id="3" name="nbr_clients_mal_alimentes" tableColumnId="3"/>
      <queryTableField id="7" name="nbr_clients_mal_alimentes_urbain" tableColumnId="7"/>
      <queryTableField id="8" name="nbr_clients_mal_alimentes_rural" tableColumnId="8"/>
      <queryTableField id="4" name="taux_client_mal_alimentes" tableColumnId="4"/>
      <queryTableField id="5" name="taux_client_mal_alimentes_urbain" tableColumnId="5"/>
      <queryTableField id="6" name="taux_client_mal_alimentes_rural" tableColumnId="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1" xr16:uid="{A1D66BDE-A02A-4E00-BC0A-61CB09151DE3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vb_canal_hta" tableColumnId="3"/>
      <queryTableField id="4" name="vb_canal_bt" tableColumnId="4"/>
      <queryTableField id="5" name="vb_poste_hta_bt" tableColumnId="5"/>
      <queryTableField id="6" name="vb_transfo_hta_bt" tableColumnId="6"/>
      <queryTableField id="7" name="vb_comptage" tableColumnId="7"/>
      <queryTableField id="8" name="vb_ouvrage_branch" tableColumnId="8"/>
      <queryTableField id="9" name="vb_autres_bl" tableColumnId="9"/>
      <queryTableField id="10" name="vb_comptages_nl" tableColumnId="10"/>
      <queryTableField id="11" name="vb_ouvrage_branch_nl" tableColumnId="11"/>
      <queryTableField id="12" name="vb_autres_biens_nl" tableColumnId="12"/>
      <queryTableField id="13" name="vb_branchements" tableColumnId="13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93" xr16:uid="{F2D940FC-92D4-4E1B-A503-951F792FD5D6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amort_canal_hta" tableColumnId="3"/>
      <queryTableField id="4" name="amort_canal_bt" tableColumnId="4"/>
      <queryTableField id="5" name="amort_poste_hta_bt" tableColumnId="5"/>
      <queryTableField id="6" name="amort_transfo_hta_bt" tableColumnId="6"/>
      <queryTableField id="7" name="amort_comptage" tableColumnId="7"/>
      <queryTableField id="8" name="amort_ouvrage_branch" tableColumnId="8"/>
      <queryTableField id="9" name="amort_autres_bl" tableColumnId="9"/>
      <queryTableField id="10" name="amort_comptages_nl" tableColumnId="10"/>
      <queryTableField id="11" name="amort_ouvrage_branch_nl" tableColumnId="11"/>
      <queryTableField id="12" name="amort_autres_biens_nl" tableColumnId="12"/>
      <queryTableField id="13" name="amort_branchements" tableColumnId="13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94" xr16:uid="{E8BDC3F4-FC19-4B00-9964-2061E9EBD3A1}" autoFormatId="16" applyNumberFormats="0" applyBorderFormats="0" applyFontFormats="0" applyPatternFormats="0" applyAlignmentFormats="0" applyWidthHeightFormats="0">
  <queryTableRefresh nextId="16">
    <queryTableFields count="15">
      <queryTableField id="1" name="client" tableColumnId="1"/>
      <queryTableField id="2" name="annee" tableColumnId="2"/>
      <queryTableField id="3" name="immo_local_vb" tableColumnId="3"/>
      <queryTableField id="4" name="immo_nl_vb" tableColumnId="4"/>
      <queryTableField id="5" name="immo_local_vnc" tableColumnId="5"/>
      <queryTableField id="6" name="immo_nl_vnc" tableColumnId="6"/>
      <queryTableField id="7" name="immo_local_amort" tableColumnId="7"/>
      <queryTableField id="8" name="immo_nl_amort" tableColumnId="8"/>
      <queryTableField id="9" name="nbr_usr" tableColumnId="9"/>
      <queryTableField id="10" name="vb_usr_local" tableColumnId="10"/>
      <queryTableField id="11" name="vb_usr_nl" tableColumnId="11"/>
      <queryTableField id="12" name="vnc_usr_local" tableColumnId="12"/>
      <queryTableField id="13" name="vnc_usr_nl" tableColumnId="13"/>
      <queryTableField id="14" name="amort_usr_local" tableColumnId="14"/>
      <queryTableField id="15" name="amort_usr_nl" tableColumnId="15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95" xr16:uid="{2DAF9505-965A-4601-99E6-6F37D72A2F02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vr_canal_hta" tableColumnId="3"/>
      <queryTableField id="4" name="vr_canal_bt" tableColumnId="4"/>
      <queryTableField id="5" name="vr_poste_hta_bt" tableColumnId="5"/>
      <queryTableField id="6" name="vr_transfo_hta_bt" tableColumnId="6"/>
      <queryTableField id="7" name="vr_comptage" tableColumnId="7"/>
      <queryTableField id="8" name="vr_ouvrage_branch" tableColumnId="8"/>
      <queryTableField id="9" name="vr_autres_bl" tableColumnId="9"/>
      <queryTableField id="10" name="vr_comptages_nl" tableColumnId="10"/>
      <queryTableField id="11" name="vr_ouvrage_branch_nl" tableColumnId="11"/>
      <queryTableField id="12" name="vr_autres_biens_nl" tableColumnId="12"/>
      <queryTableField id="13" name="vr_branchements" tableColumnId="13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96" xr16:uid="{2E6AF128-6B7D-4333-BED4-29332E3BBE66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pr_canal_hta" tableColumnId="3"/>
      <queryTableField id="4" name="pr_canal_bt" tableColumnId="4"/>
      <queryTableField id="5" name="pr_poste_hta_bt" tableColumnId="5"/>
      <queryTableField id="6" name="pr_transfo_hta_bt" tableColumnId="6"/>
      <queryTableField id="7" name="pr_comptage" tableColumnId="7"/>
      <queryTableField id="8" name="pr_ouvrage_branch" tableColumnId="8"/>
      <queryTableField id="9" name="pr_autres_bl" tableColumnId="9"/>
      <queryTableField id="10" name="pr_comptages_nl" tableColumnId="10"/>
      <queryTableField id="11" name="pr_ouvrage_branch_nl" tableColumnId="11"/>
      <queryTableField id="12" name="pr_autres_biens_nl" tableColumnId="12"/>
      <queryTableField id="13" name="pr_branchements" tableColumnId="13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97" xr16:uid="{CB848662-CC51-4E0A-8D09-B81782093BA6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val_mc_local" tableColumnId="3"/>
      <queryTableField id="4" name="val_mc_local_dont_finance_concessionnaire" tableColumnId="4"/>
      <queryTableField id="5" name="val_mc_local_dont_finance_concedant" tableColumnId="5"/>
      <queryTableField id="6" name="val_mc_nl" tableColumnId="6"/>
      <queryTableField id="7" name="val_mc_nl_dont_finance_concessionnaire" tableColumnId="7"/>
      <queryTableField id="8" name="val_mc_nl_dont_finance_concedant" tableColumnId="8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98" xr16:uid="{F36F5E56-940B-44AB-8B70-CE28B7C4CC31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val_mc_local" tableColumnId="3"/>
      <queryTableField id="4" name="val_mc_nl" tableColumnId="4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99" xr16:uid="{BCE4DF17-54CE-4888-A60F-40869648BC9A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contre_val_biens_concedes" tableColumnId="3"/>
      <queryTableField id="4" name="vnc_finance_ouvrage_existant" tableColumnId="4"/>
      <queryTableField id="5" name="amort_finance_concedant" tableColumnId="5"/>
      <queryTableField id="6" name="droits_concedant" tableColumnId="6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100" xr16:uid="{F3F358D4-F397-4B43-835D-EFA393A479AB}" autoFormatId="16" applyNumberFormats="0" applyBorderFormats="0" applyFontFormats="0" applyPatternFormats="0" applyAlignmentFormats="0" applyWidthHeightFormats="0">
  <queryTableRefresh nextId="23">
    <queryTableFields count="22">
      <queryTableField id="1" name="client" tableColumnId="1"/>
      <queryTableField id="2" name="annee" tableColumnId="2"/>
      <queryTableField id="3" name="pr_hta_aerien_urb" tableColumnId="3"/>
      <queryTableField id="4" name="pr_hta_aerien_rur" tableColumnId="4"/>
      <queryTableField id="5" name="pr_hta_sout_urb" tableColumnId="5"/>
      <queryTableField id="6" name="pr_hta_sout_rur" tableColumnId="6"/>
      <queryTableField id="7" name="pr_bt_aerien_nu_urb" tableColumnId="7"/>
      <queryTableField id="8" name="pr_bt_aerien_nu_rur" tableColumnId="8"/>
      <queryTableField id="9" name="pr_bt_aerien_torsade_urb" tableColumnId="9"/>
      <queryTableField id="10" name="pr_bt_aerien_torsade_rur" tableColumnId="10"/>
      <queryTableField id="11" name="pr_bt_sout_urb" tableColumnId="11"/>
      <queryTableField id="12" name="pr_bt_sout_rur" tableColumnId="12"/>
      <queryTableField id="13" name="pr_poste_htabt_urb" tableColumnId="13"/>
      <queryTableField id="14" name="pr_poste_htabt_rur" tableColumnId="14"/>
      <queryTableField id="15" name="pr_transfo_urb" tableColumnId="15"/>
      <queryTableField id="16" name="pr_transfo_rur" tableColumnId="16"/>
      <queryTableField id="17" name="pr_comptage_urb" tableColumnId="17"/>
      <queryTableField id="18" name="pr_comptage_rur" tableColumnId="18"/>
      <queryTableField id="19" name="pr_bri_urb" tableColumnId="19"/>
      <queryTableField id="20" name="pr_bri_rur" tableColumnId="20"/>
      <queryTableField id="21" name="pr_brc_urb" tableColumnId="21"/>
      <queryTableField id="22" name="pr_brc_rur" tableColumnId="22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01" xr16:uid="{B37DDA5A-3346-46F8-B426-D8324BA124AB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VNC Financement Concessionnaire (Créance Non Amrt)" tableColumnId="3"/>
      <queryTableField id="4" name="Amortissement Financement concedant" tableColumnId="4"/>
      <queryTableField id="5" name="Provision renouvellement (PR)" tableColumnId="5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02" xr16:uid="{AD9936B2-E238-422F-9023-DD8474F2A860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Categorie Ouvrage" tableColumnId="3"/>
      <queryTableField id="4" name="Taux de dépréciation" tableColumnId="4"/>
      <queryTableField id="5" name="Taux d'amortissement du financement concédant" tableColumnId="5"/>
      <queryTableField id="6" name="Stock de de DE (k€)" tableColumnId="6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104" xr16:uid="{C1E2B261-D4BE-4DEC-87AA-683F5C1A9CB6}" autoFormatId="16" applyNumberFormats="0" applyBorderFormats="0" applyFontFormats="0" applyPatternFormats="0" applyAlignmentFormats="0" applyWidthHeightFormats="0">
  <queryTableRefresh nextId="23">
    <queryTableFields count="22">
      <queryTableField id="1" name="client" tableColumnId="1"/>
      <queryTableField id="2" name="annee" tableColumnId="2"/>
      <queryTableField id="3" name="de_hta_aerien_urb" tableColumnId="3"/>
      <queryTableField id="4" name="de_hta_aerien_rur" tableColumnId="4"/>
      <queryTableField id="5" name="de_hta_sout_urb" tableColumnId="5"/>
      <queryTableField id="6" name="de_hta_sout_rur" tableColumnId="6"/>
      <queryTableField id="7" name="de_bt_aerien_nu_urb" tableColumnId="7"/>
      <queryTableField id="8" name="de_bt_aerien_nu_rur" tableColumnId="8"/>
      <queryTableField id="9" name="de_bt_aerien_torsade_urb" tableColumnId="9"/>
      <queryTableField id="10" name="de_bt_aerien_torsade_rur" tableColumnId="10"/>
      <queryTableField id="11" name="de_bt_sout_urb" tableColumnId="11"/>
      <queryTableField id="12" name="de_bt_sout_rur" tableColumnId="12"/>
      <queryTableField id="13" name="de_poste_htabt_urb" tableColumnId="13"/>
      <queryTableField id="14" name="de_poste_htabt_rur" tableColumnId="14"/>
      <queryTableField id="15" name="de_transfo_urb" tableColumnId="15"/>
      <queryTableField id="16" name="de_transfo_rur" tableColumnId="16"/>
      <queryTableField id="17" name="de_comptage_urb" tableColumnId="17"/>
      <queryTableField id="18" name="de_comptage_rur" tableColumnId="18"/>
      <queryTableField id="19" name="de_bri_urb" tableColumnId="19"/>
      <queryTableField id="20" name="de_bri_rur" tableColumnId="20"/>
      <queryTableField id="21" name="de_brc_urb" tableColumnId="21"/>
      <queryTableField id="22" name="de_brc_rur" tableColumnId="22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03" xr16:uid="{E96E5ED7-49F0-4403-B7BB-89E3A5BE7146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Taux de dépréciation" tableColumnId="3"/>
      <queryTableField id="4" name="Taux d'amortissement du financement concédant" tableColumnId="4"/>
      <queryTableField id="5" name="Stock de de DE (k€)" tableColumnId="5"/>
      <queryTableField id="6" name="Dépréciation des financements concédants (k€)" tableColumnId="6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92" xr16:uid="{151A2461-2384-4073-8FD9-467CEDB5181D}" autoFormatId="16" applyNumberFormats="0" applyBorderFormats="0" applyFontFormats="0" applyPatternFormats="0" applyAlignmentFormats="0" applyWidthHeightFormats="0">
  <queryTableRefresh nextId="14">
    <queryTableFields count="13">
      <queryTableField id="1" name="client" tableColumnId="1"/>
      <queryTableField id="2" name="annee" tableColumnId="2"/>
      <queryTableField id="3" name="vnc_canal_hta" tableColumnId="3"/>
      <queryTableField id="4" name="vnc_canal_bt" tableColumnId="4"/>
      <queryTableField id="5" name="vnc_poste_hta_bt" tableColumnId="5"/>
      <queryTableField id="6" name="vnc_transfo_hta_bt" tableColumnId="6"/>
      <queryTableField id="7" name="vnc_comptage" tableColumnId="7"/>
      <queryTableField id="8" name="vnc_ouvrage_branch" tableColumnId="8"/>
      <queryTableField id="9" name="vnc_autres_bl" tableColumnId="9"/>
      <queryTableField id="10" name="vnc_comptages_nl" tableColumnId="10"/>
      <queryTableField id="11" name="vnc_ouvrage_branch_nl" tableColumnId="11"/>
      <queryTableField id="12" name="vnc_autres_biens_nl" tableColumnId="12"/>
      <queryTableField id="13" name="vnc_branchements" tableColumnId="13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3" xr16:uid="{7F3F7802-E604-417F-BBD7-036B0625D5D4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annee_mes" tableColumnId="3"/>
      <queryTableField id="4" name="lineaire_bt_acier_alu" tableColumnId="4"/>
      <queryTableField id="5" name="lineaire_bt_alu" tableColumnId="5"/>
      <queryTableField id="6" name="lineaire_bt_almelec" tableColumnId="6"/>
      <queryTableField id="7" name="lineaire_bt_cuivre" tableColumnId="7"/>
      <queryTableField id="8" name="lineaire_bt_almelec_acier" tableColumnId="8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65" xr16:uid="{7EAF8217-D681-4345-A417-30B972A26425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annee_mes" tableColumnId="3"/>
      <queryTableField id="4" name="lineaire_hta_acier_alu" tableColumnId="4"/>
      <queryTableField id="5" name="lineaire_hta_alu" tableColumnId="5"/>
      <queryTableField id="6" name="lineaire_hta_almelec" tableColumnId="6"/>
      <queryTableField id="7" name="lineaire_hta_cuivre" tableColumnId="7"/>
      <queryTableField id="8" name="lineaire_hta_almelec_acier" tableColumnId="8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67" xr16:uid="{988E40B3-D33B-4875-9223-94F826B4820C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annee_mes" tableColumnId="3"/>
      <queryTableField id="4" name="postes_poteau" tableColumnId="4"/>
      <queryTableField id="5" name="postes_maconne" tableColumnId="5"/>
      <queryTableField id="6" name="postes_prefabriques" tableColumnId="6"/>
      <queryTableField id="7" name="postes_autre" tableColumnId="7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8" xr16:uid="{26F67A05-5EB4-4EF0-BE99-A211A02E9FCB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annee_mes" tableColumnId="3"/>
      <queryTableField id="4" name="nbr_transfos" tableColumnId="4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142" xr16:uid="{33F7F59C-4344-4E33-83E0-6DF7CFC5B601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Annee de Construction" tableColumnId="3"/>
      <queryTableField id="4" name="Type de traitement PDV" tableColumnId="4"/>
      <queryTableField id="5" name="longueur_km_hta_pdv" tableColumnId="5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66" xr16:uid="{BF53BBF3-1238-4E59-838A-6EB4A7BB3673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annee_mes" tableColumnId="3"/>
      <queryTableField id="4" name="lineaire_hta_nu_HFS" tableColumnId="4"/>
      <queryTableField id="5" name="lineaire_hta_torsade" tableColumnId="5"/>
      <queryTableField id="6" name="lineaire_hta_souterrain" tableColumnId="6"/>
      <queryTableField id="7" name="lineaire_hta_aerien_nu_fs" tableColumnId="7"/>
      <queryTableField id="8" name="lineaire_hta_tot" tableColumnId="8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64" xr16:uid="{5443BEA8-3259-4EEB-8AE2-9016EF14F41D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annee_mes" tableColumnId="3"/>
      <queryTableField id="4" name="lineaire_bt_nu_HFS" tableColumnId="4"/>
      <queryTableField id="5" name="lineaire_bt_torsade" tableColumnId="5"/>
      <queryTableField id="6" name="lineaire_bt_souterrain" tableColumnId="6"/>
      <queryTableField id="7" name="lineaire_bt_aerien_nu_fs" tableColumnId="7"/>
      <queryTableField id="8" name="lineaire_bt_tot" tableColumnId="8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66" xr16:uid="{8284D02C-3738-477B-A63A-4A4796F99F35}" autoFormatId="16" applyNumberFormats="0" applyBorderFormats="0" applyFontFormats="0" applyPatternFormats="0" applyAlignmentFormats="0" applyWidthHeightFormats="0">
  <queryTableRefresh nextId="19">
    <queryTableFields count="10">
      <queryTableField id="9" name="perimetre" tableColumnId="1"/>
      <queryTableField id="2" name="code_departement" tableColumnId="2"/>
      <queryTableField id="3" name="taux_enf_hta_dpt" tableColumnId="3"/>
      <queryTableField id="4" name="densite_pop_par_km_ligne_hta" tableColumnId="4"/>
      <queryTableField id="5" name="classment_tx_enf_hta" tableColumnId="5"/>
      <queryTableField id="11" name="taux_secur_bt_dpt" tableColumnId="6"/>
      <queryTableField id="17" name="taux_sout_bt_dpt" tableColumnId="10"/>
      <queryTableField id="7" name="densite_pop_par_km_ligne_bt" tableColumnId="7"/>
      <queryTableField id="8" name="classment_tx_enf_bt" tableColumnId="8"/>
      <queryTableField id="13" name="annee" tableColumnId="9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167" xr16:uid="{3921C083-B38D-47F2-A099-009063288E59}" autoFormatId="16" applyNumberFormats="0" applyBorderFormats="0" applyFontFormats="0" applyPatternFormats="0" applyAlignmentFormats="0" applyWidthHeightFormats="0">
  <queryTableRefresh nextId="9">
    <queryTableFields count="6">
      <queryTableField id="6" name="perimetre" tableColumnId="6"/>
      <queryTableField id="2" name="code_departement" tableColumnId="2"/>
      <queryTableField id="3" name="annee" tableColumnId="3"/>
      <queryTableField id="4" name="tx_enf_hta" tableColumnId="4"/>
      <queryTableField id="5" name="tx_enf_bt" tableColumnId="5"/>
      <queryTableField id="8" name="tx_enf_hta_bt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7" xr16:uid="{86C9F064-1981-44DE-A43D-5255A5480383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8" xr16:uid="{69BF744C-8D72-4351-9CA9-64862B60426B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29" xr16:uid="{D3489B6E-6DAC-4D06-B135-C07893562D92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30" xr16:uid="{3529A6DB-4F08-44B6-A934-2A2639203741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31" xr16:uid="{42B8DEA3-B073-4D59-A2B2-D4920BB96994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32" xr16:uid="{3DE661C4-FDC0-4C67-A06E-F48F22F58443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nbr_photo" tableColumnId="3"/>
      <queryTableField id="4" name="nbr_eolien" tableColumnId="4"/>
      <queryTableField id="5" name="nbr_hydraulique" tableColumnId="5"/>
      <queryTableField id="6" name="nbr_autre" tableColumnId="6"/>
      <queryTableField id="7" name="total" tableColumnId="7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33" xr16:uid="{EB89EAD1-C89F-49D9-844C-B266F621CDEF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nbr_pdl_residentiel" tableColumnId="3"/>
      <queryTableField id="4" name="nbr_pdl_non_residentiel" tableColumnId="4"/>
      <queryTableField id="5" name="nbr_pdl_total" tableColumnId="5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34" xr16:uid="{D1189035-B8FC-4816-9450-8002DB677032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tx_contrat_trv_residentiel" tableColumnId="3"/>
      <queryTableField id="4" name="tx_contrat_trv_non_residentiel" tableColumnId="4"/>
      <queryTableField id="5" name="tx_contrat_trv_total" tableColumnId="5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35" xr16:uid="{A3798B36-DD40-4287-8BC4-2674955C7C17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qte_energie_residentiel" tableColumnId="3"/>
      <queryTableField id="4" name="qte_energie_non_residentiel" tableColumnId="4"/>
      <queryTableField id="5" name="qte_energie_tot" tableColumnId="5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36" xr16:uid="{D43BACF0-C9DF-4FA6-9998-8150BA8CE882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recette_trv_residentiel" tableColumnId="3"/>
      <queryTableField id="4" name="recette_trv_non_residentiel" tableColumnId="4"/>
      <queryTableField id="5" name="recette_trv_tot" tableColumnId="5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37" xr16:uid="{B8F8247D-069C-4DD4-9116-CE0A0EDB1FC8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puissance_trv_residentiel" tableColumnId="3"/>
      <queryTableField id="4" name="puissance_trv_non_residentiel" tableColumnId="4"/>
      <queryTableField id="5" name="puissance_trv_tot" tableColumnId="5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38" xr16:uid="{41F263F2-55B4-4A1D-B4ED-0265E07BB37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nature_demande" tableColumnId="3"/>
      <queryTableField id="4" name="nbr_recla_enedis" tableColumnId="4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39" xr16:uid="{4301A1F3-3C52-4DC2-AF60-898BA804D914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motif" tableColumnId="3"/>
      <queryTableField id="4" name="nbr_recla_edf" tableColumnId="4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40" xr16:uid="{07D1A213-1F53-4594-A59A-2444B7D58E4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tx_reponse_30j" tableColumnId="3"/>
      <queryTableField id="4" name="tx_reponse_15j" tableColumnId="4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41" xr16:uid="{720ECA5A-EDA1-4E41-BE91-672392B274AF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tx_reponse_30j" tableColumnId="3"/>
      <queryTableField id="4" name="tx_reponse_15j" tableColumnId="4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connectionId="42" xr16:uid="{10BB9797-59AA-44D7-80BD-330671998D5B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pui_photo_hors_dcp" tableColumnId="3"/>
      <queryTableField id="4" name="pui_eolien_hors_dcp" tableColumnId="4"/>
      <queryTableField id="5" name="pui_hydraulique_hors_dcp" tableColumnId="5"/>
      <queryTableField id="6" name="pui_autre_hors_dcp" tableColumnId="6"/>
      <queryTableField id="7" name="pui_total_hors_dcp" tableColumnId="7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connectionId="43" xr16:uid="{73150A34-C188-4D79-89D0-596014B61291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nbr_coupures_conditionnelles" tableColumnId="3"/>
      <queryTableField id="4" name="nbr_coupures_fermes" tableColumnId="4"/>
      <queryTableField id="5" name="nbr_coupures_total" tableColumnId="5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connectionId="44" xr16:uid="{69C41919-E2E1-420C-B7A9-F5F80167A999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fsl" tableColumnId="3"/>
      <queryTableField id="4" name="nbr_dossiers" tableColumnId="4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connectionId="45" xr16:uid="{0EF36751-2EF1-400B-A8BA-34688D72D79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montant_penalites" tableColumnId="3"/>
      <queryTableField id="4" name="nbr_penalites" tableColumnId="4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0" connectionId="46" xr16:uid="{3D976349-F6CE-49E1-8E3D-5BD011339367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hta" tableColumnId="3"/>
      <queryTableField id="4" name="bt_sup_36" tableColumnId="4"/>
      <queryTableField id="5" name="bt_inf_36" tableColumnId="5"/>
      <queryTableField id="6" name="total" tableColumnId="6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1" connectionId="47" xr16:uid="{516E5D3D-F89A-421B-8228-C177284A8AA5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tx_mes_install_delais_catalogue" tableColumnId="3"/>
      <queryTableField id="4" name="tx_devis_envoye_delai_soutirage" tableColumnId="4"/>
      <queryTableField id="5" name="tx_access_accueil_raccordement_tel" tableColumnId="5"/>
      <queryTableField id="6" name="tx_devis_envoye_delai_injection" tableColumnId="6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2" connectionId="48" xr16:uid="{1C38F014-D740-4072-86EF-6BB7848EB49F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jours_prod_devis_raccordement_soutirage" tableColumnId="3"/>
      <queryTableField id="4" name="jours_prod_devis_raccordement_injection" tableColumnId="4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3" connectionId="49" xr16:uid="{76E88A39-D9DC-4719-829B-C75C6E91C5A7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" tableColumnId="3"/>
      <queryTableField id="4" name="tx_reussite_appel_tel" tableColumnId="4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5" connectionId="51" xr16:uid="{02DD6EA4-E718-4392-BFD3-08D6971D8F42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tx_contrat_br_preleve" tableColumnId="3"/>
      <queryTableField id="4" name="tx_contrat_br_mensualises" tableColumnId="4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6" connectionId="52" xr16:uid="{43C4600A-EBD0-4885-A37A-BCD33B1CBE6E}" autoFormatId="16" applyNumberFormats="0" applyBorderFormats="0" applyFontFormats="0" applyPatternFormats="0" applyAlignmentFormats="0" applyWidthHeightFormats="0">
  <queryTableRefresh nextId="7">
    <queryTableFields count="6">
      <queryTableField id="1" name="client" tableColumnId="1"/>
      <queryTableField id="2" name="annee" tableColumnId="2"/>
      <queryTableField id="3" name="tx_contrat_br_preleve" tableColumnId="3"/>
      <queryTableField id="4" name="tx_contrat_br_mensualises" tableColumnId="4"/>
      <queryTableField id="5" name="tx_contrat_bnr_preleve" tableColumnId="5"/>
      <queryTableField id="6" name="tx_contrat_bnr_mensualises" tableColumnId="6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7" connectionId="53" xr16:uid="{B3FE2D04-0613-4041-83D2-B36E4C1978DB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nbr_coupures_demandees_par_fournisseur" tableColumnId="3"/>
      <queryTableField id="4" name="nbr_coupures_effectives" tableColumnId="4"/>
      <queryTableField id="5" name="nbr_clients_realimentes_hiver" tableColumnId="5"/>
    </queryTableFields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8" connectionId="54" xr16:uid="{540AB69D-2991-488B-8E2E-6E3D47A4DAC6}" autoFormatId="16" applyNumberFormats="0" applyBorderFormats="0" applyFontFormats="0" applyPatternFormats="0" applyAlignmentFormats="0" applyWidthHeightFormats="0">
  <queryTableRefresh nextId="8">
    <queryTableFields count="4">
      <queryTableField id="1" name="client" tableColumnId="1"/>
      <queryTableField id="2" name="annee" tableColumnId="2"/>
      <queryTableField id="6" name="libelle_crac" tableColumnId="3"/>
      <queryTableField id="7" name="valeur" tableColumnId="4"/>
    </queryTableFields>
  </queryTableRefresh>
</queryTable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9" connectionId="50" xr16:uid="{1D86C89F-A16F-486E-A36B-15CDD6054C48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0" connectionId="55" xr16:uid="{EFA16EC9-3644-48DB-BDFF-4D0BEDA78AEA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6" xr16:uid="{B317EC74-D90D-4A83-B5BA-B43D5F1A49E8}" autoFormatId="16" applyNumberFormats="0" applyBorderFormats="0" applyFontFormats="0" applyPatternFormats="0" applyAlignmentFormats="0" applyWidthHeightFormats="0">
  <queryTableRefresh nextId="33">
    <queryTableFields count="32">
      <queryTableField id="1" name="client" tableColumnId="1"/>
      <queryTableField id="2" name="annee" tableColumnId="2"/>
      <queryTableField id="3" name="lineaire_tot_hta_inv_tech" tableColumnId="3"/>
      <queryTableField id="4" name="lineaire_tot_hta_compt" tableColumnId="4"/>
      <queryTableField id="5" name="ecart_concession_tot_hta_qte" tableColumnId="5"/>
      <queryTableField id="6" name="ecart_concession_tot_hta_percent" tableColumnId="6"/>
      <queryTableField id="7" name="ecart_commune_tot_hta_qte" tableColumnId="7"/>
      <queryTableField id="8" name="ecart_commune_tot_hta_percent" tableColumnId="8"/>
      <queryTableField id="9" name="lineaire_tot_bt_inv_tech" tableColumnId="9"/>
      <queryTableField id="10" name="lineaire_tot_bt_compt" tableColumnId="10"/>
      <queryTableField id="11" name="ecart_concession_tot_bt_qte" tableColumnId="11"/>
      <queryTableField id="12" name="ecart_concession_tot_bt_percent" tableColumnId="12"/>
      <queryTableField id="13" name="ecart_commune_tot_bt_qte" tableColumnId="13"/>
      <queryTableField id="14" name="ecart_commune_tot_bt_percent" tableColumnId="14"/>
      <queryTableField id="15" name="nbr_postes_inv_tech" tableColumnId="15"/>
      <queryTableField id="16" name="postes_compt" tableColumnId="16"/>
      <queryTableField id="17" name="ecart_concession_postes_qte" tableColumnId="17"/>
      <queryTableField id="18" name="ecart_concession_postes_percent" tableColumnId="18"/>
      <queryTableField id="19" name="ecart_commune_postes_qte" tableColumnId="19"/>
      <queryTableField id="20" name="ecart_commune_postes_percent" tableColumnId="20"/>
      <queryTableField id="21" name="nbr_transfos_inv_tech" tableColumnId="21"/>
      <queryTableField id="22" name="transfos_compt" tableColumnId="22"/>
      <queryTableField id="23" name="ecart_concession_transfos_qte" tableColumnId="23"/>
      <queryTableField id="24" name="ecart_concession_transfos_percent" tableColumnId="24"/>
      <queryTableField id="25" name="ecart_commune_transfos_qte" tableColumnId="25"/>
      <queryTableField id="26" name="ecart_commune_transfos_percent" tableColumnId="26"/>
      <queryTableField id="27" name="nbr_ocb_inv_tech" tableColumnId="27"/>
      <queryTableField id="28" name="ocb_compt" tableColumnId="28"/>
      <queryTableField id="29" name="ecart_concession_ocb_qte" tableColumnId="29"/>
      <queryTableField id="30" name="ecart_concession_ocb_percent" tableColumnId="30"/>
      <queryTableField id="31" name="ecart_commune_ocb_qte" tableColumnId="31"/>
      <queryTableField id="32" name="ecart_commune_ocb_percent" tableColumnId="32"/>
    </queryTableFields>
  </queryTableRefresh>
</queryTable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57" xr16:uid="{D197FF76-7CE4-4069-9ED5-404464867913}" autoFormatId="16" applyNumberFormats="0" applyBorderFormats="0" applyFontFormats="0" applyPatternFormats="0" applyAlignmentFormats="0" applyWidthHeightFormats="0">
  <queryTableRefresh nextId="27">
    <queryTableFields count="26">
      <queryTableField id="1" name="client" tableColumnId="1"/>
      <queryTableField id="2" name="annee" tableColumnId="2"/>
      <queryTableField id="3" name="lineaire_tot_hta_nu_inv_tech" tableColumnId="3"/>
      <queryTableField id="4" name="lineaire_tot_hta_nu_compt" tableColumnId="4"/>
      <queryTableField id="5" name="ecart_concession_tot_hta_nu_qte" tableColumnId="5"/>
      <queryTableField id="6" name="ecart_concession_tot_hta_nu_percent" tableColumnId="6"/>
      <queryTableField id="7" name="ecart_commune_tot_hta_nu_qte" tableColumnId="7"/>
      <queryTableField id="8" name="ecart_commune_tot_hta_nu_percent" tableColumnId="8"/>
      <queryTableField id="9" name="lineaire_tot_hta_torsade_inv_tech" tableColumnId="9"/>
      <queryTableField id="10" name="lineaire_tot_hta_torsade_compt" tableColumnId="10"/>
      <queryTableField id="11" name="ecart_concession_tot_hta_torsade_qte" tableColumnId="11"/>
      <queryTableField id="12" name="ecart_concession_tot_hta_torsade_percent" tableColumnId="12"/>
      <queryTableField id="13" name="ecart_commune_tot_hta_torsade_qte" tableColumnId="13"/>
      <queryTableField id="14" name="ecart_commune_tot_hta_torsade_percent" tableColumnId="14"/>
      <queryTableField id="15" name="lineaire_tot_hta_souterrain_inv_tech" tableColumnId="15"/>
      <queryTableField id="16" name="lineaire_tot_hta_souterrain_compt" tableColumnId="16"/>
      <queryTableField id="17" name="ecart_concession_tot_hta_souterrain_qte" tableColumnId="17"/>
      <queryTableField id="18" name="ecart_concession_tot_hta_souterrain_percent" tableColumnId="18"/>
      <queryTableField id="19" name="ecart_commune_tot_hta_souterrain_qte" tableColumnId="19"/>
      <queryTableField id="20" name="ecart_commune_tot_hta_souterrain_percent" tableColumnId="20"/>
      <queryTableField id="21" name="lineaire_tot_hta_inv_tech" tableColumnId="21"/>
      <queryTableField id="22" name="lineaire_tot_hta_compt" tableColumnId="22"/>
      <queryTableField id="23" name="ecart_concession_tot_hta_qte" tableColumnId="23"/>
      <queryTableField id="24" name="ecart_concession_tot_hta_percent" tableColumnId="24"/>
      <queryTableField id="25" name="ecart_commune_tot_hta_qte" tableColumnId="25"/>
      <queryTableField id="26" name="ecart_commune_tot_hta_percent" tableColumnId="26"/>
    </queryTableFields>
  </queryTableRefresh>
</queryTable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58" xr16:uid="{220A6C4D-48E8-4EE4-A431-A1DBE3663F6C}" autoFormatId="16" applyNumberFormats="0" applyBorderFormats="0" applyFontFormats="0" applyPatternFormats="0" applyAlignmentFormats="0" applyWidthHeightFormats="0">
  <queryTableRefresh nextId="27">
    <queryTableFields count="26">
      <queryTableField id="1" name="client" tableColumnId="1"/>
      <queryTableField id="2" name="annee" tableColumnId="2"/>
      <queryTableField id="3" name="lineaire_tot_bt_nu_inv_tech" tableColumnId="3"/>
      <queryTableField id="4" name="lineaire_tot_bt_nu_compt" tableColumnId="4"/>
      <queryTableField id="5" name="ecart_concession_tot_bt_nu_qte" tableColumnId="5"/>
      <queryTableField id="6" name="ecart_concession_tot_bt_nu_percent" tableColumnId="6"/>
      <queryTableField id="7" name="ecart_commune_tot_bt_nu_qte" tableColumnId="7"/>
      <queryTableField id="8" name="ecart_commune_tot_bt_nu_percent" tableColumnId="8"/>
      <queryTableField id="9" name="lineaire_tot_bt_torsade_inv_tech" tableColumnId="9"/>
      <queryTableField id="10" name="lineaire_tot_bt_torsade_compt" tableColumnId="10"/>
      <queryTableField id="11" name="ecart_concession_tot_bt_torsade_qte" tableColumnId="11"/>
      <queryTableField id="12" name="ecart_concession_tot_bt_torsade_percent" tableColumnId="12"/>
      <queryTableField id="13" name="ecart_commune_tot_bt_torsade_qte" tableColumnId="13"/>
      <queryTableField id="14" name="ecart_commune_tot_bt_torsade_percent" tableColumnId="14"/>
      <queryTableField id="15" name="lineaire_tot_bt_souterrain_inv_tech" tableColumnId="15"/>
      <queryTableField id="16" name="lineaire_tot_bt_souterrain_compt" tableColumnId="16"/>
      <queryTableField id="17" name="ecart_concession_tot_bt_souterrain_qte" tableColumnId="17"/>
      <queryTableField id="18" name="ecart_concession_tot_bt_souterrain_percent" tableColumnId="18"/>
      <queryTableField id="19" name="ecart_commune_tot_bt_souterrain_qte" tableColumnId="19"/>
      <queryTableField id="20" name="ecart_commune_tot_bt_souterrain_percent" tableColumnId="20"/>
      <queryTableField id="21" name="lineaire_tot_bt_inv_tech" tableColumnId="21"/>
      <queryTableField id="22" name="lineaire_tot_bt_compt" tableColumnId="22"/>
      <queryTableField id="23" name="ecart_concession_tot_bt_qte" tableColumnId="23"/>
      <queryTableField id="24" name="ecart_concession_tot_bt_percent" tableColumnId="24"/>
      <queryTableField id="25" name="ecart_commune_tot_bt_qte" tableColumnId="25"/>
      <queryTableField id="26" name="ecart_commune_tot_bt_percent" tableColumnId="26"/>
    </queryTableFields>
  </queryTableRefresh>
</queryTable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59" xr16:uid="{69A60106-5F3F-4811-817A-801ECE9CE6C6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nbr_postes_inv_tech" tableColumnId="3"/>
      <queryTableField id="4" name="postes_compt" tableColumnId="4"/>
      <queryTableField id="5" name="ecart_concession_postes_qte" tableColumnId="5"/>
      <queryTableField id="6" name="ecart_concession_postes_percent" tableColumnId="6"/>
      <queryTableField id="7" name="ecart_commune_postes_qte" tableColumnId="7"/>
      <queryTableField id="8" name="ecart_commune_postes_percent" tableColumnId="8"/>
    </queryTableFields>
  </queryTableRefresh>
</queryTable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60" xr16:uid="{10508CC0-CA8C-46A6-894B-5EF294931CA0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nbr_transfos_inv_tech" tableColumnId="3"/>
      <queryTableField id="4" name="transfos_compt" tableColumnId="4"/>
      <queryTableField id="5" name="ecart_concession_transfos_qte" tableColumnId="5"/>
      <queryTableField id="6" name="ecart_concession_transfos_percent" tableColumnId="6"/>
      <queryTableField id="7" name="ecart_commune_transfos_qte" tableColumnId="7"/>
      <queryTableField id="8" name="ecart_commune_transfos_percent" tableColumnId="8"/>
    </queryTableFields>
  </queryTableRefresh>
</queryTable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61" xr16:uid="{3131223A-A7A4-4EE4-ABAE-AFC866F54064}" autoFormatId="16" applyNumberFormats="0" applyBorderFormats="0" applyFontFormats="0" applyPatternFormats="0" applyAlignmentFormats="0" applyWidthHeightFormats="0">
  <queryTableRefresh nextId="83">
    <queryTableFields count="82">
      <queryTableField id="1" name="client" tableColumnId="1"/>
      <queryTableField id="2" name="annee" tableColumnId="2"/>
      <queryTableField id="3" name="lineaire_hta_nul" tableColumnId="3"/>
      <queryTableField id="4" name="lineaire_hta_btw_0_2_percent" tableColumnId="4"/>
      <queryTableField id="5" name="lineaire_hta_btw_2_5_percent" tableColumnId="5"/>
      <queryTableField id="6" name="lineaire_hta_btw_5_10_percent" tableColumnId="6"/>
      <queryTableField id="7" name="lineaire_hta_btw_10_25_percent" tableColumnId="7"/>
      <queryTableField id="8" name="lineaire_hta_btw_25_50_percent" tableColumnId="8"/>
      <queryTableField id="9" name="lineaire_hta_sup_50_percent" tableColumnId="9"/>
      <queryTableField id="10" name="total_hta" tableColumnId="10"/>
      <queryTableField id="11" name="lineaire_bt_nul" tableColumnId="11"/>
      <queryTableField id="12" name="lineaire_bt_btw_0_2_percent" tableColumnId="12"/>
      <queryTableField id="13" name="lineaire_bt_btw_2_5_percent" tableColumnId="13"/>
      <queryTableField id="14" name="lineaire_bt_btw_5_10_percent" tableColumnId="14"/>
      <queryTableField id="15" name="lineaire_bt_btw_10_25_percent" tableColumnId="15"/>
      <queryTableField id="16" name="lineaire_bt_btw_25_50_percent" tableColumnId="16"/>
      <queryTableField id="17" name="lineaire_bt_sup_50_percent" tableColumnId="17"/>
      <queryTableField id="18" name="total_bt" tableColumnId="18"/>
      <queryTableField id="19" name="lineaire_postes_nul" tableColumnId="19"/>
      <queryTableField id="20" name="lineaire_postes_btw_0_2_percent" tableColumnId="20"/>
      <queryTableField id="21" name="lineaire_postes_btw_2_5_percent" tableColumnId="21"/>
      <queryTableField id="22" name="lineaire_postes_btw_5_10_percent" tableColumnId="22"/>
      <queryTableField id="23" name="lineaire_postes_btw_10_25_percent" tableColumnId="23"/>
      <queryTableField id="24" name="lineaire_postes_btw_25_50_percent" tableColumnId="24"/>
      <queryTableField id="25" name="lineaire_postes_sup_50_percent" tableColumnId="25"/>
      <queryTableField id="26" name="total_postes" tableColumnId="26"/>
      <queryTableField id="27" name="lineaire_transfos_nul" tableColumnId="27"/>
      <queryTableField id="28" name="lineaire_transfos_btw_0_2_percent" tableColumnId="28"/>
      <queryTableField id="29" name="lineaire_transfos_btw_2_5_percent" tableColumnId="29"/>
      <queryTableField id="30" name="lineaire_transfos_btw_5_10_percent" tableColumnId="30"/>
      <queryTableField id="31" name="lineaire_transfos_btw_10_25_percent" tableColumnId="31"/>
      <queryTableField id="32" name="lineaire_transfos_btw_25_50_percent" tableColumnId="32"/>
      <queryTableField id="33" name="lineaire_transfos_sup_50_percent" tableColumnId="33"/>
      <queryTableField id="34" name="total_transfos" tableColumnId="34"/>
      <queryTableField id="35" name="lineaire_hta_nu_nul" tableColumnId="35"/>
      <queryTableField id="36" name="lineaire_hta_nu_btw_0_2_percent" tableColumnId="36"/>
      <queryTableField id="37" name="lineaire_hta_nu_btw_2_5_percent" tableColumnId="37"/>
      <queryTableField id="38" name="lineaire_hta_nu_btw_5_10_percent" tableColumnId="38"/>
      <queryTableField id="39" name="lineaire_hta_nu_btw_10_25_percent" tableColumnId="39"/>
      <queryTableField id="40" name="lineaire_hta_nu_btw_25_50_percent" tableColumnId="40"/>
      <queryTableField id="41" name="lineaire_hta_nu_sup_50_percent" tableColumnId="41"/>
      <queryTableField id="42" name="total_hta_nu" tableColumnId="42"/>
      <queryTableField id="43" name="lineaire_hta_torsade_nul" tableColumnId="43"/>
      <queryTableField id="44" name="lineaire_hta_torsade_btw_0_2_percent" tableColumnId="44"/>
      <queryTableField id="45" name="lineaire_hta_torsade_btw_2_5_percent" tableColumnId="45"/>
      <queryTableField id="46" name="lineaire_hta_torsade_btw_5_10_percent" tableColumnId="46"/>
      <queryTableField id="47" name="lineaire_hta_torsade_btw_10_25_percent" tableColumnId="47"/>
      <queryTableField id="48" name="lineaire_hta_torsade_btw_25_50_percent" tableColumnId="48"/>
      <queryTableField id="49" name="lineaire_hta_torsade_sup_50_percent" tableColumnId="49"/>
      <queryTableField id="50" name="total_hta_torsade" tableColumnId="50"/>
      <queryTableField id="51" name="lineaire_hta_souterrain_nul" tableColumnId="51"/>
      <queryTableField id="52" name="lineaire_hta_souterrain_btw_0_2_percent" tableColumnId="52"/>
      <queryTableField id="53" name="lineaire_hta_souterrain_btw_2_5_percent" tableColumnId="53"/>
      <queryTableField id="54" name="lineaire_hta_souterrain_btw_5_10_percent" tableColumnId="54"/>
      <queryTableField id="55" name="lineaire_hta_souterrain_btw_10_25_percent" tableColumnId="55"/>
      <queryTableField id="56" name="lineaire_hta_souterrain_btw_25_50_percent" tableColumnId="56"/>
      <queryTableField id="57" name="lineaire_hta_souterrain_sup_50_percent" tableColumnId="57"/>
      <queryTableField id="58" name="total_hta_souterrain" tableColumnId="58"/>
      <queryTableField id="59" name="lineaire_bt_nu_nul" tableColumnId="59"/>
      <queryTableField id="60" name="lineaire_bt_nu_btw_0_2_percent" tableColumnId="60"/>
      <queryTableField id="61" name="lineaire_bt_nu_btw_2_5_percent" tableColumnId="61"/>
      <queryTableField id="62" name="lineaire_bt_nu_btw_5_10_percent" tableColumnId="62"/>
      <queryTableField id="63" name="lineaire_bt_nu_btw_10_25_percent" tableColumnId="63"/>
      <queryTableField id="64" name="lineaire_bt_nu_btw_25_50_percent" tableColumnId="64"/>
      <queryTableField id="65" name="lineaire_bt_nu_sup_50_percent" tableColumnId="65"/>
      <queryTableField id="66" name="total_bt_nu" tableColumnId="66"/>
      <queryTableField id="67" name="lineaire_bt_torsade_nul" tableColumnId="67"/>
      <queryTableField id="68" name="lineaire_bt_torsade_btw_0_2_percent" tableColumnId="68"/>
      <queryTableField id="69" name="lineaire_bt_torsade_btw_2_5_percent" tableColumnId="69"/>
      <queryTableField id="70" name="lineaire_bt_torsade_btw_5_10_percent" tableColumnId="70"/>
      <queryTableField id="71" name="lineaire_bt_torsade_btw_10_25_percent" tableColumnId="71"/>
      <queryTableField id="72" name="lineaire_bt_torsade_btw_25_50_percent" tableColumnId="72"/>
      <queryTableField id="73" name="lineaire_bt_torsade_sup_50_percent" tableColumnId="73"/>
      <queryTableField id="74" name="total_bt_torsade" tableColumnId="74"/>
      <queryTableField id="75" name="lineaire_bt_souterrain_nul" tableColumnId="75"/>
      <queryTableField id="76" name="lineaire_bt_souterrain_btw_0_2_percent" tableColumnId="76"/>
      <queryTableField id="77" name="lineaire_bt_souterrain_btw_2_5_percent" tableColumnId="77"/>
      <queryTableField id="78" name="lineaire_bt_souterrain_btw_5_10_percent" tableColumnId="78"/>
      <queryTableField id="79" name="lineaire_bt_souterrain_btw_10_25_percent" tableColumnId="79"/>
      <queryTableField id="80" name="lineaire_bt_souterrain_btw_25_50_percent" tableColumnId="80"/>
      <queryTableField id="81" name="lineaire_bt_souterrain_sup_50_percent" tableColumnId="81"/>
      <queryTableField id="82" name="total_bt_souterrain" tableColumnId="82"/>
    </queryTableFields>
  </queryTableRefresh>
</queryTable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2" xr16:uid="{BE3C6ED8-D50E-4165-BEBC-EA825091A661}" autoFormatId="16" applyNumberFormats="0" applyBorderFormats="0" applyFontFormats="0" applyPatternFormats="0" applyAlignmentFormats="0" applyWidthHeightFormats="0">
  <queryTableRefresh nextId="8">
    <queryTableFields count="7">
      <queryTableField id="1" name="client" tableColumnId="1"/>
      <queryTableField id="2" name="annee" tableColumnId="2"/>
      <queryTableField id="3" name="coderelais" tableColumnId="3"/>
      <queryTableField id="4" name="table" tableColumnId="4"/>
      <queryTableField id="5" name="libelle" tableColumnId="5"/>
      <queryTableField id="6" name="libelle_crac" tableColumnId="6"/>
      <queryTableField id="7" name="valeur" tableColumnId="7"/>
    </queryTableFields>
  </queryTableRefresh>
</queryTable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5" xr16:uid="{A08CD6B1-BAA1-477A-B80B-7985953512E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6" xr16:uid="{03A23FBF-3F45-4699-A246-C7340374125F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7" xr16:uid="{1DE0B7F5-EF0A-4A5B-94D7-2E076EF16C8A}" autoFormatId="16" applyNumberFormats="0" applyBorderFormats="0" applyFontFormats="0" applyPatternFormats="0" applyAlignmentFormats="0" applyWidthHeightFormats="0">
  <queryTableRefresh nextId="9">
    <queryTableFields count="8">
      <queryTableField id="1" name="client" tableColumnId="1"/>
      <queryTableField id="2" name="annee" tableColumnId="2"/>
      <queryTableField id="3" name="charges" tableColumnId="3"/>
      <queryTableField id="4" name="produits" tableColumnId="4"/>
      <queryTableField id="5" name="resultat_brut" tableColumnId="5"/>
      <queryTableField id="6" name="rentabilite_brute" tableColumnId="6"/>
      <queryTableField id="7" name="rentabilite_nette" tableColumnId="7"/>
      <queryTableField id="8" name="contribution_equilibre" tableColumnId="8"/>
    </queryTableFields>
  </queryTableRefresh>
</queryTable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18" xr16:uid="{71E6165B-E97A-49CB-9FE9-8EB9800A0233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9" xr16:uid="{C448DE7F-C420-45B5-ACAD-FB12418803FD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20" xr16:uid="{DA321FCF-506E-47AB-88B5-41AC86E11AB1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21" xr16:uid="{0D7010B1-4335-484C-9130-BC9B442A6E7F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22" xr16:uid="{B3463DC3-866B-4E12-96A4-78830383CE1D}" autoFormatId="16" applyNumberFormats="0" applyBorderFormats="0" applyFontFormats="0" applyPatternFormats="0" applyAlignmentFormats="0" applyWidthHeightFormats="0">
  <queryTableRefresh nextId="6">
    <queryTableFields count="5">
      <queryTableField id="1" name="client" tableColumnId="1"/>
      <queryTableField id="2" name="annee" tableColumnId="2"/>
      <queryTableField id="3" name="table" tableColumnId="3"/>
      <queryTableField id="4" name="libelle" tableColumnId="4"/>
      <queryTableField id="5" name="montant_reparti" tableColumnId="5"/>
    </queryTableFields>
  </queryTableRefresh>
</queryTable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23" xr16:uid="{8E1EC8D2-F7CE-4F63-99BC-B88BAEDCA0E3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24" xr16:uid="{6EA61856-80C1-4B19-8739-AB390B658718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_crac" tableColumnId="3"/>
      <queryTableField id="4" name="valeur" tableColumnId="4"/>
    </queryTableFields>
  </queryTableRefresh>
</queryTable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25" xr16:uid="{616643D7-59C6-4919-8E7A-5664766C69C2}" autoFormatId="16" applyNumberFormats="0" applyBorderFormats="0" applyFontFormats="0" applyPatternFormats="0" applyAlignmentFormats="0" applyWidthHeightFormats="0">
  <queryTableRefresh nextId="4">
    <queryTableFields count="3">
      <queryTableField id="1" name="client" tableColumnId="1"/>
      <queryTableField id="2" name="annee" tableColumnId="2"/>
      <queryTableField id="3" name="investissements_deliberes" tableColumnId="3"/>
    </queryTableFields>
  </queryTableRefresh>
</queryTable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26" xr16:uid="{156301D6-6C38-4FB7-BD25-63DF88566F4F}" autoFormatId="16" applyNumberFormats="0" applyBorderFormats="0" applyFontFormats="0" applyPatternFormats="0" applyAlignmentFormats="0" applyWidthHeightFormats="0">
  <queryTableRefresh nextId="5">
    <queryTableFields count="4">
      <queryTableField id="1" name="client" tableColumnId="1"/>
      <queryTableField id="2" name="annee" tableColumnId="2"/>
      <queryTableField id="3" name="libelle" tableColumnId="3"/>
      <queryTableField id="4" name="valeur" tableColumnId="4"/>
    </queryTableFields>
  </queryTableRefresh>
</queryTable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60" xr16:uid="{62305208-B4E5-4695-AAF7-8A688B5B3969}" autoFormatId="16" applyNumberFormats="0" applyBorderFormats="0" applyFontFormats="0" applyPatternFormats="0" applyAlignmentFormats="0" applyWidthHeightFormats="0">
  <queryTableRefresh nextId="33">
    <queryTableFields count="27">
      <queryTableField id="1" name="client" tableColumnId="1"/>
      <queryTableField id="2" name="annee" tableColumnId="2"/>
      <queryTableField id="3" name="nbr_communes_dpt_insee" tableColumnId="3"/>
      <queryTableField id="4" name="nbr_communes_sens_enedis" tableColumnId="4"/>
      <queryTableField id="5" name="nbr_com_urb" tableColumnId="5"/>
      <queryTableField id="6" name="nbr_com_rur" tableColumnId="6"/>
      <queryTableField id="7" name="population_concession" tableColumnId="7"/>
      <queryTableField id="17" name="population_concession_urbain" tableColumnId="17"/>
      <queryTableField id="18" name="population_concession_rural" tableColumnId="18"/>
      <queryTableField id="8" name="nbr_ps_concession" tableColumnId="8"/>
      <queryTableField id="9" name="nbr_ps_concession_sur_le_territoire" tableColumnId="9"/>
      <queryTableField id="10" name="puissance_mva" tableColumnId="10"/>
      <queryTableField id="11" name="puissance_mva_sur_le_territoire" tableColumnId="11"/>
      <queryTableField id="12" name="nbr_usr" tableColumnId="12"/>
      <queryTableField id="19" name="nbr_usr_trv" tableColumnId="19"/>
      <queryTableField id="30" name="nbr_prod" tableColumnId="26"/>
      <queryTableField id="13" name="long_hta_tot_km" tableColumnId="13"/>
      <queryTableField id="14" name="nbr_postes_hta_bt" tableColumnId="14"/>
      <queryTableField id="20" name="nbr_trans_hta_bt" tableColumnId="20"/>
      <queryTableField id="15" name="long_bt_tot_km" tableColumnId="15"/>
      <queryTableField id="16" name="long_tot_km" tableColumnId="16"/>
      <queryTableField id="21" name="valeur_brute" tableColumnId="21"/>
      <queryTableField id="22" name="taux_amort" tableColumnId="22"/>
      <queryTableField id="23" name="recette" tableColumnId="23"/>
      <queryTableField id="24" name="redevance" tableColumnId="24"/>
      <queryTableField id="25" name="article8" tableColumnId="25"/>
      <queryTableField id="32" name="nbr_ocb" tableColumnId="2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_rels/table1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5.xml"/></Relationships>
</file>

<file path=xl/tables/_rels/table1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6.xml"/></Relationships>
</file>

<file path=xl/tables/_rels/table1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7.xml"/></Relationships>
</file>

<file path=xl/tables/_rels/table1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8.xml"/></Relationships>
</file>

<file path=xl/tables/_rels/table1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9.xml"/></Relationships>
</file>

<file path=xl/tables/_rels/table1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0.xml"/></Relationships>
</file>

<file path=xl/tables/_rels/table1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1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2.xml"/></Relationships>
</file>

<file path=xl/tables/_rels/table1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3.xml"/></Relationships>
</file>

<file path=xl/tables/_rels/table1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4.xml"/></Relationships>
</file>

<file path=xl/tables/_rels/table1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tables/_rels/table1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6.xml"/></Relationships>
</file>

<file path=xl/tables/_rels/table1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7.xml"/></Relationships>
</file>

<file path=xl/tables/_rels/table1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8.xml"/></Relationships>
</file>

<file path=xl/tables/_rels/table1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9.xml"/></Relationships>
</file>

<file path=xl/tables/_rels/table1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0.xml"/></Relationships>
</file>

<file path=xl/tables/_rels/table1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1.xml"/></Relationships>
</file>

<file path=xl/tables/_rels/table1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2.xml"/></Relationships>
</file>

<file path=xl/tables/_rels/table1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3.xml"/></Relationships>
</file>

<file path=xl/tables/_rels/table1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4.xml"/></Relationships>
</file>

<file path=xl/tables/_rels/table1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5.xml"/></Relationships>
</file>

<file path=xl/tables/_rels/table1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6.xml"/></Relationships>
</file>

<file path=xl/tables/_rels/table1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7.xml"/></Relationships>
</file>

<file path=xl/tables/_rels/table1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8.xml"/></Relationships>
</file>

<file path=xl/tables/_rels/table1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9.xml"/></Relationships>
</file>

<file path=xl/tables/_rels/table1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0.xml"/></Relationships>
</file>

<file path=xl/tables/_rels/table1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1.xml"/></Relationships>
</file>

<file path=xl/tables/_rels/table1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2.xml"/></Relationships>
</file>

<file path=xl/tables/_rels/table1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3.xml"/></Relationships>
</file>

<file path=xl/tables/_rels/table1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4.xml"/></Relationships>
</file>

<file path=xl/tables/_rels/table1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5.xml"/></Relationships>
</file>

<file path=xl/tables/_rels/table1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6.xml"/></Relationships>
</file>

<file path=xl/tables/_rels/table1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7.xml"/></Relationships>
</file>

<file path=xl/tables/_rels/table1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8.xml"/></Relationships>
</file>

<file path=xl/tables/_rels/table1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9.xml"/></Relationships>
</file>

<file path=xl/tables/_rels/table1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0.xml"/></Relationships>
</file>

<file path=xl/tables/_rels/table1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2186B2F-7A12-4A76-9D6A-3A92415046AE}" name="Exercice" displayName="Exercice" ref="A8:E9" totalsRowShown="0" headerRowDxfId="164" dataDxfId="163">
  <autoFilter ref="A8:E9" xr:uid="{1A418B7C-2D1D-4510-8030-9BECDB9F63CA}"/>
  <tableColumns count="5">
    <tableColumn id="1" xr3:uid="{23B3C7CC-84DE-440F-A3BB-AE3850ABBB41}" name="Exercice N" dataDxfId="162">
      <calculatedColumnFormula>annee_CRAC</calculatedColumnFormula>
    </tableColumn>
    <tableColumn id="2" xr3:uid="{1E77FB9C-E48B-4E18-882B-A88D7AAC2799}" name="Exercice N-1" dataDxfId="161">
      <calculatedColumnFormula>Exercice[[#This Row],[Exercice N]]-1</calculatedColumnFormula>
    </tableColumn>
    <tableColumn id="4" xr3:uid="{C1CB1E91-AB89-4EF3-BFEB-75563D1D41DB}" name="Exercice N-2" dataDxfId="160">
      <calculatedColumnFormula>Exercice[[#This Row],[Exercice N-1]]-1</calculatedColumnFormula>
    </tableColumn>
    <tableColumn id="5" xr3:uid="{818A2D34-812F-42ED-B522-8D7453EFD9FC}" name="Exercice N-3" dataDxfId="159">
      <calculatedColumnFormula>Exercice[[#This Row],[Exercice N-2]]-1</calculatedColumnFormula>
    </tableColumn>
    <tableColumn id="3" xr3:uid="{871197F3-78DA-4C10-94FD-A061FC9F02F0}" name="Exercice N-4" dataDxfId="158">
      <calculatedColumnFormula>Exercice[[#This Row],[Exercice N-3]]-1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BB890FF-A30E-43BB-A40F-58B0B0C59A30}" name="pat_sites_isoles" displayName="pat_sites_isoles" ref="A4:AB5" tableType="queryTable" insertRow="1" totalsRowShown="0">
  <autoFilter ref="A4:AB5" xr:uid="{FD4664BB-C189-496E-A380-7C41454593B4}"/>
  <tableColumns count="28">
    <tableColumn id="1" xr3:uid="{6279F42C-C56D-451A-80DF-50ACE870499D}" uniqueName="1" name="client" queryTableFieldId="1"/>
    <tableColumn id="2" xr3:uid="{6BAEC978-A408-457E-B8C6-DF6B8EB7E500}" uniqueName="2" name="annee" queryTableFieldId="2"/>
    <tableColumn id="3" xr3:uid="{4041AE33-A2B6-45F9-B6C9-8319B7085213}" uniqueName="3" name="nbr_sites_isoles" queryTableFieldId="3"/>
    <tableColumn id="4" xr3:uid="{666E7275-67AB-4999-95DB-99184D458399}" uniqueName="4" name="puissance_tot" queryTableFieldId="4"/>
    <tableColumn id="5" xr3:uid="{B4D58A37-BAF6-4119-833E-4F23D461AD4F}" uniqueName="5" name="hta_quantite_base_technique" queryTableFieldId="5"/>
    <tableColumn id="6" xr3:uid="{8666BFBB-DEB5-495B-BD0E-65B6DF9DED95}" uniqueName="6" name="hta_quantite_base_comptable" queryTableFieldId="6"/>
    <tableColumn id="7" xr3:uid="{0C29C527-4916-4D66-80A8-283876840FA9}" uniqueName="7" name="hta_ecart_concession_qte" queryTableFieldId="7"/>
    <tableColumn id="8" xr3:uid="{6811FF7D-7E78-410D-AC52-9D3C79A6CAFF}" uniqueName="8" name="hta_ecart_concession_percent" queryTableFieldId="8"/>
    <tableColumn id="9" xr3:uid="{A49B7291-7ECF-4273-924F-E678CA3925CB}" uniqueName="9" name="hta_ecart_commune_qte" queryTableFieldId="9"/>
    <tableColumn id="10" xr3:uid="{163947A8-C02A-413A-BE8A-5B5CABA9108E}" uniqueName="10" name="hta_ecart_commune_percent" queryTableFieldId="10"/>
    <tableColumn id="11" xr3:uid="{01A8BD1E-BFFD-4D70-932E-6A48AE8B7287}" uniqueName="11" name="bt_quantite_base_technique" queryTableFieldId="11"/>
    <tableColumn id="12" xr3:uid="{F3F8E9F6-5197-4304-AB8D-F8475A6F7AC1}" uniqueName="12" name="bt_quantite_base_comptable" queryTableFieldId="12"/>
    <tableColumn id="13" xr3:uid="{25E502D8-89A6-4FBE-80E5-34A273D2E6FE}" uniqueName="13" name="bt_ecart_concession_qte" queryTableFieldId="13"/>
    <tableColumn id="14" xr3:uid="{C1228519-5205-4EB6-84E4-7A498E7FDCAC}" uniqueName="14" name="bt_ecart_concession_percent" queryTableFieldId="14"/>
    <tableColumn id="15" xr3:uid="{3EE656C2-BB52-462E-8F63-7CE13C68D7DD}" uniqueName="15" name="bt_ecart_commune_qte" queryTableFieldId="15"/>
    <tableColumn id="16" xr3:uid="{6D896681-AFF3-48EC-BBBA-1F83C699943F}" uniqueName="16" name="bt_ecart_commune_percent" queryTableFieldId="16"/>
    <tableColumn id="17" xr3:uid="{B4783A42-AC4C-4ADC-85B9-2E07E073625C}" uniqueName="17" name="transfos_quantite_base_technique" queryTableFieldId="17"/>
    <tableColumn id="18" xr3:uid="{98E6C89E-E3FB-4049-92AC-185103D5E855}" uniqueName="18" name="transfos_quantite_base_comptable" queryTableFieldId="18"/>
    <tableColumn id="19" xr3:uid="{913B2FE3-762D-4193-97F2-AFF3FCA264E6}" uniqueName="19" name="transfos_ecart_concession_qte" queryTableFieldId="19"/>
    <tableColumn id="20" xr3:uid="{BB473906-CD29-4943-8D23-1B54AC70246B}" uniqueName="20" name="transfos_ecart_concession_percent" queryTableFieldId="20"/>
    <tableColumn id="21" xr3:uid="{C1847FCC-8C96-4642-8E2E-D1C867500D3B}" uniqueName="21" name="transfos_ecart_commune_qte" queryTableFieldId="21"/>
    <tableColumn id="22" xr3:uid="{AA0E5A6E-5F34-40E2-B263-E739FF68BD8E}" uniqueName="22" name="transfos_ecart_commune_percent" queryTableFieldId="22"/>
    <tableColumn id="23" xr3:uid="{F1BA28A7-71E9-44EE-88B5-E968BFAD7A4F}" uniqueName="23" name="ocb_quantite_base_technique" queryTableFieldId="23"/>
    <tableColumn id="24" xr3:uid="{8FA298E0-1D93-49A9-AEC4-8E09DB82D84A}" uniqueName="24" name="ocb_quantite_base_comptable" queryTableFieldId="24"/>
    <tableColumn id="25" xr3:uid="{049513AB-F5B4-482A-9990-FDEA3832F0C3}" uniqueName="25" name="ocb_ecart_concession_qte" queryTableFieldId="25"/>
    <tableColumn id="26" xr3:uid="{B51E08AD-2FEA-4D55-93E6-E328669C1CA7}" uniqueName="26" name="ocb_ecart_concession_percent" queryTableFieldId="26"/>
    <tableColumn id="27" xr3:uid="{E388653F-D395-470A-965A-AD7830D8D012}" uniqueName="27" name="ocb_ecart_commune_qte" queryTableFieldId="27"/>
    <tableColumn id="28" xr3:uid="{705229D8-9070-4848-8DDA-58813F0D159F}" uniqueName="28" name="ocb_ecart_commune_percent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4408A93-6AE3-4C32-AB87-8B8CE379B75B}" name="pat_tech_bt_01" displayName="pat_tech_bt_01" ref="AF4:AL9" tableType="queryTable" totalsRowShown="0">
  <autoFilter ref="AF4:AL9" xr:uid="{A76853D4-CAC1-43DA-A001-F3EE512E0579}"/>
  <tableColumns count="7">
    <tableColumn id="1" xr3:uid="{9797D6DA-C652-4919-BB9E-BC3D9F31B741}" uniqueName="1" name="client" queryTableFieldId="1" dataDxfId="157"/>
    <tableColumn id="2" xr3:uid="{297C4E47-EA25-4CF0-BD7A-83EE2E841B41}" uniqueName="2" name="annee" queryTableFieldId="2"/>
    <tableColumn id="3" xr3:uid="{6336A7EB-58F5-48A3-BE7E-4F8FA5B6840F}" uniqueName="3" name="aerien_nu" queryTableFieldId="3"/>
    <tableColumn id="4" xr3:uid="{527F5D3B-5BEB-46EA-A5E7-ACF7E31CA393}" uniqueName="4" name="aerien_nu_dont_fs" queryTableFieldId="4"/>
    <tableColumn id="5" xr3:uid="{4CC78659-9D21-4642-865A-47FB0CA5B6FD}" uniqueName="5" name="aerien_torsade" queryTableFieldId="5"/>
    <tableColumn id="6" xr3:uid="{7A46BF61-375A-4B13-8ED0-52B4796000D4}" uniqueName="6" name="souterrain" queryTableFieldId="6"/>
    <tableColumn id="7" xr3:uid="{DD399F8D-ADB7-4E58-8768-7CB49F212E40}" uniqueName="7" name="lineaire_tot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4A0C6D29-96C0-4581-88A8-B2C443A8A131}" name="pat_tech_bt_05" displayName="pat_tech_bt_05" ref="CH4:CK9" tableType="queryTable" totalsRowShown="0">
  <autoFilter ref="CH4:CK9" xr:uid="{5EBBE8EF-5941-46BE-A723-E44D43FB4D8A}"/>
  <tableColumns count="4">
    <tableColumn id="1" xr3:uid="{B4198879-ADFA-4C2B-8F0B-25698E521CCE}" uniqueName="1" name="client" queryTableFieldId="1" dataDxfId="156"/>
    <tableColumn id="2" xr3:uid="{A8B6202F-1CEE-42C7-A419-ACEF74E810C3}" uniqueName="2" name="annee" queryTableFieldId="2"/>
    <tableColumn id="3" xr3:uid="{B6B84A1B-6620-43B8-93C3-0060BF683AE6}" uniqueName="3" name="aerien_nu" queryTableFieldId="3"/>
    <tableColumn id="4" xr3:uid="{B1B1ABF4-32CF-4300-97F9-EBE5630AB0EC}" uniqueName="4" name="pourcent_aerien_nu_sur_total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A02564B-7212-43C3-B239-FF98DB6D47D0}" name="pat_tech_bt_06" displayName="pat_tech_bt_06" ref="CP4:DA9" tableType="queryTable" totalsRowShown="0">
  <autoFilter ref="CP4:DA9" xr:uid="{3266C478-3E36-45DF-B7D4-31E07BE867DC}"/>
  <tableColumns count="12">
    <tableColumn id="1" xr3:uid="{8ACF9294-DC8E-4335-B7F4-99380F5C637A}" uniqueName="1" name="client" queryTableFieldId="1" dataDxfId="155"/>
    <tableColumn id="2" xr3:uid="{623EBF39-C5F7-46DE-890D-A84AE6C71F05}" uniqueName="2" name="annee" queryTableFieldId="2"/>
    <tableColumn id="3" xr3:uid="{D5A79F1E-3FCB-4787-AD04-0E1BC58E974C}" uniqueName="3" name="acier_alu" queryTableFieldId="3"/>
    <tableColumn id="4" xr3:uid="{2C4F5C8A-CF5F-422D-BD9B-4ED6319CDF50}" uniqueName="4" name="pourcent_acier_alu" queryTableFieldId="4"/>
    <tableColumn id="5" xr3:uid="{3D982742-AD16-436F-BF2D-8F9AA93C385C}" uniqueName="5" name="aluminium" queryTableFieldId="5"/>
    <tableColumn id="6" xr3:uid="{F627BA07-F64B-4515-8064-20BDDA6886F8}" uniqueName="6" name="pourcent_aluminium" queryTableFieldId="6"/>
    <tableColumn id="7" xr3:uid="{2DD86D90-9724-4063-A57A-0C97C3F8D883}" uniqueName="7" name="almelec" queryTableFieldId="7"/>
    <tableColumn id="8" xr3:uid="{E6F6626C-E6D3-4BCB-83A4-6BDE1E5887D7}" uniqueName="8" name="pourcent_almelec" queryTableFieldId="8"/>
    <tableColumn id="9" xr3:uid="{1328CCF5-CE02-42A4-8C2C-84E4ED266A04}" uniqueName="9" name="almelec_acier" queryTableFieldId="9"/>
    <tableColumn id="10" xr3:uid="{626B7EA4-017D-455C-A2E2-33943809905A}" uniqueName="10" name="pourcent_almelec_acier" queryTableFieldId="10"/>
    <tableColumn id="11" xr3:uid="{C23C587C-9AA8-4505-A516-D1FC2B74E6A4}" uniqueName="11" name="cuivre" queryTableFieldId="11"/>
    <tableColumn id="12" xr3:uid="{EACDF499-9854-4CD7-B990-5AFF17EBF46D}" uniqueName="12" name="pourcent_cuivre" queryTableField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B179196-EB27-437E-9E19-388F9DDD95A0}" name="pat_tech_bt_07" displayName="pat_tech_bt_07" ref="DF4:DN9" tableType="queryTable" totalsRowShown="0">
  <autoFilter ref="DF4:DN9" xr:uid="{D09EBA58-511A-4350-9C82-76E026121BDD}"/>
  <tableColumns count="9">
    <tableColumn id="1" xr3:uid="{408AF85F-208B-4AFC-A7A1-E78A4A21EDD6}" uniqueName="1" name="client" queryTableFieldId="1" dataDxfId="154"/>
    <tableColumn id="2" xr3:uid="{36CE8873-877A-46A4-9CD2-970D57A4154C}" uniqueName="2" name="annee" queryTableFieldId="2"/>
    <tableColumn id="3" xr3:uid="{FEFFBE26-C2DD-4911-A963-78AB5417921F}" uniqueName="3" name="nbr_depart_bt" queryTableFieldId="3"/>
    <tableColumn id="4" xr3:uid="{9887512C-0D18-46D1-99BB-A5D853091D68}" uniqueName="4" name="long_moy_depart_bt" queryTableFieldId="4"/>
    <tableColumn id="5" xr3:uid="{B48B3490-DF55-4374-A8A3-708D79CEB7F7}" uniqueName="5" name="nbr_depart_bt_sup_425m" queryTableFieldId="5"/>
    <tableColumn id="6" xr3:uid="{2CE1E97F-4DCF-40C6-A9B8-2681AB4BE791}" uniqueName="6" name="nbr_depart_bt_sup_1500m" queryTableFieldId="6"/>
    <tableColumn id="7" xr3:uid="{33CEF18B-BFBC-46EB-A19E-433F59C30F27}" uniqueName="7" name="nbr_depart_bt_sup_2500m" queryTableFieldId="7"/>
    <tableColumn id="8" xr3:uid="{9AB6C90F-64D6-489E-9856-8CDF16B59C2A}" uniqueName="8" name="max_long_depart_bt" queryTableFieldId="8"/>
    <tableColumn id="9" xr3:uid="{7BCCD667-1B44-4EE2-BAE0-19AABB27FE3E}" uniqueName="9" name="nom_depart_bt_plus_long" queryTableFieldId="9" dataDxfId="15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A78145B-2B76-4278-B71A-2934ED94FF77}" name="pat_tech_bt_09" displayName="pat_tech_bt_09" ref="EM4:FD9" tableType="queryTable" totalsRowShown="0">
  <autoFilter ref="EM4:FD9" xr:uid="{E9079E1E-C6D4-41BE-AC23-AA3CFCAC1787}"/>
  <tableColumns count="18">
    <tableColumn id="1" xr3:uid="{136DE44A-E5FE-435E-95AE-17C7BACCB8D1}" uniqueName="1" name="client" queryTableFieldId="1" dataDxfId="152"/>
    <tableColumn id="2" xr3:uid="{7F5AECFA-DB3C-4D75-926E-80050A78555B}" uniqueName="2" name="annee" queryTableFieldId="2"/>
    <tableColumn id="3" xr3:uid="{73FE3999-58CE-48BA-9ABC-5CF52A3B3886}" uniqueName="3" name="long_tot" queryTableFieldId="3"/>
    <tableColumn id="4" xr3:uid="{3CD69AC6-F63A-408A-AC56-F60782C9DE59}" uniqueName="4" name="age_moyen" queryTableFieldId="4"/>
    <tableColumn id="5" xr3:uid="{27543888-4347-4082-A367-425FC1A6C0A4}" uniqueName="5" name="long_inf_10_ans" queryTableFieldId="5"/>
    <tableColumn id="6" xr3:uid="{B778B6BE-5AAF-4927-A1B2-F77A4EB8EB70}" uniqueName="6" name="pourcent_long_inf_10_ans" queryTableFieldId="6"/>
    <tableColumn id="7" xr3:uid="{DB6615ED-9C9A-4548-8E14-885293A62939}" uniqueName="7" name="long_btw_10_20_ans" queryTableFieldId="7"/>
    <tableColumn id="8" xr3:uid="{B22B3C84-FED2-449E-944A-29656753AEEA}" uniqueName="8" name="pourcent_long_btw_10_20_ans" queryTableFieldId="8"/>
    <tableColumn id="9" xr3:uid="{4A588931-476C-4489-BE66-60ADBC642FCE}" uniqueName="9" name="long_btw_20_30_ans" queryTableFieldId="9"/>
    <tableColumn id="10" xr3:uid="{F3838D64-1371-4C24-9DD7-15B0E7072847}" uniqueName="10" name="pourcent_long_btw_20_30_ans" queryTableFieldId="10"/>
    <tableColumn id="11" xr3:uid="{8340DCE2-85E4-40E9-B4C3-675C206B4A0E}" uniqueName="11" name="long_btw_30_40_ans" queryTableFieldId="11"/>
    <tableColumn id="12" xr3:uid="{BCD390A5-58AF-4360-AE02-C1640D1EEEC4}" uniqueName="12" name="pourcent_long_btw_30_40_ans" queryTableFieldId="12"/>
    <tableColumn id="13" xr3:uid="{ACD28787-95C0-4977-9367-C5F162E33434}" uniqueName="13" name="long_btw_40_50_ans" queryTableFieldId="13"/>
    <tableColumn id="14" xr3:uid="{F1430367-1E9B-49D2-81AE-AEB170C20DC4}" uniqueName="14" name="pourcent_long_btw_40_50_ans" queryTableFieldId="14"/>
    <tableColumn id="15" xr3:uid="{2F4D9606-76C0-4C3F-8CCC-32B494F38B4C}" uniqueName="15" name="long_btw_50_60_ans" queryTableFieldId="15"/>
    <tableColumn id="16" xr3:uid="{8C050217-5BB5-4A29-A467-D4BBB90E2B0B}" uniqueName="16" name="pourcent_long_btw_50_60_ans" queryTableFieldId="16"/>
    <tableColumn id="17" xr3:uid="{53D9A6E6-C8A0-4F2D-883B-1331A53E4FA6}" uniqueName="17" name="long_sup_60_ans" queryTableFieldId="17"/>
    <tableColumn id="18" xr3:uid="{2A27E655-041E-4B8C-89D5-80CC7418701D}" uniqueName="18" name="pourcent_sup_60_ans" queryTableField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B408513-B04D-4CDF-A71E-B8FF657D75BA}" name="pat_tech_hta_01" displayName="pat_tech_hta_01" ref="FX4:GC9" tableType="queryTable" totalsRowShown="0">
  <autoFilter ref="FX4:GC9" xr:uid="{65AC95B5-770A-4458-8E66-E45D36F0574A}"/>
  <tableColumns count="6">
    <tableColumn id="1" xr3:uid="{B05D0136-24AE-460B-92A9-7EC7A89376F1}" uniqueName="1" name="client" queryTableFieldId="1" dataDxfId="151"/>
    <tableColumn id="2" xr3:uid="{C9E84717-2F1B-4F8E-966E-E4D05655DA7B}" uniqueName="2" name="annee" queryTableFieldId="2"/>
    <tableColumn id="3" xr3:uid="{74590727-98FA-4091-99DF-6E95A7B1DE15}" uniqueName="3" name="aerien_nu" queryTableFieldId="3"/>
    <tableColumn id="4" xr3:uid="{E06724BE-E22D-490D-9C68-90BB70548B57}" uniqueName="4" name="aerien_torsade" queryTableFieldId="4"/>
    <tableColumn id="5" xr3:uid="{4F5D8042-17EA-4979-AFE6-92DAED568FE6}" uniqueName="5" name="souterrain" queryTableFieldId="5"/>
    <tableColumn id="6" xr3:uid="{2E858698-62B4-4114-B3AC-8DE493593D42}" uniqueName="6" name="lineaire_tot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57F04B6A-4158-4828-A86E-351A04BD775A}" name="pat_tech_hta_04" displayName="pat_tech_hta_04" ref="HE4:HP9" tableType="queryTable" totalsRowShown="0">
  <autoFilter ref="HE4:HP9" xr:uid="{1574FE0A-8AE5-4CCC-979D-1F0D79808769}"/>
  <tableColumns count="12">
    <tableColumn id="1" xr3:uid="{BE0B926A-62AE-49AB-AEE9-A4D73BC9B68F}" uniqueName="1" name="client" queryTableFieldId="1" dataDxfId="150"/>
    <tableColumn id="2" xr3:uid="{F7D3B4D8-D3B7-4959-A307-8C519617CFB7}" uniqueName="2" name="annee" queryTableFieldId="2"/>
    <tableColumn id="3" xr3:uid="{7B082860-E08C-4F11-BF8E-0F7233028CD8}" uniqueName="3" name="acier_alu" queryTableFieldId="3"/>
    <tableColumn id="4" xr3:uid="{7624572B-BC26-4B26-B6EB-1E66A28F06D0}" uniqueName="4" name="pourcent_acier_alu" queryTableFieldId="4"/>
    <tableColumn id="5" xr3:uid="{59C47230-6C8F-45DE-98A2-74CAF6602B29}" uniqueName="5" name="aluminium" queryTableFieldId="5"/>
    <tableColumn id="6" xr3:uid="{5C5F8916-4690-4F9A-A0B4-3D895156A252}" uniqueName="6" name="pourcent_aluminium" queryTableFieldId="6"/>
    <tableColumn id="7" xr3:uid="{72EAA719-6C7E-4F4F-91AE-651848721657}" uniqueName="7" name="almelec" queryTableFieldId="7"/>
    <tableColumn id="8" xr3:uid="{1122720B-4C29-44A1-A2AA-EFDC4B67B222}" uniqueName="8" name="pourcent_almelec" queryTableFieldId="8"/>
    <tableColumn id="9" xr3:uid="{77024E3B-C15B-42AC-B8F2-6B38683BC8B7}" uniqueName="9" name="almelec_acier" queryTableFieldId="9"/>
    <tableColumn id="10" xr3:uid="{05CA7D28-8733-4B08-819E-DF4F248A6B99}" uniqueName="10" name="pourcent_almelec_acier" queryTableFieldId="10"/>
    <tableColumn id="11" xr3:uid="{8F6A2A69-832F-4F60-B5C2-2DEF04505D78}" uniqueName="11" name="cuivre" queryTableFieldId="11"/>
    <tableColumn id="12" xr3:uid="{C88CAA56-0F52-4D04-B846-933465FDB7D3}" uniqueName="12" name="pourcent_cuivre" queryTableField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1AE48F3-C8B5-43FF-9EB1-F2700B096BED}" name="pat_tech_hta_07" displayName="pat_tech_hta_07" ref="IW4:JN9" tableType="queryTable" totalsRowShown="0">
  <autoFilter ref="IW4:JN9" xr:uid="{17DE5A81-CF6D-4FFE-8450-98DB06351646}"/>
  <tableColumns count="18">
    <tableColumn id="1" xr3:uid="{3D035F0A-EE91-4515-8B7C-8F13B676BB2C}" uniqueName="1" name="client" queryTableFieldId="1" dataDxfId="149"/>
    <tableColumn id="2" xr3:uid="{56C7CFBE-9044-4A97-873B-53E21D294EBD}" uniqueName="2" name="annee" queryTableFieldId="2"/>
    <tableColumn id="3" xr3:uid="{DC73713F-7861-479A-B23F-A79ABDB23F64}" uniqueName="3" name="long_tot" queryTableFieldId="3"/>
    <tableColumn id="4" xr3:uid="{1BB044C7-7F28-4B04-BDF3-3B59E527B5BC}" uniqueName="4" name="age_moyen" queryTableFieldId="4"/>
    <tableColumn id="5" xr3:uid="{40CDD36C-3C84-4949-8354-4F7660B3689E}" uniqueName="5" name="long_inf_10_ans" queryTableFieldId="5"/>
    <tableColumn id="6" xr3:uid="{22368944-FED9-4F65-B0B7-EB084369FAB2}" uniqueName="6" name="pourcent_long_inf_10_ans" queryTableFieldId="6"/>
    <tableColumn id="7" xr3:uid="{005798F0-4556-4C05-A853-E7DB9EAB6478}" uniqueName="7" name="long_btw_10_20_ans" queryTableFieldId="7"/>
    <tableColumn id="8" xr3:uid="{5856FE20-E7AB-4E71-B7F2-914C79BBC712}" uniqueName="8" name="pourcent_long_btw_10_20_ans" queryTableFieldId="8"/>
    <tableColumn id="9" xr3:uid="{5FB4F7EC-21AD-4A3E-A5C6-19AB1CFDDA71}" uniqueName="9" name="long_btw_20_30_ans" queryTableFieldId="9"/>
    <tableColumn id="10" xr3:uid="{8262A14C-6F25-4669-839A-2B8B264529CE}" uniqueName="10" name="pourcent_long_btw_20_30_ans" queryTableFieldId="10"/>
    <tableColumn id="11" xr3:uid="{552DAA10-14D4-4AEB-B620-6170915D0B5C}" uniqueName="11" name="long_btw_30_40_ans" queryTableFieldId="11"/>
    <tableColumn id="12" xr3:uid="{63EC64E1-A230-4142-9F94-81D58F6A4DF2}" uniqueName="12" name="pourcent_long_btw_30_40_ans" queryTableFieldId="12"/>
    <tableColumn id="13" xr3:uid="{899B39AC-F282-4319-977F-2B947B48173F}" uniqueName="13" name="long_btw_40_50_ans" queryTableFieldId="13"/>
    <tableColumn id="14" xr3:uid="{DE3DC933-3BAB-4DE5-90F5-0B7E984A1C04}" uniqueName="14" name="pourcent_long_btw_40_50_ans" queryTableFieldId="14"/>
    <tableColumn id="15" xr3:uid="{151A14C2-2148-4664-A76A-F78772E15225}" uniqueName="15" name="long_btw_50_60_ans" queryTableFieldId="15"/>
    <tableColumn id="16" xr3:uid="{2E840085-01D8-4ABB-8CC0-823C8938D64D}" uniqueName="16" name="pourcent_long_btw_50_60_ans" queryTableFieldId="16"/>
    <tableColumn id="17" xr3:uid="{FF1A3CB9-2410-433E-B4A9-7C7664A653B0}" uniqueName="17" name="long_sup_60_ans" queryTableFieldId="17"/>
    <tableColumn id="18" xr3:uid="{9C961A2A-268D-4A0D-87FF-DB008A454473}" uniqueName="18" name="pourcent_sup_60_ans" queryTableField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5954747-7098-4D9C-AC7A-1920DDEB0CB0}" name="pat_tech_hta_08" displayName="pat_tech_hta_08" ref="JS4:KJ9" tableType="queryTable" totalsRowShown="0">
  <autoFilter ref="JS4:KJ9" xr:uid="{61B6BF33-FEAC-427D-9D15-2C298309AD50}"/>
  <tableColumns count="18">
    <tableColumn id="1" xr3:uid="{89154325-8A0A-47CC-A07F-827E2BC89D94}" uniqueName="1" name="client" queryTableFieldId="1" dataDxfId="148"/>
    <tableColumn id="2" xr3:uid="{863D0BA5-F249-450C-B1B1-F5983FBD1838}" uniqueName="2" name="annee" queryTableFieldId="2"/>
    <tableColumn id="3" xr3:uid="{46853D63-6365-489B-A351-7DA4A5B42DA2}" uniqueName="3" name="long_tot" queryTableFieldId="3"/>
    <tableColumn id="4" xr3:uid="{8E014F81-4130-4D9E-9A1C-1D3568EE2D29}" uniqueName="4" name="age_moyen" queryTableFieldId="4"/>
    <tableColumn id="5" xr3:uid="{CE503A93-81E8-4EED-A5B0-3F883870865A}" uniqueName="5" name="long_inf_10_ans" queryTableFieldId="5"/>
    <tableColumn id="6" xr3:uid="{23B6ED77-6DCC-41F5-9991-6818AF007681}" uniqueName="6" name="pourcent_long_inf_10_ans" queryTableFieldId="6"/>
    <tableColumn id="7" xr3:uid="{EE6FE5CB-61E2-4813-A445-1B9675CCFB01}" uniqueName="7" name="long_btw_10_20_ans" queryTableFieldId="7"/>
    <tableColumn id="8" xr3:uid="{B39B0259-EA31-4FE2-9209-65C5A5C14CD7}" uniqueName="8" name="pourcent_long_btw_10_20_ans" queryTableFieldId="8"/>
    <tableColumn id="9" xr3:uid="{70DAC9AC-B489-4050-90E4-2279C914C96D}" uniqueName="9" name="long_btw_20_30_ans" queryTableFieldId="9"/>
    <tableColumn id="10" xr3:uid="{2B54D5E3-7298-477B-9463-255958534D0F}" uniqueName="10" name="pourcent_long_btw_20_30_ans" queryTableFieldId="10"/>
    <tableColumn id="11" xr3:uid="{F3C748AB-5F19-4D20-A21D-598A02F494AE}" uniqueName="11" name="long_btw_30_40_ans" queryTableFieldId="11"/>
    <tableColumn id="12" xr3:uid="{B785EF9B-ADB3-42C5-96A3-E827C91A0A90}" uniqueName="12" name="pourcent_long_btw_30_40_ans" queryTableFieldId="12"/>
    <tableColumn id="13" xr3:uid="{5995E4E1-F54B-4CC7-B7BC-7C62FC2D9102}" uniqueName="13" name="long_btw_40_50_ans" queryTableFieldId="13"/>
    <tableColumn id="14" xr3:uid="{AB7D947A-0E12-4963-8CAA-159DD69E39B4}" uniqueName="14" name="pourcent_long_btw_40_50_ans" queryTableFieldId="14"/>
    <tableColumn id="15" xr3:uid="{9B05C158-2E8F-45B0-A347-5C9848AD4341}" uniqueName="15" name="long_btw_50_60_ans" queryTableFieldId="15"/>
    <tableColumn id="16" xr3:uid="{5743ED5A-375E-4BAC-B4D4-2430FB006A22}" uniqueName="16" name="pourcent_long_btw_50_60_ans" queryTableFieldId="16"/>
    <tableColumn id="17" xr3:uid="{BF2FB296-3F8F-42BF-A17B-C53ABFBC3D24}" uniqueName="17" name="long_sup_60_ans" queryTableFieldId="17"/>
    <tableColumn id="18" xr3:uid="{9B551E52-B553-4AEA-BD36-E40FF216F58F}" uniqueName="18" name="pourcent_sup_60_ans" queryTableField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87DB2D0D-8BDB-4BA7-AF28-3BDAAA1E0E94}" name="pat_tech_poste_02" displayName="pat_tech_poste_02" ref="LR4:LU9" tableType="queryTable" totalsRowShown="0">
  <autoFilter ref="LR4:LU9" xr:uid="{871661FD-426F-423D-9795-7B0A2F4439B1}"/>
  <tableColumns count="4">
    <tableColumn id="1" xr3:uid="{E6B67E32-360E-4DD8-A835-605EA398CCBC}" uniqueName="1" name="client" queryTableFieldId="1" dataDxfId="147"/>
    <tableColumn id="2" xr3:uid="{FB946DC6-EB7D-4EDD-8F01-7DE5A2A6CCA3}" uniqueName="2" name="annee" queryTableFieldId="2"/>
    <tableColumn id="3" xr3:uid="{FBA31F18-1B2E-4B34-840F-4F705529820D}" uniqueName="3" name="nbr_cabines_hautes" queryTableFieldId="3"/>
    <tableColumn id="4" xr3:uid="{2B878D72-78B3-46A5-A0A8-1412FFF81721}" uniqueName="4" name="round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9BD841D7-8341-44AC-ABDD-A3A1A2A3A904}" name="pat_tech_poste_03" displayName="pat_tech_poste_03" ref="LX4:MH9" tableType="queryTable" totalsRowShown="0">
  <autoFilter ref="LX4:MH9" xr:uid="{D4B99200-F6A2-409F-8588-776E655C6760}"/>
  <tableColumns count="11">
    <tableColumn id="1" xr3:uid="{270D294D-E043-439A-87A6-D8E0B68B15F9}" uniqueName="1" name="client" queryTableFieldId="1" dataDxfId="146"/>
    <tableColumn id="2" xr3:uid="{4C6F8036-B3E5-4434-AA3D-8FF8DB7AEB77}" uniqueName="2" name="annee" queryTableFieldId="2"/>
    <tableColumn id="3" xr3:uid="{1AAAE24D-B3B4-4AFA-AA76-94D11349AF15}" uniqueName="3" name="nbr_postes_sup_40ans" queryTableFieldId="3"/>
    <tableColumn id="4" xr3:uid="{D790963A-7499-4931-AA09-6558BE1128F4}" uniqueName="4" name="round" queryTableFieldId="4"/>
    <tableColumn id="5" xr3:uid="{D6351C6A-778F-4A26-AC28-6E35A499068C}" uniqueName="5" name="nbr_postes_h61_sup_40ans" queryTableFieldId="5"/>
    <tableColumn id="6" xr3:uid="{60F8A969-F8BC-4BED-908B-ABA5C8988656}" uniqueName="6" name="nbr_postes_immeuble_sup_40ans" queryTableFieldId="6"/>
    <tableColumn id="7" xr3:uid="{47A2AC5E-BEF8-429F-B0A3-2E948C29F2D9}" uniqueName="7" name="nbr_postes_cabines_hautes_sup_40ans" queryTableFieldId="7"/>
    <tableColumn id="8" xr3:uid="{1C9512BA-716E-4C9F-B736-F135581A0643}" uniqueName="8" name="nbr_postes_cabines_basses_sup_40ans" queryTableFieldId="8"/>
    <tableColumn id="9" xr3:uid="{086CE8E1-7E09-4DC9-98B0-06069DB9CF96}" uniqueName="9" name="nbr_postes_cabines_basses_sup_50ans" queryTableFieldId="9"/>
    <tableColumn id="10" xr3:uid="{ACBC95C8-4F1C-47A7-B466-3C0444BC7E18}" uniqueName="10" name="nbr_postes_cabines_basses_sup_60ans" queryTableFieldId="10"/>
    <tableColumn id="11" xr3:uid="{8A6583AE-4D9D-4B05-A394-C480ECD689AA}" uniqueName="11" name="taux_poste_sup_40ans_nat" queryTableFieldId="1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D5FC6A97-5C71-4810-BDC5-CEAA4B90601E}" name="pat_tech_poste_04" displayName="pat_tech_poste_04" ref="MM4:MS19" tableType="queryTable" totalsRowShown="0">
  <autoFilter ref="MM4:MS19" xr:uid="{F8BD32AB-C1CD-4699-9083-F9E7087A7F51}"/>
  <tableColumns count="7">
    <tableColumn id="1" xr3:uid="{CAF0FF96-6C6D-4A1D-A11F-D5F593622B3A}" uniqueName="1" name="client" queryTableFieldId="1" dataDxfId="145"/>
    <tableColumn id="2" xr3:uid="{8F4AB59E-1111-48BA-A4E1-D0BCD07ECBE1}" uniqueName="2" name="annee" queryTableFieldId="2"/>
    <tableColumn id="3" xr3:uid="{15FCD5E9-907F-4B54-B463-7F832CAD93AD}" uniqueName="3" name="type_poste" queryTableFieldId="3" dataDxfId="144"/>
    <tableColumn id="4" xr3:uid="{80282F09-9A49-49BF-88B1-30F542B2EF56}" uniqueName="4" name="nbr_postes" queryTableFieldId="4"/>
    <tableColumn id="5" xr3:uid="{31614027-C7AE-40D7-9A61-1D86F4F24F5B}" uniqueName="5" name="age_moyen" queryTableFieldId="5"/>
    <tableColumn id="6" xr3:uid="{E237C06E-B19D-4D56-8F64-5C2A4537395E}" uniqueName="6" name="nbr_sup_40ans_hors_1946" queryTableFieldId="6"/>
    <tableColumn id="7" xr3:uid="{0D59581D-C303-4D75-A6B7-8702D7E92075}" uniqueName="7" name="nbr_sup_40ans_1946" queryTableFieldId="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F8346D6-F86B-448A-B85B-D00CA5A9A4FE}" name="pat_tech_poste_05" displayName="pat_tech_poste_05" ref="MX4:NE9" tableType="queryTable" totalsRowShown="0">
  <autoFilter ref="MX4:NE9" xr:uid="{9EBAB597-3709-4D31-BA60-38751737465E}"/>
  <tableColumns count="8">
    <tableColumn id="1" xr3:uid="{546437BA-A30D-4C49-972E-967DD29E40B5}" uniqueName="1" name="client" queryTableFieldId="1"/>
    <tableColumn id="2" xr3:uid="{CCBF5095-D5D6-427C-AB1F-AFFB46BF3474}" uniqueName="2" name="annee" queryTableFieldId="2"/>
    <tableColumn id="3" xr3:uid="{0C0F8AF6-31CB-44AD-804B-523F44F7A4B1}" uniqueName="3" name="construit_poste_poteau" queryTableFieldId="3"/>
    <tableColumn id="4" xr3:uid="{E961F41D-9B89-4A17-9842-F0B8ACD94AD4}" uniqueName="4" name="construi_poste_maconne" queryTableFieldId="4"/>
    <tableColumn id="5" xr3:uid="{58DF3EFF-9CEC-40AB-B65F-A118879AC986}" uniqueName="5" name="construi_poste_prefabrique" queryTableFieldId="5"/>
    <tableColumn id="6" xr3:uid="{D55E5392-FCE5-4037-AD2A-F231814E0F19}" uniqueName="6" name="construi_poste_non_renseigne" queryTableFieldId="6"/>
    <tableColumn id="7" xr3:uid="{5DD67527-C1FF-4B79-88D5-05E0C1ACD08C}" uniqueName="7" name="construit_total" queryTableFieldId="7"/>
    <tableColumn id="8" xr3:uid="{2B9453C3-A34E-48BC-9D89-709C4749D49E}" uniqueName="8" name="modif_puissance" queryTableFieldId="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F459ED9-1CF8-4228-BCA0-8965ADA8EB46}" name="pat_tech_poste_06" displayName="pat_tech_poste_06" ref="NJ4:OA9" tableType="queryTable" totalsRowShown="0">
  <autoFilter ref="NJ4:OA9" xr:uid="{BF3B4670-7062-484C-860F-991A9B3EFF8B}"/>
  <tableColumns count="18">
    <tableColumn id="1" xr3:uid="{45930EEF-82C5-43EC-A037-946E38BF8F9E}" uniqueName="1" name="client" queryTableFieldId="1" dataDxfId="143"/>
    <tableColumn id="2" xr3:uid="{85C4B4EB-3E27-4B3D-A02F-805D2D889147}" uniqueName="2" name="annee" queryTableFieldId="2"/>
    <tableColumn id="3" xr3:uid="{1D3484DD-A948-4EF3-BD67-BEF480F4CCF3}" uniqueName="3" name="nbr_total" queryTableFieldId="3"/>
    <tableColumn id="4" xr3:uid="{8B639EA6-5300-49D0-88A0-6B8327E05412}" uniqueName="4" name="age_moyen" queryTableFieldId="4"/>
    <tableColumn id="5" xr3:uid="{88B73FE1-887B-4723-A5D9-65591673C277}" uniqueName="5" name="nbr_inf_10_ans" queryTableFieldId="5"/>
    <tableColumn id="6" xr3:uid="{F172E198-3005-4B5B-8DC7-DA9A8127956D}" uniqueName="6" name="pourcent_nbr_inf_10_ans" queryTableFieldId="6"/>
    <tableColumn id="7" xr3:uid="{8F51C189-08EA-4C75-8311-B17C72E8E238}" uniqueName="7" name="nbr_btw_10_20_ans" queryTableFieldId="7"/>
    <tableColumn id="8" xr3:uid="{BE8AB245-E716-4866-8FD6-6BE48DC05A77}" uniqueName="8" name="pourcent_nbr_btw_10_20_ans" queryTableFieldId="8"/>
    <tableColumn id="9" xr3:uid="{7C0F539E-6171-476F-80B3-52BD4F8CEB03}" uniqueName="9" name="nbr_btw_20_30_ans" queryTableFieldId="9"/>
    <tableColumn id="10" xr3:uid="{2A466F05-DDDF-435F-8428-6284FF25D1AE}" uniqueName="10" name="pourcent_nbr_btw_20_30_ans" queryTableFieldId="10"/>
    <tableColumn id="11" xr3:uid="{900C81C8-D56A-4E9E-BA02-66BC9C748E1E}" uniqueName="11" name="nbr_btw_30_40_ans" queryTableFieldId="11"/>
    <tableColumn id="12" xr3:uid="{420018BE-6D49-4F04-853C-275F298492EE}" uniqueName="12" name="pourcent_nbr_btw_30_40_ans" queryTableFieldId="12"/>
    <tableColumn id="13" xr3:uid="{359A4487-6944-49A7-96C7-81C7665FE515}" uniqueName="13" name="nbr_btw_40_50_ans" queryTableFieldId="13"/>
    <tableColumn id="14" xr3:uid="{46DD37A0-6534-4A4A-832A-D208889C144B}" uniqueName="14" name="pourcent_nbr_btw_40_50_ans" queryTableFieldId="14"/>
    <tableColumn id="15" xr3:uid="{C1F373E7-9A71-4C1F-9E69-1FC86EE319CD}" uniqueName="15" name="nbr_btw_50_60_ans" queryTableFieldId="15"/>
    <tableColumn id="16" xr3:uid="{3794129C-BCFD-42C8-82FF-586912996250}" uniqueName="16" name="pourcent_nbr_btw_50_60_ans" queryTableFieldId="16"/>
    <tableColumn id="17" xr3:uid="{93F70B80-EA35-438C-B9C9-650EC224B916}" uniqueName="17" name="nbr_sup_60_ans" queryTableFieldId="17"/>
    <tableColumn id="18" xr3:uid="{B1E084AD-BEA3-4887-8BA1-C72C239F509A}" uniqueName="18" name="pourcent_sup_60_ans" queryTableFieldId="1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FF11044A-DD68-4901-A172-11B94BD96A0E}" name="pat_tech_transfo_01" displayName="pat_tech_transfo_01" ref="PA4:PD50" tableType="queryTable" totalsRowShown="0">
  <autoFilter ref="PA4:PD50" xr:uid="{AF7D6243-FEE9-4A67-96B3-94248861BFAC}"/>
  <tableColumns count="4">
    <tableColumn id="1" xr3:uid="{8ABE9CFE-5358-4239-928D-813D11B54EB6}" uniqueName="1" name="client" queryTableFieldId="1" dataDxfId="142"/>
    <tableColumn id="2" xr3:uid="{10E75EE2-4428-4EA9-930E-8CB0EF1F5660}" uniqueName="2" name="annee" queryTableFieldId="2"/>
    <tableColumn id="3" xr3:uid="{2D00D8A4-8E27-4958-B420-28D5E7F3D49A}" uniqueName="3" name="puissance" queryTableFieldId="3"/>
    <tableColumn id="4" xr3:uid="{441B6237-4E78-48FF-89E4-8B310DDBAC34}" uniqueName="4" name="nbr_transfo_par_puissance" queryTableFieldId="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1D9173F-6AE6-483A-B3C8-6F8135A54965}" name="pat_tech_transfo_02" displayName="pat_tech_transfo_02" ref="PI4:PO9" tableType="queryTable" totalsRowShown="0">
  <autoFilter ref="PI4:PO9" xr:uid="{20E02596-F15C-489F-A462-3230DA82C64D}"/>
  <tableColumns count="7">
    <tableColumn id="1" xr3:uid="{003267BC-B910-4652-B4EF-C544BBA08A74}" uniqueName="1" name="client" queryTableFieldId="1" dataDxfId="141"/>
    <tableColumn id="2" xr3:uid="{77C30453-6AC5-4EAD-8470-F951761FBA82}" uniqueName="2" name="annee" queryTableFieldId="2"/>
    <tableColumn id="3" xr3:uid="{913A3E39-9764-4E0D-9171-C776BB46E5D3}" uniqueName="3" name="age_moyen" queryTableFieldId="3"/>
    <tableColumn id="4" xr3:uid="{983E26F9-7FD8-4FA8-BCD3-2C59F7CC7F5A}" uniqueName="4" name="nbr_transfo_sup_40ans" queryTableFieldId="4"/>
    <tableColumn id="5" xr3:uid="{08D6261D-23C4-4E2F-9911-93FD6CC0315F}" uniqueName="5" name="pourcent_total" queryTableFieldId="5"/>
    <tableColumn id="6" xr3:uid="{9970A156-5E26-49D5-89D3-27282DF67FB8}" uniqueName="6" name="nbr_transfo_sup_50ans" queryTableFieldId="6"/>
    <tableColumn id="7" xr3:uid="{BE729477-78E1-4AC1-BC05-619C21A56F5C}" uniqueName="7" name="nbr_transfo_sup_60ans" queryTableFieldId="7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15084D7-7A9E-40C2-A4C8-EEA761905A2D}" name="pat_tech_bt_10" displayName="pat_tech_bt_10" ref="FG4:FO9" tableType="queryTable" totalsRowShown="0">
  <autoFilter ref="FG4:FO9" xr:uid="{2E2381C8-71AD-4C63-A41F-B65404493747}"/>
  <tableColumns count="9">
    <tableColumn id="1" xr3:uid="{AA3F20A3-23D0-4348-B693-29600298BAAA}" uniqueName="1" name="client" queryTableFieldId="1" dataDxfId="140"/>
    <tableColumn id="2" xr3:uid="{B5511BE2-1750-4627-9356-0CFECE0A34F4}" uniqueName="2" name="annee" queryTableFieldId="2"/>
    <tableColumn id="3" xr3:uid="{1A2D43B9-5662-454E-96DD-8EB48A3C4134}" uniqueName="3" name="age_moyen_aerien_nu" queryTableFieldId="3"/>
    <tableColumn id="4" xr3:uid="{EFC82582-35B8-4EA2-A809-018298F02A76}" uniqueName="4" name="age_moyen_aerien_nu_fs" queryTableFieldId="4"/>
    <tableColumn id="5" xr3:uid="{1D3E7BD9-EB65-4764-BF9C-5E8E43BBDC91}" uniqueName="5" name="age_moyen_aerien_torsade" queryTableFieldId="5"/>
    <tableColumn id="6" xr3:uid="{AC421DCE-7FE9-46B9-8FB9-49AFC6195C24}" uniqueName="6" name="age_moyen_souterrain" queryTableFieldId="6"/>
    <tableColumn id="7" xr3:uid="{7758E4A3-7F15-4380-A36F-838169CBEA2C}" uniqueName="7" name="tech_age_moyen_aerien_nu" queryTableFieldId="7"/>
    <tableColumn id="8" xr3:uid="{F23EF622-63CD-42AE-AF1E-C9DFD5D1F7AC}" uniqueName="8" name="tech_age_moyen_aerien_torsade" queryTableFieldId="8"/>
    <tableColumn id="9" xr3:uid="{335F6477-B822-4826-8D1D-066B83644BB6}" uniqueName="9" name="tech_age_moyen_souterrain" queryTableFieldId="9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C1A5A944-D096-4C8F-B60F-6A69776594B5}" name="pat_tech_hta_09" displayName="pat_tech_hta_09" ref="KM4:KT9" tableType="queryTable" totalsRowShown="0">
  <autoFilter ref="KM4:KT9" xr:uid="{557BFB91-3D32-4C54-8F01-53055299CC7D}"/>
  <tableColumns count="8">
    <tableColumn id="1" xr3:uid="{B30A4D52-A7EF-4366-A0A4-D588A87480B4}" uniqueName="1" name="client" queryTableFieldId="1" dataDxfId="139"/>
    <tableColumn id="2" xr3:uid="{49441812-5002-41F3-8EDA-33A66F612E93}" uniqueName="2" name="annee" queryTableFieldId="2"/>
    <tableColumn id="3" xr3:uid="{60E81C9E-325E-483D-848E-9065E1F12197}" uniqueName="3" name="age_moyen_aerien_nu" queryTableFieldId="3"/>
    <tableColumn id="4" xr3:uid="{85FFBD6F-74EF-4501-81AF-CBBE06EC55C9}" uniqueName="4" name="age_moyen_aerien_nu_fs" queryTableFieldId="4"/>
    <tableColumn id="5" xr3:uid="{6E58625A-DEFC-4BAC-A3CA-7446FD05C2D7}" uniqueName="5" name="age_moyen_aerien_torsade" queryTableFieldId="5"/>
    <tableColumn id="6" xr3:uid="{DBA0EB88-D9D0-4EB2-B90E-A1830E08ED76}" uniqueName="6" name="age_moyen_souterrain" queryTableFieldId="6"/>
    <tableColumn id="7" xr3:uid="{67FC31F8-2642-49BC-998A-0104B385F8EF}" uniqueName="7" name="age_moyen_souterrain_cpi" queryTableFieldId="7"/>
    <tableColumn id="8" xr3:uid="{87F2E88F-A318-436B-BE1D-A15689DF8620}" uniqueName="8" name="age_moyen_hta" queryTableField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2BF7A487-FFC0-4E14-99EB-16BEEF1AF7BB}" name="pat_tech_hta_10" displayName="pat_tech_hta_10" ref="KV4:KZ25" tableType="queryTable" totalsRowShown="0">
  <autoFilter ref="KV4:KZ25" xr:uid="{A0B4B881-C8A7-4502-AEA8-D5A8049CD58E}"/>
  <tableColumns count="5">
    <tableColumn id="1" xr3:uid="{B0A2437D-3186-4B08-9AAB-5EA1E227CCEA}" uniqueName="1" name="client" queryTableFieldId="1"/>
    <tableColumn id="2" xr3:uid="{3E1C5F1C-9163-4C63-92D6-7F3D302A98D6}" uniqueName="2" name="annee" queryTableFieldId="2"/>
    <tableColumn id="3" xr3:uid="{0D592AFE-64F7-4A1B-93B2-9302B17008CF}" uniqueName="3" name="annee_pdv" queryTableFieldId="3"/>
    <tableColumn id="4" xr3:uid="{92C7B3D9-BC00-4310-8C3F-B280E508A19F}" uniqueName="4" name="type_traitement_pdv" queryTableFieldId="4"/>
    <tableColumn id="5" xr3:uid="{AB506371-7E6D-43D8-A6B4-8BEFADCEB6EA}" uniqueName="5" name="longueur_km_hta_pdv" queryTableFieldId="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954ED06-B8B3-4959-B002-02B1C1D01252}" name="pat_tech_bt_04" displayName="pat_tech_bt_04" ref="BV4:BZ9" tableType="queryTable" totalsRowShown="0">
  <autoFilter ref="BV4:BZ9" xr:uid="{2EC7F496-CF02-4B4C-848E-8E3005259E1B}"/>
  <tableColumns count="5">
    <tableColumn id="1" xr3:uid="{08ADC39E-08F1-487B-90B4-6E772B063E33}" uniqueName="1" name="client" queryTableFieldId="1" dataDxfId="138"/>
    <tableColumn id="2" xr3:uid="{07A797A3-DCAC-4286-87ED-1D7AF34BC5F0}" uniqueName="2" name="annee" queryTableFieldId="2"/>
    <tableColumn id="3" xr3:uid="{596EE110-7477-4284-887D-7AFD2BA78837}" uniqueName="3" name="aerien_nu_fs" queryTableFieldId="3"/>
    <tableColumn id="4" xr3:uid="{95782DBE-23B8-49DD-95A2-C1E2F9FF9E50}" uniqueName="4" name="lignes_bt_neutre_periph" queryTableFieldId="4"/>
    <tableColumn id="5" xr3:uid="{B46B6FBD-18FE-486C-AE65-8BA17DB95351}" uniqueName="5" name="pourcent_ligne_incidentogene" queryTableFieldId="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B35E708-CC16-4823-A4E5-3BEA9F6F1649}" name="pat_tech_hta_05" displayName="pat_tech_hta_05" ref="HU4:IC9" tableType="queryTable" totalsRowShown="0">
  <autoFilter ref="HU4:IC9" xr:uid="{FF5D7335-013C-42C8-92B5-92BD5E878DF8}"/>
  <tableColumns count="9">
    <tableColumn id="1" xr3:uid="{655EF72D-C50C-4364-8B7B-CA38890DE97D}" uniqueName="1" name="client" queryTableFieldId="1" dataDxfId="137"/>
    <tableColumn id="2" xr3:uid="{B1FCF4CE-1493-45EC-A547-6309BCF353D1}" uniqueName="2" name="annee" queryTableFieldId="2"/>
    <tableColumn id="3" xr3:uid="{42B24F2C-9E65-45CD-9BB1-3C16EF881A1A}" uniqueName="3" name="sans_iso" queryTableFieldId="3"/>
    <tableColumn id="4" xr3:uid="{A4C7BB8F-00C6-439E-B1E4-AC4501E01A8F}" uniqueName="4" name="pourcent_sans_iso" queryTableFieldId="4"/>
    <tableColumn id="5" xr3:uid="{66578851-5C24-4219-918C-92E57F37E16C}" uniqueName="5" name="iso_synthe" queryTableFieldId="5"/>
    <tableColumn id="6" xr3:uid="{E1B5DF91-5297-494C-9BEB-A00CCA4AD5B6}" uniqueName="6" name="pourcent_iso_synthe" queryTableFieldId="6"/>
    <tableColumn id="7" xr3:uid="{C86EC828-AF0D-4E05-BB8E-735B687B4D17}" uniqueName="7" name="iso_pap" queryTableFieldId="7"/>
    <tableColumn id="8" xr3:uid="{A15C2AC5-57A0-4593-B6F9-2720B3F722FF}" uniqueName="8" name="pourcent_iso_pap" queryTableFieldId="8"/>
    <tableColumn id="9" xr3:uid="{00142015-27FC-468D-9A47-79CB24544EB1}" uniqueName="9" name="lg_synth_1ere_gen" queryTableFieldId="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F6BBF64-C9DE-466C-BBB7-CB3C6D1B026A}" name="pat_tech_bt_02" displayName="pat_tech_bt_02" ref="AV4:BG9" tableType="queryTable" totalsRowShown="0">
  <autoFilter ref="AV4:BG9" xr:uid="{E3402D02-C55A-45F8-886F-8CDC0A81B9BB}"/>
  <tableColumns count="12">
    <tableColumn id="1" xr3:uid="{CAF50661-1CDA-44D0-89D4-F89B5230C9B9}" uniqueName="1" name="client" queryTableFieldId="1" dataDxfId="136"/>
    <tableColumn id="2" xr3:uid="{C71640FC-F2AA-44D7-A370-62760D3A5015}" uniqueName="2" name="annee" queryTableFieldId="2"/>
    <tableColumn id="3" xr3:uid="{EFBF821A-F853-422C-B16C-122669638C84}" uniqueName="3" name="lineaire_tot_bt_sup_40ans" queryTableFieldId="3"/>
    <tableColumn id="4" xr3:uid="{B0BB49A5-57BE-41B9-AE2B-17449DDBAA8D}" uniqueName="4" name="pourcent_tot" queryTableFieldId="4"/>
    <tableColumn id="5" xr3:uid="{0B97E921-A53E-4B51-BFEB-F1E8F717E0E3}" uniqueName="5" name="aerien_nu_hors_fs_sup_40ans" queryTableFieldId="5"/>
    <tableColumn id="6" xr3:uid="{39E25FFE-AF25-4B0E-8436-3CE49E2D8961}" uniqueName="6" name="aerien_nu_fs_sup_40ans" queryTableFieldId="6"/>
    <tableColumn id="7" xr3:uid="{65DA7DEA-A7F4-4CA3-B4E9-150BBF2898C9}" uniqueName="7" name="aerien_nu_torsade_sup_40ans" queryTableFieldId="7"/>
    <tableColumn id="8" xr3:uid="{5B4A66D8-6701-40F6-8AC0-ED0B8223427E}" uniqueName="8" name="souterrain_sup_40ans" queryTableFieldId="8"/>
    <tableColumn id="9" xr3:uid="{A1ACE821-F6A9-4F9E-9D5D-6F336071C2B2}" uniqueName="9" name="lineaire_bt_aerien_nu_souterrain_sup_40ans" queryTableFieldId="9"/>
    <tableColumn id="10" xr3:uid="{19688C6B-5EC9-4DFD-99EF-7D4DB7A2436C}" uniqueName="10" name="lineaire_bt_torsade_sup_50ans" queryTableFieldId="10"/>
    <tableColumn id="11" xr3:uid="{77BC35B4-987F-426C-9EA2-6A6417A89C39}" uniqueName="11" name="lineaire_tot_bt_sup_50ans" queryTableFieldId="11"/>
    <tableColumn id="12" xr3:uid="{7A7A142E-8907-4D7B-BFF8-134D64D59AD6}" uniqueName="12" name="lineaire_tot_bt_60ans" queryTableFieldId="1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8AAFB16C-1EDD-4385-A5E4-DE23CDBF96D6}" name="pat_tech_hta_06" displayName="pat_tech_hta_06" ref="IH4:IS9" tableType="queryTable" totalsRowShown="0">
  <autoFilter ref="IH4:IS9" xr:uid="{438C1E85-6A23-457E-A3F0-CD6AA3C74E7F}"/>
  <tableColumns count="12">
    <tableColumn id="1" xr3:uid="{2F5D4723-E395-4C87-B155-65B20C233998}" uniqueName="1" name="client" queryTableFieldId="1" dataDxfId="135"/>
    <tableColumn id="2" xr3:uid="{48FFABC4-CCA5-4BA7-9E9A-51D2C5321252}" uniqueName="2" name="annee" queryTableFieldId="2"/>
    <tableColumn id="3" xr3:uid="{AF7388FB-F4D4-4654-BCCF-B698CDD4B1D0}" uniqueName="3" name="nbr_depart_hta" queryTableFieldId="3"/>
    <tableColumn id="4" xr3:uid="{D8FD651A-3891-4589-AF40-0C52CB429D4C}" uniqueName="4" name="nbr_depart_hta_btw_50_70" queryTableFieldId="4"/>
    <tableColumn id="5" xr3:uid="{AB4CD259-1B26-4407-8D27-2ADD84838532}" uniqueName="5" name="nbr_depart_hta_btw_70_100" queryTableFieldId="5"/>
    <tableColumn id="6" xr3:uid="{C400FA80-B026-46A3-80EE-06121745911A}" uniqueName="6" name="nbr_depart_hta_sup_100" queryTableFieldId="6"/>
    <tableColumn id="7" xr3:uid="{1BAED312-3AF0-4ECF-8042-2FC73ABD0EDA}" uniqueName="7" name="long_depart_hta_plus_long" queryTableFieldId="7"/>
    <tableColumn id="8" xr3:uid="{A5E1FC62-4B15-441E-8D6C-CF73A85D55ED}" uniqueName="8" name="nom_depart_hta_plus_long" queryTableFieldId="8" dataDxfId="134"/>
    <tableColumn id="9" xr3:uid="{A582B11A-EDFD-48F2-A8D8-415E25AB8F10}" uniqueName="9" name="long_moy_depart_hta" queryTableFieldId="9"/>
    <tableColumn id="10" xr3:uid="{C5E4F5BA-4C1D-438F-841A-AB0F1C1A870D}" uniqueName="10" name="long_moy_top_10_pourcent_depart_plus_long" queryTableFieldId="10"/>
    <tableColumn id="11" xr3:uid="{202297C6-C6F1-408D-AC17-E51DC3CD4613}" uniqueName="11" name="nbr_moy_omt_par_depart_hta_aerien" queryTableFieldId="11"/>
    <tableColumn id="12" xr3:uid="{C1B14F78-E2DE-41D1-88AD-235F8E7A9B6C}" uniqueName="12" name="nbr_omt_moy_nat" queryTableFieldId="12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591FD5F-06F8-4E97-BE74-D1EBC45BE371}" name="pat_tech_bt_01_face" displayName="pat_tech_bt_01_face" ref="QA4:QH14" tableType="queryTable" totalsRowShown="0">
  <autoFilter ref="QA4:QH14" xr:uid="{B39814AF-3063-40C1-89CE-8E229D2202A2}"/>
  <tableColumns count="8">
    <tableColumn id="1" xr3:uid="{CD0AE1CA-8FAB-4C4B-BB37-A1521AFAB4EA}" uniqueName="1" name="client" queryTableFieldId="1" dataDxfId="133"/>
    <tableColumn id="2" xr3:uid="{A6B1B1F3-0653-4C45-806B-BC8BD074575A}" uniqueName="2" name="annee" queryTableFieldId="2"/>
    <tableColumn id="3" xr3:uid="{1550C0B2-9618-499C-AD63-5247B05FB1B9}" uniqueName="3" name="Code Regime FACE" queryTableFieldId="3" dataDxfId="132"/>
    <tableColumn id="4" xr3:uid="{BF5C5DD8-8A36-4546-AC0E-9CC68FCC79A1}" uniqueName="4" name="aerien_nu" queryTableFieldId="4"/>
    <tableColumn id="5" xr3:uid="{CAC95923-106B-43C3-A2B2-445627451B54}" uniqueName="5" name="aerien_nu_dont_fs" queryTableFieldId="5"/>
    <tableColumn id="6" xr3:uid="{55395DD6-938C-461A-9035-8C036812061E}" uniqueName="6" name="aerien_torsade" queryTableFieldId="6"/>
    <tableColumn id="7" xr3:uid="{8D07F8D8-A369-41A2-8F62-8885026DF2BD}" uniqueName="7" name="souterrain" queryTableFieldId="7"/>
    <tableColumn id="8" xr3:uid="{08EF2948-E093-4E37-8993-E6A498316441}" uniqueName="8" name="lineaire_tot" queryTableFieldId="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A5A3A7FB-EF7E-42FF-B0A4-4D96FAC83A48}" name="pat_tech_bt_02_face" displayName="pat_tech_bt_02_face" ref="QK4:QW14" tableType="queryTable" totalsRowShown="0">
  <autoFilter ref="QK4:QW14" xr:uid="{3C769734-FE6B-446F-A175-341A1CF65659}"/>
  <tableColumns count="13">
    <tableColumn id="1" xr3:uid="{DDF74EFF-AF21-45ED-895B-D237ABB482A2}" uniqueName="1" name="client" queryTableFieldId="1" dataDxfId="131"/>
    <tableColumn id="2" xr3:uid="{6F64E6C5-1599-459B-B48A-BBD216DE6B0A}" uniqueName="2" name="annee" queryTableFieldId="2"/>
    <tableColumn id="3" xr3:uid="{18F7571D-BE7B-443E-9DEB-825BD05B4AFE}" uniqueName="3" name="Code Regime FACE" queryTableFieldId="3" dataDxfId="130"/>
    <tableColumn id="4" xr3:uid="{1D635E63-2B46-410D-8D40-95D209B38C7A}" uniqueName="4" name="lineaire_tot_bt_sup_40ans" queryTableFieldId="4"/>
    <tableColumn id="5" xr3:uid="{FBDA28B8-DE1D-42EA-96B2-0102252AA77B}" uniqueName="5" name="pourcent_tot" queryTableFieldId="5"/>
    <tableColumn id="6" xr3:uid="{80A8CBD0-185C-4DD1-BBF3-8CF726E22EE7}" uniqueName="6" name="aerien_nu_hors_fs_sup_40ans" queryTableFieldId="6"/>
    <tableColumn id="7" xr3:uid="{B788C117-9568-4BFE-9802-800ECE9F99A9}" uniqueName="7" name="aerien_nu_fs_sup_40ans" queryTableFieldId="7"/>
    <tableColumn id="8" xr3:uid="{1C173ECA-7487-4F56-8269-7D1259A16F07}" uniqueName="8" name="aerien_nu_torsade_sup_40ans" queryTableFieldId="8"/>
    <tableColumn id="9" xr3:uid="{7E733BCC-B2AD-46BE-9DC1-F2F60C7A3206}" uniqueName="9" name="souterrain_sup_40ans" queryTableFieldId="9"/>
    <tableColumn id="10" xr3:uid="{608070A2-31A2-4807-AE16-2E3B64AD4C1C}" uniqueName="10" name="lineaire_bt_aerien_nu_souterrain_sup_40ans" queryTableFieldId="10"/>
    <tableColumn id="11" xr3:uid="{62416C15-A346-4D99-8CBD-64282991518B}" uniqueName="11" name="lineaire_bt_torsade_sup_50ans" queryTableFieldId="11"/>
    <tableColumn id="12" xr3:uid="{170B8188-9B0A-492C-83FE-C84ECC360F22}" uniqueName="12" name="lineaire_tot_bt_sup_50ans" queryTableFieldId="12"/>
    <tableColumn id="13" xr3:uid="{83D0001B-7A43-4424-AC3F-85403679D17B}" uniqueName="13" name="lineaire_tot_bt_60ans" queryTableFieldId="13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68B3AD2E-B1D0-4F78-87C3-BF15E6F86209}" name="pat_tech_bt_03_face" displayName="pat_tech_bt_03_face" ref="RA4:RG14" tableType="queryTable" totalsRowShown="0">
  <autoFilter ref="RA4:RG14" xr:uid="{F752387E-56EA-4469-A8F3-FC9AD3E0C7F1}"/>
  <tableColumns count="7">
    <tableColumn id="1" xr3:uid="{82229FEC-BFB3-4DCA-9DAE-205AE98749D9}" uniqueName="1" name="client" queryTableFieldId="1" dataDxfId="129"/>
    <tableColumn id="2" xr3:uid="{ACFD0046-0FF7-4DE4-91E3-03C2A5D28E6D}" uniqueName="2" name="annee" queryTableFieldId="2"/>
    <tableColumn id="3" xr3:uid="{8357D74B-126B-41B3-ADE4-C8E908DFF721}" uniqueName="3" name="Code Regime FACE" queryTableFieldId="3" dataDxfId="128"/>
    <tableColumn id="4" xr3:uid="{AECFE752-45FE-47AF-A552-B012A08B978B}" uniqueName="4" name="lineaire_tot_bt_sup_40ans" queryTableFieldId="4"/>
    <tableColumn id="5" xr3:uid="{9508EB2A-91EC-40B8-9279-35DAC0EADFCA}" uniqueName="5" name="pourcent_tot_lin_tot_bt_sup_40ans" queryTableFieldId="5"/>
    <tableColumn id="6" xr3:uid="{4E2F30CB-C4C6-40C7-8522-CCF9639B6437}" uniqueName="6" name="lineaire_tot_bt_sup_50ans" queryTableFieldId="6"/>
    <tableColumn id="7" xr3:uid="{B1BE6A4B-2092-4950-A81A-630C80D71287}" uniqueName="7" name="lineaire_tot_bt_sup_60ans" queryTableFieldId="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791F0533-CCAD-4890-A93C-CF18A2714EE3}" name="pat_tech_bt_04_face" displayName="pat_tech_bt_04_face" ref="RK4:RP14" tableType="queryTable" totalsRowShown="0">
  <autoFilter ref="RK4:RP14" xr:uid="{721ACECF-9BAC-4547-ABC8-9DCA4EB36AB0}"/>
  <tableColumns count="6">
    <tableColumn id="1" xr3:uid="{BF1189A5-BD52-4C0F-A856-BFE9C57F9A8A}" uniqueName="1" name="client" queryTableFieldId="1" dataDxfId="127"/>
    <tableColumn id="2" xr3:uid="{C202529D-92D7-412D-9ACE-4207734A716C}" uniqueName="2" name="annee" queryTableFieldId="2"/>
    <tableColumn id="3" xr3:uid="{8E19559D-FB64-44BF-AAC8-D99881E57C3A}" uniqueName="3" name="Code Regime FACE" queryTableFieldId="3" dataDxfId="126"/>
    <tableColumn id="4" xr3:uid="{DC93EEFC-FD27-4D4E-82B2-FF8992CEFA6D}" uniqueName="4" name="aerien_nu_fs" queryTableFieldId="4"/>
    <tableColumn id="5" xr3:uid="{07C7E28D-10B3-4F37-BF84-12D0AA311DA9}" uniqueName="5" name="lignes_bt_neutre_periph" queryTableFieldId="5"/>
    <tableColumn id="6" xr3:uid="{2B61C81D-81BB-46FD-8EF9-9EF36217C25C}" uniqueName="6" name="pourcent_ligne_incidentogene" queryTableFieldId="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375DDB3F-142A-499B-8FC0-514D11E7AD7E}" name="pat_tech_bt_05_face" displayName="pat_tech_bt_05_face" ref="RT4:RX14" tableType="queryTable" totalsRowShown="0">
  <autoFilter ref="RT4:RX14" xr:uid="{09F07E48-DBCC-48BC-9B4C-0768D61D304F}"/>
  <tableColumns count="5">
    <tableColumn id="1" xr3:uid="{200AE375-955D-4EFF-91A7-C49EF402E5BE}" uniqueName="1" name="client" queryTableFieldId="1" dataDxfId="125"/>
    <tableColumn id="2" xr3:uid="{CAB3136C-36DA-419A-A4F8-ED6D822DE361}" uniqueName="2" name="annee" queryTableFieldId="2"/>
    <tableColumn id="3" xr3:uid="{06EDDAFA-EBA8-44F7-A963-D3BC634EC5E1}" uniqueName="3" name="Code Regime FACE" queryTableFieldId="3" dataDxfId="124"/>
    <tableColumn id="4" xr3:uid="{1C8CFE68-A813-44F0-895E-ED4F88C26B82}" uniqueName="4" name="aerien_nu" queryTableFieldId="4"/>
    <tableColumn id="5" xr3:uid="{C098375B-5950-4D27-A3F9-280196C99F0F}" uniqueName="5" name="pourcent_aerien_nu_sur_total" queryTableFieldId="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2899351D-6CDD-4106-ADBC-7E0FD671242E}" name="pat_tech_bt_06_face" displayName="pat_tech_bt_06_face" ref="SB4:SN14" tableType="queryTable" totalsRowShown="0">
  <autoFilter ref="SB4:SN14" xr:uid="{E157939A-283B-4BDD-97F3-6737C3811A99}"/>
  <tableColumns count="13">
    <tableColumn id="1" xr3:uid="{CBCFD385-6D74-4406-ACF5-EBD828E42E90}" uniqueName="1" name="client" queryTableFieldId="1" dataDxfId="123"/>
    <tableColumn id="2" xr3:uid="{C9E084DB-BF91-4C91-AF70-8A40087D38FF}" uniqueName="2" name="annee" queryTableFieldId="2"/>
    <tableColumn id="3" xr3:uid="{AB31B946-D5EB-4B1C-865F-151A44A4EC1F}" uniqueName="3" name="face" queryTableFieldId="3" dataDxfId="122"/>
    <tableColumn id="4" xr3:uid="{E15EE6EE-A6D4-4DAA-BCEF-2860BA458C4C}" uniqueName="4" name="acier_alu" queryTableFieldId="4"/>
    <tableColumn id="5" xr3:uid="{CAD914A6-187E-4280-8339-0F58029BC44B}" uniqueName="5" name="pourcent_acier_alu" queryTableFieldId="5"/>
    <tableColumn id="6" xr3:uid="{74E85B01-26AF-4E36-AE11-4D7618A3C877}" uniqueName="6" name="aluminium" queryTableFieldId="6"/>
    <tableColumn id="7" xr3:uid="{6AC10C92-3E1B-466C-B48B-D90019DE882A}" uniqueName="7" name="pourcent_aluminium" queryTableFieldId="7"/>
    <tableColumn id="8" xr3:uid="{2B610C11-D84E-46D7-A7C5-3834754F82D7}" uniqueName="8" name="almelec" queryTableFieldId="8"/>
    <tableColumn id="9" xr3:uid="{17C2D359-7288-4DBA-8F0C-BE3C81B9E86F}" uniqueName="9" name="pourcent_almelec" queryTableFieldId="9"/>
    <tableColumn id="10" xr3:uid="{5973C1A1-4450-4D07-8254-555A0D290C72}" uniqueName="10" name="almelec_acier" queryTableFieldId="10"/>
    <tableColumn id="11" xr3:uid="{FE55FB83-781B-493A-BFCB-D33530743CE5}" uniqueName="11" name="pourcent_almelec_acier" queryTableFieldId="11"/>
    <tableColumn id="12" xr3:uid="{376F6772-3CD7-4A66-8090-191E4F3D7221}" uniqueName="12" name="cuivre" queryTableFieldId="12"/>
    <tableColumn id="13" xr3:uid="{4D17CEA5-F5AC-4F80-9C83-130ACF4FCC59}" uniqueName="13" name="pourcent_cuivr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A7ABB1B5-632C-4748-9F46-B0C8C716B734}" name="pat_tech_bt_07_face" displayName="pat_tech_bt_07_face" ref="SR4:TA14" tableType="queryTable" totalsRowShown="0">
  <autoFilter ref="SR4:TA14" xr:uid="{21C04C12-313B-446E-B898-CCB54B8042A1}"/>
  <tableColumns count="10">
    <tableColumn id="1" xr3:uid="{8466CC22-B432-4B08-B474-CCB527958A46}" uniqueName="1" name="client" queryTableFieldId="1" dataDxfId="121"/>
    <tableColumn id="2" xr3:uid="{37025D05-60C1-4E5B-BA9D-DB1E15EDA0EC}" uniqueName="2" name="annee" queryTableFieldId="2"/>
    <tableColumn id="3" xr3:uid="{667033C5-1F7D-4D54-9EA1-1797476FC85F}" uniqueName="3" name="face" queryTableFieldId="3" dataDxfId="120"/>
    <tableColumn id="4" xr3:uid="{F6353C56-786F-439F-AE35-0C2416D0AC64}" uniqueName="4" name="nbr_depart_bt" queryTableFieldId="4"/>
    <tableColumn id="5" xr3:uid="{B50E47D9-7B09-49F3-9896-08CDA8E7B8DB}" uniqueName="5" name="long_moy_depart_bt" queryTableFieldId="5"/>
    <tableColumn id="6" xr3:uid="{14FBB3EF-BA7A-4E81-B4A6-239D1EE0D5BB}" uniqueName="6" name="nbr_depart_bt_sup_425m" queryTableFieldId="6"/>
    <tableColumn id="7" xr3:uid="{41679A68-5089-4E65-8965-4E6160B55056}" uniqueName="7" name="nbr_depart_bt_sup_1500m" queryTableFieldId="7"/>
    <tableColumn id="8" xr3:uid="{09BAA407-BEDA-4117-B7D2-10825D15FB68}" uniqueName="8" name="nbr_depart_bt_sup_2500m" queryTableFieldId="8"/>
    <tableColumn id="9" xr3:uid="{08B18141-2C88-4D56-83C1-8F5B12FB1751}" uniqueName="9" name="max_long_depart_bt" queryTableFieldId="9"/>
    <tableColumn id="10" xr3:uid="{F5AE2AD4-2E69-4075-BCE4-A5748DF4CA93}" uniqueName="10" name="nom_depart_bt_plus_long" queryTableFieldId="10" dataDxfId="119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FDF01373-AD7F-42F7-84B0-82DC95A3179B}" name="pat_tech_bt_09_face" displayName="pat_tech_bt_09_face" ref="UA4:US14" tableType="queryTable" totalsRowShown="0">
  <autoFilter ref="UA4:US14" xr:uid="{860F8DAD-B3FF-4E73-B2F3-D8EC6542A663}"/>
  <tableColumns count="19">
    <tableColumn id="1" xr3:uid="{B09B1898-7A29-4E32-AA1A-0CE64F9B92E7}" uniqueName="1" name="client" queryTableFieldId="1" dataDxfId="118"/>
    <tableColumn id="2" xr3:uid="{56662EE7-0519-4892-819D-2BB183EDD18F}" uniqueName="2" name="annee" queryTableFieldId="2"/>
    <tableColumn id="3" xr3:uid="{0BC8CE40-D271-440F-AFE3-CCC08D1D1D82}" uniqueName="3" name="face" queryTableFieldId="3" dataDxfId="117"/>
    <tableColumn id="4" xr3:uid="{DA4A564F-C465-4166-B7BF-D94271D4070C}" uniqueName="4" name="long_tot" queryTableFieldId="4"/>
    <tableColumn id="5" xr3:uid="{F173DCFF-7CB2-4622-B3F3-61F7CE01CCC7}" uniqueName="5" name="age_moyen" queryTableFieldId="5"/>
    <tableColumn id="6" xr3:uid="{6FD84958-D94E-417C-A999-FD6D9A71BA8C}" uniqueName="6" name="long_inf_10_ans" queryTableFieldId="6"/>
    <tableColumn id="7" xr3:uid="{ED222619-6242-49E9-97D5-052F05B759AB}" uniqueName="7" name="pourcent_long_inf_10_ans" queryTableFieldId="7"/>
    <tableColumn id="8" xr3:uid="{85BD3809-AA4D-4603-AA30-545D9271BAD7}" uniqueName="8" name="long_btw_10_20_ans" queryTableFieldId="8"/>
    <tableColumn id="9" xr3:uid="{C90A785A-3E62-4638-B54B-C8C774404C44}" uniqueName="9" name="pourcent_long_btw_10_20_ans" queryTableFieldId="9"/>
    <tableColumn id="10" xr3:uid="{7120F0FA-4B49-4E32-88C4-5AE9A31CF544}" uniqueName="10" name="long_btw_20_30_ans" queryTableFieldId="10"/>
    <tableColumn id="11" xr3:uid="{EB973167-7BD7-406D-B4DF-31AC95DEB274}" uniqueName="11" name="pourcent_long_btw_20_30_ans" queryTableFieldId="11"/>
    <tableColumn id="12" xr3:uid="{D8443A70-DDE5-4317-BD08-89D659B038E4}" uniqueName="12" name="long_btw_30_40_ans" queryTableFieldId="12"/>
    <tableColumn id="13" xr3:uid="{7DAB7FC1-082F-4998-9FF3-A7AED27407AC}" uniqueName="13" name="pourcent_long_btw_30_40_ans" queryTableFieldId="13"/>
    <tableColumn id="14" xr3:uid="{9F0E5148-BAB8-4A8A-848F-E14DC9A5E301}" uniqueName="14" name="long_btw_40_50_ans" queryTableFieldId="14"/>
    <tableColumn id="15" xr3:uid="{697D91F3-1631-4365-94A8-BB0BC92EFCA6}" uniqueName="15" name="pourcent_long_btw_40_50_ans" queryTableFieldId="15"/>
    <tableColumn id="16" xr3:uid="{C173FB0C-1F61-4653-A27A-A53FC21B3ACD}" uniqueName="16" name="long_btw_50_60_ans" queryTableFieldId="16"/>
    <tableColumn id="17" xr3:uid="{811DF5E8-6814-42D0-8F1A-5D6DB25593EB}" uniqueName="17" name="pourcent_long_btw_50_60_ans" queryTableFieldId="17"/>
    <tableColumn id="18" xr3:uid="{4C787765-F3F7-431E-BE19-C10D0CE1956E}" uniqueName="18" name="long_sup_60_ans" queryTableFieldId="18"/>
    <tableColumn id="19" xr3:uid="{81C2B230-05BB-41A6-8091-B04923A289EF}" uniqueName="19" name="pourcent_sup_60_ans" queryTableFieldId="19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724E31F8-B530-4C62-9D3C-433AD99180C1}" name="pat_tech_bt_10_face" displayName="pat_tech_bt_10_face" ref="UW4:VC14" tableType="queryTable" totalsRowShown="0">
  <autoFilter ref="UW4:VC14" xr:uid="{715AEEDE-00D7-489B-B802-5F8E69BFC79E}"/>
  <tableColumns count="7">
    <tableColumn id="1" xr3:uid="{9BCD50A3-CAF5-4A55-87D1-317AD482DE57}" uniqueName="1" name="client" queryTableFieldId="1" dataDxfId="116"/>
    <tableColumn id="2" xr3:uid="{CF518183-B920-4711-A885-6620BD49631D}" uniqueName="2" name="annee" queryTableFieldId="2"/>
    <tableColumn id="3" xr3:uid="{F2C31D4B-2C63-4D4F-9AFB-48B3857BF2B9}" uniqueName="3" name="face" queryTableFieldId="3" dataDxfId="115"/>
    <tableColumn id="4" xr3:uid="{EB3D600C-171E-4B55-90D7-F4F2EDAE9910}" uniqueName="4" name="age_moyen_aerien_nu" queryTableFieldId="4"/>
    <tableColumn id="5" xr3:uid="{8080CE68-9145-4DE0-8538-558B094B987F}" uniqueName="5" name="age_moyen_aerien_nu_fs" queryTableFieldId="5"/>
    <tableColumn id="6" xr3:uid="{57045227-34C8-4FF2-922C-5C8A0D1BECEA}" uniqueName="6" name="age_moyen_aerien_torsade" queryTableFieldId="6"/>
    <tableColumn id="7" xr3:uid="{22A478F9-6A95-4C72-85C5-04B7F8FE97F8}" uniqueName="7" name="age_moyen_souterrain" queryTableFieldId="7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CB308A3-9ABE-4EEA-A7D5-1635DB1F9480}" name="pat_tech_bt_04_ene" displayName="pat_tech_bt_04_ene" ref="VG4:VN9" tableType="queryTable" totalsRowShown="0">
  <autoFilter ref="VG4:VN9" xr:uid="{9C59AF94-5513-4E87-8E9D-8714C727F865}"/>
  <tableColumns count="8">
    <tableColumn id="1" xr3:uid="{59767592-3C75-42E5-9B3D-6F5E5690BEFB}" uniqueName="1" name="client" queryTableFieldId="1" dataDxfId="114"/>
    <tableColumn id="2" xr3:uid="{EC28C5BD-2D95-4A56-88D6-2D93D4AD7751}" uniqueName="2" name="annee" queryTableFieldId="2"/>
    <tableColumn id="3" xr3:uid="{94EBCCF1-5B1F-4D00-9B47-B5EBF8EF36CA}" uniqueName="3" name="sout_1946_cu" queryTableFieldId="3"/>
    <tableColumn id="4" xr3:uid="{EC139DDA-02C5-4451-B3B2-EBD298DB6FDD}" uniqueName="4" name="sout_1946_al" queryTableFieldId="4"/>
    <tableColumn id="5" xr3:uid="{9C159C5C-E398-48F6-90E2-A36570A86126}" uniqueName="5" name="sout_cpi_cu" queryTableFieldId="5"/>
    <tableColumn id="6" xr3:uid="{7A8E61CF-69E7-44BF-87C4-9116CBBEE041}" uniqueName="6" name="sout_cpi_al" queryTableFieldId="6"/>
    <tableColumn id="7" xr3:uid="{82CA0DF2-DDF8-42A4-A4D1-1E9468341D55}" uniqueName="7" name="sout_np" queryTableFieldId="7"/>
    <tableColumn id="8" xr3:uid="{5AB0F856-7856-4F72-8425-ED4FA057BF1E}" uniqueName="8" name="sout_synth" queryTableFieldId="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4CD93A53-0B60-4776-9882-4D43B50E84CF}" name="pat_tech_bt_04_ene_face" displayName="pat_tech_bt_04_ene_face" ref="VR4:VZ14" tableType="queryTable" totalsRowShown="0">
  <autoFilter ref="VR4:VZ14" xr:uid="{1FC8F51D-5597-4E14-AB7E-F3F102132DBB}"/>
  <tableColumns count="9">
    <tableColumn id="1" xr3:uid="{497BFC41-D012-4788-AFA6-706E937093CC}" uniqueName="1" name="client" queryTableFieldId="1" dataDxfId="113"/>
    <tableColumn id="2" xr3:uid="{46B326CD-D418-416B-9104-51C87E77463A}" uniqueName="2" name="annee" queryTableFieldId="2"/>
    <tableColumn id="3" xr3:uid="{E52C63A4-94EC-44B8-B2EF-53A60715052E}" uniqueName="3" name="face" queryTableFieldId="3" dataDxfId="112"/>
    <tableColumn id="4" xr3:uid="{8AD52F91-F8FF-4F1A-8D27-C4CAA97DA016}" uniqueName="4" name="sout_1946_cu" queryTableFieldId="4"/>
    <tableColumn id="5" xr3:uid="{FAAE893E-14E4-45CE-A4E5-46EE531DE772}" uniqueName="5" name="sout_1946_al" queryTableFieldId="5"/>
    <tableColumn id="6" xr3:uid="{0677B9F4-E912-4AE2-8AE1-455824E37A3A}" uniqueName="6" name="sout_cpi_cu" queryTableFieldId="6"/>
    <tableColumn id="7" xr3:uid="{616BC6BA-58E7-4CD4-ACA6-15AEAC9553D8}" uniqueName="7" name="sout_cpi_al" queryTableFieldId="7"/>
    <tableColumn id="8" xr3:uid="{0E757DEC-01C0-4141-88BD-F906EC11A46A}" uniqueName="8" name="sout_np" queryTableFieldId="8"/>
    <tableColumn id="9" xr3:uid="{277FDDB3-D7EC-4038-B07A-DA21E1024D44}" uniqueName="9" name="sout_synth" queryTableFieldId="9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10887647-627F-40EC-8B19-087425357988}" name="pat_tech_hta_14" displayName="pat_tech_hta_14" ref="WD4:WJ19" tableType="queryTable" totalsRowShown="0">
  <autoFilter ref="WD4:WJ19" xr:uid="{53854F83-2342-4A0B-9585-C3ADE0BD442D}"/>
  <tableColumns count="7">
    <tableColumn id="1" xr3:uid="{E0D04892-BD2E-4F08-8C3E-59F358DC8080}" uniqueName="1" name="client" queryTableFieldId="1" dataDxfId="111"/>
    <tableColumn id="2" xr3:uid="{DC4E602D-319E-4B14-9E62-6AFE0815E102}" uniqueName="2" name="annee" queryTableFieldId="2"/>
    <tableColumn id="3" xr3:uid="{8D6EBD8E-EEB1-4B4C-AC99-10B48253417D}" uniqueName="3" name="Catégorie de tension" queryTableFieldId="3" dataDxfId="110"/>
    <tableColumn id="4" xr3:uid="{0A35C3F6-8221-4F8E-AD3F-692E991966AA}" uniqueName="4" name="nbr_departs_hta" queryTableFieldId="4"/>
    <tableColumn id="5" xr3:uid="{9E0176AA-BD14-4920-95F6-D3D3461D070D}" uniqueName="5" name="nbr_poste_hta" queryTableFieldId="5"/>
    <tableColumn id="6" xr3:uid="{3C532D0C-69F1-471A-ADF4-C586AD2E04D2}" uniqueName="6" name="nbr_transfos" queryTableFieldId="6"/>
    <tableColumn id="7" xr3:uid="{A6EAE2C3-6104-41BB-9E47-7748BB9E2F19}" uniqueName="7" name="nbr_departs_bt" queryTableFieldId="7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FF5A5647-DEF6-4D0C-A4D2-3A49975A2FF8}" name="pat_tech_transfo_04" displayName="pat_tech_transfo_04" ref="WM4:WZ9" tableType="queryTable" totalsRowShown="0">
  <autoFilter ref="WM4:WZ9" xr:uid="{8C8D02F1-ABC5-475A-8DAB-C82B6D70814D}"/>
  <tableColumns count="14">
    <tableColumn id="1" xr3:uid="{42E7D94A-7DC6-4D7D-9D74-4779B0CFCDBB}" uniqueName="1" name="client" queryTableFieldId="1" dataDxfId="109"/>
    <tableColumn id="2" xr3:uid="{156012D6-5ADA-437B-8C41-40BED6B89E67}" uniqueName="2" name="annee" queryTableFieldId="2"/>
    <tableColumn id="3" xr3:uid="{C583567B-7646-419C-BFFF-2FE035F50F56}" uniqueName="3" name="nbr_transfo_inf_10_percent" queryTableFieldId="3"/>
    <tableColumn id="4" xr3:uid="{D6C4048D-694A-42DE-A9BE-95D44A87EF1D}" uniqueName="4" name="nbr_transfo_btw_10_20_percent" queryTableFieldId="4"/>
    <tableColumn id="5" xr3:uid="{6AE37EF7-A637-4604-AF88-66E6BC21704F}" uniqueName="5" name="nbr_transfo_btw_20_30_percent" queryTableFieldId="5"/>
    <tableColumn id="6" xr3:uid="{984F1CFC-10F6-4A9E-8F3F-418AB2A0835C}" uniqueName="6" name="nbr_transfo_btw_30_40_percent" queryTableFieldId="6"/>
    <tableColumn id="7" xr3:uid="{9A35362D-9B20-4299-9901-FA71F234F5D9}" uniqueName="7" name="nbr_transfo_btw_40_50_percent" queryTableFieldId="7"/>
    <tableColumn id="8" xr3:uid="{10E2794A-1D03-4E01-B411-6BC3A01E5688}" uniqueName="8" name="nbr_transfo_btw_50_60_percent" queryTableFieldId="8"/>
    <tableColumn id="9" xr3:uid="{711CA420-9B79-4514-93AF-F42C04FAAB31}" uniqueName="9" name="nbr_transfo_btw_60_70_percent" queryTableFieldId="9"/>
    <tableColumn id="10" xr3:uid="{3682A7AB-1061-4D72-90D7-B3EB50084117}" uniqueName="10" name="nbr_transfo_btw_70_80_percent" queryTableFieldId="10"/>
    <tableColumn id="11" xr3:uid="{BB7EDD39-650E-4215-A14B-95C2D87998FD}" uniqueName="11" name="nbr_transfo_btw_80_90_percent" queryTableFieldId="11"/>
    <tableColumn id="12" xr3:uid="{D00E312C-40E8-4552-9C67-07763D804025}" uniqueName="12" name="nbr_transfo_btw_90_100_percent" queryTableFieldId="12"/>
    <tableColumn id="13" xr3:uid="{51391F83-9681-41A9-9C6A-B5B636482866}" uniqueName="13" name="nbr_transfo_sup_100_percent" queryTableFieldId="13"/>
    <tableColumn id="14" xr3:uid="{DFE7BCDA-85DB-4E5B-9EC2-29B2E969C5DF}" uniqueName="14" name="nbr_transfo_sup_120_percent" queryTableFieldId="14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16F94AB-82AA-46AB-A803-9B546F943B5B}" name="pat_tech_hta_15" displayName="pat_tech_hta_15" ref="XD4:XJ82" tableType="queryTable" totalsRowShown="0">
  <autoFilter ref="XD4:XJ82" xr:uid="{5475C641-F946-40E0-969B-7B9DA354EA98}"/>
  <tableColumns count="7">
    <tableColumn id="1" xr3:uid="{13E692DA-E1A8-4988-8D78-F1139F9EA5B5}" uniqueName="1" name="Client" queryTableFieldId="1" dataDxfId="108"/>
    <tableColumn id="2" xr3:uid="{86505CD4-F18E-4982-8C0E-9F1AB24A90F8}" uniqueName="2" name="Annee" queryTableFieldId="2"/>
    <tableColumn id="3" xr3:uid="{F6A084C9-4447-45ED-B940-2EA8288D0F2F}" uniqueName="3" name="Annee Construction" queryTableFieldId="3"/>
    <tableColumn id="4" xr3:uid="{E475EEA4-1B21-4ACF-8B8B-B36159741C46}" uniqueName="4" name="aerien_nu_km" queryTableFieldId="4"/>
    <tableColumn id="5" xr3:uid="{E6173439-45B7-4DEC-85A5-CE5C8C97344B}" uniqueName="5" name="torsade_km" queryTableFieldId="5"/>
    <tableColumn id="6" xr3:uid="{18EC7EDF-ED0E-4C53-A193-D0B4492DB20C}" uniqueName="6" name="souterrain_km" queryTableFieldId="6"/>
    <tableColumn id="7" xr3:uid="{401DBB29-D2DA-4982-AEAA-11D95AC311C7}" uniqueName="7" name="dont_cpi_km" queryTableFieldId="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958D44AA-DBEA-4BA5-A18D-A2AD2BD60F82}" name="pat_tech_transfo_06" displayName="pat_tech_transfo_06" ref="YF4:YJ58" tableType="queryTable" totalsRowShown="0">
  <autoFilter ref="YF4:YJ58" xr:uid="{3C08DFAF-8701-45C0-90FB-DC4875EC7C31}"/>
  <tableColumns count="5">
    <tableColumn id="1" xr3:uid="{4645408E-858A-4AAD-9B69-271825F76FAA}" uniqueName="1" name="Client" queryTableFieldId="1" dataDxfId="107"/>
    <tableColumn id="2" xr3:uid="{9DE3045F-9341-4F7A-8027-BCC31CBF80FD}" uniqueName="2" name="Annee" queryTableFieldId="2"/>
    <tableColumn id="3" xr3:uid="{424A7677-3BC8-43AC-958D-55F19980BFEF}" uniqueName="3" name="Annee construction" queryTableFieldId="3"/>
    <tableColumn id="4" xr3:uid="{6B681097-BD22-40DC-B049-3CF95052AD66}" uniqueName="4" name="nb_410" queryTableFieldId="4"/>
    <tableColumn id="5" xr3:uid="{DC0BE7A3-7A9E-4748-9C84-01C00E06D9A1}" uniqueName="5" name="nb_400" queryTableFieldId="5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1254B5D7-41BB-4513-8917-1AC48278926A}" name="pat_tech_bt_04b" displayName="pat_tech_bt_04b" ref="ZI4:AAN9" tableType="queryTable" totalsRowShown="0">
  <autoFilter ref="ZI4:AAN9" xr:uid="{1254B5D7-41BB-4513-8917-1AC48278926A}"/>
  <tableColumns count="32">
    <tableColumn id="1" xr3:uid="{0D97CF52-0C10-417F-8C99-7AEDED882937}" uniqueName="1" name="client" queryTableFieldId="1" dataDxfId="106"/>
    <tableColumn id="2" xr3:uid="{CACEA6D6-A324-477D-8829-36DF7879ED68}" uniqueName="2" name="annee" queryTableFieldId="2"/>
    <tableColumn id="3" xr3:uid="{A1CC76DB-4CA8-480B-ABDA-F4232FF2B81D}" uniqueName="3" name="aerien_nu_km" queryTableFieldId="3"/>
    <tableColumn id="4" xr3:uid="{E866077C-018E-4A50-8528-455B8DC3037F}" uniqueName="4" name="aerien_nu_urbain_km" queryTableFieldId="4"/>
    <tableColumn id="5" xr3:uid="{B7985671-B283-4592-A109-3645A928C75C}" uniqueName="5" name="aerien_nu_rural_km" queryTableFieldId="5"/>
    <tableColumn id="6" xr3:uid="{F00D6A01-61F9-43CA-8DD1-A58B0234C3AC}" uniqueName="6" name="pourcentage_aerien_nu" queryTableFieldId="6"/>
    <tableColumn id="7" xr3:uid="{751E0483-6EB8-40AE-A1EC-8B0F8341F127}" uniqueName="7" name="pourcentage_aerien_nu_urbain" queryTableFieldId="7"/>
    <tableColumn id="8" xr3:uid="{94CF918B-0E46-4A53-A74A-5272E85B47E7}" uniqueName="8" name="pourcentage_aerien_nu_rural" queryTableFieldId="8"/>
    <tableColumn id="9" xr3:uid="{0273B658-CFE4-4BE0-B723-8E8480E02758}" uniqueName="9" name="aerien_nu_fs_km" queryTableFieldId="9"/>
    <tableColumn id="10" xr3:uid="{76833438-071B-430F-B234-AC6D51491A67}" uniqueName="10" name="aerien_nu_fs_urbain_km" queryTableFieldId="10"/>
    <tableColumn id="11" xr3:uid="{7E27FF70-FD69-4D8F-B4C8-A6055AE16E06}" uniqueName="11" name="aerien_nu_fs_rural_km" queryTableFieldId="11"/>
    <tableColumn id="12" xr3:uid="{EC2CCB6E-411F-4680-997A-A378FBD0F48C}" uniqueName="12" name="pourcentage_aerien_nu_fs" queryTableFieldId="12"/>
    <tableColumn id="13" xr3:uid="{6C6995F6-3BC3-41D3-A33F-42455DECBCAB}" uniqueName="13" name="pourcentage_aerien_nu_fs_urbain" queryTableFieldId="13"/>
    <tableColumn id="14" xr3:uid="{78138843-1664-40B5-9C52-1FD436A1D947}" uniqueName="14" name="pourcentage_aerien_nu_fs_rural" queryTableFieldId="14"/>
    <tableColumn id="15" xr3:uid="{1832DDF6-D9BC-4CDF-9950-7E28CFE68196}" uniqueName="15" name="np_km" queryTableFieldId="15"/>
    <tableColumn id="16" xr3:uid="{63340DCB-7AF6-4E63-846E-546DF964F7A6}" uniqueName="16" name="np_urbain_km" queryTableFieldId="16"/>
    <tableColumn id="17" xr3:uid="{D302C6DE-ECB9-47DC-A272-1E16CCE6DFF0}" uniqueName="17" name="np_rural_km" queryTableFieldId="17"/>
    <tableColumn id="18" xr3:uid="{790630FF-BB0B-494B-8016-3DF56D646755}" uniqueName="18" name="pourcentage_np" queryTableFieldId="18"/>
    <tableColumn id="19" xr3:uid="{CA5C6B66-34E8-465B-9A70-CD95A13A66E3}" uniqueName="19" name="pourcentage_np_urbain" queryTableFieldId="19"/>
    <tableColumn id="20" xr3:uid="{34D0E951-94B5-4852-B514-89844AF3BC38}" uniqueName="20" name="pourcentage_np_rural" queryTableFieldId="20"/>
    <tableColumn id="21" xr3:uid="{D0F7993B-EE79-413A-8469-9920A5CFBB73}" uniqueName="21" name="cpi_km" queryTableFieldId="21"/>
    <tableColumn id="22" xr3:uid="{357C3F3E-8EF1-4E7D-A37F-5FB6F7D6F8ED}" uniqueName="22" name="cpi_urbain_km" queryTableFieldId="22"/>
    <tableColumn id="23" xr3:uid="{CBB8ED48-E56F-4DB8-8D20-E7B1732C2943}" uniqueName="23" name="cpi_rural_km" queryTableFieldId="23"/>
    <tableColumn id="24" xr3:uid="{2E1EA01F-D0C1-4DD9-885B-EA35D3044257}" uniqueName="24" name="pourcentage_cpi" queryTableFieldId="24"/>
    <tableColumn id="25" xr3:uid="{A213AA7C-A1B3-4FE2-B827-6338FE6B6BF7}" uniqueName="25" name="pourcentage_cpi_urbain" queryTableFieldId="25"/>
    <tableColumn id="26" xr3:uid="{71035FB9-1F1D-4E56-AE65-968276C1E1FB}" uniqueName="26" name="pourcentage_cpi_rural" queryTableFieldId="26"/>
    <tableColumn id="27" xr3:uid="{B3438E85-F527-4139-978B-D90056C962F9}" uniqueName="27" name="non_date_km" queryTableFieldId="27"/>
    <tableColumn id="28" xr3:uid="{4354EAAD-D4A2-4977-B9D6-F57DE5B19369}" uniqueName="28" name="non_date_urbain_km" queryTableFieldId="28"/>
    <tableColumn id="29" xr3:uid="{AF8108B4-3E07-4405-912E-C052A7447956}" uniqueName="29" name="non_date_rural_km" queryTableFieldId="29"/>
    <tableColumn id="30" xr3:uid="{9EEC1C25-DB90-4A8E-A1A8-6BEA7CD3B7EE}" uniqueName="30" name="pourcentage_non_date" queryTableFieldId="30"/>
    <tableColumn id="31" xr3:uid="{A458F664-E811-41FC-BB73-DBD0DEC603DB}" uniqueName="31" name="pourcentage_non_date_urbain" queryTableFieldId="31"/>
    <tableColumn id="32" xr3:uid="{658BE4DC-11AB-493A-B280-E214B82C2143}" uniqueName="32" name="pourcentage_non_date_rural" queryTableFieldId="32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F9B506-D3B5-4C29-AEFF-9ECBFF49209C}" name="pat_tech_hta_02" displayName="pat_tech_hta_02" ref="GK4:GQ9" tableType="queryTable" totalsRowShown="0">
  <autoFilter ref="GK4:GQ9" xr:uid="{6CF9B506-D3B5-4C29-AEFF-9ECBFF49209C}"/>
  <tableColumns count="7">
    <tableColumn id="1" xr3:uid="{0497AAA2-4B71-4C2F-89D7-8D05ADD6B51B}" uniqueName="1" name="client" queryTableFieldId="1"/>
    <tableColumn id="2" xr3:uid="{3AD2F61A-7D87-4F63-AA4E-E41DB086DD53}" uniqueName="2" name="annee" queryTableFieldId="2"/>
    <tableColumn id="3" xr3:uid="{AAF1E801-67F4-4A20-9F23-53D83D221D07}" uniqueName="3" name="lineaire_hta_sup_40ans" queryTableFieldId="3"/>
    <tableColumn id="4" xr3:uid="{3C4E041F-EDDF-4635-9FFB-4EA51BF72215}" uniqueName="4" name="pourcent_tot" queryTableFieldId="4"/>
    <tableColumn id="5" xr3:uid="{917D8016-83B0-4E6E-8291-7147EB416EBE}" uniqueName="5" name="pourcent_nat" queryTableFieldId="5"/>
    <tableColumn id="6" xr3:uid="{A8CE1A96-FBA0-4DCC-9CC3-3AC2D4ECF333}" uniqueName="6" name="lineaire_hta_sup_50ans" queryTableFieldId="6"/>
    <tableColumn id="7" xr3:uid="{4115E9FE-37A2-466A-9704-A7510E352A90}" uniqueName="7" name="lineaire_hta_sup_60ans" queryTableFieldId="7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6B24D1B-CEC8-44A8-BB00-803849E1292D}" name="pat_tech_poste_01" displayName="pat_tech_poste_01" ref="LC4:LN9" tableType="queryTable" totalsRowShown="0">
  <autoFilter ref="LC4:LN9" xr:uid="{D6B24D1B-CEC8-44A8-BB00-803849E1292D}"/>
  <tableColumns count="12">
    <tableColumn id="1" xr3:uid="{5C091758-06AF-4E78-9F2D-62A597E6F263}" uniqueName="1" name="client" queryTableFieldId="1" dataDxfId="105"/>
    <tableColumn id="2" xr3:uid="{7B83F82F-36BF-430C-928A-EF121DAFA917}" uniqueName="2" name="annee" queryTableFieldId="2"/>
    <tableColumn id="3" xr3:uid="{D9F6CB5F-F980-48B2-BA71-1114CC4D67F3}" uniqueName="3" name="distr_publique" queryTableFieldId="3"/>
    <tableColumn id="4" xr3:uid="{A3C6C68D-BD14-4F69-AE1D-B13BC26A3C82}" uniqueName="4" name="distr_publique_prod" queryTableFieldId="4"/>
    <tableColumn id="5" xr3:uid="{671A2930-93C4-4D6A-A5A2-A34EC49D64C7}" uniqueName="5" name="mixte" queryTableFieldId="5"/>
    <tableColumn id="6" xr3:uid="{A7324604-B88B-4644-919A-A318C6BFCADA}" uniqueName="6" name="mixte_prod" queryTableFieldId="6"/>
    <tableColumn id="7" xr3:uid="{F1D223C4-1D36-4CB4-9215-6A2D8CF4D5DC}" uniqueName="7" name="nbr_usagers" queryTableFieldId="7"/>
    <tableColumn id="8" xr3:uid="{98A5F06F-1F20-4427-B043-2E271B56E8D2}" uniqueName="8" name="nbr_poste_poteau" queryTableFieldId="8"/>
    <tableColumn id="9" xr3:uid="{39A7CCF6-49AF-470B-B252-5013D79AFBC7}" uniqueName="9" name="nbr_poste_maconne" queryTableFieldId="9"/>
    <tableColumn id="10" xr3:uid="{455809C7-E8C2-4D2D-BCCB-FC15B76A2154}" uniqueName="10" name="nbr_poste_prefabrique" queryTableFieldId="10"/>
    <tableColumn id="11" xr3:uid="{8E3D6284-3EFB-440A-9BBA-5FCDC28C3E03}" uniqueName="11" name="nbr_poste_autre" queryTableFieldId="11"/>
    <tableColumn id="12" xr3:uid="{D65F88A6-C64C-4358-AD1F-5A46596D7865}" uniqueName="12" name="total" queryTableFieldId="1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C4E5315A-A00C-4059-A966-DB63F856100A}" name="pat_tech_poste_07" displayName="pat_tech_poste_07" ref="OD4:OO9" tableType="queryTable" totalsRowShown="0">
  <autoFilter ref="OD4:OO9" xr:uid="{C4E5315A-A00C-4059-A966-DB63F856100A}"/>
  <tableColumns count="12">
    <tableColumn id="1" xr3:uid="{2415FCFD-B503-4689-8665-789CEFB80470}" uniqueName="1" name="client" queryTableFieldId="1" dataDxfId="104"/>
    <tableColumn id="2" xr3:uid="{C22A8A49-92F2-4B6C-8662-0BB5BE84AC3C}" uniqueName="2" name="annee" queryTableFieldId="2"/>
    <tableColumn id="3" xr3:uid="{E848AB1F-8369-4343-8AB2-47EF529CD178}" uniqueName="3" name="nbr_prod" queryTableFieldId="3"/>
    <tableColumn id="4" xr3:uid="{C826AE98-D849-4031-BAA6-F08F620166B2}" uniqueName="4" name="nbr_poste_relie" queryTableFieldId="4"/>
    <tableColumn id="5" xr3:uid="{31A8C47A-7630-4903-A58E-BF065F5E8565}" uniqueName="5" name="pv" queryTableFieldId="5"/>
    <tableColumn id="6" xr3:uid="{9C927528-3103-4497-8366-5E48D2FBA059}" uniqueName="6" name="pv_hta" queryTableFieldId="6"/>
    <tableColumn id="7" xr3:uid="{2AE5B0C2-0275-43E3-8681-28464C35000D}" uniqueName="7" name="pv_bt" queryTableFieldId="7"/>
    <tableColumn id="8" xr3:uid="{0793EBE8-9E1E-4A10-B1A2-9CC3317035A6}" uniqueName="8" name="eolien" queryTableFieldId="8"/>
    <tableColumn id="9" xr3:uid="{DB68C228-9F21-479E-936A-B0849B7869D1}" uniqueName="9" name="eolien_hta" queryTableFieldId="9"/>
    <tableColumn id="10" xr3:uid="{45DCF796-E076-4319-B828-892B401C70C0}" uniqueName="10" name="eolien_bt" queryTableFieldId="10"/>
    <tableColumn id="11" xr3:uid="{68DF32EB-8A77-4E5C-82E6-2931A780103E}" uniqueName="11" name="hydraulique" queryTableFieldId="11"/>
    <tableColumn id="12" xr3:uid="{22E36E55-EA07-4CB8-A0AC-A837A5619353}" uniqueName="12" name="autres" queryTableFieldId="12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C56F89A-0DC4-4E0B-A7F2-67E7AE39DA1D}" name="pat_tech_transfo_03" displayName="pat_tech_transfo_03" ref="PR4:PX9" tableType="queryTable" totalsRowShown="0">
  <autoFilter ref="PR4:PX9" xr:uid="{EC56F89A-0DC4-4E0B-A7F2-67E7AE39DA1D}"/>
  <tableColumns count="7">
    <tableColumn id="1" xr3:uid="{402F431C-7CB8-44A5-ABB5-AE8A739FEB2E}" uniqueName="1" name="client" queryTableFieldId="1" dataDxfId="103"/>
    <tableColumn id="2" xr3:uid="{493A5125-A9B6-49AF-9C3A-08CE0F0711AC}" uniqueName="2" name="annee" queryTableFieldId="2"/>
    <tableColumn id="3" xr3:uid="{854E0C89-262C-43BA-AE60-E9DC85C3DC9B}" uniqueName="3" name="nbr_transfos_400_volt" queryTableFieldId="3"/>
    <tableColumn id="4" xr3:uid="{6762A5C8-EAD3-44F4-AA6F-6F0FC28E0A8C}" uniqueName="4" name="nbr_transfos_410_volt" queryTableFieldId="4"/>
    <tableColumn id="5" xr3:uid="{A532BBCF-E399-47A9-BCFE-5045FF4214AD}" uniqueName="5" name="nbr_transfo_15kvolt" queryTableFieldId="5"/>
    <tableColumn id="6" xr3:uid="{E7B1B509-E2BB-4CC2-93C8-7BAA2CCCDFD3}" uniqueName="6" name="puissance_transfo" queryTableFieldId="6"/>
    <tableColumn id="7" xr3:uid="{319FF4A4-51FA-4C87-9EFA-4E4BEE27AD46}" uniqueName="7" name="total" queryTableFieldId="7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50B510A2-1141-4DDC-8445-96DE0EAF635B}" name="pat_tech_transfo_07" displayName="pat_tech_transfo_07" ref="YM4:YV10" tableType="queryTable" totalsRowShown="0">
  <autoFilter ref="YM4:YV10" xr:uid="{50B510A2-1141-4DDC-8445-96DE0EAF635B}"/>
  <tableColumns count="10">
    <tableColumn id="1" xr3:uid="{1FB93CB6-C71A-4777-B8B4-F2BE430B8E59}" uniqueName="1" name="client" queryTableFieldId="1" dataDxfId="102"/>
    <tableColumn id="2" xr3:uid="{F1D863FA-1527-49E0-BA28-58CC0F80BEA6}" uniqueName="2" name="annee" queryTableFieldId="2"/>
    <tableColumn id="3" xr3:uid="{63BC1F13-6BCF-4286-B6B3-F0B463B86440}" uniqueName="3" name="nbr" queryTableFieldId="3"/>
    <tableColumn id="4" xr3:uid="{7C26B3BF-14D8-412D-A2C9-15D0DE51EF87}" uniqueName="4" name="m10" queryTableFieldId="4"/>
    <tableColumn id="5" xr3:uid="{795F795A-57C7-4F76-A112-DDA906FEDF8E}" uniqueName="5" name="m20" queryTableFieldId="5"/>
    <tableColumn id="6" xr3:uid="{03ED702D-C022-49D4-9053-B4E9D4F4B397}" uniqueName="6" name="m30" queryTableFieldId="6"/>
    <tableColumn id="7" xr3:uid="{ECD8687C-1C42-48D1-B7A6-742126EE11FF}" uniqueName="7" name="m40" queryTableFieldId="7"/>
    <tableColumn id="8" xr3:uid="{20C51637-5E1D-4D91-A319-D48970F5EDB1}" uniqueName="8" name="m50" queryTableFieldId="8"/>
    <tableColumn id="9" xr3:uid="{A92139E1-3C16-4389-B0C7-FA83EBC6D86C}" uniqueName="9" name="m60" queryTableFieldId="9"/>
    <tableColumn id="10" xr3:uid="{943362AE-48B6-4C01-B373-B74F8D59AC57}" uniqueName="10" name="p60" queryTableFieldId="1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1CF3BF3-C0F4-4531-AC95-2D514D63EC2F}" name="pat_tech_bt_03" displayName="pat_tech_bt_03" ref="BL4:BR9" tableType="queryTable" totalsRowShown="0">
  <autoFilter ref="BL4:BR9" xr:uid="{31CF3BF3-C0F4-4531-AC95-2D514D63EC2F}"/>
  <tableColumns count="7">
    <tableColumn id="1" xr3:uid="{6DDDE9E7-F43C-4566-9588-29288E00B644}" uniqueName="1" name="client" queryTableFieldId="1"/>
    <tableColumn id="2" xr3:uid="{A1453AC7-7A70-408E-904C-12BD176B210B}" uniqueName="2" name="annee" queryTableFieldId="2"/>
    <tableColumn id="3" xr3:uid="{B2ED6991-43E2-467C-92C9-C32B5B417190}" uniqueName="3" name="lineaire_tot_bt_sup_40ans" queryTableFieldId="3"/>
    <tableColumn id="4" xr3:uid="{4F34FC0F-9B87-4346-B786-262E05A4BCC0}" uniqueName="4" name="pourcent_tot_lin_tot_bt_sup_40ans" queryTableFieldId="4"/>
    <tableColumn id="5" xr3:uid="{775F6086-6AE9-4E71-A4D0-CCBF9CE2EBCC}" uniqueName="5" name="pourcent_tot_lin_tot_bt_sup_40ans_nat" queryTableFieldId="5"/>
    <tableColumn id="6" xr3:uid="{E45EE859-143E-49FA-BFC6-BDC32132B598}" uniqueName="6" name="lineaire_tot_bt_sup_50ans" queryTableFieldId="6"/>
    <tableColumn id="7" xr3:uid="{A59EA15F-44D8-4D60-9D45-70B646DCEF35}" uniqueName="7" name="lineaire_tot_bt_sup_60ans" queryTableFieldId="7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A8CD8656-06F4-45E2-A484-C9A2CB7F402D}" name="pat_tech_bt_08" displayName="pat_tech_bt_08" ref="DQ4:EI9" tableType="queryTable" totalsRowShown="0">
  <autoFilter ref="DQ4:EI9" xr:uid="{A8CD8656-06F4-45E2-A484-C9A2CB7F402D}"/>
  <tableColumns count="19">
    <tableColumn id="1" xr3:uid="{7C936B62-8C57-4F05-90BD-1A2A6A3F6055}" uniqueName="1" name="client" queryTableFieldId="1" dataDxfId="101"/>
    <tableColumn id="2" xr3:uid="{E96D7213-3DA8-4456-8739-1D2BA878EBE4}" uniqueName="2" name="annee" queryTableFieldId="2"/>
    <tableColumn id="3" xr3:uid="{670C80D1-A6AF-4FBC-B2B9-09D962F8456B}" uniqueName="3" name="long_tot" queryTableFieldId="3"/>
    <tableColumn id="4" xr3:uid="{AB42B11B-425D-46E9-B305-293D58BB5048}" uniqueName="4" name="non_date" queryTableFieldId="4"/>
    <tableColumn id="5" xr3:uid="{19768473-C77A-4167-8AA6-1719A4B4691C}" uniqueName="5" name="age_moyen" queryTableFieldId="5"/>
    <tableColumn id="6" xr3:uid="{324DCBDA-7A1C-41AA-B5B1-5699A62F683A}" uniqueName="6" name="long_inf_10_ans" queryTableFieldId="6"/>
    <tableColumn id="7" xr3:uid="{F32A650B-0B54-4845-A855-0B36A422739D}" uniqueName="7" name="pourcent_long_inf_10_ans" queryTableFieldId="7"/>
    <tableColumn id="8" xr3:uid="{F0D5E877-4853-43BF-A796-D7849953993F}" uniqueName="8" name="long_btw_10_20_ans" queryTableFieldId="8"/>
    <tableColumn id="9" xr3:uid="{08D90D3F-031E-4268-BB6F-67F15B906548}" uniqueName="9" name="pourcent_long_btw_10_20_ans" queryTableFieldId="9"/>
    <tableColumn id="10" xr3:uid="{F59AC118-535E-470A-9CFA-D5E2D5BC3CD3}" uniqueName="10" name="long_btw_20_30_ans" queryTableFieldId="10"/>
    <tableColumn id="11" xr3:uid="{16332727-04C2-428F-AF87-B098E5037925}" uniqueName="11" name="pourcent_long_btw_20_30_ans" queryTableFieldId="11"/>
    <tableColumn id="12" xr3:uid="{F12B1C12-8A4A-47ED-A6A0-1BA25A68B90F}" uniqueName="12" name="long_btw_30_40_ans" queryTableFieldId="12"/>
    <tableColumn id="13" xr3:uid="{A672681C-700E-411C-8B77-11EC542FBC96}" uniqueName="13" name="pourcent_long_btw_30_40_ans" queryTableFieldId="13"/>
    <tableColumn id="14" xr3:uid="{0AD96E29-A4FE-434E-9B58-72B3FC55B257}" uniqueName="14" name="long_btw_40_50_ans" queryTableFieldId="14"/>
    <tableColumn id="15" xr3:uid="{E4870BAC-C1A1-48E8-87B9-72AECB5F2C9E}" uniqueName="15" name="pourcent_long_btw_40_50_ans" queryTableFieldId="15"/>
    <tableColumn id="16" xr3:uid="{6E0D9BFD-D015-4386-B720-BACC561FAC57}" uniqueName="16" name="long_btw_50_60_ans" queryTableFieldId="16"/>
    <tableColumn id="17" xr3:uid="{0F1843BC-FDAD-4708-B0D2-63ABEA35AA54}" uniqueName="17" name="pourcent_long_btw_50_60_ans" queryTableFieldId="17"/>
    <tableColumn id="18" xr3:uid="{C47906BB-17E5-449F-B704-335BE06186BD}" uniqueName="18" name="long_sup_60_ans" queryTableFieldId="18"/>
    <tableColumn id="19" xr3:uid="{B9185F92-6298-4977-BEF3-66FE36F5CED8}" uniqueName="19" name="pourcent_sup_60_ans" queryTableFieldId="19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F824297E-6E3B-4592-98A8-FE2AA0C7DC2F}" name="pat_tech_bt_12" displayName="pat_tech_bt_12" ref="FR5:FU10" tableType="queryTable" totalsRowShown="0">
  <autoFilter ref="FR5:FU10" xr:uid="{F824297E-6E3B-4592-98A8-FE2AA0C7DC2F}"/>
  <tableColumns count="4">
    <tableColumn id="1" xr3:uid="{F716DB9A-E08D-480F-9475-3FED405FC754}" uniqueName="1" name="annee" queryTableFieldId="1"/>
    <tableColumn id="2" xr3:uid="{E2601C99-B783-45B6-A60E-60B85C8D5FF4}" uniqueName="2" name="moyenne_nat_renouvel" queryTableFieldId="2"/>
    <tableColumn id="3" xr3:uid="{039AB45C-328A-43F5-98AD-F4EF433FE555}" uniqueName="3" name="longueur_renouvelee" queryTableFieldId="3"/>
    <tableColumn id="4" xr3:uid="{BCFCAB1B-EA87-4D82-8318-E24A671113FB}" uniqueName="4" name="longueur_renforcee" queryTableFieldId="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22552C9A-B651-4038-8E90-9D4BF65249D4}" name="pat_tech_hta_03" displayName="pat_tech_hta_03" ref="GV4:HA9" tableType="queryTable" totalsRowShown="0">
  <autoFilter ref="GV4:HA9" xr:uid="{22552C9A-B651-4038-8E90-9D4BF65249D4}"/>
  <tableColumns count="6">
    <tableColumn id="1" xr3:uid="{6C86241C-E89F-491E-A943-5F0282D6B0B4}" uniqueName="1" name="client" queryTableFieldId="1" dataDxfId="100"/>
    <tableColumn id="2" xr3:uid="{1E2105DA-6C6B-4469-8BD9-794A87BE3C5D}" uniqueName="2" name="annee" queryTableFieldId="2"/>
    <tableColumn id="3" xr3:uid="{68B35516-E04D-4D0B-9CD6-475CA0D0D454}" uniqueName="3" name="aerien_nu_fs" queryTableFieldId="3"/>
    <tableColumn id="4" xr3:uid="{264959C2-C51F-4FDC-B2CC-340DD5D86E3D}" uniqueName="4" name="aerien_nu_reduites_50" queryTableFieldId="4"/>
    <tableColumn id="5" xr3:uid="{0ADD4E62-1B87-4044-A0C3-CF6183E3300E}" uniqueName="5" name="pourcent_aerien_nu_fs_sur_aerien" queryTableFieldId="5"/>
    <tableColumn id="6" xr3:uid="{CD042EF2-D8D7-4ADF-880E-A63CB51316E5}" uniqueName="6" name="pourcent_aerien_nu_fs_sur_total" queryTableFieldId="6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C0C27DED-954C-4509-A9CA-BBCEDF4001B9}" name="pat_tech_bt_04_nat" displayName="pat_tech_bt_04_nat" ref="CC4:CE9" tableType="queryTable" totalsRowShown="0">
  <autoFilter ref="CC4:CE9" xr:uid="{C0C27DED-954C-4509-A9CA-BBCEDF4001B9}"/>
  <tableColumns count="3">
    <tableColumn id="1" xr3:uid="{03566EAB-5491-40BB-A843-B17E22301334}" uniqueName="1" name="annee" queryTableFieldId="1"/>
    <tableColumn id="2" xr3:uid="{1E64FD8E-99AB-4280-9F5E-13E74A4D65A2}" uniqueName="2" name="moyenne_nat_aerien_nu" queryTableFieldId="2"/>
    <tableColumn id="3" xr3:uid="{704FCD7A-1572-4E36-8698-1BCF772CC31C}" uniqueName="3" name="moyenne_nat_fs" queryTableFieldId="3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0CE3506-7EB1-48FF-A5E7-2DEED2DA70C6}" name="pat_tech_bt_08_face" displayName="pat_tech_bt_08_face" ref="TE4:TX14" tableType="queryTable" totalsRowShown="0">
  <autoFilter ref="TE4:TX14" xr:uid="{D0CE3506-7EB1-48FF-A5E7-2DEED2DA70C6}"/>
  <tableColumns count="20">
    <tableColumn id="1" xr3:uid="{2E155D04-9FAE-4E11-97CD-512FACDBCF15}" uniqueName="1" name="client" queryTableFieldId="1" dataDxfId="99"/>
    <tableColumn id="2" xr3:uid="{174E9075-95D8-48FF-B2C7-CF78204F85B0}" uniqueName="2" name="annee" queryTableFieldId="2"/>
    <tableColumn id="3" xr3:uid="{5BB96F53-D4F7-42B6-844E-03FA7DA2FDA0}" uniqueName="3" name="face" queryTableFieldId="3" dataDxfId="98"/>
    <tableColumn id="4" xr3:uid="{86BA7CE6-28FA-49A8-A7AD-5E41246D1FDE}" uniqueName="4" name="long_tot" queryTableFieldId="4"/>
    <tableColumn id="5" xr3:uid="{22CAFE92-013C-42EC-8E49-19CBB77D855E}" uniqueName="5" name="non_date" queryTableFieldId="5"/>
    <tableColumn id="6" xr3:uid="{8605995F-0AF3-4674-AA26-59E2D480A6BF}" uniqueName="6" name="age_moyen" queryTableFieldId="6"/>
    <tableColumn id="7" xr3:uid="{97707365-B180-4FB1-90BD-638FDA751AF5}" uniqueName="7" name="long_inf_10_ans" queryTableFieldId="7"/>
    <tableColumn id="8" xr3:uid="{57415006-9FCD-4D66-A2ED-4C33877DFC63}" uniqueName="8" name="pourcent_long_inf_10_ans" queryTableFieldId="8"/>
    <tableColumn id="9" xr3:uid="{46C23BBD-7969-4CA9-AD36-4D67DADC042F}" uniqueName="9" name="long_btw_10_20_ans" queryTableFieldId="9"/>
    <tableColumn id="10" xr3:uid="{A19B1469-09B1-48C1-8D11-E0DEC2B56025}" uniqueName="10" name="pourcent_long_btw_10_20_ans" queryTableFieldId="10"/>
    <tableColumn id="11" xr3:uid="{5C7E136B-F4B8-4041-B5BB-AA3AA80F607B}" uniqueName="11" name="long_btw_20_30_ans" queryTableFieldId="11"/>
    <tableColumn id="12" xr3:uid="{B0B6CBCC-EC5D-4413-A5F4-A386E250B65E}" uniqueName="12" name="pourcent_long_btw_20_30_ans" queryTableFieldId="12"/>
    <tableColumn id="13" xr3:uid="{EB160462-2EF7-4F2C-BA04-2577605F892B}" uniqueName="13" name="long_btw_30_40_ans" queryTableFieldId="13"/>
    <tableColumn id="14" xr3:uid="{CC5AF6E0-B189-4C02-9FD7-2154D055734F}" uniqueName="14" name="pourcent_long_btw_30_40_ans" queryTableFieldId="14"/>
    <tableColumn id="15" xr3:uid="{015866B3-F264-4303-BBBA-0A4BE04A0A68}" uniqueName="15" name="long_btw_40_50_ans" queryTableFieldId="15"/>
    <tableColumn id="16" xr3:uid="{B8CB322C-71AC-44D1-A3E0-8BB40B4C61CE}" uniqueName="16" name="pourcent_long_btw_40_50_ans" queryTableFieldId="16"/>
    <tableColumn id="17" xr3:uid="{BAFEF0B9-AE7A-4F49-A479-DB4EA75AA716}" uniqueName="17" name="long_btw_50_60_ans" queryTableFieldId="17"/>
    <tableColumn id="18" xr3:uid="{3B838396-BB53-49E4-A03A-1A0793EF05AE}" uniqueName="18" name="pourcent_long_btw_50_60_ans" queryTableFieldId="18"/>
    <tableColumn id="19" xr3:uid="{E1742C8E-D4E7-42CD-A722-13DC8E2C9C8C}" uniqueName="19" name="long_sup_60_ans" queryTableFieldId="19"/>
    <tableColumn id="20" xr3:uid="{FC0332B6-CACF-4266-BABE-25B70B48DE33}" uniqueName="20" name="pourcent_sup_60_ans" queryTableFieldId="20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C0175ACD-69B1-4FC5-AC35-DC28E7C1F083}" name="pat_tech_branch_01" displayName="pat_tech_branch_01" ref="AAQ4:AAX6" tableType="queryTable" totalsRowShown="0">
  <autoFilter ref="AAQ4:AAX6" xr:uid="{C0175ACD-69B1-4FC5-AC35-DC28E7C1F083}"/>
  <tableColumns count="8">
    <tableColumn id="1" xr3:uid="{B5D5C28E-CA7B-4C35-890C-468EC7A6AB45}" uniqueName="1" name="client" queryTableFieldId="1" dataDxfId="97"/>
    <tableColumn id="2" xr3:uid="{44FF3077-82A4-46FC-B91A-81048A92E209}" uniqueName="2" name="annee" queryTableFieldId="2"/>
    <tableColumn id="3" xr3:uid="{7425B61D-80E0-4F63-9764-3B2D6E2CDD83}" uniqueName="3" name="nbr_brch_ind" queryTableFieldId="3"/>
    <tableColumn id="4" xr3:uid="{F73B23A5-167E-45F0-B2B1-7701C07B8D55}" uniqueName="4" name="nbr_branchement_aerien" queryTableFieldId="4"/>
    <tableColumn id="5" xr3:uid="{6E65A534-4A47-4565-BB5C-F150E8D48F5A}" uniqueName="5" name="nbr_derivation_liaison" queryTableFieldId="5"/>
    <tableColumn id="6" xr3:uid="{B99352D8-2EE0-48A6-9C58-67E3FB9A0631}" uniqueName="6" name="nbr_liaison_reseau_sout" queryTableFieldId="6"/>
    <tableColumn id="7" xr3:uid="{FD6C0F5E-9C57-4A06-B051-C162EF52B95D}" uniqueName="7" name="nbr_usagers" queryTableFieldId="7"/>
    <tableColumn id="8" xr3:uid="{069FCFF0-9813-41B7-A5B6-509E1A5D9199}" uniqueName="8" name="age_moyen" queryTableFieldId="8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5167AC5-557F-4355-B7C6-F273F25F6347}" name="pat_tech_poste_08" displayName="pat_tech_poste_08" ref="OR4:OX9" tableType="queryTable" totalsRowShown="0">
  <autoFilter ref="OR4:OX9" xr:uid="{E5167AC5-557F-4355-B7C6-F273F25F6347}"/>
  <tableColumns count="7">
    <tableColumn id="1" xr3:uid="{540C6B17-52E3-431E-81F2-6961A151ED60}" uniqueName="1" name="client" queryTableFieldId="1"/>
    <tableColumn id="2" xr3:uid="{F8249A62-CDA7-4DAF-B0ED-20F70DE5BB78}" uniqueName="2" name="annee" queryTableFieldId="2"/>
    <tableColumn id="3" xr3:uid="{97034FD3-93BC-444D-89D3-B45C542DE0CC}" uniqueName="3" name="nbr_ps" queryTableFieldId="3"/>
    <tableColumn id="4" xr3:uid="{41F1AE39-EACC-442B-AB5F-B3F446570EB8}" uniqueName="4" name="nbr_ps_sur_territoire" queryTableFieldId="4"/>
    <tableColumn id="5" xr3:uid="{86576332-74B2-4996-B4C0-0B680DDA6CA3}" uniqueName="5" name="puissance_installe" queryTableFieldId="5"/>
    <tableColumn id="6" xr3:uid="{805FF4CC-3F71-4857-8A9C-280E241BD816}" uniqueName="6" name="puissance_installe_ancien" queryTableFieldId="6"/>
    <tableColumn id="7" xr3:uid="{DC7B3071-84B7-4B41-A3F4-32F5A06850A1}" uniqueName="7" name="taux_th" queryTableFieldId="7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B13B3E33-E384-4078-A7E8-5EBB2BB3BC2B}" name="pat_tech_hta_17" displayName="pat_tech_hta_17" ref="XS4:XW14" tableType="queryTable" totalsRowShown="0">
  <autoFilter ref="XS4:XW14" xr:uid="{B13B3E33-E384-4078-A7E8-5EBB2BB3BC2B}"/>
  <tableColumns count="5">
    <tableColumn id="1" xr3:uid="{061979D0-EA28-4B69-A620-04C6DA9558C4}" uniqueName="1" name="echelle" queryTableFieldId="1" dataDxfId="96"/>
    <tableColumn id="2" xr3:uid="{45655098-72D8-42DE-A57F-D2052E8D2CEF}" uniqueName="2" name="annee" queryTableFieldId="2"/>
    <tableColumn id="3" xr3:uid="{EB2A2415-3BC0-484C-B7CF-B1966C63B9C4}" uniqueName="3" name="moyenne_nationale_renouvellement" queryTableFieldId="3"/>
    <tableColumn id="4" xr3:uid="{5EAB7724-5AA3-4B16-83A7-736AE3B4A3FF}" uniqueName="4" name="min_renouvellement" queryTableFieldId="4"/>
    <tableColumn id="5" xr3:uid="{9B4A0043-22EC-433D-B72C-D6A38444E036}" uniqueName="5" name="max_renouvellement" queryTableFieldId="5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2BF2A86B-62B9-4460-87EF-BBB955730C39}" name="pat_tech_branch_02" displayName="pat_tech_branch_02" ref="AAZ4:ABL5" tableType="queryTable" insertRow="1" totalsRowShown="0">
  <autoFilter ref="AAZ4:ABL5" xr:uid="{2BF2A86B-62B9-4460-87EF-BBB955730C39}"/>
  <tableColumns count="13">
    <tableColumn id="1" xr3:uid="{26F2D1A0-23D0-4B52-B437-6977E08D44DA}" uniqueName="1" name="client" queryTableFieldId="1"/>
    <tableColumn id="2" xr3:uid="{116A0150-CF56-431A-85CE-59F82DEE3297}" uniqueName="2" name="annee" queryTableFieldId="2"/>
    <tableColumn id="3" xr3:uid="{6088161A-2958-41E0-A5FE-942D0CBB43AF}" uniqueName="3" name="nbr_ocb" queryTableFieldId="3"/>
    <tableColumn id="4" xr3:uid="{961639ED-0955-493E-9405-D3137AC00FB3}" uniqueName="4" name="nbr_colonne_double" queryTableFieldId="4"/>
    <tableColumn id="5" xr3:uid="{764CCBE0-5959-450D-9301-8B60E564BDAA}" uniqueName="5" name="nbr_colonne_multiple_3_6" queryTableFieldId="5"/>
    <tableColumn id="6" xr3:uid="{DF946E41-0994-4336-B984-C1F1CC058AC4}" uniqueName="6" name="nbr_colonne_multiple" queryTableFieldId="6"/>
    <tableColumn id="7" xr3:uid="{91744AB8-E068-4598-BAD7-F4B02CCEAFBA}" uniqueName="7" name="nbr_colonne_multiple_2_3" queryTableFieldId="7"/>
    <tableColumn id="8" xr3:uid="{1D33C644-A68F-4206-BA96-49E3E98242E7}" uniqueName="8" name="nbr_colonne_multiple_2_5" queryTableFieldId="8"/>
    <tableColumn id="9" xr3:uid="{B0C68462-BBD7-4DA9-B356-ABDB8B8FC216}" uniqueName="9" name="nbr_colonne_simple" queryTableFieldId="9"/>
    <tableColumn id="10" xr3:uid="{E7387D1D-8540-4FAE-A0E7-88A99C3F56B5}" uniqueName="10" name="nbr_local_technique" queryTableFieldId="10"/>
    <tableColumn id="11" xr3:uid="{8854F57D-7BAE-4303-A90A-BEA8664504FF}" uniqueName="11" name="nbr_local_technique_coffret" queryTableFieldId="11"/>
    <tableColumn id="12" xr3:uid="{ED034B69-D315-44A9-A6F0-02DA352989C1}" uniqueName="12" name="nbr_usr" queryTableFieldId="12"/>
    <tableColumn id="13" xr3:uid="{FA6BF4B7-69F8-438E-B888-532B2EDE33E5}" uniqueName="13" name="age_moyen" queryTableFieldId="13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FC164D47-A589-4C0E-A21D-33276669CA92}" name="pat_tech_hta_01_nat" displayName="pat_tech_hta_01_nat" ref="GE4:GG9" tableType="queryTable" totalsRowShown="0">
  <autoFilter ref="GE4:GG9" xr:uid="{FC164D47-A589-4C0E-A21D-33276669CA92}"/>
  <tableColumns count="3">
    <tableColumn id="1" xr3:uid="{0D6D3C84-4DE3-4237-AA7F-F61963896CE2}" uniqueName="1" name="annee" queryTableFieldId="1"/>
    <tableColumn id="2" xr3:uid="{B15B822B-7D9B-4B4E-B934-72D77C69DB21}" uniqueName="2" name="moyenne_nationale_hta_sout" queryTableFieldId="2"/>
    <tableColumn id="3" xr3:uid="{323AEEE6-7C88-49D5-8376-EFA9B2F72908}" uniqueName="3" name="moy_nat_dens_pop" queryTableFieldId="3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834F60F3-D09F-464C-825A-A284357F46AA}" name="pat_tech_hta_16" displayName="pat_tech_hta_16" ref="XL4:XQ9" tableType="queryTable" totalsRowShown="0">
  <autoFilter ref="XL4:XQ9" xr:uid="{834F60F3-D09F-464C-825A-A284357F46AA}"/>
  <tableColumns count="6">
    <tableColumn id="1" xr3:uid="{9A3DB3D6-E498-463A-95AA-96B3D73C056F}" uniqueName="1" name="Client" queryTableFieldId="1" dataDxfId="95"/>
    <tableColumn id="2" xr3:uid="{EFEB60F0-2C99-4764-8E10-FECAAEE370D3}" uniqueName="2" name="Annee" queryTableFieldId="2"/>
    <tableColumn id="3" xr3:uid="{5A9AC42C-958D-4C2E-9F09-6FDB9E56AC66}" uniqueName="3" name="longueur_risques_averes_km" queryTableFieldId="3"/>
    <tableColumn id="4" xr3:uid="{9CDC1350-9A59-49FF-BC5A-1A607A93C65D}" uniqueName="4" name="longueur_risque_bois_km" queryTableFieldId="4"/>
    <tableColumn id="5" xr3:uid="{9DD96F61-2053-47B6-BE34-AFB12453B87C}" uniqueName="5" name="longueur_risque_neige_givre_km" queryTableFieldId="5"/>
    <tableColumn id="6" xr3:uid="{A2B0A10F-37EA-4553-B7EC-B9D8FD05BE92}" uniqueName="6" name="longueur_risque_vent_km" queryTableFieldId="6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A0A6A55-E35B-4203-BE1B-B47E08B016D2}" name="pat_tech_hta_rnvl_crac" displayName="pat_tech_hta_rnvl_crac" ref="XY4:YD9" tableType="queryTable" totalsRowShown="0">
  <autoFilter ref="XY4:YD9" xr:uid="{6A0A6A55-E35B-4203-BE1B-B47E08B016D2}"/>
  <tableColumns count="6">
    <tableColumn id="1" xr3:uid="{92D42F87-A0D6-4CC7-A196-4403848B7013}" uniqueName="1" name="Client" queryTableFieldId="1" dataDxfId="94"/>
    <tableColumn id="2" xr3:uid="{36A6D5F8-98C0-4CF3-81E9-F2D88FC87536}" uniqueName="2" name="Annee" queryTableFieldId="2"/>
    <tableColumn id="3" xr3:uid="{4FDEDC8E-30BA-4316-B2ED-30B2D0D1C17E}" uniqueName="3" name="longueur_renouvelee_km" queryTableFieldId="3"/>
    <tableColumn id="4" xr3:uid="{A40CBDA3-ECB4-466F-9C60-E4E4C2F11105}" uniqueName="4" name="longueur_renforcee_km" queryTableFieldId="4"/>
    <tableColumn id="5" xr3:uid="{D9BD5DF2-CEFC-4806-B3B9-1B49933EB258}" uniqueName="5" name="taux_renouvellement_concession_percent" queryTableFieldId="5"/>
    <tableColumn id="6" xr3:uid="{91E41BC7-C51B-49E3-B9ED-A183F5038ADB}" uniqueName="6" name="taux_renouvellement_cible_theorique_percent" queryTableFieldId="6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09AB8EEC-3BCA-4B3D-8C05-F59EFEBB79A9}" name="pat_tech_bt_01_nat" displayName="pat_tech_bt_01_nat" ref="AO4:AS9" tableType="queryTable" totalsRowShown="0">
  <autoFilter ref="AO4:AS9" xr:uid="{09AB8EEC-3BCA-4B3D-8C05-F59EFEBB79A9}"/>
  <tableColumns count="5">
    <tableColumn id="1" xr3:uid="{D570D66B-85C4-4448-81DF-CE176A50BC6C}" uniqueName="1" name="annee" queryTableFieldId="1"/>
    <tableColumn id="2" xr3:uid="{A8C41EB1-946E-4ED0-B33E-276942CF87CD}" uniqueName="2" name="moy_nat_sout" queryTableFieldId="2"/>
    <tableColumn id="3" xr3:uid="{8A3D8F63-8CA2-47E4-A9DE-575599777F6A}" uniqueName="3" name="moy_nat_secu" queryTableFieldId="3"/>
    <tableColumn id="4" xr3:uid="{2237E457-3342-47CD-B183-9EB11463A865}" uniqueName="4" name="moyenne_nat_densite_pop_souterrain" queryTableFieldId="4"/>
    <tableColumn id="5" xr3:uid="{55B078A8-60FC-47DD-8CB8-40E57DEB6476}" uniqueName="5" name="moyenne_nat_densite_pop_secu" queryTableFieldId="5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70BBDEE7-33B7-4138-B133-4DF0A97AB188}" name="pat_tech_bt_11" displayName="pat_tech_bt_11" ref="YY4:ZG70" tableType="queryTable" totalsRowShown="0">
  <autoFilter ref="YY4:ZG70" xr:uid="{70BBDEE7-33B7-4138-B133-4DF0A97AB188}"/>
  <tableColumns count="9">
    <tableColumn id="1" xr3:uid="{915FED10-5507-4246-9DA8-C78857ADCCA9}" uniqueName="1" name="Client" queryTableFieldId="1" dataDxfId="93"/>
    <tableColumn id="2" xr3:uid="{9962BB1C-4EDE-4A52-BD43-19AC4408091D}" uniqueName="2" name="Annee" queryTableFieldId="2"/>
    <tableColumn id="3" xr3:uid="{66A36F16-C34C-4DE4-AAD2-EB75CFFAB058}" uniqueName="3" name="Annee Construction" queryTableFieldId="3"/>
    <tableColumn id="4" xr3:uid="{2A44147B-BEAC-40AF-9145-4F9974CF6A05}" uniqueName="4" name="aerien_nu_km" queryTableFieldId="4"/>
    <tableColumn id="5" xr3:uid="{5D4A5A44-0BE9-4C95-8F3D-310E4D5459B7}" uniqueName="5" name="torsade_km" queryTableFieldId="5"/>
    <tableColumn id="6" xr3:uid="{E7837FA6-F300-42F9-9DAF-B9CA03386B8E}" uniqueName="6" name="souterrain_km" queryTableFieldId="6"/>
    <tableColumn id="7" xr3:uid="{82C48791-46D7-4227-A444-1B870ACD5327}" uniqueName="7" name="dont_cpi_km" queryTableFieldId="7"/>
    <tableColumn id="8" xr3:uid="{21473D0F-6128-4F32-97A3-5B73AE012F35}" uniqueName="8" name="lineaire_bt_aerien_nu_fs" queryTableFieldId="8"/>
    <tableColumn id="9" xr3:uid="{F633E241-6696-41AA-B660-8838657E4C80}" uniqueName="9" name="lineaire_bt_nu_hfs" queryTableFieldId="9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2F6A80-8C66-4AB7-A60D-E1921FABCCAC}" name="inc_02_tcc" displayName="inc_02_tcc" ref="AQ4:BA9" tableType="queryTable" totalsRowShown="0">
  <autoFilter ref="AQ4:BA9" xr:uid="{B8FC155A-E650-46DD-AE1D-25C0DA952F84}"/>
  <tableColumns count="11">
    <tableColumn id="1" xr3:uid="{259381F8-D984-4C24-B1CF-648609932253}" uniqueName="1" name="client" queryTableFieldId="1" dataDxfId="92"/>
    <tableColumn id="2" xr3:uid="{A16B84BD-2194-49F5-B166-50E97BC9712E}" uniqueName="2" name="annee" queryTableFieldId="2"/>
    <tableColumn id="3" xr3:uid="{98992720-4E85-4207-B40D-40DFC3FC9C51}" uniqueName="3" name="critb_tcc" queryTableFieldId="3"/>
    <tableColumn id="4" xr3:uid="{E79218E9-31FD-4A6C-ACD7-8B68268AC6B8}" uniqueName="4" name="critb_rte" queryTableFieldId="4"/>
    <tableColumn id="5" xr3:uid="{2BECE22C-D2EC-4F16-BD2F-B4A31E8D58D8}" uniqueName="5" name="critb_reseau_distrib_publique_incident" queryTableFieldId="5"/>
    <tableColumn id="6" xr3:uid="{924EC095-C607-4336-986F-34A053641AD6}" uniqueName="6" name="critb_ps_incident" queryTableFieldId="6"/>
    <tableColumn id="7" xr3:uid="{80A9818A-1916-47CF-8EC8-3274DB84E9AD}" uniqueName="7" name="critb_hta_incident" queryTableFieldId="7"/>
    <tableColumn id="8" xr3:uid="{3156ED66-BDDE-4E8A-97E8-E01CC4A0608C}" uniqueName="8" name="critb_bt_incident" queryTableFieldId="8"/>
    <tableColumn id="9" xr3:uid="{9D34A80C-C6FC-4FCF-8BEF-7836784D687E}" uniqueName="9" name="critb_reseau_distrib_publique_travaux" queryTableFieldId="9"/>
    <tableColumn id="10" xr3:uid="{1279BA73-8D95-49ED-82EE-478AAF4E47A1}" uniqueName="10" name="critb_hta_travaux" queryTableFieldId="10"/>
    <tableColumn id="11" xr3:uid="{5F22C496-0BA8-4CEC-A492-D1A4EE14DBA2}" uniqueName="11" name="critb_bt_travaux" queryTableFieldId="1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EBD65C-2213-4202-86CE-B5127DE91C54}" name="inc_03" displayName="inc_03" ref="BC4:BL9" tableType="queryTable" totalsRowShown="0">
  <autoFilter ref="BC4:BL9" xr:uid="{43A9459F-71DD-40E0-9910-44AEDE4A792B}"/>
  <tableColumns count="10">
    <tableColumn id="1" xr3:uid="{4B304CA3-9950-483C-874D-B321263FDDA6}" uniqueName="1" name="client" queryTableFieldId="1" dataDxfId="91"/>
    <tableColumn id="2" xr3:uid="{DB7123DC-41EF-496E-9525-346C2FA180B9}" uniqueName="2" name="annee" queryTableFieldId="2"/>
    <tableColumn id="3" xr3:uid="{567AFFC4-D30A-482C-95F8-593EBDBE5AEE}" uniqueName="3" name="crit_b_hix_hors_rte_ze1" queryTableFieldId="3"/>
    <tableColumn id="4" xr3:uid="{F0FD10B4-3FA2-4690-9037-DE43A9A4001E}" uniqueName="4" name="crit_b_hix_hors_rte_ze2" queryTableFieldId="4"/>
    <tableColumn id="5" xr3:uid="{6B3F3DD7-9266-4484-9761-1AFAD45141DC}" uniqueName="5" name="crit_b_hix_hors_rte_ze3" queryTableFieldId="5"/>
    <tableColumn id="6" xr3:uid="{61E96BBC-D777-4BE0-AC3F-60A1B35551C5}" uniqueName="6" name="crit_b_hix_hors_rte_ze4" queryTableFieldId="6"/>
    <tableColumn id="7" xr3:uid="{2C3397E7-2243-498A-8C83-F33548202036}" uniqueName="7" name="crit_b_tcc_hors_rte_ze1" queryTableFieldId="7"/>
    <tableColumn id="8" xr3:uid="{78D6A8AD-364C-4E3E-80B8-CEDF49D21295}" uniqueName="8" name="crit_b_tcc_hors_rte_ze2" queryTableFieldId="8"/>
    <tableColumn id="9" xr3:uid="{B3F57BB2-A451-45E4-9B62-0FB3C64564EF}" uniqueName="9" name="crit_b_tcc_hors_rte_ze3" queryTableFieldId="9"/>
    <tableColumn id="10" xr3:uid="{88BD999A-C5DE-4174-ADE5-2EE56FDBDE53}" uniqueName="10" name="crit_b_tcc_hors_rte_ze4" queryTableFieldId="10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0616ED-9F0F-4E92-A660-3BBD3C6BFBA2}" name="inc_06" displayName="inc_06" ref="DC4:DP9" tableType="queryTable" totalsRowShown="0">
  <autoFilter ref="DC4:DP9" xr:uid="{5CEE702C-9A53-422A-AAC8-616D0357A9AA}"/>
  <tableColumns count="14">
    <tableColumn id="1" xr3:uid="{DC056744-CE62-4413-94F2-E36870E73377}" uniqueName="1" name="client" queryTableFieldId="1" dataDxfId="90"/>
    <tableColumn id="2" xr3:uid="{F402BE10-8720-46D2-B4E7-C13E511E1DCC}" uniqueName="2" name="annee" queryTableFieldId="2"/>
    <tableColumn id="3" xr3:uid="{82509A99-AD64-4F1C-968C-672DB3D8F546}" uniqueName="3" name="nbr_coupures_totales" queryTableFieldId="3"/>
    <tableColumn id="4" xr3:uid="{59AFEBF9-271C-46CC-8A16-934B16AE7EB7}" uniqueName="4" name="nbr_coupure_incidents" queryTableFieldId="4"/>
    <tableColumn id="5" xr3:uid="{965BEAF1-C7B0-4496-9732-B2E2B557AC5A}" uniqueName="5" name="nbr_coupure_travaux" queryTableFieldId="5"/>
    <tableColumn id="6" xr3:uid="{A824FF79-7DAD-4B95-A2AD-E416C8145004}" uniqueName="6" name="duree_moy_coupure_usager_tot" queryTableFieldId="6"/>
    <tableColumn id="7" xr3:uid="{74B42815-6278-4A6B-A852-779B67A7D427}" uniqueName="7" name="duree_moy_coupure_usager_incident" queryTableFieldId="7"/>
    <tableColumn id="8" xr3:uid="{B88B4F5E-7C2B-487D-B3CE-2BDAB95071BB}" uniqueName="8" name="duree_moy_coupure_usager_travaux" queryTableFieldId="8"/>
    <tableColumn id="9" xr3:uid="{32F484E8-EF5F-4546-94F0-5B121389F266}" uniqueName="9" name="nb_client_coupé_bt_total" queryTableFieldId="9"/>
    <tableColumn id="10" xr3:uid="{D8A5EDDF-88F0-4A5B-BBC4-88C630A88B5A}" uniqueName="10" name="nb_client_coupé_bt_incidents" queryTableFieldId="10"/>
    <tableColumn id="11" xr3:uid="{486B7B4E-11EF-439C-AE0C-1E3F4922C279}" uniqueName="11" name="nb_client_coupé_bt_travaux" queryTableFieldId="11"/>
    <tableColumn id="12" xr3:uid="{BCBB02B0-83BA-4B41-B7AF-8D66F3924C72}" uniqueName="12" name="moy_usager_coupure_tot" queryTableFieldId="12"/>
    <tableColumn id="13" xr3:uid="{A8ECD38E-2815-46CA-8BB4-1B173AADA775}" uniqueName="13" name="moy_usager_coupure_incidents" queryTableFieldId="13"/>
    <tableColumn id="14" xr3:uid="{BF652A52-6481-49C2-8CB6-24EEC26118BC}" uniqueName="14" name="moy_usager_coupure_travaux" queryTableFieldId="14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AAED00-A41C-469C-AB2A-EC84C07381AF}" name="inc_07" displayName="inc_07" ref="DT4:EG9" tableType="queryTable" totalsRowShown="0">
  <autoFilter ref="DT4:EG9" xr:uid="{3A9828F7-AD96-472B-8DC9-508CB00D79D0}"/>
  <tableColumns count="14">
    <tableColumn id="1" xr3:uid="{EC223749-3C3E-4142-BCDD-B9C6512672F5}" uniqueName="1" name="client" queryTableFieldId="1" dataDxfId="89"/>
    <tableColumn id="2" xr3:uid="{EB059E1D-F27A-465B-8DD3-34136844CDD2}" uniqueName="2" name="annee" queryTableFieldId="2"/>
    <tableColumn id="3" xr3:uid="{9636ADCF-59BE-46E9-AA13-2D6238CDD905}" uniqueName="3" name="nbr_coupures_total" queryTableFieldId="3"/>
    <tableColumn id="4" xr3:uid="{CB9DA96D-233B-420C-AE80-FA2E7DE08AA9}" uniqueName="4" name="nbr_coupure_incidents" queryTableFieldId="4"/>
    <tableColumn id="5" xr3:uid="{1B4A2AFC-D43F-4005-9884-3FE82ED88278}" uniqueName="5" name="nbr_coupure_travaux" queryTableFieldId="5"/>
    <tableColumn id="6" xr3:uid="{F96F9ADC-4022-4B7F-A9E5-D44D86EF3EFC}" uniqueName="6" name="duree_moy_coupure_usager_tot" queryTableFieldId="6"/>
    <tableColumn id="7" xr3:uid="{B2CD2436-3AE6-4074-8BE8-0ADE9EEEF5B7}" uniqueName="7" name="duree_moy_coupure_usager_incident" queryTableFieldId="7"/>
    <tableColumn id="8" xr3:uid="{C050A5C2-EA2A-4157-A285-0136508BA6DF}" uniqueName="8" name="duree_moy_coupure_usager_travaux" queryTableFieldId="8"/>
    <tableColumn id="9" xr3:uid="{58E1C049-9CA9-4E26-88BE-92C9021D8D73}" uniqueName="9" name="nbr_usagers_coupes" queryTableFieldId="9"/>
    <tableColumn id="10" xr3:uid="{F953A461-D1D6-4974-AE2F-5EDC6F0A02EC}" uniqueName="10" name="nbr_usagers_coupes_incident" queryTableFieldId="10"/>
    <tableColumn id="11" xr3:uid="{C67EDF48-67BA-4780-BBB9-5D1609D06E5F}" uniqueName="11" name="nbr_usagers_coupes_travaux" queryTableFieldId="11"/>
    <tableColumn id="12" xr3:uid="{E8368162-0295-4F02-B560-48ACECBE963F}" uniqueName="12" name="moy_usager_coupure_tot" queryTableFieldId="12"/>
    <tableColumn id="13" xr3:uid="{C85FBE80-2352-450D-A05B-EF5B9091C9CA}" uniqueName="13" name="moy_usager_coupure_incident" queryTableFieldId="13"/>
    <tableColumn id="14" xr3:uid="{3B77280B-6EB3-4210-8802-496C4B29B616}" uniqueName="14" name="moy_usager_coupure_travaux" queryTableFieldId="14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5B7EDAA-DAF8-48ED-97D9-9683B639A904}" name="inc_08" displayName="inc_08" ref="EK4:EX9" tableType="queryTable" totalsRowShown="0">
  <autoFilter ref="EK4:EX9" xr:uid="{D6770126-9917-43B5-8AFC-B3BDA320FC91}"/>
  <tableColumns count="14">
    <tableColumn id="1" xr3:uid="{5F9AB458-EF5F-48BF-8804-AD81A328A935}" uniqueName="1" name="client" queryTableFieldId="1" dataDxfId="88"/>
    <tableColumn id="2" xr3:uid="{FA352F67-FE12-4049-B705-1E7D6393A625}" uniqueName="2" name="annee" queryTableFieldId="2"/>
    <tableColumn id="3" xr3:uid="{B1D6E767-2FEB-4C5D-97A0-3040A2813C71}" uniqueName="3" name="taux_incident_aerien_hta" queryTableFieldId="3"/>
    <tableColumn id="4" xr3:uid="{BBC71360-036A-424F-9E5D-1E25280A797B}" uniqueName="4" name="taux_incident_aerien_hta_aerien_nu" queryTableFieldId="4"/>
    <tableColumn id="5" xr3:uid="{981DAD49-D293-490A-BD36-4A0C88877079}" uniqueName="5" name="taux_incident_aerien_hta_aerien_nu_faible_section" queryTableFieldId="5"/>
    <tableColumn id="6" xr3:uid="{C6FB3C7A-B2F0-420B-9DEE-F9394261D561}" uniqueName="6" name="taux_incident_souterrain_hta" queryTableFieldId="6"/>
    <tableColumn id="7" xr3:uid="{69889762-697F-4044-A667-935E3B2813C7}" uniqueName="7" name="taux_incident_aerien_bt" queryTableFieldId="7"/>
    <tableColumn id="8" xr3:uid="{C06F5D1B-C38B-4D67-B706-1FEF2D22C58F}" uniqueName="8" name="taux_incident_aerien_bt_aerien_nu" queryTableFieldId="8"/>
    <tableColumn id="9" xr3:uid="{6DD86843-EE62-4D1A-A4C9-6496CB086193}" uniqueName="9" name="taux_incident_aerien_bt_aerien_nu_faible_section" queryTableFieldId="9"/>
    <tableColumn id="10" xr3:uid="{384E8636-C7FC-4C30-992E-634EE103A84B}" uniqueName="10" name="taux_incident_aerien_bt_torsade" queryTableFieldId="10"/>
    <tableColumn id="11" xr3:uid="{80601E71-0F3F-40A1-A867-AC0F7FF200BD}" uniqueName="11" name="taux_incident_souterrain_bt" queryTableFieldId="11"/>
    <tableColumn id="12" xr3:uid="{7E96563E-9F21-4805-B633-7683C0DC0946}" uniqueName="12" name="taux_incident_hta_bt" queryTableFieldId="12"/>
    <tableColumn id="13" xr3:uid="{C0E6A71F-B3CD-41A5-9545-A952DD8418D3}" uniqueName="13" name="moyenne_aerien_hta" queryTableFieldId="13"/>
    <tableColumn id="14" xr3:uid="{7CA9C87E-4301-474F-9F8B-1C48D0491D77}" uniqueName="14" name="moyenne_souterrain_hta" queryTableFieldId="14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CCD0E2B-E816-4D28-B782-E2CAFE07E715}" name="inc_09" displayName="inc_09" ref="FS4:FX9" tableType="queryTable" totalsRowShown="0">
  <autoFilter ref="FS4:FX9" xr:uid="{E7CB9808-F385-4349-A64A-1DA48210F0F6}"/>
  <tableColumns count="6">
    <tableColumn id="1" xr3:uid="{0A9EB873-F8DC-4616-B80F-0158823FCEF7}" uniqueName="1" name="client" queryTableFieldId="1" dataDxfId="87"/>
    <tableColumn id="2" xr3:uid="{732B6C4B-5CC0-4B92-9878-E6C6FADFBE6B}" uniqueName="2" name="annee" queryTableFieldId="2"/>
    <tableColumn id="3" xr3:uid="{469B4442-BFD9-4865-A871-6C01838D9687}" uniqueName="3" name="freq_cb_hta" queryTableFieldId="3"/>
    <tableColumn id="4" xr3:uid="{EBCA1598-89FE-42FF-87F8-CD0406D6D9BD}" uniqueName="4" name="freq_cl_inc_hta" queryTableFieldId="4"/>
    <tableColumn id="5" xr3:uid="{16A127EF-A534-419C-B47F-B2B4F48FF3A4}" uniqueName="5" name="freq_cl_inc_ps" queryTableFieldId="5"/>
    <tableColumn id="6" xr3:uid="{0A1034F4-76C0-4CD4-9A9B-0E091AF6333A}" uniqueName="6" name="freq_total" queryTableFieldId="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551B16-F9FA-47D9-96BA-E447BB8A6C89}" name="inc_10" displayName="inc_10" ref="GD4:GG9" tableType="queryTable" totalsRowShown="0">
  <autoFilter ref="GD4:GG9" xr:uid="{27474CEF-3C91-46AE-89B1-F2D1E02984C0}"/>
  <tableColumns count="4">
    <tableColumn id="1" xr3:uid="{B289D0BE-04F7-4436-A362-5F64FE79D4E8}" uniqueName="1" name="client" queryTableFieldId="1" dataDxfId="86"/>
    <tableColumn id="2" xr3:uid="{3EE4C8CA-0DA8-4366-89C5-3AC3E09E1F94}" uniqueName="2" name="annee" queryTableFieldId="2"/>
    <tableColumn id="3" xr3:uid="{6D527505-7A99-4C41-84AF-2CC18615F041}" uniqueName="3" name="cb_ctb" queryTableFieldId="3"/>
    <tableColumn id="4" xr3:uid="{83B59254-C547-49E5-81A0-646C176EE7E2}" uniqueName="4" name="ctb" queryTableFieldId="4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F565EE66-2C61-4A80-82F1-4A90C48D40D3}" name="inc_12" displayName="inc_12" ref="GJ4:GO9" tableType="queryTable" totalsRowShown="0">
  <autoFilter ref="GJ4:GO9" xr:uid="{C0451BAC-0213-46F8-AA51-E5B69DFC08A3}"/>
  <tableColumns count="6">
    <tableColumn id="1" xr3:uid="{2EFA9DC3-6E26-401A-BA41-D63946095075}" uniqueName="1" name="client" queryTableFieldId="1" dataDxfId="85"/>
    <tableColumn id="2" xr3:uid="{53457310-109D-483E-8F41-B0B0C28C9242}" uniqueName="2" name="annee" queryTableFieldId="2"/>
    <tableColumn id="3" xr3:uid="{1B96F987-9A0F-4742-9979-0FC32CF379FC}" uniqueName="3" name="nititot_bt" queryTableFieldId="3"/>
    <tableColumn id="5" xr3:uid="{E4EBB68C-3734-4B0F-A0F2-D92B2AF833CA}" uniqueName="5" name="nititot_bt_hix" queryTableFieldId="5"/>
    <tableColumn id="4" xr3:uid="{0A33DACB-0503-4608-BDF0-25BDA38F0BF2}" uniqueName="4" name="nititot_hta" queryTableFieldId="4"/>
    <tableColumn id="6" xr3:uid="{CEB51FAC-75DA-492A-85F1-96BBFCA0C095}" uniqueName="6" name="nititot_hta_hix" queryTableFieldId="6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EB623D-414C-4EE1-9CB9-B46EDC18D70B}" name="inc_05_bt" displayName="inc_05_bt" ref="GS4:HD10" tableType="queryTable" totalsRowShown="0">
  <autoFilter ref="GS4:HD10" xr:uid="{F78C9095-0335-4E01-A560-39FB8BCCEAF6}"/>
  <tableColumns count="12">
    <tableColumn id="1" xr3:uid="{11D2AE75-897D-4CFB-933D-7CDD433040FA}" uniqueName="1" name="client" queryTableFieldId="1" dataDxfId="84"/>
    <tableColumn id="2" xr3:uid="{CEE703B5-1949-4420-A529-FB398166F5C5}" uniqueName="2" name="annee" queryTableFieldId="2"/>
    <tableColumn id="3" xr3:uid="{2C5321DE-2C2F-4548-AB98-85BBC288BCBA}" uniqueName="3" name="siege_cause" queryTableFieldId="3" dataDxfId="83"/>
    <tableColumn id="4" xr3:uid="{FD7BB2D5-D4AF-4943-9AEA-FF9C2F66728F}" uniqueName="4" name="manipulation" queryTableFieldId="4"/>
    <tableColumn id="5" xr3:uid="{1F4D5D21-E845-4F13-86A1-7013A07E7D0E}" uniqueName="5" name="materiel" queryTableFieldId="5"/>
    <tableColumn id="6" xr3:uid="{41C5D1A6-BE30-4906-B0A2-7979F6F6D3E3}" uniqueName="6" name="externe" queryTableFieldId="6"/>
    <tableColumn id="7" xr3:uid="{33A24156-D14D-4E10-A3FF-02C8DF3F8E52}" uniqueName="7" name="bois" queryTableFieldId="7"/>
    <tableColumn id="8" xr3:uid="{47872170-3AF1-42F7-BF42-A11B5ECBC485}" uniqueName="8" name="climatique" queryTableFieldId="8"/>
    <tableColumn id="9" xr3:uid="{4EC14F49-3C8A-49CA-911A-4747E60F8052}" uniqueName="9" name="securite" queryTableFieldId="9"/>
    <tableColumn id="10" xr3:uid="{E0C9227E-4586-467E-9F72-1BBABB344C4F}" uniqueName="10" name="inconnue" queryTableFieldId="10"/>
    <tableColumn id="11" xr3:uid="{104F076E-3698-4EA1-A2EA-C9E16CD30B87}" uniqueName="11" name="travaux" queryTableFieldId="11"/>
    <tableColumn id="12" xr3:uid="{7DC0DC9B-9155-40CC-A854-1FA9797174BE}" uniqueName="12" name="rte" queryTableFieldId="12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B3AE1D1E-D88C-42C4-8D64-BE32D7B1BEE4}" name="inc_05_hta" displayName="inc_05_hta" ref="HH4:HS8" tableType="queryTable" totalsRowShown="0">
  <autoFilter ref="HH4:HS8" xr:uid="{348A2BA1-4606-433A-ABCF-992F0142FDA6}"/>
  <tableColumns count="12">
    <tableColumn id="1" xr3:uid="{AF95A32B-3750-4A5C-BC1E-21A9C4E2B930}" uniqueName="1" name="client" queryTableFieldId="1" dataDxfId="82"/>
    <tableColumn id="2" xr3:uid="{5E068FC5-E01F-4ED7-BC03-788B5F5683D5}" uniqueName="2" name="annee" queryTableFieldId="2"/>
    <tableColumn id="3" xr3:uid="{EBBDF141-62DD-4529-A7C1-3BD1FA2F321B}" uniqueName="3" name="siege_cause" queryTableFieldId="3" dataDxfId="81"/>
    <tableColumn id="4" xr3:uid="{7AEE603B-785C-4FAB-BBBE-A0DFFA76C4ED}" uniqueName="4" name="manipulation" queryTableFieldId="4"/>
    <tableColumn id="5" xr3:uid="{382A5AD3-7AE4-4DB0-8EDF-E752D3911EDB}" uniqueName="5" name="materiel" queryTableFieldId="5"/>
    <tableColumn id="6" xr3:uid="{7F0F31D7-4947-4EE2-98E7-22962E99BFC9}" uniqueName="6" name="externe" queryTableFieldId="6"/>
    <tableColumn id="7" xr3:uid="{2D3B4114-E61F-4BDD-8CED-5FCE2093CEA5}" uniqueName="7" name="bois" queryTableFieldId="7"/>
    <tableColumn id="8" xr3:uid="{02384EDF-5476-4A83-AB2A-C78D1D2CCEF9}" uniqueName="8" name="climatique" queryTableFieldId="8"/>
    <tableColumn id="9" xr3:uid="{E3D62E1E-5577-4909-816E-12970C9D6B19}" uniqueName="9" name="securite" queryTableFieldId="9"/>
    <tableColumn id="10" xr3:uid="{799F828A-8081-46A1-95E0-869E1744CB4E}" uniqueName="10" name="inconnue" queryTableFieldId="10"/>
    <tableColumn id="11" xr3:uid="{9F7A186C-5C2E-4C6A-BD6E-35E6AD35137E}" uniqueName="11" name="travaux" queryTableFieldId="11"/>
    <tableColumn id="12" xr3:uid="{DEDEAC9D-403B-438A-9BDE-4D3B65126419}" uniqueName="12" name="rte" queryTableFieldId="1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7DB28C-553E-4B8B-89F4-E0CA753B3F2B}" name="inc_01" displayName="inc_01" ref="A4:H9" tableType="queryTable" totalsRowShown="0">
  <autoFilter ref="A4:H9" xr:uid="{35B931E0-C95B-461B-AB14-C08B6F3E0A47}"/>
  <tableColumns count="8">
    <tableColumn id="1" xr3:uid="{FD9B850E-DB16-4279-B405-DCA0B3368D5E}" uniqueName="1" name="client" queryTableFieldId="1"/>
    <tableColumn id="2" xr3:uid="{CF0ED070-1EFA-4347-92F7-FAC7CACBA919}" uniqueName="2" name="annee" queryTableFieldId="2"/>
    <tableColumn id="3" xr3:uid="{C4B616A5-5A15-46FA-BB57-F4081940F489}" uniqueName="3" name="total_6_cl_bt" queryTableFieldId="3"/>
    <tableColumn id="4" xr3:uid="{DAD175E4-BD6B-41A6-BC6D-30B290FD1389}" uniqueName="4" name="incidents_6_cl_bt" queryTableFieldId="4"/>
    <tableColumn id="5" xr3:uid="{915F21E1-86A7-40EF-9CAB-D190962318A8}" uniqueName="5" name="Nbr usager impactes par + de 30 CB" queryTableFieldId="5"/>
    <tableColumn id="6" xr3:uid="{E309258C-4740-4828-B8D6-C83DBBF43DBE}" uniqueName="6" name="Nbr usagers coupes + de 3H (T+I)" queryTableFieldId="6"/>
    <tableColumn id="7" xr3:uid="{7433639C-D8C2-4111-B631-B82E2FFF3B75}" uniqueName="7" name="Nbr usagers coupes + de 3H (incidents) amont BT" queryTableFieldId="7"/>
    <tableColumn id="8" xr3:uid="{6ADF30B6-9906-4586-9DF8-4ED25A6B331A}" uniqueName="8" name="Nb clients BT coupes &gt; 6H sur incidents" queryTableFieldId="8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3DB1BD-5228-48B5-9945-44829407D0B4}" name="inc_04" displayName="inc_04" ref="BN4:CM5" tableType="queryTable" totalsRowShown="0">
  <autoFilter ref="BN4:CM5" xr:uid="{745DC7F2-210B-4C51-90B3-70585AEACA1E}"/>
  <tableColumns count="26">
    <tableColumn id="1" xr3:uid="{94F1D3F7-647A-4089-A158-182779DDB33D}" uniqueName="1" name="client" queryTableFieldId="1" dataDxfId="80"/>
    <tableColumn id="2" xr3:uid="{DBF433AA-2038-47C2-B9AF-46E3C7940D82}" uniqueName="2" name="annee" queryTableFieldId="2"/>
    <tableColumn id="3" xr3:uid="{F109EADA-A557-45EC-8237-6656BB844C9F}" uniqueName="3" name="total_nititot_incident_hta_bt" queryTableFieldId="3"/>
    <tableColumn id="4" xr3:uid="{A205EA8D-6D46-45B9-82A5-FD1C10F4096A}" uniqueName="4" name="total_nititot_travaux_hta_bt" queryTableFieldId="4"/>
    <tableColumn id="5" xr3:uid="{6DA8EC86-CA4C-47AC-9158-A8570F44FE86}" uniqueName="5" name="taux_incident_hta_autre" queryTableFieldId="5"/>
    <tableColumn id="6" xr3:uid="{348D08D3-B78B-42F1-9959-64C64114A215}" uniqueName="6" name="taux_incident_hta_aerien" queryTableFieldId="6"/>
    <tableColumn id="7" xr3:uid="{BA0FDE96-88AE-4A1C-9DE4-C0D1B0BEFE5B}" uniqueName="7" name="taux_incident_hta_poste_hta_bt" queryTableFieldId="7"/>
    <tableColumn id="8" xr3:uid="{240CA719-F2CD-45CA-96CD-72731F27CFDE}" uniqueName="8" name="taux_incident_hta_sans_degat" queryTableFieldId="8"/>
    <tableColumn id="9" xr3:uid="{B1BD50E6-E522-47BA-A431-A5FD5C942DB5}" uniqueName="9" name="taux_incident_hta_souterrain" queryTableFieldId="9"/>
    <tableColumn id="10" xr3:uid="{44127C4F-6A13-47E7-A7A4-BECD7D4D8AFA}" uniqueName="10" name="taux_incident_bt_autre" queryTableFieldId="10"/>
    <tableColumn id="11" xr3:uid="{47119B7E-193F-4D25-A00F-D47A193E93C5}" uniqueName="11" name="taux_incident_bt_aerien" queryTableFieldId="11"/>
    <tableColumn id="12" xr3:uid="{D5606D23-DD4C-46A3-878C-62B3994FE9E4}" uniqueName="12" name="taux_incident_bt_poste_hta_bt" queryTableFieldId="12"/>
    <tableColumn id="13" xr3:uid="{4ED8C71C-454E-4ADF-BFDA-F965E9015412}" uniqueName="13" name="taux_incident_bt_sans_degat" queryTableFieldId="13"/>
    <tableColumn id="14" xr3:uid="{7DCF2046-714D-478E-A264-DD354E454E88}" uniqueName="14" name="taux_incident_bt_souterrain" queryTableFieldId="14"/>
    <tableColumn id="15" xr3:uid="{C82E9201-054B-4C52-8A35-0D35275D33AA}" uniqueName="15" name="taux_travaux_hta_autre" queryTableFieldId="15"/>
    <tableColumn id="16" xr3:uid="{106816D5-4C4B-4A20-BF0A-DF1B8163C4A4}" uniqueName="16" name="taux_travaux_hta_aerien" queryTableFieldId="16"/>
    <tableColumn id="17" xr3:uid="{3D252BA5-DACF-46DC-A225-4269E235BD63}" uniqueName="17" name="taux_travaux_hta_poste_hta_bt" queryTableFieldId="17"/>
    <tableColumn id="18" xr3:uid="{7E67CBC4-AAC3-40EC-8E9F-49364E88A895}" uniqueName="18" name="taux_travaux_hta_sans_degat" queryTableFieldId="18"/>
    <tableColumn id="19" xr3:uid="{2A9E6AC8-93B1-4C44-9224-76C143595F50}" uniqueName="19" name="taux_travaux_hta_souterrain" queryTableFieldId="19"/>
    <tableColumn id="20" xr3:uid="{C0EF76A9-D23E-454C-8301-C411BC3B4BF5}" uniqueName="20" name="taux_travaux_bt_autre" queryTableFieldId="20"/>
    <tableColumn id="21" xr3:uid="{A5DB96F6-2911-4030-9AF6-5374113F8F5F}" uniqueName="21" name="taux_travaux_bt_aerien" queryTableFieldId="21"/>
    <tableColumn id="22" xr3:uid="{2BB9FD03-2D2D-4B2F-BBCC-FB591283DE4B}" uniqueName="22" name="taux_travaux_bt_poste_hta_bt" queryTableFieldId="22"/>
    <tableColumn id="23" xr3:uid="{C9DB4862-BFE5-42A8-8852-D4BB16B88FD5}" uniqueName="23" name="taux_travaux_bt_sans_degat" queryTableFieldId="23"/>
    <tableColumn id="24" xr3:uid="{4EC952D2-AC18-471A-BC72-B7034B10F762}" uniqueName="24" name="taux_travaux_bt_souterrain" queryTableFieldId="24"/>
    <tableColumn id="25" xr3:uid="{9F050125-20C6-4909-A178-F9376C83F588}" uniqueName="25" name="taux_incident_hta_inconnu" queryTableFieldId="25"/>
    <tableColumn id="26" xr3:uid="{2484864A-FFA7-402E-A619-B20E970307CA}" uniqueName="26" name="taux_travaux_hta_inconnu" queryTableFieldId="26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489CE011-343B-48A5-B1C6-32215B5D6B52}" name="inc_03_face" displayName="inc_03_face" ref="HU4:HZ9" tableType="queryTable" totalsRowShown="0">
  <autoFilter ref="HU4:HZ9" xr:uid="{EA4EC2DD-55E0-4972-BCEC-DEB6CC3E9268}"/>
  <tableColumns count="6">
    <tableColumn id="1" xr3:uid="{1EB58D7B-600A-4066-8D5C-F4A0B7B8AEA1}" uniqueName="1" name="client" queryTableFieldId="1" dataDxfId="79"/>
    <tableColumn id="2" xr3:uid="{04FD5B86-0AA8-40EE-A6C1-0804FA2C22D0}" uniqueName="2" name="annee" queryTableFieldId="2"/>
    <tableColumn id="3" xr3:uid="{19A012DE-2C3B-42EB-90DA-B3DA55315B29}" uniqueName="3" name="crit_b_hix_hors_rte_zeu" queryTableFieldId="3"/>
    <tableColumn id="4" xr3:uid="{66B338A9-171E-4954-9CA3-B29BFDEC79BB}" uniqueName="4" name="crit_b_hix_hors_rte_zer" queryTableFieldId="4"/>
    <tableColumn id="5" xr3:uid="{23593CA9-F19E-496B-A5CC-F4CB63589B92}" uniqueName="5" name="crit_b_tcc_hors_rte_zeu" queryTableFieldId="5"/>
    <tableColumn id="6" xr3:uid="{5B719E64-BAF5-4B8F-A33B-852FA0A9CB94}" uniqueName="6" name="crit_b_tcc_hors_rte_zer" queryTableFieldId="6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2C0D3EB6-E02A-4C94-BFBA-E8E554629871}" name="inc_03_face_bt" displayName="inc_03_face_bt" ref="IC4:IH18" tableType="queryTable" totalsRowShown="0">
  <autoFilter ref="IC4:IH18" xr:uid="{DBEF5AF7-0A51-4C5A-A26F-E800EC5A6D9D}"/>
  <tableColumns count="6">
    <tableColumn id="1" xr3:uid="{9B667F4F-7037-4EC1-9517-BD4B60229C36}" uniqueName="1" name="client" queryTableFieldId="1" dataDxfId="78"/>
    <tableColumn id="2" xr3:uid="{4B5291D5-0CA1-47E1-8A0B-1A6384C69BAF}" uniqueName="2" name="annee" queryTableFieldId="2"/>
    <tableColumn id="3" xr3:uid="{B61209D6-C547-42E1-A070-36199340E8F0}" uniqueName="3" name="Code Regime FACE" queryTableFieldId="3" dataDxfId="77"/>
    <tableColumn id="4" xr3:uid="{48A3CADD-2E53-435E-B349-C26FCDC7074A}" uniqueName="4" name="Critère B Hix BT total" queryTableFieldId="4"/>
    <tableColumn id="5" xr3:uid="{D1094438-4611-4BB8-AB1F-A5FCEEA23F9B}" uniqueName="5" name="Critère B Hix BT incident" queryTableFieldId="5"/>
    <tableColumn id="6" xr3:uid="{8A47AE8A-70C9-49C0-A1C9-ABB297F39D36}" uniqueName="6" name="Critère B Hix BT travaux" queryTableFieldId="6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01DD8E8-AB5D-48DB-B3C5-89E6892B3E11}" name="inc_12_face" displayName="inc_12_face" ref="IK4:IO14" tableType="queryTable" totalsRowShown="0">
  <autoFilter ref="IK4:IO14" xr:uid="{26DA2197-07CF-4E2F-BF79-E144C9103FC4}"/>
  <tableColumns count="5">
    <tableColumn id="1" xr3:uid="{D93F8C3E-B589-4156-8E2E-340BEAF7DB2A}" uniqueName="1" name="client" queryTableFieldId="1" dataDxfId="76"/>
    <tableColumn id="2" xr3:uid="{A232D7F5-4264-45BD-BE40-53D59714C9C1}" uniqueName="2" name="annee" queryTableFieldId="2"/>
    <tableColumn id="3" xr3:uid="{D1D149F8-4B77-47EE-BC3E-676DA32FA564}" uniqueName="3" name="Code Regime FACE" queryTableFieldId="3" dataDxfId="75"/>
    <tableColumn id="4" xr3:uid="{13913729-7614-44C7-91A1-F027DC21A757}" uniqueName="4" name="nitit_bt_elagage" queryTableFieldId="4"/>
    <tableColumn id="5" xr3:uid="{95E7272C-0EEB-49FB-A1F6-794CD15C7BA8}" uniqueName="5" name="nitit_bt_hix_elagage" queryTableFieldId="5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5B34F20C-A048-4A92-94D6-A5D2D2EA20E6}" name="inc_13_inc" displayName="inc_13_inc" ref="IQ4:IY9" tableType="queryTable" totalsRowShown="0">
  <autoFilter ref="IQ4:IY9" xr:uid="{3AE48AF2-2264-44CD-8B6C-7CD1838FA08E}"/>
  <tableColumns count="9">
    <tableColumn id="1" xr3:uid="{76DCA813-3FBA-48BA-A6BF-5D9F5F96E20B}" uniqueName="1" name="client" queryTableFieldId="1" dataDxfId="74"/>
    <tableColumn id="2" xr3:uid="{E614E932-23AD-472D-B13F-8A415D7AA5C9}" uniqueName="2" name="annee" queryTableFieldId="2"/>
    <tableColumn id="3" xr3:uid="{D4EC47CF-BCE2-496E-8EEF-07F783A4E7C2}" uniqueName="3" name="crit_b_inc_elag" queryTableFieldId="3"/>
    <tableColumn id="4" xr3:uid="{23FEF374-0124-4553-95CE-DE4DB436C82A}" uniqueName="4" name="nititi_inc_elag" queryTableFieldId="4"/>
    <tableColumn id="5" xr3:uid="{B1CBF134-6CB8-4A19-BF9E-C35BB1302B91}" uniqueName="5" name="nititi_inc_elag_hta" queryTableFieldId="5"/>
    <tableColumn id="6" xr3:uid="{FF3953B3-1ABE-4E7C-857D-3D9C6E34F1E6}" uniqueName="6" name="nititi_inc_elag_bt" queryTableFieldId="6"/>
    <tableColumn id="7" xr3:uid="{65DE649F-6946-4565-8686-F49C311647B4}" uniqueName="7" name="nb_cc_inc_elag" queryTableFieldId="7"/>
    <tableColumn id="8" xr3:uid="{FC2DDCF3-467E-4DE0-9C25-C7A86B348226}" uniqueName="8" name="nb_cc_inc_elag_hta" queryTableFieldId="8"/>
    <tableColumn id="9" xr3:uid="{279A412A-4B0B-486C-A906-CCF0EFCAE413}" uniqueName="9" name="nb_cc_inc_elag_bt" queryTableFieldId="9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E3703CAF-D630-444C-8047-4926C61FD770}" name="inc_13_trv" displayName="inc_13_trv" ref="JB4:JM8" tableType="queryTable" totalsRowShown="0">
  <autoFilter ref="JB4:JM8" xr:uid="{8AE83E4B-E770-4673-A346-13D221AB4B4E}"/>
  <tableColumns count="12">
    <tableColumn id="1" xr3:uid="{FF7AD926-1183-4963-9E54-F7C203132E04}" uniqueName="1" name="Client" queryTableFieldId="1"/>
    <tableColumn id="2" xr3:uid="{E376C922-1165-4CF3-9847-4C6972BCCB06}" uniqueName="2" name="Annee" queryTableFieldId="2"/>
    <tableColumn id="3" xr3:uid="{C4F20B56-665C-4D58-9D6C-9CB8B8712D57}" uniqueName="3" name="tcc_total" queryTableFieldId="10"/>
    <tableColumn id="4" xr3:uid="{9EF160A3-8D46-44D9-861C-6F4E2BA69D2F}" uniqueName="4" name="hix_total" queryTableFieldId="11"/>
    <tableColumn id="5" xr3:uid="{F0B3E45E-1F42-4D55-929D-C163B06B39E3}" uniqueName="5" name="origine_rte" queryTableFieldId="12"/>
    <tableColumn id="6" xr3:uid="{4A2F43B0-CF3A-480C-A3FB-B68A679393DB}" uniqueName="6" name="incident_distribution_publique" queryTableFieldId="13"/>
    <tableColumn id="7" xr3:uid="{5C8B3C77-6F70-4EE4-A1F2-F00C41491843}" uniqueName="7" name="incident_poste_source" queryTableFieldId="14"/>
    <tableColumn id="8" xr3:uid="{21F9E178-C156-4561-9AB8-B6E301FF1A56}" uniqueName="8" name="incident_reseau_hta" queryTableFieldId="15"/>
    <tableColumn id="9" xr3:uid="{0C6CC208-56DF-4EB6-86A2-A0F398831622}" uniqueName="9" name="incident_reseau_bt" queryTableFieldId="16"/>
    <tableColumn id="10" xr3:uid="{55D53CC6-B7E7-4F71-9FA7-21AD498E4306}" uniqueName="10" name="travaux_distribution_publique" queryTableFieldId="17"/>
    <tableColumn id="11" xr3:uid="{BCDB0493-6B5C-4CC4-B7A9-A14B014BC2A8}" uniqueName="11" name="travaux_reseau_hta" queryTableFieldId="18"/>
    <tableColumn id="12" xr3:uid="{5DC1881A-707B-4CCC-9EFF-592DBEECE6ED}" uniqueName="12" name="travaux_reseau_bt" queryTableFieldId="19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D4C324-270A-49C1-B307-EA53FC87F8F1}" name="inc_05_amont" displayName="inc_05_amont" ref="CO4:CZ5" tableType="queryTable" totalsRowShown="0">
  <autoFilter ref="CO4:CZ5" xr:uid="{86A1B50C-1F38-422D-9636-700B55180F1C}"/>
  <tableColumns count="12">
    <tableColumn id="1" xr3:uid="{802C4BBE-44DA-4D48-9789-8834BCECB159}" uniqueName="1" name="client" queryTableFieldId="1"/>
    <tableColumn id="2" xr3:uid="{F35E196C-B9FE-45B3-AF8E-E820F5083DC3}" uniqueName="2" name="annee" queryTableFieldId="2"/>
    <tableColumn id="3" xr3:uid="{026323C6-311E-4491-B7D3-3377402E4A8F}" uniqueName="3" name="siege_cause" queryTableFieldId="3"/>
    <tableColumn id="4" xr3:uid="{2182D680-5F04-42F2-978E-9C42E2A67DFE}" uniqueName="4" name="manipulation" queryTableFieldId="4"/>
    <tableColumn id="5" xr3:uid="{0EC8B22D-24D1-4083-BA9F-CD1FA0869F72}" uniqueName="5" name="materiel" queryTableFieldId="5"/>
    <tableColumn id="6" xr3:uid="{CD13E7D4-C3F8-48F9-8309-99E029211B6D}" uniqueName="6" name="externe" queryTableFieldId="6"/>
    <tableColumn id="7" xr3:uid="{A7C36554-1BEF-427C-A761-5E8B5AA5587C}" uniqueName="7" name="bois" queryTableFieldId="7"/>
    <tableColumn id="8" xr3:uid="{D9CC02A5-349F-4ECB-A7E9-FC2B6E452E53}" uniqueName="8" name="climatique" queryTableFieldId="8"/>
    <tableColumn id="9" xr3:uid="{33451A5B-AB84-4EC7-AAA4-A33A8C51F158}" uniqueName="9" name="securite" queryTableFieldId="9"/>
    <tableColumn id="10" xr3:uid="{1ED5EF4F-176F-4766-9CEB-9903E2CA4099}" uniqueName="10" name="inconnue" queryTableFieldId="10"/>
    <tableColumn id="11" xr3:uid="{FF4E5CB0-8011-47C6-B975-DAF23E740506}" uniqueName="11" name="travaux" queryTableFieldId="11"/>
    <tableColumn id="12" xr3:uid="{B8B4570B-A869-44B5-8E94-E7E9CA00201F}" uniqueName="12" name="rte" queryTableFieldId="12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5433954E-B1B6-4C34-98B8-8B7F12F40D72}" name="inc_02_nationale" displayName="inc_02_nationale" ref="JQ4:JU9" tableType="queryTable" totalsRowShown="0">
  <autoFilter ref="JQ4:JU9" xr:uid="{5433954E-B1B6-4C34-98B8-8B7F12F40D72}"/>
  <tableColumns count="5">
    <tableColumn id="1" xr3:uid="{84938304-D042-44F5-961D-167A773F8513}" uniqueName="1" name="annee" queryTableFieldId="1"/>
    <tableColumn id="2" xr3:uid="{8039F94D-0693-4380-88D9-CEBFAFC5F4C4}" uniqueName="2" name="critere_b_hix_national_hors_rte" queryTableFieldId="2"/>
    <tableColumn id="3" xr3:uid="{1F86AF28-147C-4FBD-B386-310C16E66CBA}" uniqueName="3" name="critere_b_hix_national_hors_rte_moyen_3_ans" queryTableFieldId="3"/>
    <tableColumn id="4" xr3:uid="{39629127-377B-48CF-9DB0-B5D41B9B3766}" uniqueName="4" name="critere_b_tcc_national_hors_rte" queryTableFieldId="4"/>
    <tableColumn id="5" xr3:uid="{2F5FDA14-CC6D-42E3-A7E8-363B22DAE9AA}" uniqueName="5" name="critere_b_tcc_national_hors_rte_moyen_3_ans" queryTableFieldId="5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BF5B2C7-2C1E-4E74-B91B-E3A1D6862DF0}" name="inc_12_elagage" displayName="inc_12_elagage" ref="KE4:KH5" tableType="queryTable" totalsRowShown="0">
  <autoFilter ref="KE4:KH5" xr:uid="{5BF5B2C7-2C1E-4E74-B91B-E3A1D6862DF0}"/>
  <tableColumns count="4">
    <tableColumn id="1" xr3:uid="{145FA9CC-DB02-483B-8F4C-1BA73C6BFB0A}" uniqueName="1" name="client" queryTableFieldId="1"/>
    <tableColumn id="2" xr3:uid="{F78B6A37-57C2-4C34-8A1C-E098F4A2409D}" uniqueName="2" name="annee" queryTableFieldId="2"/>
    <tableColumn id="3" xr3:uid="{6E1D3815-F8C5-413E-9090-EA08716844AE}" uniqueName="3" name="longueur elaguee bt" queryTableFieldId="3"/>
    <tableColumn id="4" xr3:uid="{209689A9-BEBB-4C52-A2C0-4FDAAF22338A}" uniqueName="4" name="longueur elaguee hta" queryTableFieldId="4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C374E166-46BE-4421-B73C-169CCD4A32D5}" name="inc_02_hix" displayName="inc_02_hix" ref="X4:AN9" tableType="queryTable" totalsRowShown="0">
  <autoFilter ref="X4:AN9" xr:uid="{C374E166-46BE-4421-B73C-169CCD4A32D5}"/>
  <tableColumns count="17">
    <tableColumn id="1" xr3:uid="{E2A9B8F2-907F-4752-8AB9-5646F700CEDD}" uniqueName="1" name="client" queryTableFieldId="1"/>
    <tableColumn id="2" xr3:uid="{1EF587F7-968E-4BB0-9E39-7481652A18F8}" uniqueName="2" name="annee" queryTableFieldId="2"/>
    <tableColumn id="3" xr3:uid="{179F7C13-1D8B-489B-94C4-90ECBD95643D}" uniqueName="3" name="critb_hix" queryTableFieldId="3"/>
    <tableColumn id="4" xr3:uid="{C0D18894-ECDB-40A6-8E9D-A08C2AB09726}" uniqueName="4" name="critb_rte" queryTableFieldId="4"/>
    <tableColumn id="5" xr3:uid="{BE4EF862-7AB0-4F3C-95C0-1EBA82C63147}" uniqueName="5" name="critb_reseau_distrib_publique_incident" queryTableFieldId="5"/>
    <tableColumn id="6" xr3:uid="{8BD44D34-52A4-4C20-82F0-32FD5BCF4B90}" uniqueName="6" name="critb_ps_incident" queryTableFieldId="6"/>
    <tableColumn id="7" xr3:uid="{2C187537-6F24-4FF0-B61D-725724C81DC5}" uniqueName="7" name="critb_hta_incident" queryTableFieldId="7"/>
    <tableColumn id="8" xr3:uid="{E1224386-E9DF-4392-9805-959110A31508}" uniqueName="8" name="critb_bt_incident" queryTableFieldId="8"/>
    <tableColumn id="9" xr3:uid="{9D08DA5C-98AC-4781-BA23-A61FF30B31B5}" uniqueName="9" name="critb_reseau_distrib_publique_travaux" queryTableFieldId="9"/>
    <tableColumn id="10" xr3:uid="{843145D8-9470-4079-B1CA-2139A27577B4}" uniqueName="10" name="critb_hta_travaux" queryTableFieldId="10"/>
    <tableColumn id="11" xr3:uid="{B22AF235-4B1F-4C64-B827-6A43FD015B97}" uniqueName="11" name="critb_bt_travaux" queryTableFieldId="11"/>
    <tableColumn id="12" xr3:uid="{5B33D235-7C5B-4658-B254-E173D2D6932E}" uniqueName="12" name="critb_hta_climatique_incident" queryTableFieldId="12"/>
    <tableColumn id="13" xr3:uid="{91026C4B-D04D-4D18-A80D-BBD0B8CD8352}" uniqueName="13" name="critb_bt_climatique_incident" queryTableFieldId="13"/>
    <tableColumn id="14" xr3:uid="{89B159FA-C12C-4CBC-9836-9D92DDF32C37}" uniqueName="14" name="crit_b_hix_hta_inc_national" queryTableFieldId="14"/>
    <tableColumn id="15" xr3:uid="{4617886F-8331-406A-B4AF-77E7BD225B19}" uniqueName="15" name="crit_b_hix_hta_trx_national" queryTableFieldId="15"/>
    <tableColumn id="16" xr3:uid="{B53ABFFB-240D-4CA0-B94B-7FFF116C9653}" uniqueName="16" name="crit_b_hix_bt_inc_national" queryTableFieldId="16"/>
    <tableColumn id="17" xr3:uid="{293EEB13-A7C1-47AE-8B4D-5C6A1DA18387}" uniqueName="17" name="crit_b_hix_bt_trx_national" queryTableFieldId="17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75B1A6C0-45EF-4CCF-AAB6-C56325778556}" name="inc_02_crac" displayName="inc_02_crac" ref="J4:U8" tableType="queryTable" totalsRowShown="0">
  <autoFilter ref="J4:U8" xr:uid="{75B1A6C0-45EF-4CCF-AAB6-C56325778556}"/>
  <tableColumns count="12">
    <tableColumn id="1" xr3:uid="{F680FF85-251B-4984-9E58-2330C33729E5}" uniqueName="1" name="Client" queryTableFieldId="1"/>
    <tableColumn id="2" xr3:uid="{2503DD28-9138-4DBA-AFE7-FB689A3ACDD6}" uniqueName="2" name="Annee" queryTableFieldId="2"/>
    <tableColumn id="3" xr3:uid="{C9FE560E-7927-4151-BCCA-6A19FB668AE3}" uniqueName="3" name="tcc_total" queryTableFieldId="3"/>
    <tableColumn id="4" xr3:uid="{3CC817A9-D9C5-492F-813D-982D864E15F0}" uniqueName="4" name="hix_total" queryTableFieldId="4"/>
    <tableColumn id="5" xr3:uid="{6FAE8BD3-2951-43BE-AF3C-1DE07B33D9EC}" uniqueName="5" name="origine_rte" queryTableFieldId="5"/>
    <tableColumn id="6" xr3:uid="{E6727F4B-BA64-455F-9676-40BD86B39E4D}" uniqueName="6" name="incident_distribution_publique" queryTableFieldId="6"/>
    <tableColumn id="7" xr3:uid="{4716F9AC-34EB-4493-A835-1CEFFE24E0F0}" uniqueName="7" name="incident_poste_source" queryTableFieldId="7"/>
    <tableColumn id="8" xr3:uid="{CBB6B2B5-3712-45D9-9836-B436075A4C40}" uniqueName="8" name="incident_reseau_hta" queryTableFieldId="8"/>
    <tableColumn id="9" xr3:uid="{AD275589-CBC4-4BB2-BCD3-2F2B0ABF7CC3}" uniqueName="9" name="incident_reseau_bt" queryTableFieldId="9"/>
    <tableColumn id="10" xr3:uid="{56470B92-B952-426A-BD07-8DAACFCD95F3}" uniqueName="10" name="travaux_distribution_publique" queryTableFieldId="10"/>
    <tableColumn id="11" xr3:uid="{14874D31-838D-4673-BA40-ACD5C2A5341C}" uniqueName="11" name="travaux_reseau_hta" queryTableFieldId="11"/>
    <tableColumn id="12" xr3:uid="{3FAEA77C-F235-4829-AAE5-949BE4A48ACF}" uniqueName="12" name="travaux_reseau_bt" queryTableFieldId="12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9EFB06A-74E2-4715-89A7-8FD40BCCE1D5}" name="inc_08_crac" displayName="inc_08_crac" ref="EZ4:FJ8" tableType="queryTable" totalsRowShown="0">
  <autoFilter ref="EZ4:FJ8" xr:uid="{79EFB06A-74E2-4715-89A7-8FD40BCCE1D5}"/>
  <tableColumns count="11">
    <tableColumn id="1" xr3:uid="{659B9BE4-966D-4F0C-B747-1DB65AF08C96}" uniqueName="1" name="Client" queryTableFieldId="1"/>
    <tableColumn id="2" xr3:uid="{FBD78B7A-13D6-4F5D-AB4A-7023496A4EC3}" uniqueName="2" name="Annee" queryTableFieldId="2"/>
    <tableColumn id="3" xr3:uid="{69996A40-A051-470F-B9DC-BEAC87978ACF}" uniqueName="3" name="nb_incidents_hta_100km" queryTableFieldId="3"/>
    <tableColumn id="4" xr3:uid="{172D1A70-515E-48F7-87A4-786E858F8F59}" uniqueName="4" name="nb_incidents_hta_100km_aerien" queryTableFieldId="4"/>
    <tableColumn id="5" xr3:uid="{C86A9FD6-00FF-488B-9E86-BA85A4105F9C}" uniqueName="5" name="nb_incidents_hta_100km_souterrain" queryTableFieldId="5"/>
    <tableColumn id="6" xr3:uid="{51FE7BD5-D2ED-43FD-85B9-928422A815E3}" uniqueName="6" name="nb_incidents_bt_100km" queryTableFieldId="6"/>
    <tableColumn id="7" xr3:uid="{5BA7D665-4143-489C-AC5E-4589C7F51722}" uniqueName="7" name="nb_incidents_bt_100km_aerien" queryTableFieldId="7"/>
    <tableColumn id="8" xr3:uid="{6A7E539F-4232-4E67-8D92-1488D1ACADA6}" uniqueName="8" name="nb_incidents_bt_100km_souterrain" queryTableFieldId="8"/>
    <tableColumn id="9" xr3:uid="{1DC9F4BD-6995-45B5-9567-7EE23F59BB45}" uniqueName="9" name="nb_coupures_incident_reseau" queryTableFieldId="9"/>
    <tableColumn id="10" xr3:uid="{FCF988BB-C843-49DE-A9C9-686145CA3DF4}" uniqueName="10" name="nb_coupures_longues" queryTableFieldId="10"/>
    <tableColumn id="11" xr3:uid="{4726A68A-594D-4F06-9320-DBBC908B39BC}" uniqueName="11" name="nb_coupures_breves" queryTableFieldId="11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EB1787E5-BB29-440C-85B6-334BB66E8E8C}" name="inc_08_trv_crac" displayName="inc_08_trv_crac" ref="FL4:FQ8" tableType="queryTable" totalsRowShown="0">
  <autoFilter ref="FL4:FQ8" xr:uid="{EB1787E5-BB29-440C-85B6-334BB66E8E8C}"/>
  <tableColumns count="6">
    <tableColumn id="1" xr3:uid="{D5C00654-24F8-438E-8945-CA35A68720C2}" uniqueName="1" name="Client" queryTableFieldId="1"/>
    <tableColumn id="2" xr3:uid="{95C2E4C2-DB35-47CC-B1E1-7A177F7B2401}" uniqueName="2" name="Annee" queryTableFieldId="2"/>
    <tableColumn id="3" xr3:uid="{A05458F1-527B-4825-8AE3-848C2EB1FC7C}" uniqueName="3" name="nb_coupures_travaux" queryTableFieldId="3"/>
    <tableColumn id="4" xr3:uid="{FC25F4D0-FA69-44EA-9190-6AC1DC37FCFD}" uniqueName="4" name="nb_coupures_travaux_hta" queryTableFieldId="4"/>
    <tableColumn id="5" xr3:uid="{CCF1F443-982D-4F7E-BABF-6100880A55EC}" uniqueName="5" name="nb_coupures_travaux_bt" queryTableFieldId="5"/>
    <tableColumn id="6" xr3:uid="{4B43541B-7352-4F30-BC96-33837A24C07D}" uniqueName="6" name="temps_moyen" queryTableFieldId="6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97C68DF-63AB-4BFB-9A81-3C5910D8C02E}" name="tens_01" displayName="tens_01" ref="A4:G9" tableType="queryTable" totalsRowShown="0">
  <autoFilter ref="A4:G9" xr:uid="{13320DAE-20CB-4ECD-88C1-8DD6873A0D90}"/>
  <tableColumns count="7">
    <tableColumn id="1" xr3:uid="{8AD49482-B2BA-4EAB-BA78-1B33D618AE2A}" uniqueName="1" name="client" queryTableFieldId="1" dataDxfId="73"/>
    <tableColumn id="2" xr3:uid="{D9F1DF97-B995-400B-8EAE-6F26C1B9A519}" uniqueName="2" name="annee" queryTableFieldId="2"/>
    <tableColumn id="3" xr3:uid="{9D983B84-E382-4FD2-A9B4-64A91DB37A35}" uniqueName="3" name="nbr_chute_tension_sup_7_pourcent" queryTableFieldId="3"/>
    <tableColumn id="4" xr3:uid="{82B83684-D3DE-4D3E-8D4D-EF8B9F11A539}" uniqueName="4" name="nbr_chute_tension_btw_5_and_7_pourcent" queryTableFieldId="4"/>
    <tableColumn id="5" xr3:uid="{26151282-9D70-46EB-B3EA-D7FFFEBBF117}" uniqueName="5" name="nbr_chute_tension_btw_4_and_5_pourcent" queryTableFieldId="5"/>
    <tableColumn id="6" xr3:uid="{22274B0C-0E07-4C1B-A7D9-1BA05E348779}" uniqueName="6" name="nbr_depart_hta_chute_tension_sup_5_pourcent" queryTableFieldId="6"/>
    <tableColumn id="7" xr3:uid="{C0864963-0D88-4EC8-89ED-0C7FBB86764F}" uniqueName="7" name="pourcentage_depart_hta_chute_tension_sup_5_pourcent" queryTableFieldId="7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4B12B2-5E40-44C7-ADAA-36F4A8949852}" name="tens_03" displayName="tens_03" ref="J4:N9" tableType="queryTable" totalsRowShown="0">
  <autoFilter ref="J4:N9" xr:uid="{5B55B539-FFA5-4089-A4DC-C16E48E2DCD6}"/>
  <tableColumns count="5">
    <tableColumn id="1" xr3:uid="{0D1DF619-513D-4731-B221-505589C98507}" uniqueName="1" name="client" queryTableFieldId="1" dataDxfId="72"/>
    <tableColumn id="2" xr3:uid="{107CD3D8-047F-479C-A401-C73247345A41}" uniqueName="2" name="annee" queryTableFieldId="2"/>
    <tableColumn id="3" xr3:uid="{BA681288-1D82-4288-977D-C417B43CBC50}" uniqueName="3" name="nbr_poste_hta" queryTableFieldId="5"/>
    <tableColumn id="4" xr3:uid="{8698B776-B5D8-464B-981A-60956E450213}" uniqueName="4" name="nbr_transfos" queryTableFieldId="6"/>
    <tableColumn id="5" xr3:uid="{CD1CDE2E-64D8-4532-9382-E4CC78E1B2BF}" uniqueName="5" name="nbr_departs" queryTableFieldId="7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08E4541-0CEF-4962-936B-500F0610E904}" name="tens_06" displayName="tens_06" ref="Q4:Y9" tableType="queryTable" totalsRowShown="0">
  <autoFilter ref="Q4:Y9" xr:uid="{851048E7-AB50-45A7-85FB-F893DC359152}"/>
  <tableColumns count="9">
    <tableColumn id="1" xr3:uid="{940D1F4C-4919-437B-AF28-B8F2EAEDC9DF}" uniqueName="1" name="client" queryTableFieldId="1" dataDxfId="71"/>
    <tableColumn id="2" xr3:uid="{34F1EB0E-0EB2-4411-97AC-C487196EF537}" uniqueName="2" name="annee" queryTableFieldId="2"/>
    <tableColumn id="3" xr3:uid="{726CD1FB-A513-4554-868F-3DFC858061AA}" uniqueName="3" name="nbr_total_depart_bt" queryTableFieldId="3"/>
    <tableColumn id="4" xr3:uid="{6283E1D1-B128-45D1-BF20-172883DD7F45}" uniqueName="4" name="longueur_troncon_mal_alimente_km" queryTableFieldId="4"/>
    <tableColumn id="5" xr3:uid="{B533ACF3-3F13-415B-89EF-9962783E1C68}" uniqueName="5" name="longueur_troncon_mal_alimente_fsa_km" queryTableFieldId="5"/>
    <tableColumn id="6" xr3:uid="{3ED543CB-B68A-4A4E-A051-9B946655C572}" uniqueName="6" name="nb_depart_bt_avec_cma" queryTableFieldId="6"/>
    <tableColumn id="7" xr3:uid="{B84EEF8C-656A-4FB7-ACDE-22967115EEAB}" uniqueName="7" name="taux_départ_bt_mal_alimente" queryTableFieldId="7"/>
    <tableColumn id="8" xr3:uid="{909982F9-ABFC-412D-A6A9-725F3241CD39}" uniqueName="8" name="taux_depart_bt_mal_alimente_urbain" queryTableFieldId="8"/>
    <tableColumn id="9" xr3:uid="{ACA5152F-99F7-4884-85F1-FA34FCCE5A99}" uniqueName="9" name="taux_depart_bt_mal_alimente_rural" queryTableFieldId="9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69E3C8B-EC1C-4DA0-A3E8-095821447E45}" name="tens_07" displayName="tens_07" ref="AB4:AH9" tableType="queryTable" totalsRowShown="0">
  <autoFilter ref="AB4:AH9" xr:uid="{D272FDC8-72A4-4A31-A269-2937B0D01E92}"/>
  <tableColumns count="7">
    <tableColumn id="1" xr3:uid="{2C67E1EB-C645-439F-B131-C4C436CAD957}" uniqueName="1" name="client" queryTableFieldId="1" dataDxfId="70"/>
    <tableColumn id="2" xr3:uid="{D29147B1-0421-4B9F-85BE-FCAE7EF22AFB}" uniqueName="2" name="annee" queryTableFieldId="2"/>
    <tableColumn id="3" xr3:uid="{AAB33E85-EC3F-432E-A028-963FB3DF80D4}" uniqueName="3" name="nbr_chute_tension_sup_30" queryTableFieldId="3"/>
    <tableColumn id="4" xr3:uid="{6004FA5F-1869-489B-B289-5913F76CEB13}" uniqueName="4" name="nbr_chute_tension_btw_20_and_30" queryTableFieldId="4"/>
    <tableColumn id="5" xr3:uid="{7DF1C597-5624-4608-B589-2101AA2A827A}" uniqueName="5" name="nbr_chute_tension_btw_10_and_20" queryTableFieldId="5"/>
    <tableColumn id="6" xr3:uid="{3D713A5F-A952-49AD-A11B-673D1F510301}" uniqueName="6" name="nbr_depart_bt_contraite_sup_10_pourcent" queryTableFieldId="6"/>
    <tableColumn id="7" xr3:uid="{48E1EF75-DF2B-41E4-9355-52B3AEAB5835}" uniqueName="7" name="pourcentage_depart_bt_contrainte" queryTableFieldId="7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28A1407-54ED-4081-9FCC-1644A169934E}" name="tens_08" displayName="tens_08" ref="AK4:AR9" tableType="queryTable" totalsRowShown="0">
  <autoFilter ref="AK4:AR9" xr:uid="{F3AE694C-28A6-4BE0-864F-C00A61CA6C33}"/>
  <tableColumns count="8">
    <tableColumn id="1" xr3:uid="{626A8B2C-4439-4FCC-A440-2BF40C08ABC7}" uniqueName="1" name="client" queryTableFieldId="1" dataDxfId="69"/>
    <tableColumn id="2" xr3:uid="{91F69039-CB03-4318-8A5A-E47CD9B46571}" uniqueName="2" name="annee" queryTableFieldId="2"/>
    <tableColumn id="3" xr3:uid="{9336428B-883F-475D-A454-63D444E948FA}" uniqueName="3" name="nbr_clients_mal_alimentes" queryTableFieldId="3"/>
    <tableColumn id="7" xr3:uid="{776EF09A-BE30-4223-A6B3-E1F6BEBBDCF8}" uniqueName="7" name="nbr_clients_mal_alimentes_urbain" queryTableFieldId="7"/>
    <tableColumn id="8" xr3:uid="{F18C849C-C52C-432C-90FB-6CF949781DAE}" uniqueName="8" name="nbr_clients_mal_alimentes_rural" queryTableFieldId="8"/>
    <tableColumn id="4" xr3:uid="{288F2498-69D2-4AA6-85FF-BCB688EBC74C}" uniqueName="4" name="taux_client_mal_alimentes" queryTableFieldId="4"/>
    <tableColumn id="5" xr3:uid="{AD905353-EB7E-42B3-8C19-7804AE1BB61A}" uniqueName="5" name="taux_client_mal_alimentes_urbain" queryTableFieldId="5"/>
    <tableColumn id="6" xr3:uid="{2C9A6031-783A-4944-A532-7FB510715AA8}" uniqueName="6" name="taux_client_mal_alimentes_rural" queryTableFieldId="6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2B35B8C-87C8-470B-9171-4D89DA3B598F}" name="pat_fin_01" displayName="pat_fin_01" ref="A4:M11" tableType="queryTable" totalsRowShown="0">
  <autoFilter ref="A4:M11" xr:uid="{B024156B-79A1-47BE-9CB7-DE79C3C57146}"/>
  <sortState xmlns:xlrd2="http://schemas.microsoft.com/office/spreadsheetml/2017/richdata2" ref="A5:M11">
    <sortCondition ref="B4:B11"/>
  </sortState>
  <tableColumns count="13">
    <tableColumn id="1" xr3:uid="{1E3B64B4-39E5-4A1F-AEE0-446FA02A0367}" uniqueName="1" name="client" queryTableFieldId="1" dataDxfId="68"/>
    <tableColumn id="2" xr3:uid="{F1D65E85-80FF-48D6-9C61-D863117AA51A}" uniqueName="2" name="annee" queryTableFieldId="2"/>
    <tableColumn id="3" xr3:uid="{42E81F5C-A257-4374-8198-9F4D8DE91DCC}" uniqueName="3" name="vb_canal_hta" queryTableFieldId="3"/>
    <tableColumn id="4" xr3:uid="{CE9BA532-3D1D-4A4A-9A3A-ED0DC73A4803}" uniqueName="4" name="vb_canal_bt" queryTableFieldId="4"/>
    <tableColumn id="5" xr3:uid="{6581C0A9-483E-4591-824C-209702CCB92D}" uniqueName="5" name="vb_poste_hta_bt" queryTableFieldId="5"/>
    <tableColumn id="6" xr3:uid="{EF87BA6C-3102-4EAB-9B44-4F4F4520D7EA}" uniqueName="6" name="vb_transfo_hta_bt" queryTableFieldId="6"/>
    <tableColumn id="7" xr3:uid="{FE3B417F-44B1-4491-9892-53857DA3E934}" uniqueName="7" name="vb_comptage" queryTableFieldId="7"/>
    <tableColumn id="8" xr3:uid="{D214D447-DDC2-407F-9A7E-0FBACC9AD8EC}" uniqueName="8" name="vb_ouvrage_branch" queryTableFieldId="8"/>
    <tableColumn id="9" xr3:uid="{8E84843D-6D8F-4781-8FA1-DCF7059FBE2A}" uniqueName="9" name="vb_autres_bl" queryTableFieldId="9"/>
    <tableColumn id="10" xr3:uid="{38FB7370-6AD2-4B3B-9758-7C12ACF66B20}" uniqueName="10" name="vb_comptages_nl" queryTableFieldId="10"/>
    <tableColumn id="11" xr3:uid="{C7CCC58A-9488-4D8F-B15A-DED1111203AB}" uniqueName="11" name="vb_ouvrage_branch_nl" queryTableFieldId="11"/>
    <tableColumn id="12" xr3:uid="{6E4164AA-E539-4758-B5B5-05A9C2FA5CE0}" uniqueName="12" name="vb_autres_biens_nl" queryTableFieldId="12"/>
    <tableColumn id="13" xr3:uid="{C1B6E222-1C56-499F-B4F4-1BBEB2841962}" uniqueName="13" name="vb_branchements" queryTableFieldId="13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F3142B5-24D1-4035-83B6-BB866FDA4384}" name="pat_fin_03" displayName="pat_fin_03" ref="Q4:AC9" tableType="queryTable" totalsRowShown="0">
  <autoFilter ref="Q4:AC9" xr:uid="{47E83448-7705-488C-8184-CF374A6D6157}"/>
  <tableColumns count="13">
    <tableColumn id="1" xr3:uid="{0C49E216-E0B4-4F53-95A9-2A33DD7C9D8B}" uniqueName="1" name="client" queryTableFieldId="1" dataDxfId="67"/>
    <tableColumn id="2" xr3:uid="{A0A84DAC-787D-4621-9A58-7523CAFC4648}" uniqueName="2" name="annee" queryTableFieldId="2"/>
    <tableColumn id="3" xr3:uid="{026AFED3-EC2F-4D59-A36D-530C52A5CDA0}" uniqueName="3" name="amort_canal_hta" queryTableFieldId="3"/>
    <tableColumn id="4" xr3:uid="{C57AC2EE-658E-4B53-9B4A-9B860334916C}" uniqueName="4" name="amort_canal_bt" queryTableFieldId="4"/>
    <tableColumn id="5" xr3:uid="{08AF2E1D-E796-4885-8718-0CABEE4D7444}" uniqueName="5" name="amort_poste_hta_bt" queryTableFieldId="5"/>
    <tableColumn id="6" xr3:uid="{AA5485CD-5D44-46E1-A996-F50355452443}" uniqueName="6" name="amort_transfo_hta_bt" queryTableFieldId="6"/>
    <tableColumn id="7" xr3:uid="{25E83CFE-B314-46AC-9B6B-4F2D7E77E30D}" uniqueName="7" name="amort_comptage" queryTableFieldId="7"/>
    <tableColumn id="8" xr3:uid="{793D9259-E4BA-4C26-BBCA-76F7875387C4}" uniqueName="8" name="amort_ouvrage_branch" queryTableFieldId="8"/>
    <tableColumn id="9" xr3:uid="{78120411-2EC7-4BA9-8BB2-1BD8D07D598C}" uniqueName="9" name="amort_autres_bl" queryTableFieldId="9"/>
    <tableColumn id="10" xr3:uid="{991D0E79-9E0D-454F-9CC8-3D2891A71641}" uniqueName="10" name="amort_comptages_nl" queryTableFieldId="10"/>
    <tableColumn id="11" xr3:uid="{DE3C5503-D592-4DD5-AEA3-BCEDF95469C7}" uniqueName="11" name="amort_ouvrage_branch_nl" queryTableFieldId="11"/>
    <tableColumn id="12" xr3:uid="{D0C9AB81-C2BF-4B0D-9F7B-A8039BFBD60B}" uniqueName="12" name="amort_autres_biens_nl" queryTableFieldId="12"/>
    <tableColumn id="13" xr3:uid="{E08C31E8-EBD3-4DA5-ACC1-0F39DEF74098}" uniqueName="13" name="amort_branchements" queryTableFieldId="13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13B8AD0-98C1-4E64-8300-5B6E1D650E68}" name="pat_fin_04" displayName="pat_fin_04" ref="AH4:AV9" tableType="queryTable" totalsRowShown="0">
  <autoFilter ref="AH4:AV9" xr:uid="{1A305C65-B582-4F52-BE89-EF1A602C2851}"/>
  <tableColumns count="15">
    <tableColumn id="1" xr3:uid="{329866D0-0616-4F44-B8CD-0E65B908E465}" uniqueName="1" name="client" queryTableFieldId="1" dataDxfId="66"/>
    <tableColumn id="2" xr3:uid="{C0854B42-0C8D-4B86-B719-B2903118400E}" uniqueName="2" name="annee" queryTableFieldId="2"/>
    <tableColumn id="3" xr3:uid="{14C4EE7F-6371-402A-B287-C939EB3B218C}" uniqueName="3" name="immo_local_vb" queryTableFieldId="3"/>
    <tableColumn id="4" xr3:uid="{BD6F878C-4AF9-4995-866F-6A84D4F77BBF}" uniqueName="4" name="immo_nl_vb" queryTableFieldId="4"/>
    <tableColumn id="5" xr3:uid="{4B11D525-A57E-4C73-95FF-6D6DFB089173}" uniqueName="5" name="immo_local_vnc" queryTableFieldId="5"/>
    <tableColumn id="6" xr3:uid="{BDC46E72-80E3-4696-9D45-555DFA881BCD}" uniqueName="6" name="immo_nl_vnc" queryTableFieldId="6"/>
    <tableColumn id="7" xr3:uid="{A79364F0-5513-420D-9D8B-0E42DFDF4023}" uniqueName="7" name="immo_local_amort" queryTableFieldId="7"/>
    <tableColumn id="8" xr3:uid="{3A9882D6-1AB9-49E9-B36B-8A07DD6D90AD}" uniqueName="8" name="immo_nl_amort" queryTableFieldId="8"/>
    <tableColumn id="9" xr3:uid="{C82183D6-2E5E-4FB2-B408-907ECF11330D}" uniqueName="9" name="nbr_usr" queryTableFieldId="9"/>
    <tableColumn id="10" xr3:uid="{2D650F01-85DF-4EAB-85F4-7F87605D648F}" uniqueName="10" name="vb_usr_local" queryTableFieldId="10"/>
    <tableColumn id="11" xr3:uid="{862C84F3-2330-4A5F-AD70-19934FD7E066}" uniqueName="11" name="vb_usr_nl" queryTableFieldId="11"/>
    <tableColumn id="12" xr3:uid="{95AFE515-4633-4A72-A548-96F1AE652701}" uniqueName="12" name="vnc_usr_local" queryTableFieldId="12"/>
    <tableColumn id="13" xr3:uid="{10D0DA4A-E361-4DAB-B395-61BDCD15AF72}" uniqueName="13" name="vnc_usr_nl" queryTableFieldId="13"/>
    <tableColumn id="14" xr3:uid="{A2882B6B-F133-42ED-84EB-6FAF15EF3303}" uniqueName="14" name="amort_usr_local" queryTableFieldId="14"/>
    <tableColumn id="15" xr3:uid="{12513D91-1726-4C32-86E9-80719EF8223C}" uniqueName="15" name="amort_usr_nl" queryTableFieldId="15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206F092-0369-4DB0-87F3-DFF893F5EDFC}" name="pat_fin_05" displayName="pat_fin_05" ref="BA4:BM9" tableType="queryTable" totalsRowShown="0">
  <autoFilter ref="BA4:BM9" xr:uid="{B423E446-A936-42F9-83B8-9AE22C446188}"/>
  <tableColumns count="13">
    <tableColumn id="1" xr3:uid="{15758042-94F0-483A-8CE2-B4CAB7230299}" uniqueName="1" name="client" queryTableFieldId="1" dataDxfId="65"/>
    <tableColumn id="2" xr3:uid="{BB571597-8E16-4C76-8E11-F99BD6A5689B}" uniqueName="2" name="annee" queryTableFieldId="2"/>
    <tableColumn id="3" xr3:uid="{DAEA7C98-FF7F-4829-9E53-94DC7CF83FE8}" uniqueName="3" name="vr_canal_hta" queryTableFieldId="3"/>
    <tableColumn id="4" xr3:uid="{C194A997-7723-47F8-9C57-4A6D2686835A}" uniqueName="4" name="vr_canal_bt" queryTableFieldId="4"/>
    <tableColumn id="5" xr3:uid="{4ED3A3D2-2EEE-476D-AEDC-34B8CF1E9952}" uniqueName="5" name="vr_poste_hta_bt" queryTableFieldId="5"/>
    <tableColumn id="6" xr3:uid="{DCE82C43-C6FA-47EF-A194-CC17471BF66E}" uniqueName="6" name="vr_transfo_hta_bt" queryTableFieldId="6"/>
    <tableColumn id="7" xr3:uid="{FCE39142-E92D-4545-8C53-BF8837EF3B0A}" uniqueName="7" name="vr_comptage" queryTableFieldId="7"/>
    <tableColumn id="8" xr3:uid="{79BF3DB3-C8EB-48B4-8AC7-98ABF3F24A7C}" uniqueName="8" name="vr_ouvrage_branch" queryTableFieldId="8"/>
    <tableColumn id="9" xr3:uid="{651B26AC-451B-4DA8-8D53-BCCBF6E2B1FC}" uniqueName="9" name="vr_autres_bl" queryTableFieldId="9"/>
    <tableColumn id="10" xr3:uid="{35B6962B-2B4F-44B0-8D25-9C78C153B551}" uniqueName="10" name="vr_comptages_nl" queryTableFieldId="10"/>
    <tableColumn id="11" xr3:uid="{E148E079-6EB5-4430-9295-F05832EC16B5}" uniqueName="11" name="vr_ouvrage_branch_nl" queryTableFieldId="11"/>
    <tableColumn id="12" xr3:uid="{9248E0F6-3BBD-4782-8907-0EEA3C7F7D4F}" uniqueName="12" name="vr_autres_biens_nl" queryTableFieldId="12"/>
    <tableColumn id="13" xr3:uid="{E28990F7-0FB7-407F-BDB7-AB40CF6160F6}" uniqueName="13" name="vr_branchements" queryTableFieldId="13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343E2ED-9D41-4444-B789-8D5349D9AFE7}" name="pat_fin_06" displayName="pat_fin_06" ref="BQ4:CC9" tableType="queryTable" totalsRowShown="0">
  <autoFilter ref="BQ4:CC9" xr:uid="{B9EEB08F-E9E7-4C88-B704-7442352D3B77}"/>
  <tableColumns count="13">
    <tableColumn id="1" xr3:uid="{2E07488F-E336-43DF-9BC9-545A53BDE3F9}" uniqueName="1" name="client" queryTableFieldId="1" dataDxfId="64"/>
    <tableColumn id="2" xr3:uid="{498A66B5-8A79-4016-8089-63990A48607C}" uniqueName="2" name="annee" queryTableFieldId="2"/>
    <tableColumn id="3" xr3:uid="{1CB57A22-6BFA-41AC-9635-463745FD037E}" uniqueName="3" name="pr_canal_hta" queryTableFieldId="3"/>
    <tableColumn id="4" xr3:uid="{28CF8B40-3141-4836-AAB0-D2E6461358B9}" uniqueName="4" name="pr_canal_bt" queryTableFieldId="4"/>
    <tableColumn id="5" xr3:uid="{FF7B9547-A43D-4E45-9A83-CD2869511C69}" uniqueName="5" name="pr_poste_hta_bt" queryTableFieldId="5"/>
    <tableColumn id="6" xr3:uid="{DBEB4E6C-79B4-40A9-B1E2-92FB9B3142A8}" uniqueName="6" name="pr_transfo_hta_bt" queryTableFieldId="6"/>
    <tableColumn id="7" xr3:uid="{F264CBF2-1CFA-48C7-94F9-09BBCDCDA9F9}" uniqueName="7" name="pr_comptage" queryTableFieldId="7"/>
    <tableColumn id="8" xr3:uid="{AB0ACE2E-C430-4588-B943-227993CC7B63}" uniqueName="8" name="pr_ouvrage_branch" queryTableFieldId="8"/>
    <tableColumn id="9" xr3:uid="{9AC5442E-3D6F-48B3-8902-7FD2203CB4D1}" uniqueName="9" name="pr_autres_bl" queryTableFieldId="9"/>
    <tableColumn id="10" xr3:uid="{C76B3C6B-C9E0-41C6-9AF1-D5377ECFA5D2}" uniqueName="10" name="pr_comptages_nl" queryTableFieldId="10"/>
    <tableColumn id="11" xr3:uid="{220639B8-F4D3-4DEA-BED9-B782F9119401}" uniqueName="11" name="pr_ouvrage_branch_nl" queryTableFieldId="11"/>
    <tableColumn id="12" xr3:uid="{D631B6A6-6DDD-4397-9F6F-98E09CB4388F}" uniqueName="12" name="pr_autres_biens_nl" queryTableFieldId="12"/>
    <tableColumn id="13" xr3:uid="{3184F0E2-E4FA-4C4C-B584-8594D98DF510}" uniqueName="13" name="pr_branchements" queryTableFieldId="13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C146DD5-BA90-417B-8845-C642DCE3C14E}" name="pat_fin_07" displayName="pat_fin_07" ref="CH4:CO9" tableType="queryTable" totalsRowShown="0">
  <autoFilter ref="CH4:CO9" xr:uid="{CF396FF4-EE47-48A4-BE19-B683E9475719}"/>
  <tableColumns count="8">
    <tableColumn id="1" xr3:uid="{012D706C-C876-49D2-82E6-3F002B39A628}" uniqueName="1" name="client" queryTableFieldId="1"/>
    <tableColumn id="2" xr3:uid="{C386B255-3373-463F-BBF3-A9EED546DA6D}" uniqueName="2" name="annee" queryTableFieldId="2"/>
    <tableColumn id="3" xr3:uid="{6732CDBA-6605-487D-9D23-F2F9E9015097}" uniqueName="3" name="val_mc_local" queryTableFieldId="3"/>
    <tableColumn id="4" xr3:uid="{0318373B-F449-4CEA-9148-E81EE065EE10}" uniqueName="4" name="val_mc_local_dont_finance_concessionnaire" queryTableFieldId="4"/>
    <tableColumn id="5" xr3:uid="{E7A6CA35-36EF-48E7-AB2B-118ACF77F6C6}" uniqueName="5" name="val_mc_local_dont_finance_concedant" queryTableFieldId="5"/>
    <tableColumn id="6" xr3:uid="{4B4B9ED4-EE2E-47D1-AB13-BD5A6D9CB788}" uniqueName="6" name="val_mc_nl" queryTableFieldId="6"/>
    <tableColumn id="7" xr3:uid="{58874D85-CF91-43EC-9592-2A01A9CDF203}" uniqueName="7" name="val_mc_nl_dont_finance_concessionnaire" queryTableFieldId="7"/>
    <tableColumn id="8" xr3:uid="{5B7E131C-8D9B-414C-BDDF-3AF01F1AA737}" uniqueName="8" name="val_mc_nl_dont_finance_concedant" queryTableFieldId="8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EAC562-FD6E-489D-A352-AADBD25D439F}" name="pat_fin_08" displayName="pat_fin_08" ref="CT4:CW9" tableType="queryTable" totalsRowShown="0">
  <autoFilter ref="CT4:CW9" xr:uid="{13CB3555-5257-4307-95A3-F4608C048BC3}"/>
  <tableColumns count="4">
    <tableColumn id="1" xr3:uid="{DC0A43DE-57AE-4AC9-BF44-B45B077F725C}" uniqueName="1" name="client" queryTableFieldId="1"/>
    <tableColumn id="2" xr3:uid="{910CD9BA-DD25-4921-BF09-8A9870F13869}" uniqueName="2" name="annee" queryTableFieldId="2"/>
    <tableColumn id="3" xr3:uid="{3D782AEF-C162-42F0-8CCE-A0F2C9A32903}" uniqueName="3" name="val_mc_local" queryTableFieldId="3"/>
    <tableColumn id="4" xr3:uid="{955DAD3A-8A30-4FAD-8742-94D064A06A78}" uniqueName="4" name="val_mc_nl" queryTableFieldId="4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0E4AB94-058E-4CB4-89B5-C651C47DBF2E}" name="pat_fin_09" displayName="pat_fin_09" ref="DB4:DG8" tableType="queryTable" totalsRowShown="0">
  <autoFilter ref="DB4:DG8" xr:uid="{CD97BDA2-BECF-4122-ADB8-6F70B41B9FD2}"/>
  <tableColumns count="6">
    <tableColumn id="1" xr3:uid="{9773C751-D766-4555-A23C-4341ABE1A704}" uniqueName="1" name="client" queryTableFieldId="1" dataDxfId="63"/>
    <tableColumn id="2" xr3:uid="{A3CFD8D9-9388-4EF9-9B5A-81D8F81FECDD}" uniqueName="2" name="annee" queryTableFieldId="2"/>
    <tableColumn id="3" xr3:uid="{1A4FE9C2-1751-4D45-BFAF-76AC16FE6BA3}" uniqueName="3" name="contre_val_biens_concedes" queryTableFieldId="3"/>
    <tableColumn id="4" xr3:uid="{7DC94CAD-DA6B-4378-929F-588BD287A95A}" uniqueName="4" name="vnc_finance_ouvrage_existant" queryTableFieldId="4"/>
    <tableColumn id="5" xr3:uid="{6AA73637-3856-4054-A3D4-A826F31C20B5}" uniqueName="5" name="amort_finance_concedant" queryTableFieldId="5"/>
    <tableColumn id="6" xr3:uid="{C05BC639-9763-4480-BCBD-44E50EA93AB7}" uniqueName="6" name="droits_concedant" queryTableFieldId="6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F9E732A-8EB4-483A-B6F2-BA16090F2700}" name="pat_fin_10" displayName="pat_fin_10" ref="DL4:EG5" tableType="queryTable" totalsRowShown="0">
  <autoFilter ref="DL4:EG5" xr:uid="{502A4D63-8CEC-4477-AE6B-B37D64790385}"/>
  <tableColumns count="22">
    <tableColumn id="1" xr3:uid="{6208B751-7967-4104-B9B9-8429BFBE6367}" uniqueName="1" name="client" queryTableFieldId="1" dataDxfId="62"/>
    <tableColumn id="2" xr3:uid="{FC252DC2-4259-412F-9D36-5A329E40CCFE}" uniqueName="2" name="annee" queryTableFieldId="2"/>
    <tableColumn id="3" xr3:uid="{118F3716-D128-4AA9-A0A8-B33103C8C51D}" uniqueName="3" name="pr_hta_aerien_urb" queryTableFieldId="3"/>
    <tableColumn id="4" xr3:uid="{F6766588-67E5-40D0-AFD5-00983ABDCB2F}" uniqueName="4" name="pr_hta_aerien_rur" queryTableFieldId="4"/>
    <tableColumn id="5" xr3:uid="{4B363199-2905-4782-81C8-12C4781DE11D}" uniqueName="5" name="pr_hta_sout_urb" queryTableFieldId="5"/>
    <tableColumn id="6" xr3:uid="{9C552B08-6ED3-428E-883D-815E22BA1D2A}" uniqueName="6" name="pr_hta_sout_rur" queryTableFieldId="6"/>
    <tableColumn id="7" xr3:uid="{5F5FADA5-E92C-4F19-A5FE-B3DEE850B4A4}" uniqueName="7" name="pr_bt_aerien_nu_urb" queryTableFieldId="7"/>
    <tableColumn id="8" xr3:uid="{C67C60BA-8F26-4C62-BE9D-AA402C69033F}" uniqueName="8" name="pr_bt_aerien_nu_rur" queryTableFieldId="8"/>
    <tableColumn id="9" xr3:uid="{54C2CA17-BC0B-4F6A-9E90-CD49271645C7}" uniqueName="9" name="pr_bt_aerien_torsade_urb" queryTableFieldId="9"/>
    <tableColumn id="10" xr3:uid="{EA788486-7411-4046-8A8D-64C08299240E}" uniqueName="10" name="pr_bt_aerien_torsade_rur" queryTableFieldId="10"/>
    <tableColumn id="11" xr3:uid="{04121A8B-85B0-4FDF-BA93-8BABC1D97170}" uniqueName="11" name="pr_bt_sout_urb" queryTableFieldId="11"/>
    <tableColumn id="12" xr3:uid="{55E22402-94CB-4F75-A5D5-6D760C7DF24F}" uniqueName="12" name="pr_bt_sout_rur" queryTableFieldId="12"/>
    <tableColumn id="13" xr3:uid="{B86ED04C-A1B9-4F4D-B680-4FACB6A2CF56}" uniqueName="13" name="pr_poste_htabt_urb" queryTableFieldId="13"/>
    <tableColumn id="14" xr3:uid="{4AB64EAF-3EA1-4333-B33C-964087616A99}" uniqueName="14" name="pr_poste_htabt_rur" queryTableFieldId="14"/>
    <tableColumn id="15" xr3:uid="{96049D50-F7BC-4B4A-9D51-C1FF04B19924}" uniqueName="15" name="pr_transfo_urb" queryTableFieldId="15"/>
    <tableColumn id="16" xr3:uid="{757EEB22-CA3C-4A7C-BADF-C18D2DF3DCBF}" uniqueName="16" name="pr_transfo_rur" queryTableFieldId="16"/>
    <tableColumn id="17" xr3:uid="{605DBE7B-59F3-412B-8550-8868000F3EC9}" uniqueName="17" name="pr_comptage_urb" queryTableFieldId="17"/>
    <tableColumn id="18" xr3:uid="{897E56CC-954B-49BC-828C-9D1B3DBF50BF}" uniqueName="18" name="pr_comptage_rur" queryTableFieldId="18"/>
    <tableColumn id="19" xr3:uid="{5867847F-A1BF-4EA7-BF73-36D955B9978B}" uniqueName="19" name="pr_bri_urb" queryTableFieldId="19"/>
    <tableColumn id="20" xr3:uid="{587416F5-F938-4C56-97F6-9AAE7346FEFF}" uniqueName="20" name="pr_bri_rur" queryTableFieldId="20"/>
    <tableColumn id="21" xr3:uid="{F827E73A-367E-4C38-9CD4-F88578189ED5}" uniqueName="21" name="pr_brc_urb" queryTableFieldId="21"/>
    <tableColumn id="22" xr3:uid="{B4A98090-0594-4F67-881C-1200F9B29842}" uniqueName="22" name="pr_brc_rur" queryTableFieldId="22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0DACD94A-BF36-4926-9FAE-53A93C0C162E}" name="pat_fin_11" displayName="pat_fin_11" ref="EJ4:EN9" tableType="queryTable" totalsRowShown="0">
  <autoFilter ref="EJ4:EN9" xr:uid="{A685E400-721F-46CB-8E2D-C4792B1618FE}"/>
  <tableColumns count="5">
    <tableColumn id="1" xr3:uid="{9EB550A6-E915-4101-B847-B5C376F76C0F}" uniqueName="1" name="client" queryTableFieldId="1"/>
    <tableColumn id="2" xr3:uid="{7E4E6878-B627-45F8-A4EB-D3C7F2A3F038}" uniqueName="2" name="annee" queryTableFieldId="2"/>
    <tableColumn id="3" xr3:uid="{2748BD53-77DC-4594-8ECC-CE8FF86B17BB}" uniqueName="3" name="VNC Financement Concessionnaire (Créance Non Amrt)" queryTableFieldId="3"/>
    <tableColumn id="4" xr3:uid="{707A886B-8E58-49CA-86E5-BB440190AABF}" uniqueName="4" name="Amortissement Financement concedant" queryTableFieldId="4"/>
    <tableColumn id="5" xr3:uid="{C7122414-23A3-48C8-BB0B-8B9ABF4F99EF}" uniqueName="5" name="Provision renouvellement (PR)" queryTableFieldId="5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860A642-FC8A-42FC-8472-496765FE0FE0}" name="pat_fin_12" displayName="pat_fin_12" ref="ER4:EW54" tableType="queryTable" totalsRowShown="0">
  <autoFilter ref="ER4:EW54" xr:uid="{C47611E2-BBBE-473F-881E-BA6E9D9A9AA3}"/>
  <tableColumns count="6">
    <tableColumn id="1" xr3:uid="{A2441213-BFAF-4611-B0C5-2BBD7BE373A5}" uniqueName="1" name="Client" queryTableFieldId="1" dataDxfId="61"/>
    <tableColumn id="2" xr3:uid="{94123FAC-2DA6-4D6B-BBE9-9A963BFFDE95}" uniqueName="2" name="Annee" queryTableFieldId="2"/>
    <tableColumn id="3" xr3:uid="{EF204D3D-4D83-486E-8CA3-B1775BE5D7DD}" uniqueName="3" name="Categorie Ouvrage" queryTableFieldId="3" dataDxfId="60"/>
    <tableColumn id="4" xr3:uid="{FF2AE218-3EF8-4300-8C14-2BCAAE9369A9}" uniqueName="4" name="Taux de dépréciation" queryTableFieldId="4"/>
    <tableColumn id="5" xr3:uid="{2F18D7AA-91C7-4E65-9BE0-5698D28353D7}" uniqueName="5" name="Taux d'amortissement du financement concédant" queryTableFieldId="5"/>
    <tableColumn id="6" xr3:uid="{FD2FC1D1-13CE-41F3-B10A-587005603331}" uniqueName="6" name="Stock de de DE (k€)" queryTableFieldId="6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3D3BECD3-E31A-44B4-8735-8D899685CC2E}" name="pat_fin_13" displayName="pat_fin_13" ref="EZ4:FU5" tableType="queryTable" totalsRowShown="0">
  <autoFilter ref="EZ4:FU5" xr:uid="{5A070E6A-66E1-4459-A193-4577C8F814BC}"/>
  <tableColumns count="22">
    <tableColumn id="1" xr3:uid="{3193CA8C-2970-4F38-BF02-FCDFD4A1CC7E}" uniqueName="1" name="client" queryTableFieldId="1" dataDxfId="59"/>
    <tableColumn id="2" xr3:uid="{A2E3843F-07AC-41A1-99F6-B23AC6257877}" uniqueName="2" name="annee" queryTableFieldId="2"/>
    <tableColumn id="3" xr3:uid="{FF7A4A84-E3C8-4E59-99B6-E9A21102C00D}" uniqueName="3" name="de_hta_aerien_urb" queryTableFieldId="3"/>
    <tableColumn id="4" xr3:uid="{1F7F04E0-5C85-46B5-A36B-F62D67514545}" uniqueName="4" name="de_hta_aerien_rur" queryTableFieldId="4"/>
    <tableColumn id="5" xr3:uid="{E194B77B-8B04-46CD-AEDE-B15E1C2C1BEB}" uniqueName="5" name="de_hta_sout_urb" queryTableFieldId="5"/>
    <tableColumn id="6" xr3:uid="{F4CEE398-A367-4B3E-B925-F4BA63554F41}" uniqueName="6" name="de_hta_sout_rur" queryTableFieldId="6"/>
    <tableColumn id="7" xr3:uid="{8B2CB9EF-5F7B-4B55-9643-096771D0600E}" uniqueName="7" name="de_bt_aerien_nu_urb" queryTableFieldId="7"/>
    <tableColumn id="8" xr3:uid="{3AF97DCA-A0E4-4494-A843-C5F714EE7D1B}" uniqueName="8" name="de_bt_aerien_nu_rur" queryTableFieldId="8"/>
    <tableColumn id="9" xr3:uid="{0909B140-BB18-4A21-B3FA-0054C13690D2}" uniqueName="9" name="de_bt_aerien_torsade_urb" queryTableFieldId="9"/>
    <tableColumn id="10" xr3:uid="{BD1612CA-AD02-4010-B406-3094983014F2}" uniqueName="10" name="de_bt_aerien_torsade_rur" queryTableFieldId="10"/>
    <tableColumn id="11" xr3:uid="{5A830F01-7B66-420A-BE5F-DA7DEE76D02D}" uniqueName="11" name="de_bt_sout_urb" queryTableFieldId="11"/>
    <tableColumn id="12" xr3:uid="{77C12F4E-3FBB-46CA-B199-3785E7A5CFDD}" uniqueName="12" name="de_bt_sout_rur" queryTableFieldId="12"/>
    <tableColumn id="13" xr3:uid="{EFEA9768-2E96-440B-8ED6-16274F07EE04}" uniqueName="13" name="de_poste_htabt_urb" queryTableFieldId="13"/>
    <tableColumn id="14" xr3:uid="{9686603C-8A15-490E-82F3-3B42F1CB6E40}" uniqueName="14" name="de_poste_htabt_rur" queryTableFieldId="14"/>
    <tableColumn id="15" xr3:uid="{880D6B43-838F-40F8-ABCA-A6657AF602EA}" uniqueName="15" name="de_transfo_urb" queryTableFieldId="15"/>
    <tableColumn id="16" xr3:uid="{D8421934-F1C2-4AD1-B433-81CB29EDB083}" uniqueName="16" name="de_transfo_rur" queryTableFieldId="16"/>
    <tableColumn id="17" xr3:uid="{4EB0EE81-24CC-45F2-9C95-E053EBE5CDEC}" uniqueName="17" name="de_comptage_urb" queryTableFieldId="17"/>
    <tableColumn id="18" xr3:uid="{A598F2C0-7DDC-419B-883A-6358E78793E4}" uniqueName="18" name="de_comptage_rur" queryTableFieldId="18"/>
    <tableColumn id="19" xr3:uid="{E818423A-D6C4-4BC0-9B79-309A9D3F1175}" uniqueName="19" name="de_bri_urb" queryTableFieldId="19"/>
    <tableColumn id="20" xr3:uid="{E905C571-012D-4221-ADFF-7BE3618E8CA3}" uniqueName="20" name="de_bri_rur" queryTableFieldId="20"/>
    <tableColumn id="21" xr3:uid="{1056F5AF-3B20-4B3D-B13B-F420F6C34569}" uniqueName="21" name="de_brc_urb" queryTableFieldId="21"/>
    <tableColumn id="22" xr3:uid="{6D7B95CA-15BA-4413-B43E-2C0757C16683}" uniqueName="22" name="de_brc_rur" queryTableFieldId="22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DCD140AC-75F0-4C38-8763-173BDF59CC3C}" name="pat_fin_12a" displayName="pat_fin_12a" ref="FX4:GC9" tableType="queryTable" totalsRowShown="0">
  <autoFilter ref="FX4:GC9" xr:uid="{32D39E38-A3D4-47A0-BB90-BE19010A5333}"/>
  <tableColumns count="6">
    <tableColumn id="1" xr3:uid="{0B1386BF-31AF-480C-B928-1604B37C6357}" uniqueName="1" name="Client" queryTableFieldId="1" dataDxfId="58"/>
    <tableColumn id="2" xr3:uid="{70998A53-0855-4B7E-991D-8B9E01A0A9B2}" uniqueName="2" name="Annee" queryTableFieldId="2"/>
    <tableColumn id="3" xr3:uid="{DBD501AE-808E-4927-AA64-FEC7049D20E8}" uniqueName="3" name="Taux de dépréciation" queryTableFieldId="3"/>
    <tableColumn id="4" xr3:uid="{F37B1C1B-B09A-439D-91B0-7CD9CC2D68EA}" uniqueName="4" name="Taux d'amortissement du financement concédant" queryTableFieldId="4"/>
    <tableColumn id="5" xr3:uid="{695E431E-50ED-45D2-A848-C72430B6961B}" uniqueName="5" name="Stock de de DE (k€)" queryTableFieldId="5"/>
    <tableColumn id="6" xr3:uid="{76B3E13D-AE8E-43F7-9164-616308075761}" uniqueName="6" name="Dépréciation des financements concédants (k€)" queryTableFieldId="6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8B867EF0-48BC-4DFA-9D2F-E9A545D14917}" name="Tableau_pat_fin_02" displayName="Tableau_pat_fin_02" ref="GG4:GS9" tableType="queryTable" totalsRowShown="0">
  <autoFilter ref="GG4:GS9" xr:uid="{8B867EF0-48BC-4DFA-9D2F-E9A545D14917}"/>
  <tableColumns count="13">
    <tableColumn id="1" xr3:uid="{7E1EB4FB-D63B-45EF-9140-3D77519DC2B0}" uniqueName="1" name="client" queryTableFieldId="1" dataDxfId="57"/>
    <tableColumn id="2" xr3:uid="{99FA857B-F54B-44C2-8A85-EC2AE930B9CD}" uniqueName="2" name="annee" queryTableFieldId="2"/>
    <tableColumn id="3" xr3:uid="{540008F6-1654-489A-B4FD-9FEC13704047}" uniqueName="3" name="vnc_canal_hta" queryTableFieldId="3"/>
    <tableColumn id="4" xr3:uid="{9612456A-190F-43AC-B0EA-035101CE369D}" uniqueName="4" name="vnc_canal_bt" queryTableFieldId="4"/>
    <tableColumn id="5" xr3:uid="{D8C710FE-129D-4FED-BC27-FB1F17746EF2}" uniqueName="5" name="vnc_poste_hta_bt" queryTableFieldId="5"/>
    <tableColumn id="6" xr3:uid="{844CC8DD-3335-48A3-9B38-E2C8AA9E2F27}" uniqueName="6" name="vnc_transfo_hta_bt" queryTableFieldId="6"/>
    <tableColumn id="7" xr3:uid="{A7A1D057-1792-4D42-BAD0-DDEF8ACFD2A4}" uniqueName="7" name="vnc_comptage" queryTableFieldId="7"/>
    <tableColumn id="8" xr3:uid="{FFB98668-853D-4F74-8AB7-F39AA74568E9}" uniqueName="8" name="vnc_ouvrage_branch" queryTableFieldId="8"/>
    <tableColumn id="9" xr3:uid="{0C80793B-12DC-49FD-B468-6219EF7A51CD}" uniqueName="9" name="vnc_autres_bl" queryTableFieldId="9"/>
    <tableColumn id="10" xr3:uid="{C19B0097-43E9-400D-9D7E-DAFBBD8C862E}" uniqueName="10" name="vnc_comptages_nl" queryTableFieldId="10"/>
    <tableColumn id="11" xr3:uid="{5C74BCE7-F4C9-46D3-82B8-9D7B2DC4F3DB}" uniqueName="11" name="vnc_ouvrage_branch_nl" queryTableFieldId="11"/>
    <tableColumn id="12" xr3:uid="{080703EC-126A-428A-83B3-EFEE322BEF93}" uniqueName="12" name="vnc_autres_biens_nl" queryTableFieldId="12"/>
    <tableColumn id="13" xr3:uid="{4CADE547-0758-4338-B87F-350C8773905F}" uniqueName="13" name="vnc_branchements" queryTableFieldId="13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FECA27C8-CC2A-453E-BD83-6A3B98992F0F}" name="evolution_bt_par_materiaux" displayName="evolution_bt_par_materiaux" ref="B4:I70" tableType="queryTable" totalsRowShown="0">
  <autoFilter ref="B4:I70" xr:uid="{D70BF15C-A100-43B1-9AB6-1A1DF3BE9B8C}"/>
  <tableColumns count="8">
    <tableColumn id="1" xr3:uid="{44C09E55-8272-40C4-9EF4-189CFAADE7A6}" uniqueName="1" name="client" queryTableFieldId="1" dataDxfId="56"/>
    <tableColumn id="2" xr3:uid="{FEE4E508-B404-4BAA-A5A6-D64B60F18B28}" uniqueName="2" name="annee" queryTableFieldId="2"/>
    <tableColumn id="3" xr3:uid="{3D93CD8A-43F2-488C-8F6E-4FD71C151417}" uniqueName="3" name="annee_mes" queryTableFieldId="3"/>
    <tableColumn id="4" xr3:uid="{62933582-9F88-447F-A486-A6697CE7D950}" uniqueName="4" name="lineaire_bt_acier_alu" queryTableFieldId="4"/>
    <tableColumn id="5" xr3:uid="{19EF189B-CF21-4C2C-8140-F8CAC7CB5155}" uniqueName="5" name="lineaire_bt_alu" queryTableFieldId="5"/>
    <tableColumn id="6" xr3:uid="{6EA1162D-F6F8-47C1-B248-B45CBAD49743}" uniqueName="6" name="lineaire_bt_almelec" queryTableFieldId="6"/>
    <tableColumn id="7" xr3:uid="{CCB3BB65-F834-469B-B959-102C0D2251DC}" uniqueName="7" name="lineaire_bt_cuivre" queryTableFieldId="7"/>
    <tableColumn id="8" xr3:uid="{3E9A5843-97F5-4D28-BF8E-692820F6568F}" uniqueName="8" name="lineaire_bt_almelec_acier" queryTableFieldId="8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7B895A5D-D0D0-452D-ACC2-F47E756BCD55}" name="evolution_hta_par_materiaux" displayName="evolution_hta_par_materiaux" ref="Z4:AG82" tableType="queryTable" totalsRowShown="0">
  <autoFilter ref="Z4:AG82" xr:uid="{2C5ECDE7-3FF3-4661-80CF-A801192FFA09}"/>
  <tableColumns count="8">
    <tableColumn id="1" xr3:uid="{FE9D3BBB-BDA0-41AF-920D-5BA7FE43AF81}" uniqueName="1" name="client" queryTableFieldId="1" dataDxfId="55"/>
    <tableColumn id="2" xr3:uid="{67DDE5AC-EDA1-4A6F-B516-3275BD557744}" uniqueName="2" name="annee" queryTableFieldId="2"/>
    <tableColumn id="3" xr3:uid="{FB8A3A31-38EA-42AB-8897-9000E3F017F4}" uniqueName="3" name="annee_mes" queryTableFieldId="3"/>
    <tableColumn id="4" xr3:uid="{EF70BBB7-4FF7-438D-A832-C910A9EFA12F}" uniqueName="4" name="lineaire_hta_acier_alu" queryTableFieldId="4"/>
    <tableColumn id="5" xr3:uid="{35DBB0D9-643F-4C6D-A743-CB35F479D02F}" uniqueName="5" name="lineaire_hta_alu" queryTableFieldId="5"/>
    <tableColumn id="6" xr3:uid="{3FA04F85-BD2F-4125-A71A-07A1836B8F00}" uniqueName="6" name="lineaire_hta_almelec" queryTableFieldId="6"/>
    <tableColumn id="7" xr3:uid="{04F8B4F2-29B5-4C74-B276-D002CED27667}" uniqueName="7" name="lineaire_hta_cuivre" queryTableFieldId="7"/>
    <tableColumn id="8" xr3:uid="{81F7F209-53E8-43DD-8031-C3370503403B}" uniqueName="8" name="lineaire_hta_almelec_acier" queryTableFieldId="8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1C3B6E3-FB84-461A-A4FC-4546AD37CE13}" name="evolution_postes_par_typologie" displayName="evolution_postes_par_typologie" ref="AV4:BB81" tableType="queryTable" totalsRowShown="0">
  <autoFilter ref="AV4:BB81" xr:uid="{DF873474-274B-4AE4-A3B7-C55B03F729A7}"/>
  <tableColumns count="7">
    <tableColumn id="1" xr3:uid="{0794B60D-16A6-4E59-A746-0F6C90371B74}" uniqueName="1" name="client" queryTableFieldId="1" dataDxfId="54"/>
    <tableColumn id="2" xr3:uid="{21E62B22-4232-4B18-9329-A46B67E3129C}" uniqueName="2" name="annee" queryTableFieldId="2"/>
    <tableColumn id="3" xr3:uid="{B486A084-87E6-4F34-8C9F-4ECBDA639C64}" uniqueName="3" name="annee_mes" queryTableFieldId="3"/>
    <tableColumn id="4" xr3:uid="{ED6D12D4-7AC7-4A86-9189-D171152225FB}" uniqueName="4" name="postes_poteau" queryTableFieldId="4"/>
    <tableColumn id="5" xr3:uid="{C70CC5A7-2CED-4DB8-AE05-B974817407C2}" uniqueName="5" name="postes_maconne" queryTableFieldId="5"/>
    <tableColumn id="6" xr3:uid="{3F86F0EE-FA31-444B-B030-E06829DB02EC}" uniqueName="6" name="postes_prefabriques" queryTableFieldId="6"/>
    <tableColumn id="7" xr3:uid="{B5C790BC-9B78-4E1D-8666-2024CC9CBA95}" uniqueName="7" name="postes_autre" queryTableFieldId="7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8F9EA698-11B0-49C0-95ED-3E4F078E2D0F}" name="evolution_transfos" displayName="evolution_transfos" ref="BF4:BI58" tableType="queryTable" totalsRowShown="0">
  <autoFilter ref="BF4:BI58" xr:uid="{9A09119C-E07A-4DFF-9003-EB97C4EA7242}"/>
  <tableColumns count="4">
    <tableColumn id="1" xr3:uid="{0F0B2CDF-06FD-48BA-B2F4-53673B652A49}" uniqueName="1" name="client" queryTableFieldId="1" dataDxfId="53"/>
    <tableColumn id="2" xr3:uid="{AE425CCB-6656-44D3-B561-FCD74EBDD62E}" uniqueName="2" name="annee" queryTableFieldId="2"/>
    <tableColumn id="3" xr3:uid="{8C0A13C3-FC4D-484D-A208-B97368530401}" uniqueName="3" name="annee_mes" queryTableFieldId="3"/>
    <tableColumn id="4" xr3:uid="{9A232095-871F-45D6-9F8C-728505BADAF5}" uniqueName="4" name="nbr_transfos" queryTableFieldId="4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1E3962F-13EC-4F79-AC6B-1EC4235F1D99}" name="pat_tech_hta_11" displayName="pat_tech_hta_11" ref="BM4:BQ93" tableType="queryTable" totalsRowShown="0">
  <autoFilter ref="BM4:BQ93" xr:uid="{037B6111-4A1E-4976-8215-B87146C33BD4}"/>
  <tableColumns count="5">
    <tableColumn id="1" xr3:uid="{2B978251-3834-4AF8-87D8-B5A11B57C9F9}" uniqueName="1" name="client" queryTableFieldId="1"/>
    <tableColumn id="2" xr3:uid="{153B830B-9ECA-481E-9B47-625235AF6BF7}" uniqueName="2" name="annee" queryTableFieldId="2"/>
    <tableColumn id="3" xr3:uid="{367E5A36-5CDD-404B-90E2-73A4B56A1378}" uniqueName="3" name="Annee de Construction" queryTableFieldId="3"/>
    <tableColumn id="4" xr3:uid="{275A9E7B-8169-4F15-BCA1-EDE54EC54B3D}" uniqueName="4" name="Type de traitement PDV" queryTableFieldId="4"/>
    <tableColumn id="5" xr3:uid="{3C2DD7F8-C070-42EF-AAA9-A48C3C680706}" uniqueName="5" name="longueur_km_hta_pdv" queryTableFieldId="5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44855E7-0814-477A-8262-9D9FBAD9DDAC}" name="evolution_hta_par_typologie" displayName="evolution_hta_par_typologie" ref="AK4:AR82" tableType="queryTable" totalsRowShown="0">
  <autoFilter ref="AK4:AR82" xr:uid="{E7C42BB2-BD6C-4C80-8392-25273305DE46}"/>
  <tableColumns count="8">
    <tableColumn id="1" xr3:uid="{A10901B3-3816-43F4-875D-AB14E79E1AA0}" uniqueName="1" name="client" queryTableFieldId="1" dataDxfId="52"/>
    <tableColumn id="2" xr3:uid="{47134E30-C69A-4141-BAA1-2C5994626515}" uniqueName="2" name="annee" queryTableFieldId="2"/>
    <tableColumn id="3" xr3:uid="{2ED80C6A-0823-4324-A605-52484C460E7F}" uniqueName="3" name="annee_mes" queryTableFieldId="3"/>
    <tableColumn id="4" xr3:uid="{174A233A-5587-4B25-A475-50B32389E63B}" uniqueName="4" name="lineaire_hta_nu_HFS" queryTableFieldId="4"/>
    <tableColumn id="5" xr3:uid="{52331FCC-39DC-4729-B750-48E199F8374F}" uniqueName="5" name="lineaire_hta_torsade" queryTableFieldId="5"/>
    <tableColumn id="6" xr3:uid="{A791AB87-7195-4B3E-BDF3-27FB51229C6D}" uniqueName="6" name="lineaire_hta_souterrain" queryTableFieldId="6"/>
    <tableColumn id="7" xr3:uid="{02AEAC64-A87E-447E-96E3-5E66D14D85CA}" uniqueName="7" name="lineaire_hta_aerien_nu_fs" queryTableFieldId="7"/>
    <tableColumn id="8" xr3:uid="{43BF7ECD-7661-40C6-A199-D445679F36CA}" uniqueName="8" name="lineaire_hta_tot" queryTableFieldId="8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5E7AF94-A916-4485-B923-48D9DB4C1393}" name="evolution_bt_par_typologie" displayName="evolution_bt_par_typologie" ref="M4:T70" tableType="queryTable" totalsRowShown="0">
  <autoFilter ref="M4:T70" xr:uid="{679B8C7D-84FA-4E69-A994-FCDB9A699129}"/>
  <tableColumns count="8">
    <tableColumn id="1" xr3:uid="{9B7B7678-8D7B-4AF2-AE37-676B3CEE9372}" uniqueName="1" name="client" queryTableFieldId="1" dataDxfId="51"/>
    <tableColumn id="2" xr3:uid="{D017F638-4458-4504-93E5-D55523FBAC83}" uniqueName="2" name="annee" queryTableFieldId="2"/>
    <tableColumn id="3" xr3:uid="{4888F1CB-F0F9-42BC-8523-2600902DCAB4}" uniqueName="3" name="annee_mes" queryTableFieldId="3"/>
    <tableColumn id="4" xr3:uid="{FC60397E-E37E-4848-ACD5-EB346883010E}" uniqueName="4" name="lineaire_bt_nu_HFS" queryTableFieldId="4"/>
    <tableColumn id="5" xr3:uid="{FAF10ED4-232E-421A-A3A9-81DBE63F8FC6}" uniqueName="5" name="lineaire_bt_torsade" queryTableFieldId="5"/>
    <tableColumn id="6" xr3:uid="{92872E4A-2ECA-4BDA-B362-A639A3AC01DF}" uniqueName="6" name="lineaire_bt_souterrain" queryTableFieldId="6"/>
    <tableColumn id="7" xr3:uid="{BEFD9FCB-DBC2-4B24-A2BB-07B51242FA23}" uniqueName="7" name="lineaire_bt_aerien_nu_fs" queryTableFieldId="7"/>
    <tableColumn id="8" xr3:uid="{FFF96EAE-55AF-404E-9FFF-DA59629FE681}" uniqueName="8" name="lineaire_bt_tot" queryTableFieldId="8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B9611760-76B9-46BD-892F-78A9CB895912}" name="tx_enf_densite_pop" displayName="tx_enf_densite_pop" ref="C4:L484" tableType="queryTable" totalsRowShown="0" headerRowDxfId="50" dataDxfId="49">
  <autoFilter ref="C4:L484" xr:uid="{B4185DED-E341-4AC7-A58C-2D3962CBEE6B}"/>
  <sortState xmlns:xlrd2="http://schemas.microsoft.com/office/spreadsheetml/2017/richdata2" ref="C5:L484">
    <sortCondition ref="D4:D484"/>
  </sortState>
  <tableColumns count="10">
    <tableColumn id="1" xr3:uid="{CE0D713A-4405-45B4-AA98-C0EFBFA79621}" uniqueName="1" name="perimetre" queryTableFieldId="9" dataDxfId="48"/>
    <tableColumn id="2" xr3:uid="{334B6E52-1BF2-4A42-ACE0-A70355456573}" uniqueName="2" name="code_departement" queryTableFieldId="2" dataDxfId="47"/>
    <tableColumn id="3" xr3:uid="{BF4D3F91-228D-4BD0-9622-F307C009492D}" uniqueName="3" name="taux_enf_hta_dpt" queryTableFieldId="3" dataDxfId="46"/>
    <tableColumn id="4" xr3:uid="{7AF7C2B5-437A-4F45-B7AA-3A6178A6391B}" uniqueName="4" name="densite_pop_par_km_ligne_hta" queryTableFieldId="4" dataDxfId="45"/>
    <tableColumn id="5" xr3:uid="{776A7835-23D3-4F75-8C81-69DDB68D0A31}" uniqueName="5" name="classment_tx_enf_hta" queryTableFieldId="5" dataDxfId="44"/>
    <tableColumn id="6" xr3:uid="{ED9D9951-CB6E-40B6-B824-B4AF46267233}" uniqueName="6" name="taux_secur_bt_dpt" queryTableFieldId="11" dataDxfId="43"/>
    <tableColumn id="10" xr3:uid="{A1B4BDB8-0610-42E3-98FA-2A35E8B45CCF}" uniqueName="10" name="taux_sout_bt_dpt" queryTableFieldId="17"/>
    <tableColumn id="7" xr3:uid="{CFACC9D6-E01A-4158-B402-54D341370F48}" uniqueName="7" name="densite_pop_par_km_ligne_bt" queryTableFieldId="7" dataDxfId="42"/>
    <tableColumn id="8" xr3:uid="{F4AE9450-0043-4D2C-80F3-FC228FE95123}" uniqueName="8" name="classment_tx_enf_bt" queryTableFieldId="8" dataDxfId="41"/>
    <tableColumn id="9" xr3:uid="{3C553741-C45E-41CC-B036-7E3DD19EE762}" uniqueName="9" name="annee" queryTableFieldId="13" dataDxfId="40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A5637B5-8AB4-45A6-8707-A5C03668F7B4}" name="tx_enf_par_annee" displayName="tx_enf_par_annee" ref="N4:S35" tableType="queryTable" totalsRowShown="0" headerRowDxfId="39" dataDxfId="38">
  <autoFilter ref="N4:S35" xr:uid="{99DE2DA1-C1E0-49C0-A9BD-D0DC2F97404D}"/>
  <tableColumns count="6">
    <tableColumn id="6" xr3:uid="{35A4E8BE-9E5B-4641-9329-4AC6119CD550}" uniqueName="6" name="perimetre" queryTableFieldId="6" dataDxfId="37"/>
    <tableColumn id="2" xr3:uid="{4771390A-01F0-461F-A1EB-8EDA2DBE2ED1}" uniqueName="2" name="code_departement" queryTableFieldId="2" dataDxfId="36"/>
    <tableColumn id="3" xr3:uid="{54A2346E-0FF0-452C-BD4D-2761B7057451}" uniqueName="3" name="annee" queryTableFieldId="3" dataDxfId="35"/>
    <tableColumn id="4" xr3:uid="{92DA7408-B55C-4B4E-888C-D76C4EF68085}" uniqueName="4" name="tx_enf_hta" queryTableFieldId="4" dataDxfId="34"/>
    <tableColumn id="5" xr3:uid="{4EAAA938-A248-423F-B6F3-D8D008F1C759}" uniqueName="5" name="tx_enf_bt" queryTableFieldId="5" dataDxfId="33"/>
    <tableColumn id="1" xr3:uid="{8394FE4E-138A-46BF-A725-0ACCFE90B17E}" uniqueName="1" name="tx_enf_hta_bt" queryTableFieldId="8" dataDxfId="32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3F65F57-A4AC-441F-A1BA-1CFFA9B48EA5}" name="cli_01" displayName="cli_01" ref="C4:H9" tableType="queryTable" totalsRowShown="0">
  <autoFilter ref="C4:H9" xr:uid="{AF1E9AF9-6C38-484F-A211-6C6FC3907F21}"/>
  <tableColumns count="6">
    <tableColumn id="1" xr3:uid="{B0A556A5-C4B2-419E-B380-AE450EEA8F42}" uniqueName="1" name="client" queryTableFieldId="1" dataDxfId="31"/>
    <tableColumn id="2" xr3:uid="{54A45FC6-1306-4526-80FB-FC5F5CE7BC1A}" uniqueName="2" name="annee" queryTableFieldId="2"/>
    <tableColumn id="3" xr3:uid="{0C0BC525-3150-4493-B473-010B4C592AA9}" uniqueName="3" name="hta" queryTableFieldId="3"/>
    <tableColumn id="4" xr3:uid="{DB94A708-3421-4E2E-87F0-5A11477F50EA}" uniqueName="4" name="bt_sup_36" queryTableFieldId="4"/>
    <tableColumn id="5" xr3:uid="{45E44333-6CCD-4787-8DFB-367600B9751B}" uniqueName="5" name="bt_inf_36" queryTableFieldId="5"/>
    <tableColumn id="6" xr3:uid="{22A4C140-6BC6-4CFD-9A9D-16C4B87B235D}" uniqueName="6" name="total" queryTableFieldId="6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01F5D23-B2FE-4CB2-ADB6-FA7247939E6F}" name="cli_02" displayName="cli_02" ref="L4:Q9" tableType="queryTable" totalsRowShown="0">
  <autoFilter ref="L4:Q9" xr:uid="{10DEA222-B685-4AEA-8B17-24AFD3CDB3C0}"/>
  <tableColumns count="6">
    <tableColumn id="1" xr3:uid="{50C4A258-D565-439C-B4E5-71AC57BDFB7E}" uniqueName="1" name="client" queryTableFieldId="1" dataDxfId="30"/>
    <tableColumn id="2" xr3:uid="{400FEE44-EFD7-4CE3-ACFA-091421252F0B}" uniqueName="2" name="annee" queryTableFieldId="2"/>
    <tableColumn id="3" xr3:uid="{0CC52CD3-7836-4573-B09E-B4F33E7F54AD}" uniqueName="3" name="hta" queryTableFieldId="3"/>
    <tableColumn id="4" xr3:uid="{D740D19E-F59F-4BD5-8ABC-780BF8087BFD}" uniqueName="4" name="bt_sup_36" queryTableFieldId="4"/>
    <tableColumn id="5" xr3:uid="{49218A72-B4B1-4085-9956-BB10B56EE562}" uniqueName="5" name="bt_inf_36" queryTableFieldId="5"/>
    <tableColumn id="6" xr3:uid="{5E625AAC-8225-4B74-8A43-738A29E3EEB6}" uniqueName="6" name="total" queryTableFieldId="6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40A41F74-A76F-449A-A22B-8B18F9691474}" name="cli_03" displayName="cli_03" ref="U4:Z9" tableType="queryTable" totalsRowShown="0">
  <autoFilter ref="U4:Z9" xr:uid="{0CFE078E-1AA3-48DB-BC30-97318C1074A8}"/>
  <tableColumns count="6">
    <tableColumn id="1" xr3:uid="{9018D21A-0060-47CF-A412-9B6FC231ED02}" uniqueName="1" name="client" queryTableFieldId="1"/>
    <tableColumn id="2" xr3:uid="{FA0F2AB5-F118-4DC9-A487-7541B3F71EC2}" uniqueName="2" name="annee" queryTableFieldId="2"/>
    <tableColumn id="3" xr3:uid="{E2BC0A4E-70F0-4265-8108-AE70A2E0DC8A}" uniqueName="3" name="hta" queryTableFieldId="3"/>
    <tableColumn id="4" xr3:uid="{4530397E-7A9C-4971-9735-0ADCBD2CD3F8}" uniqueName="4" name="bt_sup_36" queryTableFieldId="4"/>
    <tableColumn id="5" xr3:uid="{24E18580-5DC8-4159-8008-94E0D5527360}" uniqueName="5" name="bt_inf_36" queryTableFieldId="5"/>
    <tableColumn id="6" xr3:uid="{4BB49C98-07BF-4B23-A32C-E7225C52C3C8}" uniqueName="6" name="total" queryTableFieldId="6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3786ECB-17A3-44C9-83FB-42B7CBD7B33D}" name="cli_04" displayName="cli_04" ref="AD4:AI9" tableType="queryTable" totalsRowShown="0">
  <autoFilter ref="AD4:AI9" xr:uid="{7D17151D-0EB7-47B9-A440-C02337A2AA37}"/>
  <tableColumns count="6">
    <tableColumn id="1" xr3:uid="{512733CA-9549-48EE-B376-00FE03CAF648}" uniqueName="1" name="client" queryTableFieldId="1"/>
    <tableColumn id="2" xr3:uid="{278CD16A-82E7-4563-BAD6-F2F7499959E1}" uniqueName="2" name="annee" queryTableFieldId="2"/>
    <tableColumn id="3" xr3:uid="{5EE8719E-4F27-47D6-A099-C84ED1913D99}" uniqueName="3" name="hta" queryTableFieldId="3"/>
    <tableColumn id="4" xr3:uid="{D9EB4B59-AF88-4F04-9C8C-8E65C787F664}" uniqueName="4" name="bt_sup_36" queryTableFieldId="4"/>
    <tableColumn id="5" xr3:uid="{AA2D44B8-F5EA-4F31-8C1A-45A9A4057595}" uniqueName="5" name="bt_inf_36" queryTableFieldId="5"/>
    <tableColumn id="6" xr3:uid="{714D703D-0B1A-44B8-8B2B-06D41A144ECC}" uniqueName="6" name="total" queryTableFieldId="6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858CBA33-E243-48B0-92DF-BC5480D8D2BA}" name="cli_05" displayName="cli_05" ref="AM4:AR9" tableType="queryTable" totalsRowShown="0">
  <autoFilter ref="AM4:AR9" xr:uid="{41E8CA11-D4A0-4FA9-82D9-F7BFBA8D45E0}"/>
  <tableColumns count="6">
    <tableColumn id="1" xr3:uid="{39893019-D2A8-4DA9-80F3-03BCCCB2C7BA}" uniqueName="1" name="client" queryTableFieldId="1"/>
    <tableColumn id="2" xr3:uid="{F0283F09-F824-4BAE-A1C9-08ED885D42A7}" uniqueName="2" name="annee" queryTableFieldId="2"/>
    <tableColumn id="3" xr3:uid="{11C7BA7D-22E3-476D-8DC9-E75B822F6366}" uniqueName="3" name="hta" queryTableFieldId="3"/>
    <tableColumn id="4" xr3:uid="{81CB29B2-CFAB-45C0-9CA9-1E41F356FCCE}" uniqueName="4" name="bt_sup_36" queryTableFieldId="4"/>
    <tableColumn id="5" xr3:uid="{3CCCB02C-5C75-4425-A2FF-EA8B6F53CA67}" uniqueName="5" name="bt_inf_36" queryTableFieldId="5"/>
    <tableColumn id="6" xr3:uid="{67B0BC2B-2787-4B87-B3D4-1A193C28CB03}" uniqueName="6" name="total" queryTableFieldId="6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786EBA85-95DF-4A8E-8FDD-44A1584E0191}" name="cli_06" displayName="cli_06" ref="AV4:BB8" tableType="queryTable" totalsRowShown="0">
  <autoFilter ref="AV4:BB8" xr:uid="{EB25E7E4-F6C0-426C-A7A6-4E0FC87C78A3}"/>
  <tableColumns count="7">
    <tableColumn id="1" xr3:uid="{B90EB01C-FF25-483B-8D40-48B4FA42D948}" uniqueName="1" name="client" queryTableFieldId="1"/>
    <tableColumn id="2" xr3:uid="{B187F580-37B8-46D1-A56D-740B760E1DEC}" uniqueName="2" name="annee" queryTableFieldId="2"/>
    <tableColumn id="3" xr3:uid="{2EE5E417-929C-426C-8852-C0A4CB182E60}" uniqueName="3" name="nbr_photo" queryTableFieldId="3"/>
    <tableColumn id="4" xr3:uid="{9BF640BC-1125-4569-B49B-D3E702621514}" uniqueName="4" name="nbr_eolien" queryTableFieldId="4"/>
    <tableColumn id="5" xr3:uid="{E15F01DE-15B7-434D-B6FF-8D881A051B0B}" uniqueName="5" name="nbr_hydraulique" queryTableFieldId="5"/>
    <tableColumn id="6" xr3:uid="{6AE817F6-363D-4E5C-92EF-B912A82B97C0}" uniqueName="6" name="nbr_autre" queryTableFieldId="6"/>
    <tableColumn id="7" xr3:uid="{CAEE69B0-A889-4A7A-B128-B2B5073D8311}" uniqueName="7" name="total" queryTableFieldId="7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073BC57-C669-4C03-BA29-0E9F329D2F10}" name="cli_07" displayName="cli_07" ref="BF4:BJ8" tableType="queryTable" totalsRowShown="0">
  <autoFilter ref="BF4:BJ8" xr:uid="{0ED32964-EE15-41C4-A5DD-A1F6D212318D}"/>
  <tableColumns count="5">
    <tableColumn id="1" xr3:uid="{E79022AA-5B58-4D71-8D1A-35D8C0D3685C}" uniqueName="1" name="client" queryTableFieldId="1"/>
    <tableColumn id="2" xr3:uid="{3D537128-9D2D-4186-B637-50AEF00328B0}" uniqueName="2" name="annee" queryTableFieldId="2"/>
    <tableColumn id="3" xr3:uid="{499D085C-A868-4C76-A491-6B7FE56B8B74}" uniqueName="3" name="nbr_pdl_residentiel" queryTableFieldId="3"/>
    <tableColumn id="4" xr3:uid="{D0A53331-0C9B-4DA1-BDDD-9147D987F86D}" uniqueName="4" name="nbr_pdl_non_residentiel" queryTableFieldId="4"/>
    <tableColumn id="5" xr3:uid="{8EE10DF4-07D0-41B8-8205-F766EFE5E032}" uniqueName="5" name="nbr_pdl_total" queryTableFieldId="5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60DF0FF-0F29-4725-AD1C-483BB1B816F7}" name="cli_08" displayName="cli_08" ref="BN4:BR8" tableType="queryTable" totalsRowShown="0">
  <autoFilter ref="BN4:BR8" xr:uid="{27DF70EE-C770-4128-9E1D-231D1BD97FAE}"/>
  <tableColumns count="5">
    <tableColumn id="1" xr3:uid="{E2266538-15BC-432C-800F-EA62248A0C1D}" uniqueName="1" name="client" queryTableFieldId="1"/>
    <tableColumn id="2" xr3:uid="{7A4B904E-33AF-45AB-8F7C-C46566EEB5C7}" uniqueName="2" name="annee" queryTableFieldId="2"/>
    <tableColumn id="3" xr3:uid="{2816DDF7-A27C-4509-AEDE-90DED1F0E9F8}" uniqueName="3" name="tx_contrat_trv_residentiel" queryTableFieldId="3"/>
    <tableColumn id="4" xr3:uid="{E88C25C1-A496-4D15-8101-90D87E81CDAB}" uniqueName="4" name="tx_contrat_trv_non_residentiel" queryTableFieldId="4"/>
    <tableColumn id="5" xr3:uid="{56A642C8-2936-4899-A80B-284BB8955B63}" uniqueName="5" name="tx_contrat_trv_total" queryTableFieldId="5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2601A75C-3A18-45DC-98BA-900CF5911F43}" name="cli_09" displayName="cli_09" ref="BV4:BZ8" tableType="queryTable" totalsRowShown="0">
  <autoFilter ref="BV4:BZ8" xr:uid="{52A856A9-5DB4-4AC3-98C4-011C7A9BF539}"/>
  <tableColumns count="5">
    <tableColumn id="1" xr3:uid="{BB7E4C1C-9EC3-4201-A37D-F3A9376059AB}" uniqueName="1" name="client" queryTableFieldId="1"/>
    <tableColumn id="2" xr3:uid="{8AC4F5B0-81E8-447F-B3EC-AB8214B45B6F}" uniqueName="2" name="annee" queryTableFieldId="2"/>
    <tableColumn id="3" xr3:uid="{50353E17-3597-46E0-81C5-06E1C65F6000}" uniqueName="3" name="qte_energie_residentiel" queryTableFieldId="3"/>
    <tableColumn id="4" xr3:uid="{0409C484-703A-4363-92B9-94446CAFE02C}" uniqueName="4" name="qte_energie_non_residentiel" queryTableFieldId="4"/>
    <tableColumn id="5" xr3:uid="{A8A84D6E-4574-401D-A0C3-822CFE27E084}" uniqueName="5" name="qte_energie_tot" queryTableFieldId="5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5E31EA5-810B-447E-87BB-4C29CCD74E83}" name="cli_10" displayName="cli_10" ref="CD4:CH8" tableType="queryTable" totalsRowShown="0">
  <autoFilter ref="CD4:CH8" xr:uid="{9F600D92-0620-4EB5-A08A-48C11CD711F8}"/>
  <tableColumns count="5">
    <tableColumn id="1" xr3:uid="{4FF592A3-4A16-4E77-BA17-9ACDF4ACBAB3}" uniqueName="1" name="client" queryTableFieldId="1"/>
    <tableColumn id="2" xr3:uid="{C413C9B7-9DFA-45AA-93FF-2A88ABAD09E6}" uniqueName="2" name="annee" queryTableFieldId="2"/>
    <tableColumn id="3" xr3:uid="{93C99282-70FB-4BDE-9FA6-9CA9FF647CA2}" uniqueName="3" name="recette_trv_residentiel" queryTableFieldId="3"/>
    <tableColumn id="4" xr3:uid="{5D45A5F3-88EF-4379-A1BC-84ED1C54DABA}" uniqueName="4" name="recette_trv_non_residentiel" queryTableFieldId="4"/>
    <tableColumn id="5" xr3:uid="{C1C8DF6E-091B-40A7-A416-2998EC8C3DDE}" uniqueName="5" name="recette_trv_tot" queryTableFieldId="5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1CD1FA4F-39E3-4862-89E2-1B36015317DA}" name="cli_11" displayName="cli_11" ref="CL4:CP8" tableType="queryTable" totalsRowShown="0">
  <autoFilter ref="CL4:CP8" xr:uid="{62D27170-0686-4DD2-AC5B-A13871C66190}"/>
  <tableColumns count="5">
    <tableColumn id="1" xr3:uid="{9F4A476B-E83C-4053-A9E2-73899EB2078D}" uniqueName="1" name="client" queryTableFieldId="1"/>
    <tableColumn id="2" xr3:uid="{B36AABA2-B611-4327-9F6A-27E1DCA784D1}" uniqueName="2" name="annee" queryTableFieldId="2"/>
    <tableColumn id="3" xr3:uid="{015067A0-B4B8-4890-8178-DAF7DBCE6FAE}" uniqueName="3" name="puissance_trv_residentiel" queryTableFieldId="3"/>
    <tableColumn id="4" xr3:uid="{EB3A7A47-D6B2-46D5-A3AA-62507C89C49F}" uniqueName="4" name="puissance_trv_non_residentiel" queryTableFieldId="4"/>
    <tableColumn id="5" xr3:uid="{4EC9DFB9-4194-493E-B01E-C69DDFEEDC12}" uniqueName="5" name="puissance_trv_tot" queryTableFieldId="5"/>
  </tableColumns>
  <tableStyleInfo name="TableStyleMedium7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7355F91D-3A76-4515-9BF5-117132762CE8}" name="cli_13" displayName="cli_13" ref="CT4:CW31" tableType="queryTable" totalsRowShown="0">
  <autoFilter ref="CT4:CW31" xr:uid="{3B3B61A9-6E49-4F89-AC3B-CAAFD525EC7C}"/>
  <tableColumns count="4">
    <tableColumn id="1" xr3:uid="{A8B87B2C-44E9-48E6-A498-A70D226177F9}" uniqueName="1" name="client" queryTableFieldId="1"/>
    <tableColumn id="2" xr3:uid="{A9CF8D7F-0621-4034-9B02-B69D9A2C7C64}" uniqueName="2" name="annee" queryTableFieldId="2"/>
    <tableColumn id="3" xr3:uid="{5C0702F1-5E63-4C8E-9101-C544061DE125}" uniqueName="3" name="nature_demande" queryTableFieldId="3"/>
    <tableColumn id="4" xr3:uid="{57393E7E-9396-44F0-9241-875A0B71A8B0}" uniqueName="4" name="nbr_recla_enedis" queryTableFieldId="4"/>
  </tableColumns>
  <tableStyleInfo name="TableStyleMedium7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87341CF-256E-482B-899F-8E6BEFEBFA55}" name="cli_14" displayName="cli_14" ref="DA4:DD46" tableType="queryTable" totalsRowShown="0">
  <autoFilter ref="DA4:DD46" xr:uid="{E2DA499A-AB4C-4AE3-9256-41665F2F2688}"/>
  <tableColumns count="4">
    <tableColumn id="1" xr3:uid="{B4F97C52-43A5-494A-800B-62A09E0222A7}" uniqueName="1" name="client" queryTableFieldId="1"/>
    <tableColumn id="2" xr3:uid="{851C1B5A-353D-4A48-A2FF-76626A03541F}" uniqueName="2" name="annee" queryTableFieldId="2"/>
    <tableColumn id="3" xr3:uid="{3974A204-EBD3-4B44-B5C4-F3D6C4DEB1D8}" uniqueName="3" name="motif" queryTableFieldId="3"/>
    <tableColumn id="4" xr3:uid="{D75562F4-A7BD-477A-B647-CB1C94D7157C}" uniqueName="4" name="nbr_recla_edf" queryTableFieldId="4"/>
  </tableColumns>
  <tableStyleInfo name="TableStyleMedium7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FE097746-6E67-4A6D-BAF1-A1E019D4A447}" name="cli_15" displayName="cli_15" ref="DG4:DJ8" tableType="queryTable" totalsRowShown="0">
  <autoFilter ref="DG4:DJ8" xr:uid="{3834A047-93F8-4C5E-94FC-41346C081F68}"/>
  <tableColumns count="4">
    <tableColumn id="1" xr3:uid="{83E9ACF1-CFAD-40F3-A434-96152D537FCB}" uniqueName="1" name="client" queryTableFieldId="1"/>
    <tableColumn id="2" xr3:uid="{14B61CDC-272A-4ED7-9E36-CA7C14B84FF1}" uniqueName="2" name="annee" queryTableFieldId="2"/>
    <tableColumn id="3" xr3:uid="{2243C352-1BF6-4F7E-9D15-9F3ADFA1018E}" uniqueName="3" name="tx_reponse_30j" queryTableFieldId="3"/>
    <tableColumn id="4" xr3:uid="{082286A6-F7DC-4447-81FC-4FED1A8B7EE9}" uniqueName="4" name="tx_reponse_15j" queryTableFieldId="4"/>
  </tableColumns>
  <tableStyleInfo name="TableStyleMedium7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D8608F99-1AED-4E58-9646-F4C15B3FF02D}" name="cli_16" displayName="cli_16" ref="DN4:DQ9" tableType="queryTable" totalsRowShown="0">
  <autoFilter ref="DN4:DQ9" xr:uid="{E2D6343B-EB11-471C-9885-806284F72DA4}"/>
  <tableColumns count="4">
    <tableColumn id="1" xr3:uid="{5883108F-FBE5-4455-8A75-1DE91B0F153B}" uniqueName="1" name="client" queryTableFieldId="1"/>
    <tableColumn id="2" xr3:uid="{12B4A8CF-3018-4914-87DD-C4B8D02AB36E}" uniqueName="2" name="annee" queryTableFieldId="2"/>
    <tableColumn id="3" xr3:uid="{7F4626B2-6D97-4FCF-B2C6-FA173F8380AD}" uniqueName="3" name="tx_reponse_30j" queryTableFieldId="3"/>
    <tableColumn id="4" xr3:uid="{C43B4FB4-F4EE-449E-99C1-042E433C6599}" uniqueName="4" name="tx_reponse_15j" queryTableFieldId="4"/>
  </tableColumns>
  <tableStyleInfo name="TableStyleMedium7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EAB1D50-AEDA-4EFA-A6CC-DD433D86D345}" name="cli_17" displayName="cli_17" ref="DU4:EA8" tableType="queryTable" totalsRowShown="0">
  <autoFilter ref="DU4:EA8" xr:uid="{0BB90DA7-EB42-4038-8DDE-1EF59D39E18E}"/>
  <tableColumns count="7">
    <tableColumn id="1" xr3:uid="{345362EA-17D7-4FC7-82DB-EF430B96D7AB}" uniqueName="1" name="client" queryTableFieldId="1"/>
    <tableColumn id="2" xr3:uid="{BD576F98-3806-4325-9E30-ECE54718C866}" uniqueName="2" name="annee" queryTableFieldId="2"/>
    <tableColumn id="3" xr3:uid="{85793D19-390B-4D60-B8D0-C8E1FE58331B}" uniqueName="3" name="pui_photo_hors_dcp" queryTableFieldId="3"/>
    <tableColumn id="4" xr3:uid="{2C4C1528-3CC6-4184-AF61-25CAFA1B9FB8}" uniqueName="4" name="pui_eolien_hors_dcp" queryTableFieldId="4"/>
    <tableColumn id="5" xr3:uid="{80690572-1D94-4350-B0E8-BF2F0AAE20E9}" uniqueName="5" name="pui_hydraulique_hors_dcp" queryTableFieldId="5"/>
    <tableColumn id="6" xr3:uid="{2059E02D-9452-4DDA-8DAC-5DD90B45472B}" uniqueName="6" name="pui_autre_hors_dcp" queryTableFieldId="6"/>
    <tableColumn id="7" xr3:uid="{6BAEC8A5-1F95-4829-8E3F-DE1CD92A4009}" uniqueName="7" name="pui_total_hors_dcp" queryTableFieldId="7"/>
  </tableColumns>
  <tableStyleInfo name="TableStyleMedium7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EA3027FA-6DE1-4D0B-8E21-5B641C48F77B}" name="cli_19" displayName="cli_19" ref="EE4:EI7" tableType="queryTable" totalsRowShown="0">
  <autoFilter ref="EE4:EI7" xr:uid="{1889F27A-CA2D-4929-A80F-46FB232EBECE}"/>
  <tableColumns count="5">
    <tableColumn id="1" xr3:uid="{AEC0CFF3-0577-4366-BA0F-3582799C6666}" uniqueName="1" name="client" queryTableFieldId="1"/>
    <tableColumn id="2" xr3:uid="{566A7DBC-AC73-4428-B7B0-1DC45B53DF26}" uniqueName="2" name="annee" queryTableFieldId="2"/>
    <tableColumn id="3" xr3:uid="{F1503120-569D-4D9A-AB55-21400884F673}" uniqueName="3" name="nbr_coupures_conditionnelles" queryTableFieldId="3"/>
    <tableColumn id="4" xr3:uid="{EC4B24BF-F1EF-4A08-AEA7-CDBD012DDE05}" uniqueName="4" name="nbr_coupures_fermes" queryTableFieldId="4"/>
    <tableColumn id="5" xr3:uid="{63CDFC46-908D-44CC-9711-050860688598}" uniqueName="5" name="nbr_coupures_total" queryTableFieldId="5"/>
  </tableColumns>
  <tableStyleInfo name="TableStyleMedium7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4C305076-057A-4787-A6F8-3A3B9821EA12}" name="cli_20" displayName="cli_20" ref="EM4:EP9" tableType="queryTable" totalsRowShown="0">
  <autoFilter ref="EM4:EP9" xr:uid="{3EE6A73E-8036-4860-9F8F-4E0FCD20A856}"/>
  <tableColumns count="4">
    <tableColumn id="1" xr3:uid="{179E7931-139B-4BEC-9AB2-74918AE86B00}" uniqueName="1" name="client" queryTableFieldId="1"/>
    <tableColumn id="2" xr3:uid="{31FC9006-A360-4B8A-935E-44AC6519BCAA}" uniqueName="2" name="annee" queryTableFieldId="2"/>
    <tableColumn id="3" xr3:uid="{05B2F90D-E9EB-4ED3-9D95-47149005E7FF}" uniqueName="3" name="fsl" queryTableFieldId="3"/>
    <tableColumn id="4" xr3:uid="{B493C288-8289-4083-8DB4-448D5770CFAB}" uniqueName="4" name="nbr_dossiers" queryTableFieldId="4"/>
  </tableColumns>
  <tableStyleInfo name="TableStyleMedium7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507FF1D5-890E-4C6C-9330-08A6094B0BD0}" name="cli_21" displayName="cli_21" ref="ET4:EW6" tableType="queryTable" totalsRowShown="0">
  <autoFilter ref="ET4:EW6" xr:uid="{12E81513-6CC1-4927-A341-602B0F0D6322}"/>
  <tableColumns count="4">
    <tableColumn id="1" xr3:uid="{12F26424-8FAA-4FCB-B566-0A1A6973EA0A}" uniqueName="1" name="client" queryTableFieldId="1"/>
    <tableColumn id="2" xr3:uid="{6C63BDC3-6331-4A97-A273-52A02E7CE5EE}" uniqueName="2" name="annee" queryTableFieldId="2"/>
    <tableColumn id="3" xr3:uid="{D98AF42D-3003-4969-A48C-1C5B0AE4EED8}" uniqueName="3" name="montant_penalites" queryTableFieldId="3"/>
    <tableColumn id="4" xr3:uid="{AAECE9F3-FC7A-405B-9C28-833279E536C9}" uniqueName="4" name="nbr_penalites" queryTableFieldId="4"/>
  </tableColumns>
  <tableStyleInfo name="TableStyleMedium7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FF34C1B-153E-4D13-8155-66F80408B402}" name="cli_22" displayName="cli_22" ref="FA4:FF9" tableType="queryTable" totalsRowShown="0">
  <autoFilter ref="FA4:FF9" xr:uid="{0EE6CE22-D1E3-4F6C-8F07-7437F70763E6}"/>
  <tableColumns count="6">
    <tableColumn id="1" xr3:uid="{64A8C968-F479-4607-A9F8-77223720E1B2}" uniqueName="1" name="client" queryTableFieldId="1"/>
    <tableColumn id="2" xr3:uid="{001DE56A-5428-4BFE-A277-91BED27291F4}" uniqueName="2" name="annee" queryTableFieldId="2"/>
    <tableColumn id="3" xr3:uid="{9BE83FD5-D9E5-4615-959A-2B7F464AFDBA}" uniqueName="3" name="hta" queryTableFieldId="3"/>
    <tableColumn id="4" xr3:uid="{5D26305F-8916-4586-9970-C038DAF9B378}" uniqueName="4" name="bt_sup_36" queryTableFieldId="4"/>
    <tableColumn id="5" xr3:uid="{6904D73B-4F81-4AF7-BE7E-EA61FC398FF2}" uniqueName="5" name="bt_inf_36" queryTableFieldId="5"/>
    <tableColumn id="6" xr3:uid="{C7401BF3-4A64-413D-979D-AD651FE9B06A}" uniqueName="6" name="total" queryTableFieldId="6"/>
  </tableColumns>
  <tableStyleInfo name="TableStyleMedium7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22822538-3418-4734-94DF-23C7630BDD2D}" name="cli_23" displayName="cli_23" ref="FJ4:FO9" tableType="queryTable" totalsRowShown="0">
  <autoFilter ref="FJ4:FO9" xr:uid="{CA3043E4-8FBD-4855-9FA9-1349CA6B25FE}"/>
  <tableColumns count="6">
    <tableColumn id="1" xr3:uid="{2EBCAA47-EC0E-4563-8B93-77EC51878C6A}" uniqueName="1" name="client" queryTableFieldId="1"/>
    <tableColumn id="2" xr3:uid="{15A22EF0-45F3-4046-843A-50A2F162C425}" uniqueName="2" name="annee" queryTableFieldId="2"/>
    <tableColumn id="3" xr3:uid="{88A8522B-67BE-4C03-A239-B4C4C949DA7A}" uniqueName="3" name="tx_mes_install_delais_catalogue" queryTableFieldId="3"/>
    <tableColumn id="4" xr3:uid="{9D409C9D-788D-42CD-9643-AE84A2133DFB}" uniqueName="4" name="tx_devis_envoye_delai_soutirage" queryTableFieldId="4"/>
    <tableColumn id="5" xr3:uid="{65C71F97-97D7-4E09-9022-CF5DB5121253}" uniqueName="5" name="tx_access_accueil_raccordement_tel" queryTableFieldId="5"/>
    <tableColumn id="6" xr3:uid="{B53B6528-AE02-4459-8771-654302103E98}" uniqueName="6" name="tx_devis_envoye_delai_injection" queryTableFieldId="6"/>
  </tableColumns>
  <tableStyleInfo name="TableStyleMedium7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ABF747B9-BDE8-4499-8778-4DB0B2422F80}" name="cli_24" displayName="cli_24" ref="FS4:FV9" tableType="queryTable" totalsRowShown="0">
  <autoFilter ref="FS4:FV9" xr:uid="{E5244D18-EF35-4CED-836C-E6C8DD126FEA}"/>
  <tableColumns count="4">
    <tableColumn id="1" xr3:uid="{B549DEF6-05DB-4F16-915F-E56EB9E3C37B}" uniqueName="1" name="client" queryTableFieldId="1"/>
    <tableColumn id="2" xr3:uid="{38A29C2E-B685-4EC9-851E-218782667479}" uniqueName="2" name="annee" queryTableFieldId="2"/>
    <tableColumn id="3" xr3:uid="{FB1F814F-F157-41CD-8852-A4458F32C9B2}" uniqueName="3" name="jours_prod_devis_raccordement_soutirage" queryTableFieldId="3"/>
    <tableColumn id="4" xr3:uid="{BC8947AF-3BAC-4D5D-83D0-52FCBF07BADB}" uniqueName="4" name="jours_prod_devis_raccordement_injection" queryTableFieldId="4"/>
  </tableColumns>
  <tableStyleInfo name="TableStyleMedium7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72198B9-4808-406F-A798-8D185279F592}" name="cli_25" displayName="cli_25" ref="FZ4:GC19" tableType="queryTable" totalsRowShown="0">
  <autoFilter ref="FZ4:GC19" xr:uid="{8EA706AD-C134-4D26-87B5-AEB10A5D3955}"/>
  <tableColumns count="4">
    <tableColumn id="1" xr3:uid="{64C41222-61B0-4340-A94C-153F4394367B}" uniqueName="1" name="client" queryTableFieldId="1"/>
    <tableColumn id="2" xr3:uid="{CCB93AF5-1B4B-4D3E-8687-2C205F458F77}" uniqueName="2" name="annee" queryTableFieldId="2"/>
    <tableColumn id="3" xr3:uid="{88CEF883-3D1C-411C-9EC4-C0402C675A56}" uniqueName="3" name="libelle" queryTableFieldId="3"/>
    <tableColumn id="4" xr3:uid="{97E93011-8F0A-4AAA-A32C-889D3BFDEBDC}" uniqueName="4" name="tx_reussite_appel_tel" queryTableFieldId="4" dataDxfId="29"/>
  </tableColumns>
  <tableStyleInfo name="TableStyleMedium7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A0FE41EF-F7DC-4424-A558-B80204E53065}" name="cli_27" displayName="cli_27" ref="GN4:GQ7" tableType="queryTable" totalsRowShown="0">
  <autoFilter ref="GN4:GQ7" xr:uid="{B5EC3E13-F191-4280-B35A-E48E987FC580}"/>
  <tableColumns count="4">
    <tableColumn id="1" xr3:uid="{A61D0D34-1056-4523-8FA0-EC82D94D4859}" uniqueName="1" name="client" queryTableFieldId="1"/>
    <tableColumn id="2" xr3:uid="{E57768DB-22CD-4C1E-A18F-2AA59ECC915D}" uniqueName="2" name="annee" queryTableFieldId="2"/>
    <tableColumn id="3" xr3:uid="{F1AF4826-955D-4616-AB24-2E95D01C2F71}" uniqueName="3" name="tx_contrat_br_preleve" queryTableFieldId="3"/>
    <tableColumn id="4" xr3:uid="{2C376324-CC5C-4968-916F-990AAE6666DB}" uniqueName="4" name="tx_contrat_br_mensualises" queryTableFieldId="4"/>
  </tableColumns>
  <tableStyleInfo name="TableStyleMedium7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228D0E9-B36E-4338-97A4-F9EE83F35665}" name="cli_28" displayName="cli_28" ref="GU4:GZ7" tableType="queryTable" totalsRowShown="0">
  <autoFilter ref="GU4:GZ7" xr:uid="{5790F9B9-81F5-4463-BB53-8CE31B5A9474}"/>
  <tableColumns count="6">
    <tableColumn id="1" xr3:uid="{F8ACD51E-D886-49BF-9A65-E83F95B77CFD}" uniqueName="1" name="client" queryTableFieldId="1"/>
    <tableColumn id="2" xr3:uid="{A177DA09-B3A0-4E74-911D-F14FD6B156F0}" uniqueName="2" name="annee" queryTableFieldId="2"/>
    <tableColumn id="3" xr3:uid="{78A56535-780D-4DCE-8DB5-DE64EE174A67}" uniqueName="3" name="tx_contrat_br_preleve" queryTableFieldId="3"/>
    <tableColumn id="4" xr3:uid="{BC7AF531-AA36-4A29-9699-CFC3F5FBC771}" uniqueName="4" name="tx_contrat_br_mensualises" queryTableFieldId="4"/>
    <tableColumn id="5" xr3:uid="{4815F7F0-9822-466A-AAC7-BCDAC8401B77}" uniqueName="5" name="tx_contrat_bnr_preleve" queryTableFieldId="5"/>
    <tableColumn id="6" xr3:uid="{234EE2A5-C4AB-4447-A3E9-E085AFC283EC}" uniqueName="6" name="tx_contrat_bnr_mensualises" queryTableFieldId="6"/>
  </tableColumns>
  <tableStyleInfo name="TableStyleMedium7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CF8EF02-25C2-4311-B631-9976EFD1F1F6}" name="cli_29" displayName="cli_29" ref="HD4:HH9" tableType="queryTable" totalsRowShown="0">
  <autoFilter ref="HD4:HH9" xr:uid="{F9FE98AF-4DEF-4D67-875B-50AE5E289840}"/>
  <tableColumns count="5">
    <tableColumn id="1" xr3:uid="{016EA0CB-D6F7-4048-9485-6AFB1D66CC28}" uniqueName="1" name="client" queryTableFieldId="1"/>
    <tableColumn id="2" xr3:uid="{34E33E42-6C1D-4FB3-A38B-2B43D8586730}" uniqueName="2" name="annee" queryTableFieldId="2"/>
    <tableColumn id="3" xr3:uid="{0B53AB9A-BA98-433F-990E-3B0A0442B555}" uniqueName="3" name="nbr_coupures_demandees_par_fournisseur" queryTableFieldId="3"/>
    <tableColumn id="4" xr3:uid="{8CAE5671-A8E2-4FDD-896D-4D754D447FBE}" uniqueName="4" name="nbr_coupures_effectives" queryTableFieldId="4"/>
    <tableColumn id="5" xr3:uid="{0957D799-FB1C-464C-83DE-73F84B484651}" uniqueName="5" name="nbr_clients_realimentes_hiver" queryTableFieldId="5"/>
  </tableColumns>
  <tableStyleInfo name="TableStyleMedium7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6D2BBC0-AA43-449B-90D2-7710459FFC7D}" name="cli_30" displayName="cli_30" ref="HL4:HO19" tableType="queryTable" totalsRowShown="0">
  <autoFilter ref="HL4:HO19" xr:uid="{F65B45FC-472F-4BEF-B796-9685B2AE7F4C}"/>
  <tableColumns count="4">
    <tableColumn id="1" xr3:uid="{3E6E5C3E-4159-4D97-B476-47013A31C83D}" uniqueName="1" name="client" queryTableFieldId="1"/>
    <tableColumn id="2" xr3:uid="{EBBBC7E0-A93B-43BF-8FAA-566DB9AD2112}" uniqueName="2" name="annee" queryTableFieldId="2"/>
    <tableColumn id="3" xr3:uid="{25354D01-1BA2-4C89-B3E2-8024DB880C6E}" uniqueName="3" name="libelle_crac" queryTableFieldId="6"/>
    <tableColumn id="4" xr3:uid="{2B71FDDB-CE85-4EC3-94E7-08F787D83586}" uniqueName="4" name="valeur" queryTableFieldId="7"/>
  </tableColumns>
  <tableStyleInfo name="TableStyleMedium7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D8EF6879-0C78-4029-B8BB-24E328D6ADB0}" name="cli_26" displayName="cli_26" ref="GG4:GJ40" tableType="queryTable" totalsRowShown="0">
  <autoFilter ref="GG4:GJ40" xr:uid="{FE2C25EC-2D96-401A-8F47-F9DCA1CA0286}"/>
  <tableColumns count="4">
    <tableColumn id="1" xr3:uid="{C71D587A-1E6D-4538-A149-08D1890270B9}" uniqueName="1" name="client" queryTableFieldId="1" dataDxfId="28"/>
    <tableColumn id="2" xr3:uid="{A741BE29-FBB2-42DC-87E1-E1BF6D7B7577}" uniqueName="2" name="annee" queryTableFieldId="2"/>
    <tableColumn id="3" xr3:uid="{A5F5FD94-DD47-40D6-BA46-DA95B02AD092}" uniqueName="3" name="libelle_crac" queryTableFieldId="3" dataDxfId="27"/>
    <tableColumn id="4" xr3:uid="{992B5679-FD5C-47B6-8EAC-E1715F2F2C08}" uniqueName="4" name="valeur" queryTableFieldId="4" dataDxfId="26"/>
  </tableColumns>
  <tableStyleInfo name="TableStyleMedium7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41803FF9-5FDB-48E1-9954-48C634276C8B}" name="cli_34" displayName="cli_34" ref="HQ4:HT9" tableType="queryTable" totalsRowShown="0">
  <autoFilter ref="HQ4:HT9" xr:uid="{877831AD-2FE2-4809-B256-37DE214651AA}"/>
  <tableColumns count="4">
    <tableColumn id="1" xr3:uid="{9FC86E89-4ACB-4C6E-BF3A-27A2EC21ACDE}" uniqueName="1" name="client" queryTableFieldId="1"/>
    <tableColumn id="2" xr3:uid="{A465A649-9AEA-44AB-B4C3-24F83C0FDC16}" uniqueName="2" name="annee" queryTableFieldId="2"/>
    <tableColumn id="3" xr3:uid="{824AEC0D-E43A-45D4-AB27-0AFFF5B6F532}" uniqueName="3" name="libelle_crac" queryTableFieldId="3"/>
    <tableColumn id="4" xr3:uid="{1224129A-C41A-440E-8BBA-03ECF141E911}" uniqueName="4" name="valeur" queryTableFieldId="4"/>
  </tableColumns>
  <tableStyleInfo name="TableStyleMedium7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F9E2EF77-6083-4C82-A2CD-67F9FD679883}" name="coherence_inventaire_synthese_01" displayName="coherence_inventaire_synthese_01" ref="C4:AH5" tableType="queryTable" insertRow="1" totalsRowShown="0">
  <autoFilter ref="C4:AH5" xr:uid="{63D29A54-2939-4508-A823-16A763340DD4}"/>
  <tableColumns count="32">
    <tableColumn id="1" xr3:uid="{DB5B89CD-4812-4BF7-B936-4CB5E9C4BECD}" uniqueName="1" name="client" queryTableFieldId="1"/>
    <tableColumn id="2" xr3:uid="{CB25C2AE-EF38-4E52-9896-D54F38E46B04}" uniqueName="2" name="annee" queryTableFieldId="2"/>
    <tableColumn id="3" xr3:uid="{028EF269-8756-407F-AF21-6F37D396441A}" uniqueName="3" name="lineaire_tot_hta_inv_tech" queryTableFieldId="3"/>
    <tableColumn id="4" xr3:uid="{FA34B099-09AE-4306-90E9-29232E18E29C}" uniqueName="4" name="lineaire_tot_hta_compt" queryTableFieldId="4"/>
    <tableColumn id="5" xr3:uid="{BD31C5B0-01AC-4A75-AC65-D32106EF1C7B}" uniqueName="5" name="ecart_concession_tot_hta_qte" queryTableFieldId="5"/>
    <tableColumn id="6" xr3:uid="{55FD3299-E177-46C6-913D-E8A586C832CE}" uniqueName="6" name="ecart_concession_tot_hta_percent" queryTableFieldId="6"/>
    <tableColumn id="7" xr3:uid="{568B51FC-B1E0-447B-B3A3-43442EBB8BBA}" uniqueName="7" name="ecart_commune_tot_hta_qte" queryTableFieldId="7"/>
    <tableColumn id="8" xr3:uid="{1333C87D-3C3F-4373-879A-1F75E54C8484}" uniqueName="8" name="ecart_commune_tot_hta_percent" queryTableFieldId="8"/>
    <tableColumn id="9" xr3:uid="{158EC229-3100-4463-8D47-A35AECEA2E61}" uniqueName="9" name="lineaire_tot_bt_inv_tech" queryTableFieldId="9"/>
    <tableColumn id="10" xr3:uid="{7E7158D0-05D1-46F0-9462-E724D1F8C69C}" uniqueName="10" name="lineaire_tot_bt_compt" queryTableFieldId="10"/>
    <tableColumn id="11" xr3:uid="{A4824595-F313-4E52-B9C3-0A7BD8E7DF8E}" uniqueName="11" name="ecart_concession_tot_bt_qte" queryTableFieldId="11"/>
    <tableColumn id="12" xr3:uid="{C808F64B-D355-41C2-B2E2-954B01C65FF7}" uniqueName="12" name="ecart_concession_tot_bt_percent" queryTableFieldId="12"/>
    <tableColumn id="13" xr3:uid="{9A94973B-1F35-4A31-88FE-BD62A4ACDEAE}" uniqueName="13" name="ecart_commune_tot_bt_qte" queryTableFieldId="13"/>
    <tableColumn id="14" xr3:uid="{6C90CC80-3F11-41A3-834E-A35616D380B4}" uniqueName="14" name="ecart_commune_tot_bt_percent" queryTableFieldId="14"/>
    <tableColumn id="15" xr3:uid="{406FC8A8-E2ED-4C92-9E18-83F7802B2978}" uniqueName="15" name="nbr_postes_inv_tech" queryTableFieldId="15"/>
    <tableColumn id="16" xr3:uid="{D94B3093-7237-43CC-87BC-184B3BB65286}" uniqueName="16" name="postes_compt" queryTableFieldId="16"/>
    <tableColumn id="17" xr3:uid="{6E2C74D7-6CA1-480B-9BA0-C9C8F50A902A}" uniqueName="17" name="ecart_concession_postes_qte" queryTableFieldId="17"/>
    <tableColumn id="18" xr3:uid="{D33CD9F8-6543-46C5-AA56-144BA24F964B}" uniqueName="18" name="ecart_concession_postes_percent" queryTableFieldId="18"/>
    <tableColumn id="19" xr3:uid="{DAB934DE-2B0E-4C38-934E-FB892D39337B}" uniqueName="19" name="ecart_commune_postes_qte" queryTableFieldId="19"/>
    <tableColumn id="20" xr3:uid="{19A5DF10-5348-445E-BD4B-E0C82ED296DB}" uniqueName="20" name="ecart_commune_postes_percent" queryTableFieldId="20"/>
    <tableColumn id="21" xr3:uid="{558A6A2D-97A3-434A-A6A3-02D478C258A7}" uniqueName="21" name="nbr_transfos_inv_tech" queryTableFieldId="21"/>
    <tableColumn id="22" xr3:uid="{3248168E-2477-4F2C-AD27-B28CF2CFB40D}" uniqueName="22" name="transfos_compt" queryTableFieldId="22"/>
    <tableColumn id="23" xr3:uid="{2E3454B3-4BCA-4D33-BC78-F1BE27105FCA}" uniqueName="23" name="ecart_concession_transfos_qte" queryTableFieldId="23"/>
    <tableColumn id="24" xr3:uid="{CBC5F751-3364-4DE1-AC4D-522AAF6D2E1F}" uniqueName="24" name="ecart_concession_transfos_percent" queryTableFieldId="24"/>
    <tableColumn id="25" xr3:uid="{C25F2D31-1EAB-4EC8-AA2A-D474528D8A64}" uniqueName="25" name="ecart_commune_transfos_qte" queryTableFieldId="25"/>
    <tableColumn id="26" xr3:uid="{6FBF7552-EADE-4555-BF6A-D61E9CA4B40C}" uniqueName="26" name="ecart_commune_transfos_percent" queryTableFieldId="26"/>
    <tableColumn id="27" xr3:uid="{71D42FAB-AA20-487B-8D3B-0AED66D0E77A}" uniqueName="27" name="nbr_ocb_inv_tech" queryTableFieldId="27"/>
    <tableColumn id="28" xr3:uid="{22BF9E08-0CD4-4C0B-9400-838659156810}" uniqueName="28" name="ocb_compt" queryTableFieldId="28"/>
    <tableColumn id="29" xr3:uid="{38E2B994-371B-4892-8479-E228073AFF20}" uniqueName="29" name="ecart_concession_ocb_qte" queryTableFieldId="29"/>
    <tableColumn id="30" xr3:uid="{48AE015E-68DD-48AC-812D-580E3DE711F6}" uniqueName="30" name="ecart_concession_ocb_percent" queryTableFieldId="30"/>
    <tableColumn id="31" xr3:uid="{E8E75A10-375D-4181-838D-FE7AECB0C64A}" uniqueName="31" name="ecart_commune_ocb_qte" queryTableFieldId="31"/>
    <tableColumn id="32" xr3:uid="{B032AF04-A9CE-4125-AB76-E6FA662CE222}" uniqueName="32" name="ecart_commune_ocb_percent" queryTableFieldId="32"/>
  </tableColumns>
  <tableStyleInfo name="TableStyleMedium7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9E04F0E3-53C5-4B6B-B981-DAAF5ED3CBA9}" name="coherence_inventaire_synthese_02" displayName="coherence_inventaire_synthese_02" ref="AL4:BK5" tableType="queryTable" insertRow="1" totalsRowShown="0">
  <autoFilter ref="AL4:BK5" xr:uid="{D5E68B6A-85EE-4A81-8C45-F8BC5B6AF606}"/>
  <tableColumns count="26">
    <tableColumn id="1" xr3:uid="{AAEA53E5-94DD-401E-BC16-821910129601}" uniqueName="1" name="client" queryTableFieldId="1"/>
    <tableColumn id="2" xr3:uid="{7317CFBA-6A70-42AA-AB66-AC3DB06A922F}" uniqueName="2" name="annee" queryTableFieldId="2"/>
    <tableColumn id="3" xr3:uid="{530571A7-0A4D-4537-A0F2-C35E69EC12BC}" uniqueName="3" name="lineaire_tot_hta_nu_inv_tech" queryTableFieldId="3"/>
    <tableColumn id="4" xr3:uid="{45140E5F-D862-41A7-AA42-954B2FF1D4C2}" uniqueName="4" name="lineaire_tot_hta_nu_compt" queryTableFieldId="4"/>
    <tableColumn id="5" xr3:uid="{B3641707-5AAE-4CF9-BEA0-1B505EEF5E2F}" uniqueName="5" name="ecart_concession_tot_hta_nu_qte" queryTableFieldId="5"/>
    <tableColumn id="6" xr3:uid="{7E246656-33C9-4ABD-9843-EB2CCA1D6095}" uniqueName="6" name="ecart_concession_tot_hta_nu_percent" queryTableFieldId="6"/>
    <tableColumn id="7" xr3:uid="{EC8B1C30-F2B7-4707-9BCA-384EE06615EB}" uniqueName="7" name="ecart_commune_tot_hta_nu_qte" queryTableFieldId="7"/>
    <tableColumn id="8" xr3:uid="{0A49BD51-A8A4-4205-A54F-044EF382D75C}" uniqueName="8" name="ecart_commune_tot_hta_nu_percent" queryTableFieldId="8"/>
    <tableColumn id="9" xr3:uid="{789B2FD5-6062-4106-9B3D-C9C010E128C3}" uniqueName="9" name="lineaire_tot_hta_torsade_inv_tech" queryTableFieldId="9"/>
    <tableColumn id="10" xr3:uid="{9077266C-EC18-4517-AD09-4B805DC7F141}" uniqueName="10" name="lineaire_tot_hta_torsade_compt" queryTableFieldId="10"/>
    <tableColumn id="11" xr3:uid="{F1C96F86-FA9A-4ED8-94DD-ABE01080A7AF}" uniqueName="11" name="ecart_concession_tot_hta_torsade_qte" queryTableFieldId="11"/>
    <tableColumn id="12" xr3:uid="{01626A07-292B-4B62-BA03-16260E72DE21}" uniqueName="12" name="ecart_concession_tot_hta_torsade_percent" queryTableFieldId="12"/>
    <tableColumn id="13" xr3:uid="{78F30980-1C84-42CA-9724-BE34E8EE0CF3}" uniqueName="13" name="ecart_commune_tot_hta_torsade_qte" queryTableFieldId="13"/>
    <tableColumn id="14" xr3:uid="{3BA30947-A87C-4D32-A935-010BC70E08CF}" uniqueName="14" name="ecart_commune_tot_hta_torsade_percent" queryTableFieldId="14"/>
    <tableColumn id="15" xr3:uid="{1FFFED65-CA6A-410C-A525-5DCE1F0B2834}" uniqueName="15" name="lineaire_tot_hta_souterrain_inv_tech" queryTableFieldId="15"/>
    <tableColumn id="16" xr3:uid="{3281912A-83C9-47F0-8324-672E0CFB9760}" uniqueName="16" name="lineaire_tot_hta_souterrain_compt" queryTableFieldId="16"/>
    <tableColumn id="17" xr3:uid="{698A80D3-FBC1-49DB-97B2-E09268B820F5}" uniqueName="17" name="ecart_concession_tot_hta_souterrain_qte" queryTableFieldId="17"/>
    <tableColumn id="18" xr3:uid="{722AB3A7-AAFE-46D1-9F7F-CCDF9B9607F2}" uniqueName="18" name="ecart_concession_tot_hta_souterrain_percent" queryTableFieldId="18"/>
    <tableColumn id="19" xr3:uid="{4C3282CE-7EF6-4E49-BCA0-4D3982DB3B29}" uniqueName="19" name="ecart_commune_tot_hta_souterrain_qte" queryTableFieldId="19"/>
    <tableColumn id="20" xr3:uid="{9F045195-FEBE-4DF1-92EA-3186E9F3B572}" uniqueName="20" name="ecart_commune_tot_hta_souterrain_percent" queryTableFieldId="20"/>
    <tableColumn id="21" xr3:uid="{BD978F85-BBB0-4580-B232-1325B14A57F6}" uniqueName="21" name="lineaire_tot_hta_inv_tech" queryTableFieldId="21"/>
    <tableColumn id="22" xr3:uid="{001D917F-9BD5-4228-A5D1-7509C8E62D4F}" uniqueName="22" name="lineaire_tot_hta_compt" queryTableFieldId="22"/>
    <tableColumn id="23" xr3:uid="{A621AD82-418E-4813-BF21-83D9950B3BFE}" uniqueName="23" name="ecart_concession_tot_hta_qte" queryTableFieldId="23"/>
    <tableColumn id="24" xr3:uid="{72F907DA-5E9E-4462-A48F-5CEA8E309326}" uniqueName="24" name="ecart_concession_tot_hta_percent" queryTableFieldId="24"/>
    <tableColumn id="25" xr3:uid="{ADB9FC43-61E2-4CA6-9FF0-3F3D44727870}" uniqueName="25" name="ecart_commune_tot_hta_qte" queryTableFieldId="25"/>
    <tableColumn id="26" xr3:uid="{A223D10E-51DE-4A88-A069-91F8F12D0DC8}" uniqueName="26" name="ecart_commune_tot_hta_percent" queryTableFieldId="26"/>
  </tableColumns>
  <tableStyleInfo name="TableStyleMedium7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AF4E1986-C81F-4E2D-8ADE-F8DC8E7D93C0}" name="coherence_inventaire_synthese_03" displayName="coherence_inventaire_synthese_03" ref="BO4:CN5" tableType="queryTable" insertRow="1" totalsRowShown="0">
  <autoFilter ref="BO4:CN5" xr:uid="{012C56DF-EDB1-4628-B86B-3BDA5D5BF554}"/>
  <tableColumns count="26">
    <tableColumn id="1" xr3:uid="{D1708A66-5972-4357-ABF8-98A371960F0C}" uniqueName="1" name="client" queryTableFieldId="1"/>
    <tableColumn id="2" xr3:uid="{E3D9B838-24A6-4CC7-8C5D-C94C6F8C14A8}" uniqueName="2" name="annee" queryTableFieldId="2"/>
    <tableColumn id="3" xr3:uid="{8CAF2295-9E7D-439A-9FA3-F9EE9E73B004}" uniqueName="3" name="lineaire_tot_bt_nu_inv_tech" queryTableFieldId="3"/>
    <tableColumn id="4" xr3:uid="{5FDA3794-EE1E-42EE-880C-C3F19686395F}" uniqueName="4" name="lineaire_tot_bt_nu_compt" queryTableFieldId="4"/>
    <tableColumn id="5" xr3:uid="{120CB870-C6FD-4B7B-B002-07F46FCDF04B}" uniqueName="5" name="ecart_concession_tot_bt_nu_qte" queryTableFieldId="5"/>
    <tableColumn id="6" xr3:uid="{689D9D52-5972-4187-A77C-CA79D4C6E2DC}" uniqueName="6" name="ecart_concession_tot_bt_nu_percent" queryTableFieldId="6"/>
    <tableColumn id="7" xr3:uid="{94565456-13A4-46C3-8336-512E6BC9594D}" uniqueName="7" name="ecart_commune_tot_bt_nu_qte" queryTableFieldId="7"/>
    <tableColumn id="8" xr3:uid="{F14567A1-C09B-4A96-B29A-B3E9BA4782B6}" uniqueName="8" name="ecart_commune_tot_bt_nu_percent" queryTableFieldId="8"/>
    <tableColumn id="9" xr3:uid="{F4C5F66D-D713-486D-8B49-7E494022421C}" uniqueName="9" name="lineaire_tot_bt_torsade_inv_tech" queryTableFieldId="9"/>
    <tableColumn id="10" xr3:uid="{B8CC48A2-90D0-47B2-8593-F93ABE4D6AFF}" uniqueName="10" name="lineaire_tot_bt_torsade_compt" queryTableFieldId="10"/>
    <tableColumn id="11" xr3:uid="{0E340845-4FB8-4F37-B17B-3A262AB87E1F}" uniqueName="11" name="ecart_concession_tot_bt_torsade_qte" queryTableFieldId="11"/>
    <tableColumn id="12" xr3:uid="{88D668E1-DA48-4D23-9545-9FF2A802F18A}" uniqueName="12" name="ecart_concession_tot_bt_torsade_percent" queryTableFieldId="12"/>
    <tableColumn id="13" xr3:uid="{52A80276-5D0C-464A-B1C7-3AFC1048E1B7}" uniqueName="13" name="ecart_commune_tot_bt_torsade_qte" queryTableFieldId="13"/>
    <tableColumn id="14" xr3:uid="{835A55B2-D3D8-454B-90E4-973831695FCA}" uniqueName="14" name="ecart_commune_tot_bt_torsade_percent" queryTableFieldId="14"/>
    <tableColumn id="15" xr3:uid="{E5BE7F9C-1B3F-4D82-AB00-F19F879A87BD}" uniqueName="15" name="lineaire_tot_bt_souterrain_inv_tech" queryTableFieldId="15"/>
    <tableColumn id="16" xr3:uid="{2DEFF8CB-C945-462A-B061-9C2620411E36}" uniqueName="16" name="lineaire_tot_bt_souterrain_compt" queryTableFieldId="16"/>
    <tableColumn id="17" xr3:uid="{31886AAF-5E36-459B-BBC9-2E958488DFC2}" uniqueName="17" name="ecart_concession_tot_bt_souterrain_qte" queryTableFieldId="17"/>
    <tableColumn id="18" xr3:uid="{734661F8-86C1-4E44-A5F1-0C15739F7F69}" uniqueName="18" name="ecart_concession_tot_bt_souterrain_percent" queryTableFieldId="18"/>
    <tableColumn id="19" xr3:uid="{39AD6C54-FD59-45D9-A396-3AD60A64F058}" uniqueName="19" name="ecart_commune_tot_bt_souterrain_qte" queryTableFieldId="19"/>
    <tableColumn id="20" xr3:uid="{E88E22F8-258F-4439-A359-A68FF27A408D}" uniqueName="20" name="ecart_commune_tot_bt_souterrain_percent" queryTableFieldId="20"/>
    <tableColumn id="21" xr3:uid="{B4C2248B-08E5-4BB3-9A23-9697358308C3}" uniqueName="21" name="lineaire_tot_bt_inv_tech" queryTableFieldId="21"/>
    <tableColumn id="22" xr3:uid="{60EB8E71-6602-416F-B558-57820FE70843}" uniqueName="22" name="lineaire_tot_bt_compt" queryTableFieldId="22"/>
    <tableColumn id="23" xr3:uid="{A2150867-BAF1-4CB5-B991-78F6C9CAB493}" uniqueName="23" name="ecart_concession_tot_bt_qte" queryTableFieldId="23"/>
    <tableColumn id="24" xr3:uid="{33022AC9-F3C8-45EC-88D2-DBDD224F4BAF}" uniqueName="24" name="ecart_concession_tot_bt_percent" queryTableFieldId="24"/>
    <tableColumn id="25" xr3:uid="{CBD75648-7EB3-4FF8-A5C7-58A14570B8F0}" uniqueName="25" name="ecart_commune_tot_bt_qte" queryTableFieldId="25"/>
    <tableColumn id="26" xr3:uid="{67BFF5DF-6BF0-44EF-B199-1A0EF7FD983B}" uniqueName="26" name="ecart_commune_tot_bt_percent" queryTableFieldId="26"/>
  </tableColumns>
  <tableStyleInfo name="TableStyleMedium7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DA6468E-D220-4821-BE38-BDEE01DBD5AF}" name="coherence_inventaire_synthese_04" displayName="coherence_inventaire_synthese_04" ref="CR4:CY5" tableType="queryTable" insertRow="1" totalsRowShown="0">
  <autoFilter ref="CR4:CY5" xr:uid="{15444AC1-CB2A-4C8B-882E-2F03CAE22952}"/>
  <tableColumns count="8">
    <tableColumn id="1" xr3:uid="{6746A3A1-3FF3-4C4C-8968-CC045A03C697}" uniqueName="1" name="client" queryTableFieldId="1"/>
    <tableColumn id="2" xr3:uid="{4316A258-DA23-43B7-9E9A-7F87BAE30526}" uniqueName="2" name="annee" queryTableFieldId="2"/>
    <tableColumn id="3" xr3:uid="{80D8FB41-45C8-4FDC-8B0A-1381AA388EE1}" uniqueName="3" name="nbr_postes_inv_tech" queryTableFieldId="3"/>
    <tableColumn id="4" xr3:uid="{CE277F0A-4A03-475E-AB61-A8908FF64C41}" uniqueName="4" name="postes_compt" queryTableFieldId="4"/>
    <tableColumn id="5" xr3:uid="{5D98F007-67E9-4760-B89E-33A3C88E4D59}" uniqueName="5" name="ecart_concession_postes_qte" queryTableFieldId="5"/>
    <tableColumn id="6" xr3:uid="{0A6E13CD-8FCD-42F1-8D6B-C3828ECBCFBB}" uniqueName="6" name="ecart_concession_postes_percent" queryTableFieldId="6"/>
    <tableColumn id="7" xr3:uid="{0124D46A-BB3F-450B-9574-5514F58F091F}" uniqueName="7" name="ecart_commune_postes_qte" queryTableFieldId="7"/>
    <tableColumn id="8" xr3:uid="{5329787E-A4D3-4D0E-B56F-9B7F530541B6}" uniqueName="8" name="ecart_commune_postes_percent" queryTableFieldId="8"/>
  </tableColumns>
  <tableStyleInfo name="TableStyleMedium7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84D0AB56-92F4-4860-9EF2-5E1AD414487E}" name="coherence_inventaire_synthese_05" displayName="coherence_inventaire_synthese_05" ref="DC4:DJ5" tableType="queryTable" insertRow="1" totalsRowShown="0">
  <autoFilter ref="DC4:DJ5" xr:uid="{2B261134-39AB-4BEB-9496-33564DDF3675}"/>
  <tableColumns count="8">
    <tableColumn id="1" xr3:uid="{8F419AFE-2E1D-4A18-AD85-508EED8B0C02}" uniqueName="1" name="client" queryTableFieldId="1"/>
    <tableColumn id="2" xr3:uid="{ABBC7D21-75C7-4CBD-97AA-A2A559B5C24F}" uniqueName="2" name="annee" queryTableFieldId="2"/>
    <tableColumn id="3" xr3:uid="{B4ABFCA5-096B-40EB-85AE-DF70D9F08B9F}" uniqueName="3" name="nbr_transfos_inv_tech" queryTableFieldId="3"/>
    <tableColumn id="4" xr3:uid="{2898D913-95CA-47BE-B239-7ED3B5B8F925}" uniqueName="4" name="transfos_compt" queryTableFieldId="4"/>
    <tableColumn id="5" xr3:uid="{D5655578-0F69-4365-9420-BF1BD6418032}" uniqueName="5" name="ecart_concession_transfos_qte" queryTableFieldId="5"/>
    <tableColumn id="6" xr3:uid="{BEBC9020-3382-47C9-BB86-DD16326E12CF}" uniqueName="6" name="ecart_concession_transfos_percent" queryTableFieldId="6"/>
    <tableColumn id="7" xr3:uid="{420550F4-E795-4BD7-A85E-1992AF1E8FFA}" uniqueName="7" name="ecart_commune_transfos_qte" queryTableFieldId="7"/>
    <tableColumn id="8" xr3:uid="{D7BE701B-523A-4FD6-8151-E6EF794A0604}" uniqueName="8" name="ecart_commune_transfos_percent" queryTableFieldId="8"/>
  </tableColumns>
  <tableStyleInfo name="TableStyleMedium7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8F839968-1517-452E-8A4C-EC067DCC0C9D}" name="coherence_inventaire_synthese_06" displayName="coherence_inventaire_synthese_06" ref="DN4:GQ5" tableType="queryTable" insertRow="1" totalsRowShown="0">
  <autoFilter ref="DN4:GQ5" xr:uid="{2EFEFE41-ED3A-44EF-9F27-57F132739D8B}"/>
  <tableColumns count="82">
    <tableColumn id="1" xr3:uid="{CD7666EE-19D0-4579-96A7-A7520A6CA668}" uniqueName="1" name="client" queryTableFieldId="1"/>
    <tableColumn id="2" xr3:uid="{A476D175-DB65-4AED-B309-98F84114CCA6}" uniqueName="2" name="annee" queryTableFieldId="2"/>
    <tableColumn id="3" xr3:uid="{3F76A756-F00B-4E09-A99B-2C8F8DB062BA}" uniqueName="3" name="lineaire_hta_nul" queryTableFieldId="3"/>
    <tableColumn id="4" xr3:uid="{08B34A21-51E1-454C-8B00-D7C97F9720FA}" uniqueName="4" name="lineaire_hta_btw_0_2_percent" queryTableFieldId="4"/>
    <tableColumn id="5" xr3:uid="{5A748E00-BC47-4B50-BBE3-F34BBFED6E53}" uniqueName="5" name="lineaire_hta_btw_2_5_percent" queryTableFieldId="5"/>
    <tableColumn id="6" xr3:uid="{20E94D2A-DA1F-4302-8710-66F935162BFC}" uniqueName="6" name="lineaire_hta_btw_5_10_percent" queryTableFieldId="6"/>
    <tableColumn id="7" xr3:uid="{7E04DC0D-893D-4F44-8DEC-4F352BCF7452}" uniqueName="7" name="lineaire_hta_btw_10_25_percent" queryTableFieldId="7"/>
    <tableColumn id="8" xr3:uid="{189B8832-F63C-4BC5-8D93-91AD03349252}" uniqueName="8" name="lineaire_hta_btw_25_50_percent" queryTableFieldId="8"/>
    <tableColumn id="9" xr3:uid="{DF3B7707-6141-4318-8E09-3FE7B269C734}" uniqueName="9" name="lineaire_hta_sup_50_percent" queryTableFieldId="9"/>
    <tableColumn id="10" xr3:uid="{6CE27FA9-41F5-4653-B733-7820596356CD}" uniqueName="10" name="total_hta" queryTableFieldId="10"/>
    <tableColumn id="11" xr3:uid="{FB2CD2B1-7ECF-4EE8-8C30-AEFF81268F89}" uniqueName="11" name="lineaire_bt_nul" queryTableFieldId="11"/>
    <tableColumn id="12" xr3:uid="{98236E43-F63B-412B-BC3F-7CBB91441A29}" uniqueName="12" name="lineaire_bt_btw_0_2_percent" queryTableFieldId="12"/>
    <tableColumn id="13" xr3:uid="{073BB506-E21B-499A-A176-EE32C889B0E3}" uniqueName="13" name="lineaire_bt_btw_2_5_percent" queryTableFieldId="13"/>
    <tableColumn id="14" xr3:uid="{323B5A4F-66C4-4617-BA35-62AF010B7554}" uniqueName="14" name="lineaire_bt_btw_5_10_percent" queryTableFieldId="14"/>
    <tableColumn id="15" xr3:uid="{182A300F-1F8E-4ACB-8F57-18CB31028EA1}" uniqueName="15" name="lineaire_bt_btw_10_25_percent" queryTableFieldId="15"/>
    <tableColumn id="16" xr3:uid="{EEDA6D0D-854B-4037-9B0D-0A4091F07D5A}" uniqueName="16" name="lineaire_bt_btw_25_50_percent" queryTableFieldId="16"/>
    <tableColumn id="17" xr3:uid="{6297DD1B-206F-4059-93FF-E4D716A1D0CF}" uniqueName="17" name="lineaire_bt_sup_50_percent" queryTableFieldId="17"/>
    <tableColumn id="18" xr3:uid="{687F72F5-CFE4-4C50-9279-B45715841AEB}" uniqueName="18" name="total_bt" queryTableFieldId="18"/>
    <tableColumn id="19" xr3:uid="{118BF932-AAD8-42AE-B2A7-43B203D664E7}" uniqueName="19" name="lineaire_postes_nul" queryTableFieldId="19"/>
    <tableColumn id="20" xr3:uid="{2AA5A86F-01EC-4614-AE8D-EC23660B330F}" uniqueName="20" name="lineaire_postes_btw_0_2_percent" queryTableFieldId="20"/>
    <tableColumn id="21" xr3:uid="{D20AA28C-B9B3-4C91-9589-DAFF8ECEAB7C}" uniqueName="21" name="lineaire_postes_btw_2_5_percent" queryTableFieldId="21"/>
    <tableColumn id="22" xr3:uid="{FF5E1A62-2762-49F9-B460-4FD2458AB351}" uniqueName="22" name="lineaire_postes_btw_5_10_percent" queryTableFieldId="22"/>
    <tableColumn id="23" xr3:uid="{63C8BB90-99F4-41CF-95D8-8C3DF52B4AAE}" uniqueName="23" name="lineaire_postes_btw_10_25_percent" queryTableFieldId="23"/>
    <tableColumn id="24" xr3:uid="{C9319181-4FB5-42E5-A384-F69B335AD345}" uniqueName="24" name="lineaire_postes_btw_25_50_percent" queryTableFieldId="24"/>
    <tableColumn id="25" xr3:uid="{FD27D784-1F25-43CB-B247-C06646176C32}" uniqueName="25" name="lineaire_postes_sup_50_percent" queryTableFieldId="25"/>
    <tableColumn id="26" xr3:uid="{3B4CB18F-2414-40D1-B21C-34DC01DB1CC2}" uniqueName="26" name="total_postes" queryTableFieldId="26"/>
    <tableColumn id="27" xr3:uid="{369350C2-FAF9-4301-B9AD-1FFC5D7D054D}" uniqueName="27" name="lineaire_transfos_nul" queryTableFieldId="27"/>
    <tableColumn id="28" xr3:uid="{D267FA3E-C056-4774-ACBC-03DC20D3D6A2}" uniqueName="28" name="lineaire_transfos_btw_0_2_percent" queryTableFieldId="28"/>
    <tableColumn id="29" xr3:uid="{2FD63C5D-DAD4-4D64-8CE7-1A78B0611AB6}" uniqueName="29" name="lineaire_transfos_btw_2_5_percent" queryTableFieldId="29"/>
    <tableColumn id="30" xr3:uid="{B6097C51-B253-405D-B51C-383A8085240B}" uniqueName="30" name="lineaire_transfos_btw_5_10_percent" queryTableFieldId="30"/>
    <tableColumn id="31" xr3:uid="{CD4E4848-C255-4346-922F-AA45BA30944E}" uniqueName="31" name="lineaire_transfos_btw_10_25_percent" queryTableFieldId="31"/>
    <tableColumn id="32" xr3:uid="{307BB4F1-100A-47D4-A9F4-7DEB4FC5B383}" uniqueName="32" name="lineaire_transfos_btw_25_50_percent" queryTableFieldId="32"/>
    <tableColumn id="33" xr3:uid="{413DDF25-2CB7-41C2-B41D-55B9B8C87A9A}" uniqueName="33" name="lineaire_transfos_sup_50_percent" queryTableFieldId="33"/>
    <tableColumn id="34" xr3:uid="{0E907D8A-5BD7-4CC0-9ECB-E2D07D33BF71}" uniqueName="34" name="total_transfos" queryTableFieldId="34"/>
    <tableColumn id="35" xr3:uid="{2C48288B-403D-4047-A7B4-67E63DBF59D8}" uniqueName="35" name="lineaire_hta_nu_nul" queryTableFieldId="35"/>
    <tableColumn id="36" xr3:uid="{89BD0AC2-49AB-48F5-AF2E-ACA1730EA8AD}" uniqueName="36" name="lineaire_hta_nu_btw_0_2_percent" queryTableFieldId="36"/>
    <tableColumn id="37" xr3:uid="{1C412A5F-B944-4DF5-BEFC-375B22C2A8E8}" uniqueName="37" name="lineaire_hta_nu_btw_2_5_percent" queryTableFieldId="37"/>
    <tableColumn id="38" xr3:uid="{23EA1807-51F9-4FC2-8FF4-F7A122B4D8FA}" uniqueName="38" name="lineaire_hta_nu_btw_5_10_percent" queryTableFieldId="38"/>
    <tableColumn id="39" xr3:uid="{80024285-72D1-4678-9608-14603CCE66BB}" uniqueName="39" name="lineaire_hta_nu_btw_10_25_percent" queryTableFieldId="39"/>
    <tableColumn id="40" xr3:uid="{7A0D8099-B537-42FC-B72D-D11432DB8487}" uniqueName="40" name="lineaire_hta_nu_btw_25_50_percent" queryTableFieldId="40"/>
    <tableColumn id="41" xr3:uid="{D7AAD65A-A346-4A9B-AFBA-76C08FC7A24F}" uniqueName="41" name="lineaire_hta_nu_sup_50_percent" queryTableFieldId="41"/>
    <tableColumn id="42" xr3:uid="{1DC81C7E-8CB4-4FF9-BEB9-9FBA5B27547F}" uniqueName="42" name="total_hta_nu" queryTableFieldId="42"/>
    <tableColumn id="43" xr3:uid="{1F6DB939-D739-4997-B9E5-23488452FEE0}" uniqueName="43" name="lineaire_hta_torsade_nul" queryTableFieldId="43"/>
    <tableColumn id="44" xr3:uid="{3F777A26-651B-4D78-BE93-48E426461FC5}" uniqueName="44" name="lineaire_hta_torsade_btw_0_2_percent" queryTableFieldId="44"/>
    <tableColumn id="45" xr3:uid="{1172E918-E737-4E4E-858F-5FBE38E9E8EC}" uniqueName="45" name="lineaire_hta_torsade_btw_2_5_percent" queryTableFieldId="45"/>
    <tableColumn id="46" xr3:uid="{C55AC87B-63EF-4DF8-B0AC-23D87EAE05E7}" uniqueName="46" name="lineaire_hta_torsade_btw_5_10_percent" queryTableFieldId="46"/>
    <tableColumn id="47" xr3:uid="{1456BA6D-54A9-40AC-8BBA-82B05A120FB0}" uniqueName="47" name="lineaire_hta_torsade_btw_10_25_percent" queryTableFieldId="47"/>
    <tableColumn id="48" xr3:uid="{3FA8DB86-43F0-4FB9-BDAB-35A7397E6A95}" uniqueName="48" name="lineaire_hta_torsade_btw_25_50_percent" queryTableFieldId="48"/>
    <tableColumn id="49" xr3:uid="{CA6129A5-DBF1-4E69-AD6E-518E372D4DB4}" uniqueName="49" name="lineaire_hta_torsade_sup_50_percent" queryTableFieldId="49"/>
    <tableColumn id="50" xr3:uid="{F06E59A8-F385-4D0C-BE7B-60A3068F996B}" uniqueName="50" name="total_hta_torsade" queryTableFieldId="50"/>
    <tableColumn id="51" xr3:uid="{E8BA5130-E6F7-4D2F-AAA2-89436FEC9CE4}" uniqueName="51" name="lineaire_hta_souterrain_nul" queryTableFieldId="51"/>
    <tableColumn id="52" xr3:uid="{CED0C85E-1BFF-43AA-A76E-DC6F8C48DFE3}" uniqueName="52" name="lineaire_hta_souterrain_btw_0_2_percent" queryTableFieldId="52"/>
    <tableColumn id="53" xr3:uid="{A6946814-4BF6-4398-9576-F256A0112F2A}" uniqueName="53" name="lineaire_hta_souterrain_btw_2_5_percent" queryTableFieldId="53"/>
    <tableColumn id="54" xr3:uid="{658678A1-A0D7-4DD8-9AEB-C1B2C7BF6C48}" uniqueName="54" name="lineaire_hta_souterrain_btw_5_10_percent" queryTableFieldId="54"/>
    <tableColumn id="55" xr3:uid="{A71DFDF1-1137-4982-9347-614922D70ED4}" uniqueName="55" name="lineaire_hta_souterrain_btw_10_25_percent" queryTableFieldId="55"/>
    <tableColumn id="56" xr3:uid="{1B92BBAD-9978-4D34-9461-A68B62280589}" uniqueName="56" name="lineaire_hta_souterrain_btw_25_50_percent" queryTableFieldId="56"/>
    <tableColumn id="57" xr3:uid="{701A11D7-9FB5-4932-B038-6C94F17097B5}" uniqueName="57" name="lineaire_hta_souterrain_sup_50_percent" queryTableFieldId="57"/>
    <tableColumn id="58" xr3:uid="{F71F6A61-56B9-4BF1-B81D-19E8A318C63E}" uniqueName="58" name="total_hta_souterrain" queryTableFieldId="58"/>
    <tableColumn id="59" xr3:uid="{18A8910D-AADF-4537-8CBC-B5D644E2CC1A}" uniqueName="59" name="lineaire_bt_nu_nul" queryTableFieldId="59"/>
    <tableColumn id="60" xr3:uid="{04C04371-5E9C-435D-B15B-5F815564F21B}" uniqueName="60" name="lineaire_bt_nu_btw_0_2_percent" queryTableFieldId="60"/>
    <tableColumn id="61" xr3:uid="{F2ED6A35-C327-4B30-A6DD-26D76E23D356}" uniqueName="61" name="lineaire_bt_nu_btw_2_5_percent" queryTableFieldId="61"/>
    <tableColumn id="62" xr3:uid="{D2AC3688-BBEA-49C5-8F19-7D29F488EAA0}" uniqueName="62" name="lineaire_bt_nu_btw_5_10_percent" queryTableFieldId="62"/>
    <tableColumn id="63" xr3:uid="{6EEC90B5-A789-4C3D-A4FB-93E1144424CA}" uniqueName="63" name="lineaire_bt_nu_btw_10_25_percent" queryTableFieldId="63"/>
    <tableColumn id="64" xr3:uid="{A86329E9-FF14-4397-92F9-401E5EC9ECAE}" uniqueName="64" name="lineaire_bt_nu_btw_25_50_percent" queryTableFieldId="64"/>
    <tableColumn id="65" xr3:uid="{6F0B8F7A-50B7-46EF-9578-1459F430BBD9}" uniqueName="65" name="lineaire_bt_nu_sup_50_percent" queryTableFieldId="65"/>
    <tableColumn id="66" xr3:uid="{D87F9B3D-2F1E-4667-B9F6-AAED20513D0B}" uniqueName="66" name="total_bt_nu" queryTableFieldId="66"/>
    <tableColumn id="67" xr3:uid="{24A2B7F8-63C4-4CF9-8581-0089F417FD51}" uniqueName="67" name="lineaire_bt_torsade_nul" queryTableFieldId="67"/>
    <tableColumn id="68" xr3:uid="{7445BFAF-A77B-4F60-8295-95C5B246FE77}" uniqueName="68" name="lineaire_bt_torsade_btw_0_2_percent" queryTableFieldId="68"/>
    <tableColumn id="69" xr3:uid="{D47647D6-69AF-430A-BBDA-E2394172B430}" uniqueName="69" name="lineaire_bt_torsade_btw_2_5_percent" queryTableFieldId="69"/>
    <tableColumn id="70" xr3:uid="{816AD94D-57E6-45CC-BE27-E3C6F85B8521}" uniqueName="70" name="lineaire_bt_torsade_btw_5_10_percent" queryTableFieldId="70"/>
    <tableColumn id="71" xr3:uid="{76CE7EA1-4CC5-4FFC-9402-C85B0AB6F8D0}" uniqueName="71" name="lineaire_bt_torsade_btw_10_25_percent" queryTableFieldId="71"/>
    <tableColumn id="72" xr3:uid="{9046CD84-F126-4ED3-BE18-54C66E4F3CCC}" uniqueName="72" name="lineaire_bt_torsade_btw_25_50_percent" queryTableFieldId="72"/>
    <tableColumn id="73" xr3:uid="{29A04051-7D27-47A1-B117-23A8E6DB123D}" uniqueName="73" name="lineaire_bt_torsade_sup_50_percent" queryTableFieldId="73"/>
    <tableColumn id="74" xr3:uid="{6D9F8C6A-0810-486C-9F16-6E434D708181}" uniqueName="74" name="total_bt_torsade" queryTableFieldId="74"/>
    <tableColumn id="75" xr3:uid="{61207244-07FD-43B5-960C-667109745CAB}" uniqueName="75" name="lineaire_bt_souterrain_nul" queryTableFieldId="75"/>
    <tableColumn id="76" xr3:uid="{FE1993E9-CB28-47A5-8711-B6F86EEC68D1}" uniqueName="76" name="lineaire_bt_souterrain_btw_0_2_percent" queryTableFieldId="76"/>
    <tableColumn id="77" xr3:uid="{95587C0D-F447-4E49-8131-957E32F89FF1}" uniqueName="77" name="lineaire_bt_souterrain_btw_2_5_percent" queryTableFieldId="77"/>
    <tableColumn id="78" xr3:uid="{150E458A-C007-4E8E-9DCF-07506132C894}" uniqueName="78" name="lineaire_bt_souterrain_btw_5_10_percent" queryTableFieldId="78"/>
    <tableColumn id="79" xr3:uid="{425E42AA-AC22-490B-BFE3-929F48433056}" uniqueName="79" name="lineaire_bt_souterrain_btw_10_25_percent" queryTableFieldId="79"/>
    <tableColumn id="80" xr3:uid="{E8890317-A0B3-46BC-8433-3781CE8FCB87}" uniqueName="80" name="lineaire_bt_souterrain_btw_25_50_percent" queryTableFieldId="80"/>
    <tableColumn id="81" xr3:uid="{398E716A-082A-4FA2-BAEB-F056E1A7AEDF}" uniqueName="81" name="lineaire_bt_souterrain_sup_50_percent" queryTableFieldId="81"/>
    <tableColumn id="82" xr3:uid="{E626C9FB-C448-49F1-8430-B1D2DCFA9ED3}" uniqueName="82" name="total_bt_souterrain" queryTableFieldId="82"/>
  </tableColumns>
  <tableStyleInfo name="TableStyleMedium7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78C80C9-FE44-41B5-80CD-E39C9C48429C}" name="donnees_crac" displayName="donnees_crac" ref="B4:H2956" tableType="queryTable" totalsRowShown="0">
  <autoFilter ref="B4:H2956" xr:uid="{7CD0583A-5C1E-4A59-A10E-B02E33B3FD34}"/>
  <tableColumns count="7">
    <tableColumn id="1" xr3:uid="{BD836BA9-5C9E-4607-B401-C8E0C8215F3A}" uniqueName="1" name="client" queryTableFieldId="1" dataDxfId="25"/>
    <tableColumn id="2" xr3:uid="{935739D7-D516-43AB-94BA-AC357C087D4D}" uniqueName="2" name="annee" queryTableFieldId="2"/>
    <tableColumn id="3" xr3:uid="{8506AC34-0AB9-4AEA-8A90-0D9183222644}" uniqueName="3" name="coderelais" queryTableFieldId="3" dataDxfId="24"/>
    <tableColumn id="4" xr3:uid="{3FFF724D-7FBC-4DB0-A8D4-1D121D8E973C}" uniqueName="4" name="table" queryTableFieldId="4" dataDxfId="23"/>
    <tableColumn id="5" xr3:uid="{1098A2E5-7542-4725-81AC-0910ABE49DBC}" uniqueName="5" name="libelle" queryTableFieldId="5" dataDxfId="22"/>
    <tableColumn id="6" xr3:uid="{2D38D1CE-08C6-4E99-AAC8-27656C7B828C}" uniqueName="6" name="libelle_crac" queryTableFieldId="6" dataDxfId="21"/>
    <tableColumn id="7" xr3:uid="{BF651337-ECE1-428F-8386-766D9AABD0E0}" uniqueName="7" name="valeur" queryTableFieldId="7" dataDxfId="20"/>
  </tableColumns>
  <tableStyleInfo name="TableStyleMedium7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D4FD3BE-2755-4A66-9BCD-D081AFE26864}" name="cex_01" displayName="cex_01" ref="B4:E109" tableType="queryTable" totalsRowShown="0">
  <autoFilter ref="B4:E109" xr:uid="{1BB66D9B-D043-4123-8427-2FD807216249}"/>
  <tableColumns count="4">
    <tableColumn id="1" xr3:uid="{F8750CBD-04F7-4A39-A55A-FAD9850F7C1E}" uniqueName="1" name="client" queryTableFieldId="1" dataDxfId="19"/>
    <tableColumn id="2" xr3:uid="{E068FEC2-5E64-4A98-884D-FFC8D3082A94}" uniqueName="2" name="annee" queryTableFieldId="2"/>
    <tableColumn id="3" xr3:uid="{A5DD3ED4-0F06-4BBF-B9D4-F6B256A8E3BF}" uniqueName="3" name="libelle_crac" queryTableFieldId="3" dataDxfId="18"/>
    <tableColumn id="4" xr3:uid="{6F456962-9D13-4A27-9C76-D6A074BB81DA}" uniqueName="4" name="valeur" queryTableFieldId="4" dataDxfId="17"/>
  </tableColumns>
  <tableStyleInfo name="TableStyleMedium7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60A3FDF4-265A-44C6-A61B-E445E0E39739}" name="cex_02" displayName="cex_02" ref="I4:L129" tableType="queryTable" totalsRowShown="0">
  <autoFilter ref="I4:L129" xr:uid="{CE852BBC-DBD4-453E-815A-B103E7C0E91B}"/>
  <tableColumns count="4">
    <tableColumn id="1" xr3:uid="{664FF25D-39AE-4A70-981F-C445984C28C5}" uniqueName="1" name="client" queryTableFieldId="1" dataDxfId="16"/>
    <tableColumn id="2" xr3:uid="{04C766FA-3901-4376-B82F-6EF0574C828E}" uniqueName="2" name="annee" queryTableFieldId="2"/>
    <tableColumn id="3" xr3:uid="{1DAE825B-97F6-485C-A7E3-E8BCA70C90FE}" uniqueName="3" name="libelle_crac" queryTableFieldId="3" dataDxfId="15"/>
    <tableColumn id="4" xr3:uid="{DFFF1191-EDC9-4450-9FA5-34C3F6F7F6F9}" uniqueName="4" name="valeur" queryTableFieldId="4" dataDxfId="14"/>
  </tableColumns>
  <tableStyleInfo name="TableStyleMedium7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973E3698-7AC5-41FD-A5FE-0A89490F2FB4}" name="cex_03" displayName="cex_03" ref="P4:W9" tableType="queryTable" totalsRowShown="0">
  <autoFilter ref="P4:W9" xr:uid="{4766A115-AE3C-414C-BD9E-F74EED75E9AA}"/>
  <tableColumns count="8">
    <tableColumn id="1" xr3:uid="{5691C21C-A11A-478C-AC24-426C8FA5D12B}" uniqueName="1" name="client" queryTableFieldId="1"/>
    <tableColumn id="2" xr3:uid="{609B8E49-0393-45EF-BC23-BB4060F2AFB8}" uniqueName="2" name="annee" queryTableFieldId="2"/>
    <tableColumn id="3" xr3:uid="{E4A2DACF-6CC1-430E-941D-1E8AAAADAD12}" uniqueName="3" name="charges" queryTableFieldId="3"/>
    <tableColumn id="4" xr3:uid="{B85CBD53-7C44-4DC5-A1B7-1EF1AD88D309}" uniqueName="4" name="produits" queryTableFieldId="4"/>
    <tableColumn id="5" xr3:uid="{84E052E9-097B-4D52-ACFA-8519C7444048}" uniqueName="5" name="resultat_brut" queryTableFieldId="5"/>
    <tableColumn id="6" xr3:uid="{CD4E84D3-7EDE-41A7-B64F-FCD2308D7F6E}" uniqueName="6" name="rentabilite_brute" queryTableFieldId="6"/>
    <tableColumn id="7" xr3:uid="{24F36E42-07C0-45C5-BABA-BC5BC6F90493}" uniqueName="7" name="rentabilite_nette" queryTableFieldId="7"/>
    <tableColumn id="8" xr3:uid="{6F827EC9-F8A2-4811-B15B-E8315064F922}" uniqueName="8" name="contribution_equilibre" queryTableFieldId="8"/>
  </tableColumns>
  <tableStyleInfo name="TableStyleMedium7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7669CCC-973F-474A-80D0-DBBB23327DE6}" name="cex_04" displayName="cex_04" ref="AA4:AD14" tableType="queryTable" totalsRowShown="0">
  <autoFilter ref="AA4:AD14" xr:uid="{8596959E-D875-4DA1-B999-F0C851BAC99A}"/>
  <tableColumns count="4">
    <tableColumn id="1" xr3:uid="{6A20159A-6DF5-4F86-9A12-B2D1356B321D}" uniqueName="1" name="client" queryTableFieldId="1"/>
    <tableColumn id="2" xr3:uid="{6BC905A1-3331-4901-961C-7F0A1C71ACC6}" uniqueName="2" name="annee" queryTableFieldId="2"/>
    <tableColumn id="3" xr3:uid="{317AD24E-A1F2-4FFA-A674-219B683A6C2B}" uniqueName="3" name="libelle_crac" queryTableFieldId="3"/>
    <tableColumn id="4" xr3:uid="{C2FBDCE7-F4FB-4ACA-B4CC-DC5BECD369CA}" uniqueName="4" name="valeur" queryTableFieldId="4"/>
  </tableColumns>
  <tableStyleInfo name="TableStyleMedium7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86B2E8A5-6D7C-4EE2-9BDD-6EC8FE3D2409}" name="cex_05" displayName="cex_05" ref="AH4:AK124" tableType="queryTable" totalsRowShown="0">
  <autoFilter ref="AH4:AK124" xr:uid="{33D48B4E-B3F8-45C7-846F-ADD9F36335F8}"/>
  <tableColumns count="4">
    <tableColumn id="1" xr3:uid="{0B827926-40F3-4C95-9D3A-2B1179EEE16A}" uniqueName="1" name="client" queryTableFieldId="1" dataDxfId="13"/>
    <tableColumn id="2" xr3:uid="{13A7F04D-3E45-464A-84DA-73A1775ACDCB}" uniqueName="2" name="annee" queryTableFieldId="2"/>
    <tableColumn id="3" xr3:uid="{E9A3E1CD-E5FD-4FDA-BBD5-C41B3985F8CD}" uniqueName="3" name="libelle_crac" queryTableFieldId="3" dataDxfId="12"/>
    <tableColumn id="4" xr3:uid="{5DF5AB1D-2EB6-402A-9BF4-B606B29C6218}" uniqueName="4" name="valeur" queryTableFieldId="4" dataDxfId="11"/>
  </tableColumns>
  <tableStyleInfo name="TableStyleMedium7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B5884EDF-CA65-4920-BBAF-52AEE2782542}" name="cex_06" displayName="cex_06" ref="AO4:AR124" tableType="queryTable" totalsRowShown="0">
  <autoFilter ref="AO4:AR124" xr:uid="{E7655690-9E67-48D0-8B9E-D7A4C77BD64E}"/>
  <tableColumns count="4">
    <tableColumn id="1" xr3:uid="{D14AE665-8140-4D6D-A7A1-C6783AF39F37}" uniqueName="1" name="client" queryTableFieldId="1" dataDxfId="10"/>
    <tableColumn id="2" xr3:uid="{C51949D7-EDF6-41EC-81F1-F1078914A544}" uniqueName="2" name="annee" queryTableFieldId="2"/>
    <tableColumn id="3" xr3:uid="{BF7E9A8A-CE6C-4738-A200-F0C00C0E25A7}" uniqueName="3" name="libelle_crac" queryTableFieldId="3" dataDxfId="9"/>
    <tableColumn id="4" xr3:uid="{C1BC680A-3BD7-4323-9CCD-78F5CE1ECBEF}" uniqueName="4" name="valeur" queryTableFieldId="4"/>
  </tableColumns>
  <tableStyleInfo name="TableStyleMedium7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600464B9-3D64-4F9A-967C-9432DA81F0A0}" name="cex_07" displayName="cex_07" ref="AV4:AY9" tableType="queryTable" totalsRowShown="0">
  <autoFilter ref="AV4:AY9" xr:uid="{9190BEAC-8313-43E8-9968-F3DFEB493192}"/>
  <tableColumns count="4">
    <tableColumn id="1" xr3:uid="{E5AF8E16-D51A-4689-8644-A194DC16ECEE}" uniqueName="1" name="client" queryTableFieldId="1"/>
    <tableColumn id="2" xr3:uid="{92A8602B-FFC5-4609-AD07-759737B849DC}" uniqueName="2" name="annee" queryTableFieldId="2"/>
    <tableColumn id="3" xr3:uid="{D4277D31-4196-4D28-A277-F9BBEFB9620A}" uniqueName="3" name="libelle_crac" queryTableFieldId="3"/>
    <tableColumn id="4" xr3:uid="{7C9FC93F-9D98-449F-8747-E9B36E266390}" uniqueName="4" name="valeur" queryTableFieldId="4"/>
  </tableColumns>
  <tableStyleInfo name="TableStyleMedium7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7E8DAA-70BF-4EB8-BCC1-2322FBB26AC1}" name="cex_08" displayName="cex_08" ref="BC4:BG154" tableType="queryTable" totalsRowShown="0">
  <autoFilter ref="BC4:BG154" xr:uid="{D62CADAE-B61E-40B3-AFD8-4804F9659A38}"/>
  <tableColumns count="5">
    <tableColumn id="1" xr3:uid="{0D572C8C-2652-4205-A83E-47A4441DE85B}" uniqueName="1" name="client" queryTableFieldId="1"/>
    <tableColumn id="2" xr3:uid="{2D79D176-47D4-47AD-A0E5-315D963DAAD0}" uniqueName="2" name="annee" queryTableFieldId="2"/>
    <tableColumn id="3" xr3:uid="{5B74FA0D-522A-49A4-A27D-703BAF12217C}" uniqueName="3" name="table" queryTableFieldId="3"/>
    <tableColumn id="4" xr3:uid="{BB6D5448-6FC5-4F0A-9CFF-217A0FA9243A}" uniqueName="4" name="libelle" queryTableFieldId="4"/>
    <tableColumn id="5" xr3:uid="{A8EA3BA4-970D-4D74-BCA5-34081DD0E30A}" uniqueName="5" name="montant_reparti" queryTableFieldId="5"/>
  </tableColumns>
  <tableStyleInfo name="TableStyleMedium7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637913BC-C63D-44F8-9099-62DFAB9A4194}" name="cex_09" displayName="cex_09" ref="BK4:BN39" tableType="queryTable" totalsRowShown="0">
  <autoFilter ref="BK4:BN39" xr:uid="{A4289BD5-C69E-42E6-997C-540948B9C9FE}"/>
  <tableColumns count="4">
    <tableColumn id="1" xr3:uid="{58C50CDC-F224-4D9F-B071-DA6B650D482C}" uniqueName="1" name="client" queryTableFieldId="1" dataDxfId="8"/>
    <tableColumn id="2" xr3:uid="{86A2BAFA-4AE8-4D99-8D77-D3092C2FEEE1}" uniqueName="2" name="annee" queryTableFieldId="2"/>
    <tableColumn id="3" xr3:uid="{92BDC6C7-5F9B-4496-9AA2-6ACA44CB6177}" uniqueName="3" name="libelle_crac" queryTableFieldId="3" dataDxfId="7"/>
    <tableColumn id="4" xr3:uid="{1CD54E1A-A6C5-4EA4-8525-6EACAB73818C}" uniqueName="4" name="valeur" queryTableFieldId="4" dataDxfId="6"/>
  </tableColumns>
  <tableStyleInfo name="TableStyleMedium7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74D775A-5115-4B03-9E73-D7EACA0088BB}" name="cex_10" displayName="cex_10" ref="BR4:BU39" tableType="queryTable" totalsRowShown="0">
  <autoFilter ref="BR4:BU39" xr:uid="{A6FFE048-DCB7-448D-89B7-C228081BEB28}"/>
  <tableColumns count="4">
    <tableColumn id="1" xr3:uid="{3D0A322E-4E30-4433-A049-9B361124301D}" uniqueName="1" name="client" queryTableFieldId="1" dataDxfId="5"/>
    <tableColumn id="2" xr3:uid="{967AB9BD-A785-4284-9BD4-D428599B3263}" uniqueName="2" name="annee" queryTableFieldId="2"/>
    <tableColumn id="3" xr3:uid="{48FD6AB4-5147-4568-BCB3-CF0BBFA1857D}" uniqueName="3" name="libelle_crac" queryTableFieldId="3" dataDxfId="4"/>
    <tableColumn id="4" xr3:uid="{5A5280A6-918E-4ABB-A902-4397FF23F042}" uniqueName="4" name="valeur" queryTableFieldId="4" dataDxfId="3"/>
  </tableColumns>
  <tableStyleInfo name="TableStyleMedium7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FD0AC20-0660-450C-A4BC-C339A054CAD7}" name="cex_11" displayName="cex_11" ref="BY4:CA9" tableType="queryTable" totalsRowShown="0">
  <autoFilter ref="BY4:CA9" xr:uid="{625D2B21-419F-4D80-87E8-BBA138027B33}"/>
  <tableColumns count="3">
    <tableColumn id="1" xr3:uid="{3CF59D4F-94CC-4DC4-BB01-37A2C4217B9A}" uniqueName="1" name="client" queryTableFieldId="1" dataDxfId="2"/>
    <tableColumn id="2" xr3:uid="{D3359EA9-FFAD-426F-809B-5178AF52272D}" uniqueName="2" name="annee" queryTableFieldId="2"/>
    <tableColumn id="3" xr3:uid="{7CC90F16-25B1-42B4-BBB2-FE116FD85EB5}" uniqueName="3" name="investissements_deliberes" queryTableFieldId="3"/>
  </tableColumns>
  <tableStyleInfo name="TableStyleMedium7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A44122BC-8758-4157-B92E-FF139CCB934A}" name="cex_12" displayName="cex_12" ref="CE4:CH14" tableType="queryTable" totalsRowShown="0">
  <autoFilter ref="CE4:CH14" xr:uid="{7C698AA1-42DD-4DFF-B353-39470A84AF09}"/>
  <tableColumns count="4">
    <tableColumn id="1" xr3:uid="{007FAA1F-3712-49F6-A579-6D5DA14FB1AD}" uniqueName="1" name="client" queryTableFieldId="1" dataDxfId="1"/>
    <tableColumn id="2" xr3:uid="{33A34BBE-CBB0-4590-8956-168A0E183CF5}" uniqueName="2" name="annee" queryTableFieldId="2"/>
    <tableColumn id="3" xr3:uid="{E26F7655-FDBD-4403-BD8B-C9A03E30D3BF}" uniqueName="3" name="libelle" queryTableFieldId="3" dataDxfId="0"/>
    <tableColumn id="4" xr3:uid="{9945FB1B-0759-46EE-8DE7-185A69457ABF}" uniqueName="4" name="valeur" queryTableFieldId="4"/>
  </tableColumns>
  <tableStyleInfo name="TableStyleMedium7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263A6DBA-071C-42F6-B49E-2D865D07A5EB}" name="synthese_generale" displayName="synthese_generale" ref="B3:AB8" tableType="queryTable" totalsRowShown="0">
  <autoFilter ref="B3:AB8" xr:uid="{D7B0F36F-C797-40B7-8ACB-280EF50A4A97}"/>
  <tableColumns count="27">
    <tableColumn id="1" xr3:uid="{D4C44203-5365-4195-9E9C-B76931F97252}" uniqueName="1" name="client" queryTableFieldId="1"/>
    <tableColumn id="2" xr3:uid="{A2629E03-EE48-49EE-86FD-B4B3BC3AABA5}" uniqueName="2" name="annee" queryTableFieldId="2"/>
    <tableColumn id="3" xr3:uid="{6C9A50D0-750D-4E21-88CD-55D202596257}" uniqueName="3" name="nbr_communes_dpt_insee" queryTableFieldId="3"/>
    <tableColumn id="4" xr3:uid="{24289B3A-2F99-45E7-A021-22C840F46A45}" uniqueName="4" name="nbr_communes_sens_enedis" queryTableFieldId="4"/>
    <tableColumn id="5" xr3:uid="{8D4CD1E0-14C5-4495-A6C1-05426FF33BBB}" uniqueName="5" name="nbr_com_urb" queryTableFieldId="5"/>
    <tableColumn id="6" xr3:uid="{58C5A363-C40C-4309-B701-78C441CEBAC4}" uniqueName="6" name="nbr_com_rur" queryTableFieldId="6"/>
    <tableColumn id="7" xr3:uid="{98D412A9-C107-4CC1-BDE5-CF4650321491}" uniqueName="7" name="population_concession" queryTableFieldId="7"/>
    <tableColumn id="17" xr3:uid="{F2A0BD26-958B-4E1B-AF43-FB164FF98A97}" uniqueName="17" name="population_concession_urbain" queryTableFieldId="17"/>
    <tableColumn id="18" xr3:uid="{07290050-D63E-45C6-AD17-A3DB7E6BDEFD}" uniqueName="18" name="population_concession_rural" queryTableFieldId="18"/>
    <tableColumn id="8" xr3:uid="{57D2EE83-9699-47DA-9433-AD8109087BAB}" uniqueName="8" name="nbr_ps_concession" queryTableFieldId="8"/>
    <tableColumn id="9" xr3:uid="{303605C0-9FC6-45F7-AA8D-FFB30859A741}" uniqueName="9" name="nbr_ps_concession_sur_le_territoire" queryTableFieldId="9"/>
    <tableColumn id="10" xr3:uid="{27D40BA0-8B0A-4ADC-B8CF-4FE1CC533855}" uniqueName="10" name="puissance_mva" queryTableFieldId="10"/>
    <tableColumn id="11" xr3:uid="{38324EE2-5017-4C71-858A-039D718E1198}" uniqueName="11" name="puissance_mva_sur_le_territoire" queryTableFieldId="11"/>
    <tableColumn id="12" xr3:uid="{5C834442-3D73-44E6-8F9A-D5BAC4410C28}" uniqueName="12" name="nbr_usr" queryTableFieldId="12"/>
    <tableColumn id="19" xr3:uid="{ADAD3F00-EA43-4B87-8346-C68CAA827AA6}" uniqueName="19" name="nbr_usr_trv" queryTableFieldId="19"/>
    <tableColumn id="26" xr3:uid="{9658C9E5-AA5B-45F5-886F-68A3A6541BBD}" uniqueName="26" name="nbr_prod" queryTableFieldId="30"/>
    <tableColumn id="13" xr3:uid="{A17E1339-FCBE-4750-A933-03D455571AD5}" uniqueName="13" name="long_hta_tot_km" queryTableFieldId="13"/>
    <tableColumn id="14" xr3:uid="{0AD921BB-5D32-458C-9936-C428A2D3C046}" uniqueName="14" name="nbr_postes_hta_bt" queryTableFieldId="14"/>
    <tableColumn id="20" xr3:uid="{692BA34B-C986-42E0-9B37-4A7AE939325A}" uniqueName="20" name="nbr_trans_hta_bt" queryTableFieldId="20"/>
    <tableColumn id="15" xr3:uid="{20109E9A-E448-47A2-AD58-DCCF927AF011}" uniqueName="15" name="long_bt_tot_km" queryTableFieldId="15"/>
    <tableColumn id="16" xr3:uid="{0E673C8A-12D4-44F7-BDE2-21530D8C6336}" uniqueName="16" name="long_tot_km" queryTableFieldId="16"/>
    <tableColumn id="21" xr3:uid="{7262BC77-D00F-4BE4-B8B1-617F977D2EAF}" uniqueName="21" name="valeur_brute" queryTableFieldId="21"/>
    <tableColumn id="22" xr3:uid="{FED246E9-530A-4875-A151-D68CCC9CFB0C}" uniqueName="22" name="taux_amort" queryTableFieldId="22"/>
    <tableColumn id="23" xr3:uid="{8D344D30-C905-4CDE-9DBD-C8426F875A88}" uniqueName="23" name="recette" queryTableFieldId="23"/>
    <tableColumn id="24" xr3:uid="{29F96AAE-33DE-4841-A2AB-43532FA76892}" uniqueName="24" name="redevance" queryTableFieldId="24"/>
    <tableColumn id="25" xr3:uid="{D81A3741-BFE8-46EA-A3B1-ACAA8F8619BF}" uniqueName="25" name="article8" queryTableFieldId="25"/>
    <tableColumn id="27" xr3:uid="{C5F6A6A4-35C1-4066-A458-A780A64115E0}" uniqueName="27" name="nbr_ocb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data.gouv.fr/fr/datasets/donnees-relatives-aux-lignes-et-aux-poste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9" Type="http://schemas.openxmlformats.org/officeDocument/2006/relationships/table" Target="../tables/table29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5" Type="http://schemas.openxmlformats.org/officeDocument/2006/relationships/table" Target="../tables/table5.xml"/><Relationship Id="rId61" Type="http://schemas.openxmlformats.org/officeDocument/2006/relationships/table" Target="../tables/table61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56" Type="http://schemas.openxmlformats.org/officeDocument/2006/relationships/table" Target="../tables/table56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8.xml"/><Relationship Id="rId13" Type="http://schemas.openxmlformats.org/officeDocument/2006/relationships/table" Target="../tables/table73.xml"/><Relationship Id="rId18" Type="http://schemas.openxmlformats.org/officeDocument/2006/relationships/table" Target="../tables/table78.xml"/><Relationship Id="rId3" Type="http://schemas.openxmlformats.org/officeDocument/2006/relationships/table" Target="../tables/table63.xml"/><Relationship Id="rId21" Type="http://schemas.openxmlformats.org/officeDocument/2006/relationships/table" Target="../tables/table81.xml"/><Relationship Id="rId7" Type="http://schemas.openxmlformats.org/officeDocument/2006/relationships/table" Target="../tables/table67.xml"/><Relationship Id="rId12" Type="http://schemas.openxmlformats.org/officeDocument/2006/relationships/table" Target="../tables/table72.xml"/><Relationship Id="rId17" Type="http://schemas.openxmlformats.org/officeDocument/2006/relationships/table" Target="../tables/table77.xml"/><Relationship Id="rId25" Type="http://schemas.openxmlformats.org/officeDocument/2006/relationships/table" Target="../tables/table85.xml"/><Relationship Id="rId2" Type="http://schemas.openxmlformats.org/officeDocument/2006/relationships/table" Target="../tables/table62.xml"/><Relationship Id="rId16" Type="http://schemas.openxmlformats.org/officeDocument/2006/relationships/table" Target="../tables/table76.xml"/><Relationship Id="rId20" Type="http://schemas.openxmlformats.org/officeDocument/2006/relationships/table" Target="../tables/table80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66.xml"/><Relationship Id="rId11" Type="http://schemas.openxmlformats.org/officeDocument/2006/relationships/table" Target="../tables/table71.xml"/><Relationship Id="rId24" Type="http://schemas.openxmlformats.org/officeDocument/2006/relationships/table" Target="../tables/table84.xml"/><Relationship Id="rId5" Type="http://schemas.openxmlformats.org/officeDocument/2006/relationships/table" Target="../tables/table65.xml"/><Relationship Id="rId15" Type="http://schemas.openxmlformats.org/officeDocument/2006/relationships/table" Target="../tables/table75.xml"/><Relationship Id="rId23" Type="http://schemas.openxmlformats.org/officeDocument/2006/relationships/table" Target="../tables/table83.xml"/><Relationship Id="rId10" Type="http://schemas.openxmlformats.org/officeDocument/2006/relationships/table" Target="../tables/table70.xml"/><Relationship Id="rId19" Type="http://schemas.openxmlformats.org/officeDocument/2006/relationships/table" Target="../tables/table79.xml"/><Relationship Id="rId4" Type="http://schemas.openxmlformats.org/officeDocument/2006/relationships/table" Target="../tables/table64.xml"/><Relationship Id="rId9" Type="http://schemas.openxmlformats.org/officeDocument/2006/relationships/table" Target="../tables/table69.xml"/><Relationship Id="rId14" Type="http://schemas.openxmlformats.org/officeDocument/2006/relationships/table" Target="../tables/table74.xml"/><Relationship Id="rId22" Type="http://schemas.openxmlformats.org/officeDocument/2006/relationships/table" Target="../tables/table8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8.xml"/><Relationship Id="rId2" Type="http://schemas.openxmlformats.org/officeDocument/2006/relationships/table" Target="../tables/table87.xml"/><Relationship Id="rId1" Type="http://schemas.openxmlformats.org/officeDocument/2006/relationships/table" Target="../tables/table86.xml"/><Relationship Id="rId5" Type="http://schemas.openxmlformats.org/officeDocument/2006/relationships/table" Target="../tables/table90.xml"/><Relationship Id="rId4" Type="http://schemas.openxmlformats.org/officeDocument/2006/relationships/table" Target="../tables/table89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8.xml"/><Relationship Id="rId13" Type="http://schemas.openxmlformats.org/officeDocument/2006/relationships/table" Target="../tables/table103.xml"/><Relationship Id="rId3" Type="http://schemas.openxmlformats.org/officeDocument/2006/relationships/table" Target="../tables/table93.xml"/><Relationship Id="rId7" Type="http://schemas.openxmlformats.org/officeDocument/2006/relationships/table" Target="../tables/table97.xml"/><Relationship Id="rId12" Type="http://schemas.openxmlformats.org/officeDocument/2006/relationships/table" Target="../tables/table102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Relationship Id="rId6" Type="http://schemas.openxmlformats.org/officeDocument/2006/relationships/table" Target="../tables/table96.xml"/><Relationship Id="rId11" Type="http://schemas.openxmlformats.org/officeDocument/2006/relationships/table" Target="../tables/table101.xml"/><Relationship Id="rId5" Type="http://schemas.openxmlformats.org/officeDocument/2006/relationships/table" Target="../tables/table95.xml"/><Relationship Id="rId10" Type="http://schemas.openxmlformats.org/officeDocument/2006/relationships/table" Target="../tables/table100.xml"/><Relationship Id="rId4" Type="http://schemas.openxmlformats.org/officeDocument/2006/relationships/table" Target="../tables/table94.xml"/><Relationship Id="rId9" Type="http://schemas.openxmlformats.org/officeDocument/2006/relationships/table" Target="../tables/table99.xml"/><Relationship Id="rId14" Type="http://schemas.openxmlformats.org/officeDocument/2006/relationships/table" Target="../tables/table10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2" Type="http://schemas.openxmlformats.org/officeDocument/2006/relationships/table" Target="../tables/table106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5" Type="http://schemas.openxmlformats.org/officeDocument/2006/relationships/table" Target="../tables/table109.xml"/><Relationship Id="rId4" Type="http://schemas.openxmlformats.org/officeDocument/2006/relationships/table" Target="../tables/table10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3.xml"/><Relationship Id="rId1" Type="http://schemas.openxmlformats.org/officeDocument/2006/relationships/table" Target="../tables/table112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1.xml"/><Relationship Id="rId13" Type="http://schemas.openxmlformats.org/officeDocument/2006/relationships/table" Target="../tables/table126.xml"/><Relationship Id="rId18" Type="http://schemas.openxmlformats.org/officeDocument/2006/relationships/table" Target="../tables/table131.xml"/><Relationship Id="rId26" Type="http://schemas.openxmlformats.org/officeDocument/2006/relationships/table" Target="../tables/table139.xml"/><Relationship Id="rId3" Type="http://schemas.openxmlformats.org/officeDocument/2006/relationships/table" Target="../tables/table116.xml"/><Relationship Id="rId21" Type="http://schemas.openxmlformats.org/officeDocument/2006/relationships/table" Target="../tables/table134.xml"/><Relationship Id="rId7" Type="http://schemas.openxmlformats.org/officeDocument/2006/relationships/table" Target="../tables/table120.xml"/><Relationship Id="rId12" Type="http://schemas.openxmlformats.org/officeDocument/2006/relationships/table" Target="../tables/table125.xml"/><Relationship Id="rId17" Type="http://schemas.openxmlformats.org/officeDocument/2006/relationships/table" Target="../tables/table130.xml"/><Relationship Id="rId25" Type="http://schemas.openxmlformats.org/officeDocument/2006/relationships/table" Target="../tables/table138.xml"/><Relationship Id="rId2" Type="http://schemas.openxmlformats.org/officeDocument/2006/relationships/table" Target="../tables/table115.xml"/><Relationship Id="rId16" Type="http://schemas.openxmlformats.org/officeDocument/2006/relationships/table" Target="../tables/table129.xml"/><Relationship Id="rId20" Type="http://schemas.openxmlformats.org/officeDocument/2006/relationships/table" Target="../tables/table133.xml"/><Relationship Id="rId29" Type="http://schemas.openxmlformats.org/officeDocument/2006/relationships/table" Target="../tables/table142.xml"/><Relationship Id="rId1" Type="http://schemas.openxmlformats.org/officeDocument/2006/relationships/table" Target="../tables/table114.xml"/><Relationship Id="rId6" Type="http://schemas.openxmlformats.org/officeDocument/2006/relationships/table" Target="../tables/table119.xml"/><Relationship Id="rId11" Type="http://schemas.openxmlformats.org/officeDocument/2006/relationships/table" Target="../tables/table124.xml"/><Relationship Id="rId24" Type="http://schemas.openxmlformats.org/officeDocument/2006/relationships/table" Target="../tables/table137.xml"/><Relationship Id="rId5" Type="http://schemas.openxmlformats.org/officeDocument/2006/relationships/table" Target="../tables/table118.xml"/><Relationship Id="rId15" Type="http://schemas.openxmlformats.org/officeDocument/2006/relationships/table" Target="../tables/table128.xml"/><Relationship Id="rId23" Type="http://schemas.openxmlformats.org/officeDocument/2006/relationships/table" Target="../tables/table136.xml"/><Relationship Id="rId28" Type="http://schemas.openxmlformats.org/officeDocument/2006/relationships/table" Target="../tables/table141.xml"/><Relationship Id="rId10" Type="http://schemas.openxmlformats.org/officeDocument/2006/relationships/table" Target="../tables/table123.xml"/><Relationship Id="rId19" Type="http://schemas.openxmlformats.org/officeDocument/2006/relationships/table" Target="../tables/table132.xml"/><Relationship Id="rId4" Type="http://schemas.openxmlformats.org/officeDocument/2006/relationships/table" Target="../tables/table117.xml"/><Relationship Id="rId9" Type="http://schemas.openxmlformats.org/officeDocument/2006/relationships/table" Target="../tables/table122.xml"/><Relationship Id="rId14" Type="http://schemas.openxmlformats.org/officeDocument/2006/relationships/table" Target="../tables/table127.xml"/><Relationship Id="rId22" Type="http://schemas.openxmlformats.org/officeDocument/2006/relationships/table" Target="../tables/table135.xml"/><Relationship Id="rId27" Type="http://schemas.openxmlformats.org/officeDocument/2006/relationships/table" Target="../tables/table14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5.xml"/><Relationship Id="rId2" Type="http://schemas.openxmlformats.org/officeDocument/2006/relationships/table" Target="../tables/table144.xml"/><Relationship Id="rId1" Type="http://schemas.openxmlformats.org/officeDocument/2006/relationships/table" Target="../tables/table143.xml"/><Relationship Id="rId6" Type="http://schemas.openxmlformats.org/officeDocument/2006/relationships/table" Target="../tables/table148.xml"/><Relationship Id="rId5" Type="http://schemas.openxmlformats.org/officeDocument/2006/relationships/table" Target="../tables/table147.xml"/><Relationship Id="rId4" Type="http://schemas.openxmlformats.org/officeDocument/2006/relationships/table" Target="../tables/table14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7.xml"/><Relationship Id="rId3" Type="http://schemas.openxmlformats.org/officeDocument/2006/relationships/table" Target="../tables/table152.xml"/><Relationship Id="rId7" Type="http://schemas.openxmlformats.org/officeDocument/2006/relationships/table" Target="../tables/table156.xml"/><Relationship Id="rId12" Type="http://schemas.openxmlformats.org/officeDocument/2006/relationships/table" Target="../tables/table161.xml"/><Relationship Id="rId2" Type="http://schemas.openxmlformats.org/officeDocument/2006/relationships/table" Target="../tables/table151.xml"/><Relationship Id="rId1" Type="http://schemas.openxmlformats.org/officeDocument/2006/relationships/table" Target="../tables/table150.xml"/><Relationship Id="rId6" Type="http://schemas.openxmlformats.org/officeDocument/2006/relationships/table" Target="../tables/table155.xml"/><Relationship Id="rId11" Type="http://schemas.openxmlformats.org/officeDocument/2006/relationships/table" Target="../tables/table160.xml"/><Relationship Id="rId5" Type="http://schemas.openxmlformats.org/officeDocument/2006/relationships/table" Target="../tables/table154.xml"/><Relationship Id="rId10" Type="http://schemas.openxmlformats.org/officeDocument/2006/relationships/table" Target="../tables/table159.xml"/><Relationship Id="rId4" Type="http://schemas.openxmlformats.org/officeDocument/2006/relationships/table" Target="../tables/table153.xml"/><Relationship Id="rId9" Type="http://schemas.openxmlformats.org/officeDocument/2006/relationships/table" Target="../tables/table15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ECA66-F260-41A1-A10B-FEAE4DDE1F61}">
  <sheetPr codeName="Feuil1"/>
  <dimension ref="A1:E16"/>
  <sheetViews>
    <sheetView workbookViewId="0">
      <selection activeCell="M13" sqref="M13"/>
    </sheetView>
  </sheetViews>
  <sheetFormatPr defaultColWidth="11.7109375" defaultRowHeight="15" customHeight="1" x14ac:dyDescent="0.25"/>
  <cols>
    <col min="1" max="1" width="15.7109375" style="28" customWidth="1"/>
    <col min="2" max="16384" width="11.7109375" style="28"/>
  </cols>
  <sheetData>
    <row r="1" spans="1:5" ht="40.15" customHeight="1" x14ac:dyDescent="0.25">
      <c r="A1" s="97" t="s">
        <v>0</v>
      </c>
    </row>
    <row r="4" spans="1:5" ht="15" customHeight="1" x14ac:dyDescent="0.25">
      <c r="A4" s="28" t="s">
        <v>1</v>
      </c>
      <c r="B4" s="28" t="s">
        <v>3393</v>
      </c>
    </row>
    <row r="5" spans="1:5" ht="15" customHeight="1" x14ac:dyDescent="0.25">
      <c r="A5" s="28" t="s">
        <v>2</v>
      </c>
      <c r="B5" s="171">
        <v>2023</v>
      </c>
    </row>
    <row r="6" spans="1:5" ht="15" customHeight="1" x14ac:dyDescent="0.25">
      <c r="A6" s="28" t="s">
        <v>3</v>
      </c>
      <c r="B6" s="172">
        <f ca="1">TODAY()</f>
        <v>45594</v>
      </c>
      <c r="C6" s="99"/>
      <c r="D6" s="99"/>
    </row>
    <row r="8" spans="1:5" ht="15" customHeight="1" x14ac:dyDescent="0.25">
      <c r="A8" s="28" t="s">
        <v>4</v>
      </c>
      <c r="B8" s="28" t="s">
        <v>5</v>
      </c>
      <c r="C8" s="28" t="s">
        <v>6</v>
      </c>
      <c r="D8" s="100" t="s">
        <v>7</v>
      </c>
      <c r="E8" s="100" t="s">
        <v>8</v>
      </c>
    </row>
    <row r="9" spans="1:5" ht="15" customHeight="1" x14ac:dyDescent="0.25">
      <c r="A9" s="28">
        <f>annee_CRAC</f>
        <v>2023</v>
      </c>
      <c r="B9" s="28">
        <f>Exercice[[#This Row],[Exercice N]]-1</f>
        <v>2022</v>
      </c>
      <c r="C9" s="28">
        <f>Exercice[[#This Row],[Exercice N-1]]-1</f>
        <v>2021</v>
      </c>
      <c r="D9" s="100">
        <f>Exercice[[#This Row],[Exercice N-2]]-1</f>
        <v>2020</v>
      </c>
      <c r="E9" s="100">
        <f>Exercice[[#This Row],[Exercice N-3]]-1</f>
        <v>2019</v>
      </c>
    </row>
    <row r="10" spans="1:5" ht="15" customHeight="1" x14ac:dyDescent="0.25">
      <c r="D10" s="100"/>
      <c r="E10" s="100"/>
    </row>
    <row r="12" spans="1:5" ht="15" customHeight="1" x14ac:dyDescent="0.25">
      <c r="A12" s="479" t="s">
        <v>9</v>
      </c>
      <c r="B12" s="28" t="s">
        <v>10</v>
      </c>
    </row>
    <row r="14" spans="1:5" ht="15" customHeight="1" x14ac:dyDescent="0.25">
      <c r="A14" s="163"/>
      <c r="B14" s="28" t="s">
        <v>11</v>
      </c>
    </row>
    <row r="15" spans="1:5" ht="15" customHeight="1" x14ac:dyDescent="0.25">
      <c r="A15" s="47"/>
      <c r="B15" s="28" t="s">
        <v>12</v>
      </c>
    </row>
    <row r="16" spans="1:5" ht="15" customHeight="1" x14ac:dyDescent="0.25">
      <c r="A16" s="161"/>
      <c r="B16" s="28" t="s">
        <v>13</v>
      </c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0208-E4BD-494A-B1E3-A2E696D48220}">
  <sheetPr codeName="Feuil2">
    <tabColor theme="9" tint="0.39997558519241921"/>
  </sheetPr>
  <dimension ref="A1:P65"/>
  <sheetViews>
    <sheetView topLeftCell="A43" zoomScaleNormal="100" workbookViewId="0">
      <selection activeCell="J30" sqref="J30"/>
    </sheetView>
  </sheetViews>
  <sheetFormatPr defaultColWidth="11.42578125" defaultRowHeight="15" customHeight="1" x14ac:dyDescent="0.25"/>
  <cols>
    <col min="1" max="1" width="15.7109375" style="25" customWidth="1"/>
    <col min="2" max="2" width="55.7109375" style="25" customWidth="1"/>
    <col min="3" max="7" width="11.7109375" style="25" customWidth="1"/>
    <col min="8" max="16384" width="11.42578125" style="25"/>
  </cols>
  <sheetData>
    <row r="1" spans="1:7" ht="40.15" customHeight="1" x14ac:dyDescent="0.25">
      <c r="A1" s="97" t="s">
        <v>14</v>
      </c>
    </row>
    <row r="2" spans="1:7" ht="15" customHeight="1" x14ac:dyDescent="0.25">
      <c r="A2" s="164"/>
    </row>
    <row r="4" spans="1:7" ht="30" customHeight="1" x14ac:dyDescent="0.25">
      <c r="A4" s="479" t="s">
        <v>15</v>
      </c>
      <c r="B4" s="54" t="s">
        <v>16</v>
      </c>
      <c r="C4" s="755"/>
      <c r="D4" s="755"/>
      <c r="E4" s="755"/>
      <c r="F4" s="755"/>
      <c r="G4" s="756"/>
    </row>
    <row r="5" spans="1:7" ht="15" customHeight="1" x14ac:dyDescent="0.25">
      <c r="A5" s="231"/>
      <c r="B5" s="493" t="s">
        <v>17</v>
      </c>
      <c r="C5" s="747" t="s">
        <v>18</v>
      </c>
      <c r="D5" s="747"/>
      <c r="E5" s="747"/>
      <c r="F5" s="747"/>
      <c r="G5" s="748"/>
    </row>
    <row r="6" spans="1:7" ht="15" customHeight="1" x14ac:dyDescent="0.25">
      <c r="A6" s="231"/>
      <c r="B6" s="494" t="s">
        <v>19</v>
      </c>
      <c r="C6" s="495" t="s">
        <v>20</v>
      </c>
      <c r="D6" s="495"/>
      <c r="E6" s="495"/>
      <c r="F6" s="495"/>
      <c r="G6" s="496"/>
    </row>
    <row r="7" spans="1:7" ht="15" customHeight="1" x14ac:dyDescent="0.25">
      <c r="A7" s="231"/>
      <c r="B7" s="504" t="s">
        <v>21</v>
      </c>
      <c r="C7" s="505" t="s">
        <v>22</v>
      </c>
      <c r="D7" s="505"/>
      <c r="E7" s="505"/>
      <c r="F7" s="505"/>
      <c r="G7" s="506"/>
    </row>
    <row r="8" spans="1:7" ht="24" x14ac:dyDescent="0.25">
      <c r="A8" s="231"/>
      <c r="B8" s="497" t="s">
        <v>23</v>
      </c>
      <c r="C8" s="749" t="s">
        <v>24</v>
      </c>
      <c r="D8" s="749"/>
      <c r="E8" s="749"/>
      <c r="F8" s="749"/>
      <c r="G8" s="750"/>
    </row>
    <row r="9" spans="1:7" ht="24" x14ac:dyDescent="0.25">
      <c r="A9" s="231"/>
      <c r="B9" s="498" t="s">
        <v>25</v>
      </c>
      <c r="C9" s="753" t="s">
        <v>26</v>
      </c>
      <c r="D9" s="753"/>
      <c r="E9" s="753"/>
      <c r="F9" s="753"/>
      <c r="G9" s="754"/>
    </row>
    <row r="10" spans="1:7" ht="15" customHeight="1" x14ac:dyDescent="0.25">
      <c r="A10" s="231"/>
      <c r="B10" s="507" t="s">
        <v>27</v>
      </c>
      <c r="C10" s="757" t="s">
        <v>28</v>
      </c>
      <c r="D10" s="757"/>
      <c r="E10" s="757"/>
      <c r="F10" s="757"/>
      <c r="G10" s="758"/>
    </row>
    <row r="11" spans="1:7" ht="15" customHeight="1" x14ac:dyDescent="0.25">
      <c r="A11" s="231"/>
      <c r="B11" s="494" t="s">
        <v>29</v>
      </c>
      <c r="C11" s="751">
        <v>44562</v>
      </c>
      <c r="D11" s="751"/>
      <c r="E11" s="751"/>
      <c r="F11" s="751"/>
      <c r="G11" s="752"/>
    </row>
    <row r="12" spans="1:7" ht="15" customHeight="1" x14ac:dyDescent="0.25">
      <c r="A12" s="231"/>
      <c r="B12" s="494" t="s">
        <v>30</v>
      </c>
      <c r="C12" s="499" t="s">
        <v>3261</v>
      </c>
      <c r="D12" s="499"/>
      <c r="E12" s="499"/>
      <c r="F12" s="499"/>
      <c r="G12" s="500"/>
    </row>
    <row r="13" spans="1:7" ht="15" customHeight="1" x14ac:dyDescent="0.25">
      <c r="A13" s="231"/>
      <c r="B13" s="501" t="s">
        <v>31</v>
      </c>
      <c r="C13" s="704" t="s">
        <v>32</v>
      </c>
      <c r="D13" s="502"/>
      <c r="E13" s="502"/>
      <c r="F13" s="502"/>
      <c r="G13" s="503"/>
    </row>
    <row r="14" spans="1:7" ht="15" customHeight="1" x14ac:dyDescent="0.25">
      <c r="A14" s="231"/>
      <c r="B14" s="494" t="s">
        <v>33</v>
      </c>
      <c r="C14" s="705" t="s">
        <v>34</v>
      </c>
      <c r="D14" s="705"/>
      <c r="E14" s="499"/>
      <c r="F14" s="499"/>
      <c r="G14" s="500"/>
    </row>
    <row r="15" spans="1:7" ht="15" customHeight="1" x14ac:dyDescent="0.25">
      <c r="A15" s="231"/>
      <c r="B15" s="501" t="s">
        <v>35</v>
      </c>
      <c r="C15" s="753" t="s">
        <v>36</v>
      </c>
      <c r="D15" s="753"/>
      <c r="E15" s="753"/>
      <c r="F15" s="753"/>
      <c r="G15" s="754"/>
    </row>
    <row r="17" spans="1:8" ht="30" customHeight="1" x14ac:dyDescent="0.25">
      <c r="A17" s="479" t="s">
        <v>37</v>
      </c>
      <c r="B17" s="54" t="s">
        <v>38</v>
      </c>
      <c r="C17" s="55" cm="1">
        <f t="array" ref="C17">Exercice[Exercice N-4]</f>
        <v>2019</v>
      </c>
      <c r="D17" s="55" cm="1">
        <f t="array" ref="D17">Exercice[Exercice N-3]</f>
        <v>2020</v>
      </c>
      <c r="E17" s="55" cm="1">
        <f t="array" ref="E17">Exercice[Exercice N-2]</f>
        <v>2021</v>
      </c>
      <c r="F17" s="55" cm="1">
        <f t="array" ref="F17">Exercice[Exercice N-1]</f>
        <v>2022</v>
      </c>
      <c r="G17" s="56" cm="1">
        <f t="array" ref="G17">Exercice[Exercice N]</f>
        <v>2023</v>
      </c>
      <c r="H17" s="65"/>
    </row>
    <row r="18" spans="1:8" ht="15" customHeight="1" x14ac:dyDescent="0.25">
      <c r="A18" s="728" t="s">
        <v>3240</v>
      </c>
      <c r="B18" s="245" t="s">
        <v>39</v>
      </c>
      <c r="C18" s="246" cm="1">
        <f t="array" ref="C18">SUMPRODUCT((synthese_generale[[client]:[client]]=syndicat_etude)*(synthese_generale[[annee]:[annee]]=Exercice[[Exercice N-4]:[Exercice N-4]])*(synthese_generale[[nbr_communes_dpt_insee]:[nbr_communes_dpt_insee]]))</f>
        <v>431</v>
      </c>
      <c r="D18" s="246" cm="1">
        <f t="array" ref="D18">SUMPRODUCT((synthese_generale[[client]:[client]]=syndicat_etude)*(synthese_generale[[annee]:[annee]]=Exercice[[Exercice N-3]:[Exercice N-3]])*(synthese_generale[[nbr_communes_dpt_insee]:[nbr_communes_dpt_insee]]))</f>
        <v>431</v>
      </c>
      <c r="E18" s="246" cm="1">
        <f t="array" ref="E18">SUMPRODUCT((synthese_generale[[client]:[client]]=syndicat_etude)*(synthese_generale[[annee]:[annee]]=Exercice[[Exercice N-2]:[Exercice N-2]])*(synthese_generale[[nbr_communes_dpt_insee]:[nbr_communes_dpt_insee]]))</f>
        <v>431</v>
      </c>
      <c r="F18" s="246" cm="1">
        <f t="array" ref="F18">SUMPRODUCT((synthese_generale[[client]:[client]]=syndicat_etude)*(synthese_generale[[annee]:[annee]]=Exercice[[Exercice N-1]:[Exercice N-1]])*(synthese_generale[[nbr_communes_dpt_insee]:[nbr_communes_dpt_insee]]))</f>
        <v>431</v>
      </c>
      <c r="G18" s="247" cm="1">
        <f t="array" ref="G18">SUMPRODUCT((synthese_generale[[client]:[client]]=syndicat_etude)*(synthese_generale[[annee]:[annee]]=Exercice[[Exercice N]:[Exercice N]])*(synthese_generale[[nbr_communes_dpt_insee]:[nbr_communes_dpt_insee]]))</f>
        <v>431</v>
      </c>
      <c r="H18" s="65"/>
    </row>
    <row r="19" spans="1:8" ht="15" customHeight="1" x14ac:dyDescent="0.25">
      <c r="B19" s="483" t="s">
        <v>40</v>
      </c>
      <c r="C19" s="484" cm="1">
        <f t="array" ref="C19">SUMPRODUCT((synthese_generale[client]=syndicat_etude)*(synthese_generale[annee]=Exercice[Exercice N-4])*(synthese_generale[nbr_communes_sens_enedis]))</f>
        <v>400</v>
      </c>
      <c r="D19" s="484" cm="1">
        <f t="array" ref="D19">SUMPRODUCT((synthese_generale[client]=syndicat_etude)*(synthese_generale[annee]=Exercice[Exercice N-3])*(synthese_generale[nbr_communes_sens_enedis]))</f>
        <v>400</v>
      </c>
      <c r="E19" s="484" cm="1">
        <f t="array" ref="E19">SUMPRODUCT((synthese_generale[client]=syndicat_etude)*(synthese_generale[annee]=Exercice[Exercice N-2])*(synthese_generale[nbr_communes_sens_enedis]))</f>
        <v>400</v>
      </c>
      <c r="F19" s="484" cm="1">
        <f t="array" ref="F19">SUMPRODUCT((synthese_generale[client]=syndicat_etude)*(synthese_generale[annee]=Exercice[Exercice N-1])*(synthese_generale[nbr_communes_sens_enedis]))</f>
        <v>400</v>
      </c>
      <c r="G19" s="485" cm="1">
        <f t="array" ref="G19">SUMPRODUCT((synthese_generale[client]=syndicat_etude)*(synthese_generale[annee]=Exercice[Exercice N])*(synthese_generale[nbr_communes_sens_enedis]))</f>
        <v>401</v>
      </c>
      <c r="H19" s="65"/>
    </row>
    <row r="20" spans="1:8" ht="15" customHeight="1" x14ac:dyDescent="0.25">
      <c r="B20" s="491" t="s">
        <v>41</v>
      </c>
      <c r="C20" s="248" cm="1">
        <f t="array" ref="C20">SUMPRODUCT((synthese_generale[client]=syndicat_etude)*(synthese_generale[annee]=Exercice[Exercice N-4])*(synthese_generale[nbr_com_urb]))</f>
        <v>22</v>
      </c>
      <c r="D20" s="248" cm="1">
        <f t="array" ref="D20">SUMPRODUCT((synthese_generale[client]=syndicat_etude)*(synthese_generale[annee]=Exercice[Exercice N-3])*(synthese_generale[nbr_com_urb]))</f>
        <v>22</v>
      </c>
      <c r="E20" s="248" cm="1">
        <f t="array" ref="E20">SUMPRODUCT((synthese_generale[client]=syndicat_etude)*(synthese_generale[annee]=Exercice[Exercice N-2])*(synthese_generale[nbr_com_urb]))</f>
        <v>25</v>
      </c>
      <c r="F20" s="248" cm="1">
        <f t="array" ref="F20">SUMPRODUCT((synthese_generale[client]=syndicat_etude)*(synthese_generale[annee]=Exercice[Exercice N-1])*(synthese_generale[nbr_com_urb]))</f>
        <v>25</v>
      </c>
      <c r="G20" s="249" cm="1">
        <f t="array" ref="G20">SUMPRODUCT((synthese_generale[client]=syndicat_etude)*(synthese_generale[annee]=Exercice[Exercice N])*(synthese_generale[nbr_com_urb]))</f>
        <v>25</v>
      </c>
      <c r="H20" s="65"/>
    </row>
    <row r="21" spans="1:8" ht="15" customHeight="1" x14ac:dyDescent="0.25">
      <c r="B21" s="491" t="s">
        <v>42</v>
      </c>
      <c r="C21" s="260" cm="1">
        <f t="array" ref="C21">SUMPRODUCT((synthese_generale[client]=syndicat_etude)*(synthese_generale[annee]=Exercice[Exercice N-4])*(synthese_generale[nbr_com_rur]))</f>
        <v>378</v>
      </c>
      <c r="D21" s="248" cm="1">
        <f t="array" ref="D21">SUMPRODUCT((synthese_generale[client]=syndicat_etude)*(synthese_generale[annee]=Exercice[Exercice N-3])*(synthese_generale[nbr_com_rur]))</f>
        <v>378</v>
      </c>
      <c r="E21" s="248" cm="1">
        <f t="array" ref="E21">SUMPRODUCT((synthese_generale[client]=syndicat_etude)*(synthese_generale[annee]=Exercice[Exercice N-2])*(synthese_generale[nbr_com_rur]))</f>
        <v>375</v>
      </c>
      <c r="F21" s="248" cm="1">
        <f t="array" ref="F21">SUMPRODUCT((synthese_generale[client]=syndicat_etude)*(synthese_generale[annee]=Exercice[Exercice N-1])*(synthese_generale[nbr_com_rur]))</f>
        <v>375</v>
      </c>
      <c r="G21" s="249" cm="1">
        <f t="array" ref="G21">SUMPRODUCT((synthese_generale[client]=syndicat_etude)*(synthese_generale[annee]=Exercice[Exercice N])*(synthese_generale[nbr_com_rur]))</f>
        <v>376</v>
      </c>
      <c r="H21" s="65"/>
    </row>
    <row r="22" spans="1:8" ht="15" customHeight="1" x14ac:dyDescent="0.25">
      <c r="B22" s="486" t="s">
        <v>43</v>
      </c>
      <c r="C22" s="487" cm="1">
        <f t="array" ref="C22">SUMPRODUCT((synthese_generale[client]=syndicat_etude)*(synthese_generale[annee]=Exercice[Exercice N-4])*(synthese_generale[population_concession]))</f>
        <v>301869</v>
      </c>
      <c r="D22" s="487" cm="1">
        <f t="array" ref="D22">SUMPRODUCT((synthese_generale[client]=syndicat_etude)*(synthese_generale[annee]=Exercice[Exercice N-3])*(synthese_generale[population_concession]))</f>
        <v>303030</v>
      </c>
      <c r="E22" s="487" cm="1">
        <f t="array" ref="E22">SUMPRODUCT((synthese_generale[client]=syndicat_etude)*(synthese_generale[annee]=Exercice[Exercice N-2])*(synthese_generale[population_concession]))</f>
        <v>303044</v>
      </c>
      <c r="F22" s="487" cm="1">
        <f t="array" ref="F22">SUMPRODUCT((synthese_generale[client]=syndicat_etude)*(synthese_generale[annee]=Exercice[Exercice N-1])*(synthese_generale[population_concession]))</f>
        <v>303270</v>
      </c>
      <c r="G22" s="488" cm="1">
        <f t="array" ref="G22">SUMPRODUCT((synthese_generale[client]=syndicat_etude)*(synthese_generale[annee]=Exercice[Exercice N])*(synthese_generale[population_concession]))</f>
        <v>304497</v>
      </c>
      <c r="H22" s="65"/>
    </row>
    <row r="23" spans="1:8" ht="15" customHeight="1" x14ac:dyDescent="0.25">
      <c r="B23" s="51" t="s">
        <v>41</v>
      </c>
      <c r="C23" s="260" cm="1">
        <f t="array" ref="C23">SUMPRODUCT((synthese_generale[client]=syndicat_etude)*(synthese_generale[annee]=Exercice[Exercice N-4])*(synthese_generale[population_concession_urbain]))</f>
        <v>178965</v>
      </c>
      <c r="D23" s="260" cm="1">
        <f t="array" ref="D23">SUMPRODUCT((synthese_generale[client]=syndicat_etude)*(synthese_generale[annee]=Exercice[Exercice N-3])*(synthese_generale[population_concession_urbain]))</f>
        <v>180384</v>
      </c>
      <c r="E23" s="260" cm="1">
        <f t="array" ref="E23">SUMPRODUCT((synthese_generale[client]=syndicat_etude)*(synthese_generale[annee]=Exercice[Exercice N-2])*(synthese_generale[population_concession_urbain]))</f>
        <v>180615</v>
      </c>
      <c r="F23" s="260" cm="1">
        <f t="array" ref="F23">SUMPRODUCT((synthese_generale[client]=syndicat_etude)*(synthese_generale[annee]=Exercice[Exercice N-1])*(synthese_generale[population_concession_urbain]))</f>
        <v>181075</v>
      </c>
      <c r="G23" s="480" cm="1">
        <f t="array" ref="G23">SUMPRODUCT((synthese_generale[client]=syndicat_etude)*(synthese_generale[annee]=Exercice[Exercice N])*(synthese_generale[population_concession_urbain]))</f>
        <v>182537</v>
      </c>
      <c r="H23" s="65"/>
    </row>
    <row r="24" spans="1:8" s="164" customFormat="1" ht="15" customHeight="1" x14ac:dyDescent="0.25">
      <c r="A24" s="25"/>
      <c r="B24" s="492" t="s">
        <v>44</v>
      </c>
      <c r="C24" s="481" cm="1">
        <f t="array" ref="C24">SUMPRODUCT((synthese_generale[client]=syndicat_etude)*(synthese_generale[annee]=Exercice[Exercice N-4])*(synthese_generale[population_concession_rural]))</f>
        <v>145148</v>
      </c>
      <c r="D24" s="481" cm="1">
        <f t="array" ref="D24">SUMPRODUCT((synthese_generale[client]=syndicat_etude)*(synthese_generale[annee]=Exercice[Exercice N-3])*(synthese_generale[population_concession_rural]))</f>
        <v>145017</v>
      </c>
      <c r="E24" s="481" cm="1">
        <f t="array" ref="E24">SUMPRODUCT((synthese_generale[client]=syndicat_etude)*(synthese_generale[annee]=Exercice[Exercice N-2])*(synthese_generale[population_concession_rural]))</f>
        <v>144887</v>
      </c>
      <c r="F24" s="481" cm="1">
        <f t="array" ref="F24">SUMPRODUCT((synthese_generale[client]=syndicat_etude)*(synthese_generale[annee]=Exercice[Exercice N-1])*(synthese_generale[population_concession_rural]))</f>
        <v>144745</v>
      </c>
      <c r="G24" s="482" cm="1">
        <f t="array" ref="G24">SUMPRODUCT((synthese_generale[client]=syndicat_etude)*(synthese_generale[annee]=Exercice[Exercice N])*(synthese_generale[population_concession_rural]))</f>
        <v>144529</v>
      </c>
      <c r="H24" s="65"/>
    </row>
    <row r="25" spans="1:8" ht="15" customHeight="1" x14ac:dyDescent="0.25">
      <c r="B25" s="63" t="s">
        <v>45</v>
      </c>
      <c r="C25" s="250" cm="1">
        <f t="array" ref="C25">SUMPRODUCT((synthese_generale[client]=syndicat_etude)*(synthese_generale[annee]=Exercice[Exercice N-4])*(synthese_generale[nbr_usr]))</f>
        <v>178058</v>
      </c>
      <c r="D25" s="250" cm="1">
        <f t="array" ref="D25">SUMPRODUCT((synthese_generale[client]=syndicat_etude)*(synthese_generale[annee]=Exercice[Exercice N-3])*(synthese_generale[nbr_usr]))</f>
        <v>179132</v>
      </c>
      <c r="E25" s="250" cm="1">
        <f t="array" ref="E25">SUMPRODUCT((synthese_generale[client]=syndicat_etude)*(synthese_generale[annee]=Exercice[Exercice N-2])*(synthese_generale[nbr_usr]))</f>
        <v>180537</v>
      </c>
      <c r="F25" s="250" cm="1">
        <f t="array" ref="F25">SUMPRODUCT((synthese_generale[client]=syndicat_etude)*(synthese_generale[annee]=Exercice[Exercice N-1])*(synthese_generale[nbr_usr]))</f>
        <v>181759</v>
      </c>
      <c r="G25" s="251" cm="1">
        <f t="array" ref="G25">SUMPRODUCT((synthese_generale[client]=syndicat_etude)*(synthese_generale[annee]=Exercice[Exercice N])*(synthese_generale[nbr_usr]))</f>
        <v>182484</v>
      </c>
      <c r="H25" s="65" t="s">
        <v>46</v>
      </c>
    </row>
    <row r="26" spans="1:8" ht="15" customHeight="1" x14ac:dyDescent="0.25">
      <c r="B26" s="111" t="s">
        <v>47</v>
      </c>
      <c r="C26" s="260" cm="1">
        <f t="array" ref="C26">SUMPRODUCT((synthese_generale[client]=syndicat_etude)*(synthese_generale[annee]=Exercice[Exercice N-4])*(synthese_generale[nbr_usr_trv]))</f>
        <v>0</v>
      </c>
      <c r="D26" s="260" cm="1">
        <f t="array" ref="D26">SUMPRODUCT((synthese_generale[client]=syndicat_etude)*(synthese_generale[annee]=Exercice[Exercice N-3])*(synthese_generale[nbr_usr_trv]))</f>
        <v>114826</v>
      </c>
      <c r="E26" s="260" cm="1">
        <f t="array" ref="E26">SUMPRODUCT((synthese_generale[client]=syndicat_etude)*(synthese_generale[annee]=Exercice[Exercice N-2])*(synthese_generale[nbr_usr_trv]))</f>
        <v>105836</v>
      </c>
      <c r="F26" s="260" cm="1">
        <f t="array" ref="F26">SUMPRODUCT((synthese_generale[client]=syndicat_etude)*(synthese_generale[annee]=Exercice[Exercice N-1])*(synthese_generale[nbr_usr_trv]))</f>
        <v>0</v>
      </c>
      <c r="G26" s="480" cm="1">
        <f t="array" ref="G26">SUMPRODUCT((synthese_generale[client]=syndicat_etude)*(synthese_generale[annee]=Exercice[Exercice N])*(synthese_generale[nbr_usr_trv]))</f>
        <v>102140</v>
      </c>
      <c r="H26" s="65" t="s">
        <v>48</v>
      </c>
    </row>
    <row r="27" spans="1:8" ht="15" customHeight="1" x14ac:dyDescent="0.25">
      <c r="B27" s="284" t="s">
        <v>49</v>
      </c>
      <c r="C27" s="562" cm="1">
        <f t="array" ref="C27">SUMPRODUCT((synthese_generale[[client]:[client]]=syndicat_etude)*(synthese_generale[[annee]:[annee]]=Exercice[[Exercice N-4]:[Exercice N-4]])*(synthese_generale[[nbr_prod]:[nbr_prod]]))</f>
        <v>1794</v>
      </c>
      <c r="D27" s="563" cm="1">
        <f t="array" ref="D27">SUMPRODUCT((synthese_generale[[client]:[client]]=syndicat_etude)*(synthese_generale[[annee]:[annee]]=Exercice[[Exercice N-3]:[Exercice N-3]])*(synthese_generale[[nbr_prod]:[nbr_prod]]))</f>
        <v>1985</v>
      </c>
      <c r="E27" s="563" cm="1">
        <f t="array" ref="E27">SUMPRODUCT((synthese_generale[[client]:[client]]=syndicat_etude)*(synthese_generale[[annee]:[annee]]=Exercice[[Exercice N-2]:[Exercice N-2]])*(synthese_generale[[nbr_prod]:[nbr_prod]]))</f>
        <v>0</v>
      </c>
      <c r="F27" s="563" cm="1">
        <f t="array" ref="F27">SUMPRODUCT((synthese_generale[[client]:[client]]=syndicat_etude)*(synthese_generale[[annee]:[annee]]=Exercice[[Exercice N-1]:[Exercice N-1]])*(synthese_generale[[nbr_prod]:[nbr_prod]]))</f>
        <v>2821</v>
      </c>
      <c r="G27" s="564" cm="1">
        <f t="array" ref="G27">SUMPRODUCT((synthese_generale[[client]:[client]]=syndicat_etude)*(synthese_generale[[annee]:[annee]]=Exercice[[Exercice N]:[Exercice N]])*(synthese_generale[[nbr_prod]:[nbr_prod]]))</f>
        <v>3776</v>
      </c>
      <c r="H27" s="65" t="s">
        <v>50</v>
      </c>
    </row>
    <row r="28" spans="1:8" ht="15" customHeight="1" x14ac:dyDescent="0.25">
      <c r="B28" s="63" t="s">
        <v>51</v>
      </c>
      <c r="C28" s="252" cm="1">
        <f t="array" ref="C28">SUMPRODUCT((synthese_generale[client]=syndicat_etude)*(synthese_generale[annee]=Exercice[Exercice N-4])*(synthese_generale[nbr_ps_concession]))</f>
        <v>24</v>
      </c>
      <c r="D28" s="252" cm="1">
        <f t="array" ref="D28">SUMPRODUCT((synthese_generale[client]=syndicat_etude)*(synthese_generale[annee]=Exercice[Exercice N-3])*(synthese_generale[nbr_ps_concession]))</f>
        <v>24</v>
      </c>
      <c r="E28" s="252" cm="1">
        <f t="array" ref="E28">SUMPRODUCT((synthese_generale[client]=syndicat_etude)*(synthese_generale[annee]=Exercice[Exercice N-2])*(synthese_generale[nbr_ps_concession]))</f>
        <v>28</v>
      </c>
      <c r="F28" s="252" cm="1">
        <f t="array" ref="F28">SUMPRODUCT((synthese_generale[client]=syndicat_etude)*(synthese_generale[annee]=Exercice[Exercice N-1])*(synthese_generale[nbr_ps_concession]))</f>
        <v>28</v>
      </c>
      <c r="G28" s="62" cm="1">
        <f t="array" ref="G28">SUMPRODUCT((synthese_generale[client]=syndicat_etude)*(synthese_generale[annee]=Exercice[Exercice N])*(synthese_generale[nbr_ps_concession]))</f>
        <v>28</v>
      </c>
      <c r="H28" s="65"/>
    </row>
    <row r="29" spans="1:8" ht="15" customHeight="1" x14ac:dyDescent="0.25">
      <c r="B29" s="53" t="s">
        <v>52</v>
      </c>
      <c r="C29" s="253" cm="1">
        <f t="array" ref="C29">SUMPRODUCT((synthese_generale[client]=syndicat_etude)*(synthese_generale[annee]=Exercice[Exercice N-4])*(synthese_generale[puissance_mva_sur_le_territoire]))</f>
        <v>1725</v>
      </c>
      <c r="D29" s="253" cm="1">
        <f t="array" ref="D29">SUMPRODUCT((synthese_generale[client]=syndicat_etude)*(synthese_generale[annee]=Exercice[Exercice N-3])*(synthese_generale[puissance_mva_sur_le_territoire]))</f>
        <v>1725</v>
      </c>
      <c r="E29" s="253" cm="1">
        <f t="array" ref="E29">SUMPRODUCT((synthese_generale[client]=syndicat_etude)*(synthese_generale[annee]=Exercice[Exercice N-2])*(synthese_generale[puissance_mva_sur_le_territoire]))</f>
        <v>1725</v>
      </c>
      <c r="F29" s="253" cm="1">
        <f t="array" ref="F29">SUMPRODUCT((synthese_generale[client]=syndicat_etude)*(synthese_generale[annee]=Exercice[Exercice N-1])*(synthese_generale[puissance_mva_sur_le_territoire]))</f>
        <v>1725</v>
      </c>
      <c r="G29" s="64" cm="1">
        <f t="array" ref="G29">SUMPRODUCT((synthese_generale[client]=syndicat_etude)*(synthese_generale[annee]=Exercice[Exercice N])*(synthese_generale[puissance_mva_sur_le_territoire]))</f>
        <v>1725</v>
      </c>
      <c r="H29" s="65"/>
    </row>
    <row r="30" spans="1:8" ht="15" customHeight="1" x14ac:dyDescent="0.25">
      <c r="B30" s="126" t="s">
        <v>53</v>
      </c>
      <c r="C30" s="489" cm="1">
        <f t="array" ref="C30">SUMPRODUCT((synthese_generale[client]=syndicat_etude)*(synthese_generale[annee]=Exercice[Exercice N-4])*(synthese_generale[long_hta_tot_km]))</f>
        <v>4692.8599999999997</v>
      </c>
      <c r="D30" s="489" cm="1">
        <f t="array" ref="D30">SUMPRODUCT((synthese_generale[client]=syndicat_etude)*(synthese_generale[annee]=Exercice[Exercice N-3])*(synthese_generale[long_hta_tot_km]))</f>
        <v>4712.0510000000004</v>
      </c>
      <c r="E30" s="489" cm="1">
        <f t="array" ref="E30">SUMPRODUCT((synthese_generale[client]=syndicat_etude)*(synthese_generale[annee]=Exercice[Exercice N-2])*(synthese_generale[long_hta_tot_km]))</f>
        <v>4859.2719999999999</v>
      </c>
      <c r="F30" s="489" cm="1">
        <f t="array" ref="F30">SUMPRODUCT((synthese_generale[client]=syndicat_etude)*(synthese_generale[annee]=Exercice[Exercice N-1])*(synthese_generale[long_hta_tot_km]))</f>
        <v>4893.4189999999999</v>
      </c>
      <c r="G30" s="490" cm="1">
        <f t="array" ref="G30">SUMPRODUCT((synthese_generale[client]=syndicat_etude)*(synthese_generale[annee]=Exercice[Exercice N])*(synthese_generale[long_hta_tot_km]))</f>
        <v>4926.7299999999996</v>
      </c>
      <c r="H30" s="65"/>
    </row>
    <row r="31" spans="1:8" ht="15" customHeight="1" x14ac:dyDescent="0.25">
      <c r="B31" s="50" t="s">
        <v>54</v>
      </c>
      <c r="C31" s="21" cm="1">
        <f t="array" ref="C31">SUMPRODUCT((synthese_generale[client]=syndicat_etude)*(synthese_generale[annee]=Exercice[Exercice N-4])*(synthese_generale[nbr_postes_hta_bt]))</f>
        <v>4016</v>
      </c>
      <c r="D31" s="21" cm="1">
        <f t="array" ref="D31">SUMPRODUCT((synthese_generale[client]=syndicat_etude)*(synthese_generale[annee]=Exercice[Exercice N-3])*(synthese_generale[nbr_postes_hta_bt]))</f>
        <v>4032</v>
      </c>
      <c r="E31" s="21" cm="1">
        <f t="array" ref="E31">SUMPRODUCT((synthese_generale[client]=syndicat_etude)*(synthese_generale[annee]=Exercice[Exercice N-2])*(synthese_generale[nbr_postes_hta_bt]))</f>
        <v>4059</v>
      </c>
      <c r="F31" s="21" cm="1">
        <f t="array" ref="F31">SUMPRODUCT((synthese_generale[client]=syndicat_etude)*(synthese_generale[annee]=Exercice[Exercice N-1])*(synthese_generale[nbr_postes_hta_bt]))</f>
        <v>4089</v>
      </c>
      <c r="G31" s="52" cm="1">
        <f t="array" ref="G31">SUMPRODUCT((synthese_generale[client]=syndicat_etude)*(synthese_generale[annee]=Exercice[Exercice N])*(synthese_generale[nbr_postes_hta_bt]))</f>
        <v>4137</v>
      </c>
      <c r="H31" s="65"/>
    </row>
    <row r="32" spans="1:8" ht="15" customHeight="1" x14ac:dyDescent="0.25">
      <c r="B32" s="50" t="s">
        <v>55</v>
      </c>
      <c r="C32" s="21" cm="1">
        <f t="array" ref="C32">SUMPRODUCT((synthese_generale[[client]:[client]]=syndicat_etude)*(synthese_generale[[annee]:[annee]]=Exercice[[Exercice N-4]:[Exercice N-4]])*(synthese_generale[[nbr_trans_hta_bt]:[nbr_trans_hta_bt]]))</f>
        <v>4029</v>
      </c>
      <c r="D32" s="21" cm="1">
        <f t="array" ref="D32">SUMPRODUCT((synthese_generale[[client]:[client]]=syndicat_etude)*(synthese_generale[[annee]:[annee]]=Exercice[[Exercice N-3]:[Exercice N-3]])*(synthese_generale[[nbr_trans_hta_bt]:[nbr_trans_hta_bt]]))</f>
        <v>4045</v>
      </c>
      <c r="E32" s="21" cm="1">
        <f t="array" ref="E32">SUMPRODUCT((synthese_generale[[client]:[client]]=syndicat_etude)*(synthese_generale[[annee]:[annee]]=Exercice[[Exercice N-2]:[Exercice N-2]])*(synthese_generale[[nbr_trans_hta_bt]:[nbr_trans_hta_bt]]))</f>
        <v>4067</v>
      </c>
      <c r="F32" s="21" cm="1">
        <f t="array" ref="F32">SUMPRODUCT((synthese_generale[[client]:[client]]=syndicat_etude)*(synthese_generale[[annee]:[annee]]=Exercice[[Exercice N-1]:[Exercice N-1]])*(synthese_generale[[nbr_trans_hta_bt]:[nbr_trans_hta_bt]]))</f>
        <v>4099</v>
      </c>
      <c r="G32" s="52" cm="1">
        <f t="array" ref="G32">SUMPRODUCT((synthese_generale[[client]:[client]]=syndicat_etude)*(synthese_generale[[annee]:[annee]]=Exercice[[Exercice N]:[Exercice N]])*(synthese_generale[[nbr_trans_hta_bt]:[nbr_trans_hta_bt]]))</f>
        <v>4144</v>
      </c>
      <c r="H32" s="65" t="s">
        <v>56</v>
      </c>
    </row>
    <row r="33" spans="1:8" ht="15" customHeight="1" x14ac:dyDescent="0.25">
      <c r="B33" s="126" t="s">
        <v>57</v>
      </c>
      <c r="C33" s="489" cm="1">
        <f t="array" ref="C33">SUMPRODUCT((synthese_generale[client]=syndicat_etude)*(synthese_generale[annee]=Exercice[Exercice N-4])*(synthese_generale[long_bt_tot_km]))</f>
        <v>3638.029</v>
      </c>
      <c r="D33" s="489" cm="1">
        <f t="array" ref="D33">SUMPRODUCT((synthese_generale[client]=syndicat_etude)*(synthese_generale[annee]=Exercice[Exercice N-3])*(synthese_generale[long_bt_tot_km]))</f>
        <v>3659.8470000000002</v>
      </c>
      <c r="E33" s="489" cm="1">
        <f t="array" ref="E33">SUMPRODUCT((synthese_generale[client]=syndicat_etude)*(synthese_generale[annee]=Exercice[Exercice N-2])*(synthese_generale[long_bt_tot_km]))</f>
        <v>3691.21</v>
      </c>
      <c r="F33" s="489" cm="1">
        <f t="array" ref="F33">SUMPRODUCT((synthese_generale[client]=syndicat_etude)*(synthese_generale[annee]=Exercice[Exercice N-1])*(synthese_generale[long_bt_tot_km]))</f>
        <v>3706.7539999999999</v>
      </c>
      <c r="G33" s="490" cm="1">
        <f t="array" ref="G33">SUMPRODUCT((synthese_generale[client]=syndicat_etude)*(synthese_generale[annee]=Exercice[Exercice N])*(synthese_generale[long_bt_tot_km]))</f>
        <v>3739.9059999999999</v>
      </c>
      <c r="H33" s="65"/>
    </row>
    <row r="34" spans="1:8" ht="15" customHeight="1" x14ac:dyDescent="0.25">
      <c r="B34" s="50" t="s">
        <v>58</v>
      </c>
      <c r="C34" s="260" cm="1">
        <f t="array" ref="C34">SUMPRODUCT((synthese_generale[[client]:[client]]=syndicat_etude)*(synthese_generale[[annee]:[annee]]=Exercice[[Exercice N-4]:[Exercice N-4]])*(synthese_generale[[nbr_ocb]:[nbr_ocb]]))</f>
        <v>0</v>
      </c>
      <c r="D34" s="260" cm="1">
        <f t="array" ref="D34">SUMPRODUCT((synthese_generale[[client]:[client]]=syndicat_etude)*(synthese_generale[[annee]:[annee]]=Exercice[[Exercice N-3]:[Exercice N-3]])*(synthese_generale[[nbr_ocb]:[nbr_ocb]]))</f>
        <v>0</v>
      </c>
      <c r="E34" s="260" cm="1">
        <f t="array" ref="E34">SUMPRODUCT((synthese_generale[[client]:[client]]=syndicat_etude)*(synthese_generale[[annee]:[annee]]=Exercice[[Exercice N-2]:[Exercice N-2]])*(synthese_generale[[nbr_ocb]:[nbr_ocb]]))</f>
        <v>0</v>
      </c>
      <c r="F34" s="260" cm="1">
        <f t="array" ref="F34">SUMPRODUCT((synthese_generale[[client]:[client]]=syndicat_etude)*(synthese_generale[[annee]:[annee]]=Exercice[[Exercice N-1]:[Exercice N-1]])*(synthese_generale[[nbr_ocb]:[nbr_ocb]]))</f>
        <v>0</v>
      </c>
      <c r="G34" s="52" cm="1">
        <f t="array" ref="G34">SUMPRODUCT((synthese_generale[[client]:[client]]=syndicat_etude)*(synthese_generale[[annee]:[annee]]=Exercice[[Exercice N]:[Exercice N]])*(synthese_generale[[nbr_ocb]:[nbr_ocb]]))</f>
        <v>0</v>
      </c>
      <c r="H34" s="65" t="s">
        <v>60</v>
      </c>
    </row>
    <row r="35" spans="1:8" ht="15" customHeight="1" x14ac:dyDescent="0.25">
      <c r="B35" s="53" t="s">
        <v>61</v>
      </c>
      <c r="C35" s="691" t="s">
        <v>62</v>
      </c>
      <c r="D35" s="691" t="s">
        <v>62</v>
      </c>
      <c r="E35" s="691" t="s">
        <v>62</v>
      </c>
      <c r="F35" s="691">
        <f>Pat_Tech!F719</f>
        <v>58671</v>
      </c>
      <c r="G35" s="692">
        <f>Pat_Tech!G719</f>
        <v>60775</v>
      </c>
      <c r="H35" s="65" t="s">
        <v>60</v>
      </c>
    </row>
    <row r="36" spans="1:8" ht="15" customHeight="1" x14ac:dyDescent="0.25">
      <c r="B36" s="110" t="s">
        <v>63</v>
      </c>
      <c r="C36" s="263"/>
      <c r="D36" s="263"/>
      <c r="E36" s="263"/>
      <c r="F36" s="263"/>
      <c r="G36" s="259"/>
      <c r="H36" s="65"/>
    </row>
    <row r="37" spans="1:8" ht="15" customHeight="1" x14ac:dyDescent="0.25">
      <c r="B37" s="255" t="s">
        <v>64</v>
      </c>
      <c r="C37" s="729" cm="1">
        <f t="array" ref="C37">SUMPRODUCT((synthese_generale[[client]:[client]]=syndicat_etude)*(synthese_generale[[annee]:[annee]]=Exercice[[Exercice N-4]:[Exercice N-4]])*(synthese_generale[[valeur_brute]:[valeur_brute]]))/1000000</f>
        <v>529.57897322822794</v>
      </c>
      <c r="D37" s="729" cm="1">
        <f t="array" ref="D37">SUMPRODUCT((synthese_generale[[client]:[client]]=syndicat_etude)*(synthese_generale[[annee]:[annee]]=Exercice[[Exercice N-3]:[Exercice N-3]])*(synthese_generale[[valeur_brute]:[valeur_brute]]))/1000000</f>
        <v>546.27222391222801</v>
      </c>
      <c r="E37" s="729" cm="1">
        <f t="array" ref="E37">SUMPRODUCT((synthese_generale[[client]:[client]]=syndicat_etude)*(synthese_generale[[annee]:[annee]]=Exercice[[Exercice N-2]:[Exercice N-2]])*(synthese_generale[[valeur_brute]:[valeur_brute]]))/1000000</f>
        <v>568.31851873040102</v>
      </c>
      <c r="F37" s="729" cm="1">
        <f t="array" ref="F37">SUMPRODUCT((synthese_generale[[client]:[client]]=syndicat_etude)*(synthese_generale[[annee]:[annee]]=Exercice[[Exercice N-1]:[Exercice N-1]])*(synthese_generale[[valeur_brute]:[valeur_brute]]))/1000000</f>
        <v>588.23829658207592</v>
      </c>
      <c r="G37" s="730" cm="1">
        <f t="array" ref="G37">SUMPRODUCT((synthese_generale[[client]:[client]]=syndicat_etude)*(synthese_generale[[annee]:[annee]]=Exercice[[Exercice N]:[Exercice N]])*(synthese_generale[[valeur_brute]:[valeur_brute]]))/1000000</f>
        <v>605.87709920944098</v>
      </c>
      <c r="H37" s="65" t="s">
        <v>65</v>
      </c>
    </row>
    <row r="38" spans="1:8" ht="15" customHeight="1" x14ac:dyDescent="0.25">
      <c r="B38" s="50" t="s">
        <v>66</v>
      </c>
      <c r="C38" s="565" cm="1">
        <f t="array" ref="C38">SUMPRODUCT((synthese_generale[[client]:[client]]=syndicat_etude)*(synthese_generale[[annee]:[annee]]=Exercice[[Exercice N-4]:[Exercice N-4]])*(synthese_generale[[taux_amort]:[taux_amort]]))</f>
        <v>0.56697192339111602</v>
      </c>
      <c r="D38" s="565" cm="1">
        <f t="array" ref="D38">SUMPRODUCT((synthese_generale[[client]:[client]]=syndicat_etude)*(synthese_generale[[annee]:[annee]]=Exercice[[Exercice N-3]:[Exercice N-3]])*(synthese_generale[[taux_amort]:[taux_amort]]))</f>
        <v>0.55779510214955996</v>
      </c>
      <c r="E38" s="565" cm="1">
        <f t="array" ref="E38">SUMPRODUCT((synthese_generale[[client]:[client]]=syndicat_etude)*(synthese_generale[[annee]:[annee]]=Exercice[[Exercice N-2]:[Exercice N-2]])*(synthese_generale[[taux_amort]:[taux_amort]]))</f>
        <v>0.55295094355036301</v>
      </c>
      <c r="F38" s="565" cm="1">
        <f t="array" ref="F38">SUMPRODUCT((synthese_generale[[client]:[client]]=syndicat_etude)*(synthese_generale[[annee]:[annee]]=Exercice[[Exercice N-1]:[Exercice N-1]])*(synthese_generale[[taux_amort]:[taux_amort]]))</f>
        <v>0.54028315780880198</v>
      </c>
      <c r="G38" s="566" cm="1">
        <f t="array" ref="G38">SUMPRODUCT((synthese_generale[[client]:[client]]=syndicat_etude)*(synthese_generale[[annee]:[annee]]=Exercice[[Exercice N]:[Exercice N]])*(synthese_generale[[taux_amort]:[taux_amort]]))</f>
        <v>0.53160676443062904</v>
      </c>
      <c r="H38" s="65" t="s">
        <v>67</v>
      </c>
    </row>
    <row r="39" spans="1:8" s="98" customFormat="1" ht="15" customHeight="1" x14ac:dyDescent="0.25">
      <c r="A39" s="25"/>
      <c r="B39" s="528" t="s">
        <v>68</v>
      </c>
      <c r="C39" s="567" cm="1">
        <f t="array" ref="C39">SUMPRODUCT((synthese_generale[[client]:[client]]=syndicat_etude)*(synthese_generale[[annee]:[annee]]=Exercice[[Exercice N-4]:[Exercice N-4]])*(synthese_generale[[recette]:[recette]]))</f>
        <v>73930</v>
      </c>
      <c r="D39" s="567" cm="1">
        <f t="array" ref="D39">SUMPRODUCT((synthese_generale[[client]:[client]]=syndicat_etude)*(synthese_generale[[annee]:[annee]]=Exercice[[Exercice N-3]:[Exercice N-3]])*(synthese_generale[[recette]:[recette]]))</f>
        <v>82241</v>
      </c>
      <c r="E39" s="567" cm="1">
        <f t="array" ref="E39">SUMPRODUCT((synthese_generale[[client]:[client]]=syndicat_etude)*(synthese_generale[[annee]:[annee]]=Exercice[[Exercice N-2]:[Exercice N-2]])*(synthese_generale[[recette]:[recette]]))</f>
        <v>92765</v>
      </c>
      <c r="F39" s="567" cm="1">
        <f t="array" ref="F39">SUMPRODUCT((synthese_generale[[client]:[client]]=syndicat_etude)*(synthese_generale[[annee]:[annee]]=Exercice[[Exercice N-1]:[Exercice N-1]])*(synthese_generale[[recette]:[recette]]))</f>
        <v>80693</v>
      </c>
      <c r="G39" s="568" cm="1">
        <f t="array" ref="G39">SUMPRODUCT((synthese_generale[[client]:[client]]=syndicat_etude)*(synthese_generale[[annee]:[annee]]=Exercice[[Exercice N]:[Exercice N]])*(synthese_generale[[recette]:[recette]]))</f>
        <v>85809</v>
      </c>
      <c r="H39" s="65" t="s">
        <v>46</v>
      </c>
    </row>
    <row r="40" spans="1:8" ht="15" customHeight="1" x14ac:dyDescent="0.25">
      <c r="B40" s="50" t="s">
        <v>69</v>
      </c>
      <c r="C40" s="21" cm="1">
        <f t="array" ref="C40">SUMPRODUCT((synthese_generale[[client]:[client]]=syndicat_etude)*(synthese_generale[[annee]:[annee]]=Exercice[[Exercice N-4]:[Exercice N-4]])*(synthese_generale[[redevance]:[redevance]]))/1000</f>
        <v>1734.4949999999999</v>
      </c>
      <c r="D40" s="21" cm="1">
        <f t="array" ref="D40">SUMPRODUCT((synthese_generale[[client]:[client]]=syndicat_etude)*(synthese_generale[[annee]:[annee]]=Exercice[[Exercice N-3]:[Exercice N-3]])*(synthese_generale[[redevance]:[redevance]]))/1000</f>
        <v>5097.1779999999999</v>
      </c>
      <c r="E40" s="21" cm="1">
        <f t="array" ref="E40">SUMPRODUCT((synthese_generale[[client]:[client]]=syndicat_etude)*(synthese_generale[[annee]:[annee]]=Exercice[[Exercice N-2]:[Exercice N-2]])*(synthese_generale[[redevance]:[redevance]]))/1000</f>
        <v>3531.94</v>
      </c>
      <c r="F40" s="21" cm="1">
        <f t="array" ref="F40">SUMPRODUCT((synthese_generale[[client]:[client]]=syndicat_etude)*(synthese_generale[[annee]:[annee]]=Exercice[[Exercice N-1]:[Exercice N-1]])*(synthese_generale[[redevance]:[redevance]]))/1000</f>
        <v>4520.4880000000003</v>
      </c>
      <c r="G40" s="52" cm="1">
        <f t="array" ref="G40">SUMPRODUCT((synthese_generale[[client]:[client]]=syndicat_etude)*(synthese_generale[[annee]:[annee]]=Exercice[[Exercice N]:[Exercice N]])*(synthese_generale[[redevance]:[redevance]]))/1000</f>
        <v>2126.6379999999999</v>
      </c>
      <c r="H40" s="65" t="s">
        <v>46</v>
      </c>
    </row>
    <row r="41" spans="1:8" ht="24" x14ac:dyDescent="0.25">
      <c r="B41" s="170" t="s">
        <v>70</v>
      </c>
      <c r="C41" s="563" cm="1">
        <f t="array" ref="C41">SUMPRODUCT((synthese_generale[[client]:[client]]=syndicat_etude)*(synthese_generale[[annee]:[annee]]=Exercice[[Exercice N-4]:[Exercice N-4]])*(synthese_generale[[article8]:[article8]]))</f>
        <v>200000</v>
      </c>
      <c r="D41" s="563" cm="1">
        <f t="array" ref="D41">SUMPRODUCT((synthese_generale[[client]:[client]]=syndicat_etude)*(synthese_generale[[annee]:[annee]]=Exercice[[Exercice N-3]:[Exercice N-3]])*(synthese_generale[[article8]:[article8]]))</f>
        <v>200000</v>
      </c>
      <c r="E41" s="563" cm="1">
        <f t="array" ref="E41">SUMPRODUCT((synthese_generale[[client]:[client]]=syndicat_etude)*(synthese_generale[[annee]:[annee]]=Exercice[[Exercice N-2]:[Exercice N-2]])*(synthese_generale[[article8]:[article8]]))</f>
        <v>187168</v>
      </c>
      <c r="F41" s="563" cm="1">
        <f t="array" ref="F41">SUMPRODUCT((synthese_generale[[client]:[client]]=syndicat_etude)*(synthese_generale[[annee]:[annee]]=Exercice[[Exercice N-1]:[Exercice N-1]])*(synthese_generale[[article8]:[article8]]))</f>
        <v>200000</v>
      </c>
      <c r="G41" s="564" cm="1">
        <f t="array" ref="G41">SUMPRODUCT((synthese_generale[[client]:[client]]=syndicat_etude)*(synthese_generale[[annee]:[annee]]=Exercice[[Exercice N]:[Exercice N]])*(synthese_generale[[article8]:[article8]]))</f>
        <v>200000</v>
      </c>
      <c r="H41" s="65" t="s">
        <v>46</v>
      </c>
    </row>
    <row r="42" spans="1:8" ht="15" customHeight="1" x14ac:dyDescent="0.25">
      <c r="B42" s="508" t="s">
        <v>71</v>
      </c>
      <c r="H42" s="65" t="s">
        <v>72</v>
      </c>
    </row>
    <row r="43" spans="1:8" ht="15" customHeight="1" x14ac:dyDescent="0.25">
      <c r="B43" s="509" t="s">
        <v>73</v>
      </c>
    </row>
    <row r="44" spans="1:8" ht="15" customHeight="1" x14ac:dyDescent="0.25">
      <c r="B44" s="509" t="s">
        <v>74</v>
      </c>
      <c r="H44" s="254"/>
    </row>
    <row r="46" spans="1:8" ht="15" customHeight="1" x14ac:dyDescent="0.25">
      <c r="A46" s="538" t="s">
        <v>75</v>
      </c>
      <c r="B46" s="237" t="s">
        <v>76</v>
      </c>
      <c r="H46" s="65" t="s">
        <v>77</v>
      </c>
    </row>
    <row r="48" spans="1:8" ht="15" customHeight="1" x14ac:dyDescent="0.25">
      <c r="A48" s="538" t="s">
        <v>78</v>
      </c>
      <c r="B48" s="237" t="s">
        <v>79</v>
      </c>
      <c r="H48" s="65" t="s">
        <v>80</v>
      </c>
    </row>
    <row r="50" spans="1:16" ht="30" customHeight="1" x14ac:dyDescent="0.25">
      <c r="B50" s="339" t="s">
        <v>81</v>
      </c>
      <c r="C50" s="55">
        <v>2011</v>
      </c>
      <c r="D50" s="55">
        <f>C50+1</f>
        <v>2012</v>
      </c>
      <c r="E50" s="55">
        <f t="shared" ref="E50:P50" si="0">D50+1</f>
        <v>2013</v>
      </c>
      <c r="F50" s="55">
        <f t="shared" si="0"/>
        <v>2014</v>
      </c>
      <c r="G50" s="55">
        <f t="shared" si="0"/>
        <v>2015</v>
      </c>
      <c r="H50" s="55">
        <f t="shared" si="0"/>
        <v>2016</v>
      </c>
      <c r="I50" s="55">
        <f t="shared" si="0"/>
        <v>2017</v>
      </c>
      <c r="J50" s="55">
        <f t="shared" si="0"/>
        <v>2018</v>
      </c>
      <c r="K50" s="55">
        <f t="shared" si="0"/>
        <v>2019</v>
      </c>
      <c r="L50" s="55">
        <f t="shared" si="0"/>
        <v>2020</v>
      </c>
      <c r="M50" s="55">
        <f t="shared" si="0"/>
        <v>2021</v>
      </c>
      <c r="N50" s="55">
        <f t="shared" si="0"/>
        <v>2022</v>
      </c>
      <c r="O50" s="55">
        <f t="shared" si="0"/>
        <v>2023</v>
      </c>
      <c r="P50" s="56">
        <f t="shared" si="0"/>
        <v>2024</v>
      </c>
    </row>
    <row r="51" spans="1:16" ht="15" customHeight="1" x14ac:dyDescent="0.25">
      <c r="A51" s="539"/>
      <c r="B51" s="512" t="s">
        <v>82</v>
      </c>
      <c r="C51" s="513">
        <v>613123.35138604301</v>
      </c>
      <c r="D51" s="513">
        <v>617641.99666460697</v>
      </c>
      <c r="E51" s="513">
        <v>622155.99220414797</v>
      </c>
      <c r="F51" s="513">
        <v>626835.00916049595</v>
      </c>
      <c r="G51" s="513">
        <v>631414.86770847801</v>
      </c>
      <c r="H51" s="513">
        <v>635613.89627816703</v>
      </c>
      <c r="I51" s="513">
        <v>640688.35745652101</v>
      </c>
      <c r="J51" s="513">
        <v>644900.76886824099</v>
      </c>
      <c r="K51" s="513">
        <v>649720.19017791399</v>
      </c>
      <c r="L51" s="513">
        <v>653422.10064610594</v>
      </c>
      <c r="M51" s="513">
        <v>658835.78402325697</v>
      </c>
      <c r="N51" s="513">
        <v>664446.85565591499</v>
      </c>
      <c r="O51" s="513">
        <v>668732.07006322802</v>
      </c>
      <c r="P51" s="514"/>
    </row>
    <row r="52" spans="1:16" s="164" customFormat="1" ht="15" customHeight="1" x14ac:dyDescent="0.25">
      <c r="A52" s="539"/>
      <c r="B52" s="519" t="s">
        <v>83</v>
      </c>
      <c r="C52" s="520">
        <f>C55/C51</f>
        <v>0.42643418560958063</v>
      </c>
      <c r="D52" s="520">
        <f t="shared" ref="D52:O52" si="1">D55/D51</f>
        <v>0.43791273443872197</v>
      </c>
      <c r="E52" s="520">
        <f t="shared" si="1"/>
        <v>0.44887595784357703</v>
      </c>
      <c r="F52" s="520">
        <f t="shared" si="1"/>
        <v>0.45978279379797649</v>
      </c>
      <c r="G52" s="520">
        <f t="shared" si="1"/>
        <v>0.46933444007440339</v>
      </c>
      <c r="H52" s="520">
        <f t="shared" si="1"/>
        <v>0.47826584110127951</v>
      </c>
      <c r="I52" s="520">
        <f t="shared" si="1"/>
        <v>0.48788262021808571</v>
      </c>
      <c r="J52" s="520">
        <f t="shared" si="1"/>
        <v>0.49586192724845285</v>
      </c>
      <c r="K52" s="520">
        <f t="shared" si="1"/>
        <v>0.50432437732558322</v>
      </c>
      <c r="L52" s="520">
        <f t="shared" si="1"/>
        <v>0.51050218409188564</v>
      </c>
      <c r="M52" s="520">
        <f t="shared" si="1"/>
        <v>0.51807693563257651</v>
      </c>
      <c r="N52" s="520">
        <f t="shared" si="1"/>
        <v>0.52373771086500753</v>
      </c>
      <c r="O52" s="520">
        <f t="shared" si="1"/>
        <v>0.5299997908522216</v>
      </c>
      <c r="P52" s="521"/>
    </row>
    <row r="53" spans="1:16" ht="15" customHeight="1" x14ac:dyDescent="0.25">
      <c r="A53" s="231"/>
      <c r="B53" s="287" t="s">
        <v>84</v>
      </c>
      <c r="C53" s="511">
        <v>350189.04103854002</v>
      </c>
      <c r="D53" s="511">
        <v>345715.632754841</v>
      </c>
      <c r="E53" s="511">
        <v>341450.04468127101</v>
      </c>
      <c r="F53" s="511">
        <v>337211.53993136401</v>
      </c>
      <c r="G53" s="511">
        <v>333661.683337836</v>
      </c>
      <c r="H53" s="511">
        <v>330222.46089352801</v>
      </c>
      <c r="I53" s="511">
        <v>326712.54671614798</v>
      </c>
      <c r="J53" s="511">
        <v>323729.51866335602</v>
      </c>
      <c r="K53" s="511">
        <v>320668.79185045802</v>
      </c>
      <c r="L53" s="511">
        <v>318474.28610179102</v>
      </c>
      <c r="M53" s="511">
        <v>316152.99807606399</v>
      </c>
      <c r="N53" s="511">
        <v>315107.64029034099</v>
      </c>
      <c r="O53" s="511">
        <v>312969.98433603102</v>
      </c>
      <c r="P53" s="510"/>
    </row>
    <row r="54" spans="1:16" ht="15" customHeight="1" x14ac:dyDescent="0.25">
      <c r="A54" s="231"/>
      <c r="B54" s="286" t="s">
        <v>85</v>
      </c>
      <c r="C54" s="511">
        <v>1477.5533209784101</v>
      </c>
      <c r="D54" s="511">
        <v>1453.06824617592</v>
      </c>
      <c r="E54" s="511">
        <v>1435.08059411828</v>
      </c>
      <c r="F54" s="511">
        <v>1415.5174669382</v>
      </c>
      <c r="G54" s="511">
        <v>1408.4409800292101</v>
      </c>
      <c r="H54" s="511">
        <v>1399.0206654985</v>
      </c>
      <c r="I54" s="511">
        <v>1395.09616126419</v>
      </c>
      <c r="J54" s="511">
        <v>1389.51206987002</v>
      </c>
      <c r="K54" s="511">
        <v>1381.66798011931</v>
      </c>
      <c r="L54" s="511">
        <v>1374.4050305696001</v>
      </c>
      <c r="M54" s="511">
        <v>1355.1618753371599</v>
      </c>
      <c r="N54" s="511">
        <v>1343.3401928932899</v>
      </c>
      <c r="O54" s="511">
        <v>1334.22845751251</v>
      </c>
      <c r="P54" s="510"/>
    </row>
    <row r="55" spans="1:16" ht="15" customHeight="1" x14ac:dyDescent="0.25">
      <c r="A55" s="231"/>
      <c r="B55" s="287" t="s">
        <v>86</v>
      </c>
      <c r="C55" s="511">
        <v>261456.75702652399</v>
      </c>
      <c r="D55" s="511">
        <v>270473.29566359002</v>
      </c>
      <c r="E55" s="511">
        <v>279270.86692875798</v>
      </c>
      <c r="F55" s="511">
        <v>288207.951762193</v>
      </c>
      <c r="G55" s="511">
        <v>296344.74339061201</v>
      </c>
      <c r="H55" s="511">
        <v>303992.41471913899</v>
      </c>
      <c r="I55" s="511">
        <v>312580.71457910899</v>
      </c>
      <c r="J55" s="511">
        <v>319781.73813501501</v>
      </c>
      <c r="K55" s="511">
        <v>327669.73034733598</v>
      </c>
      <c r="L55" s="511">
        <v>333573.40951374499</v>
      </c>
      <c r="M55" s="511">
        <v>341327.62407185498</v>
      </c>
      <c r="N55" s="511">
        <v>347995.875172681</v>
      </c>
      <c r="O55" s="511">
        <v>354427.85726968403</v>
      </c>
      <c r="P55" s="510"/>
    </row>
    <row r="56" spans="1:16" ht="15" customHeight="1" x14ac:dyDescent="0.25">
      <c r="A56" s="231"/>
      <c r="B56" s="515" t="s">
        <v>87</v>
      </c>
      <c r="C56" s="516">
        <v>750849</v>
      </c>
      <c r="D56" s="516">
        <v>757778</v>
      </c>
      <c r="E56" s="516">
        <v>763812</v>
      </c>
      <c r="F56" s="516">
        <v>769494</v>
      </c>
      <c r="G56" s="516">
        <v>774517</v>
      </c>
      <c r="H56" s="516">
        <v>778774</v>
      </c>
      <c r="I56" s="516">
        <v>783262</v>
      </c>
      <c r="J56" s="516">
        <v>787492</v>
      </c>
      <c r="K56" s="516">
        <v>792291</v>
      </c>
      <c r="L56" s="516">
        <v>796148</v>
      </c>
      <c r="M56" s="516">
        <v>801385</v>
      </c>
      <c r="N56" s="516">
        <v>806610</v>
      </c>
      <c r="O56" s="516">
        <v>812642</v>
      </c>
      <c r="P56" s="517"/>
    </row>
    <row r="57" spans="1:16" ht="15" customHeight="1" x14ac:dyDescent="0.25">
      <c r="A57" s="231"/>
      <c r="B57" s="518" t="s">
        <v>88</v>
      </c>
      <c r="C57" s="516">
        <v>691964.59600000002</v>
      </c>
      <c r="D57" s="516">
        <v>697151.20200000005</v>
      </c>
      <c r="E57" s="516">
        <v>701796.64800000004</v>
      </c>
      <c r="F57" s="516">
        <v>706106.43099999905</v>
      </c>
      <c r="G57" s="516">
        <v>709481.38</v>
      </c>
      <c r="H57" s="516">
        <v>713262.12100000004</v>
      </c>
      <c r="I57" s="516">
        <v>717090.23100000003</v>
      </c>
      <c r="J57" s="516">
        <v>721000.29200000002</v>
      </c>
      <c r="K57" s="516">
        <v>725275.22600000002</v>
      </c>
      <c r="L57" s="516">
        <v>728444.63399999996</v>
      </c>
      <c r="M57" s="516">
        <v>732938.23600000003</v>
      </c>
      <c r="N57" s="516">
        <v>737032.16399999999</v>
      </c>
      <c r="O57" s="516">
        <v>740384.64399999997</v>
      </c>
      <c r="P57" s="517"/>
    </row>
    <row r="58" spans="1:16" s="164" customFormat="1" ht="15" customHeight="1" x14ac:dyDescent="0.25">
      <c r="A58" s="539"/>
      <c r="B58" s="519" t="s">
        <v>89</v>
      </c>
      <c r="C58" s="522">
        <f>C62/C57</f>
        <v>0.40012244210251474</v>
      </c>
      <c r="D58" s="522">
        <f t="shared" ref="D58:O58" si="2">D62/D57</f>
        <v>0.41021054568876725</v>
      </c>
      <c r="E58" s="522">
        <f t="shared" si="2"/>
        <v>0.41945665006938021</v>
      </c>
      <c r="F58" s="522">
        <f t="shared" si="2"/>
        <v>0.42848548563920447</v>
      </c>
      <c r="G58" s="522">
        <f t="shared" si="2"/>
        <v>0.43616406395330493</v>
      </c>
      <c r="H58" s="522">
        <f t="shared" si="2"/>
        <v>0.4433178262104851</v>
      </c>
      <c r="I58" s="522">
        <f t="shared" si="2"/>
        <v>0.45061214897515456</v>
      </c>
      <c r="J58" s="522">
        <f t="shared" si="2"/>
        <v>0.45771833473820561</v>
      </c>
      <c r="K58" s="522">
        <f t="shared" si="2"/>
        <v>0.46541438463527496</v>
      </c>
      <c r="L58" s="522">
        <f t="shared" si="2"/>
        <v>0.47244708785925382</v>
      </c>
      <c r="M58" s="522">
        <f t="shared" si="2"/>
        <v>0.48015010912870426</v>
      </c>
      <c r="N58" s="522">
        <f t="shared" si="2"/>
        <v>0.48752719155415314</v>
      </c>
      <c r="O58" s="522">
        <f t="shared" si="2"/>
        <v>0.49435922525697334</v>
      </c>
      <c r="P58" s="523"/>
    </row>
    <row r="59" spans="1:16" s="164" customFormat="1" ht="15" customHeight="1" x14ac:dyDescent="0.25">
      <c r="A59" s="539"/>
      <c r="B59" s="519" t="s">
        <v>90</v>
      </c>
      <c r="C59" s="522">
        <f>(C61+C62)/C57</f>
        <v>0.86362599684218533</v>
      </c>
      <c r="D59" s="522">
        <f t="shared" ref="D59:O59" si="3">(D61+D62)/D57</f>
        <v>0.87142349357951754</v>
      </c>
      <c r="E59" s="522">
        <f t="shared" si="3"/>
        <v>0.87917967798558083</v>
      </c>
      <c r="F59" s="522">
        <f t="shared" si="3"/>
        <v>0.88727313262495944</v>
      </c>
      <c r="G59" s="522">
        <f t="shared" si="3"/>
        <v>0.89498251243746385</v>
      </c>
      <c r="H59" s="522">
        <f t="shared" si="3"/>
        <v>0.9019833691687098</v>
      </c>
      <c r="I59" s="522">
        <f t="shared" si="3"/>
        <v>0.90839403584065848</v>
      </c>
      <c r="J59" s="522">
        <f t="shared" si="3"/>
        <v>0.91436371984160036</v>
      </c>
      <c r="K59" s="522">
        <f t="shared" si="3"/>
        <v>0.92046572537967808</v>
      </c>
      <c r="L59" s="522">
        <f t="shared" si="3"/>
        <v>0.92565750439723882</v>
      </c>
      <c r="M59" s="522">
        <f t="shared" si="3"/>
        <v>0.93101015131103082</v>
      </c>
      <c r="N59" s="522">
        <f t="shared" si="3"/>
        <v>0.93705340924578717</v>
      </c>
      <c r="O59" s="522">
        <f t="shared" si="3"/>
        <v>0.94414848911966376</v>
      </c>
      <c r="P59" s="523"/>
    </row>
    <row r="60" spans="1:16" ht="15" customHeight="1" x14ac:dyDescent="0.25">
      <c r="A60" s="231"/>
      <c r="B60" s="287" t="s">
        <v>84</v>
      </c>
      <c r="C60" s="511">
        <v>94365.981999999902</v>
      </c>
      <c r="D60" s="511">
        <v>89637.265999999901</v>
      </c>
      <c r="E60" s="511">
        <v>84791.297000000006</v>
      </c>
      <c r="F60" s="511">
        <v>79597.165999999997</v>
      </c>
      <c r="G60" s="511">
        <v>74507.952000000005</v>
      </c>
      <c r="H60" s="511">
        <v>69911.55</v>
      </c>
      <c r="I60" s="511">
        <v>65689.741999999998</v>
      </c>
      <c r="J60" s="511">
        <v>61743.783000000003</v>
      </c>
      <c r="K60" s="511">
        <v>57684.239000000001</v>
      </c>
      <c r="L60" s="511">
        <v>54154.392</v>
      </c>
      <c r="M60" s="511">
        <v>50565.298000000003</v>
      </c>
      <c r="N60" s="511">
        <v>46393.661999999997</v>
      </c>
      <c r="O60" s="511">
        <v>41351.601000000002</v>
      </c>
      <c r="P60" s="510"/>
    </row>
    <row r="61" spans="1:16" ht="15" customHeight="1" x14ac:dyDescent="0.25">
      <c r="A61" s="231"/>
      <c r="B61" s="286" t="s">
        <v>85</v>
      </c>
      <c r="C61" s="511">
        <v>320728.05</v>
      </c>
      <c r="D61" s="511">
        <v>321535.16100000002</v>
      </c>
      <c r="E61" s="511">
        <v>322632.08</v>
      </c>
      <c r="F61" s="511">
        <v>323952.90799999901</v>
      </c>
      <c r="G61" s="511">
        <v>325523.14600000001</v>
      </c>
      <c r="H61" s="511">
        <v>327148.75799999997</v>
      </c>
      <c r="I61" s="511">
        <v>328270.91899999999</v>
      </c>
      <c r="J61" s="511">
        <v>329241.45600000001</v>
      </c>
      <c r="K61" s="511">
        <v>330037.46399999998</v>
      </c>
      <c r="L61" s="511">
        <v>330138.696</v>
      </c>
      <c r="M61" s="511">
        <v>330452.56400000001</v>
      </c>
      <c r="N61" s="511">
        <v>331315.28100000002</v>
      </c>
      <c r="O61" s="511">
        <v>333017.06400000001</v>
      </c>
      <c r="P61" s="510"/>
    </row>
    <row r="62" spans="1:16" ht="15" customHeight="1" x14ac:dyDescent="0.25">
      <c r="A62" s="231"/>
      <c r="B62" s="287" t="s">
        <v>86</v>
      </c>
      <c r="C62" s="511">
        <v>276870.56400000001</v>
      </c>
      <c r="D62" s="511">
        <v>285978.77500000002</v>
      </c>
      <c r="E62" s="511">
        <v>294373.27100000001</v>
      </c>
      <c r="F62" s="511">
        <v>302556.35700000002</v>
      </c>
      <c r="G62" s="511">
        <v>309450.28199999902</v>
      </c>
      <c r="H62" s="511">
        <v>316201.81300000002</v>
      </c>
      <c r="I62" s="511">
        <v>323129.57</v>
      </c>
      <c r="J62" s="511">
        <v>330015.05300000001</v>
      </c>
      <c r="K62" s="511">
        <v>337553.52299999999</v>
      </c>
      <c r="L62" s="511">
        <v>344151.54599999997</v>
      </c>
      <c r="M62" s="511">
        <v>351920.37400000001</v>
      </c>
      <c r="N62" s="511">
        <v>359323.22100000002</v>
      </c>
      <c r="O62" s="511">
        <v>366015.97899999999</v>
      </c>
      <c r="P62" s="510"/>
    </row>
    <row r="63" spans="1:16" ht="15" customHeight="1" x14ac:dyDescent="0.25">
      <c r="A63" s="231"/>
      <c r="B63" s="515" t="s">
        <v>91</v>
      </c>
      <c r="C63" s="516">
        <f>C51+C57</f>
        <v>1305087.9473860431</v>
      </c>
      <c r="D63" s="516">
        <f t="shared" ref="D63:O63" si="4">D51+D57</f>
        <v>1314793.198664607</v>
      </c>
      <c r="E63" s="516">
        <f t="shared" si="4"/>
        <v>1323952.6402041479</v>
      </c>
      <c r="F63" s="516">
        <f t="shared" si="4"/>
        <v>1332941.440160495</v>
      </c>
      <c r="G63" s="516">
        <f t="shared" si="4"/>
        <v>1340896.247708478</v>
      </c>
      <c r="H63" s="516">
        <f t="shared" si="4"/>
        <v>1348876.017278167</v>
      </c>
      <c r="I63" s="516">
        <f t="shared" si="4"/>
        <v>1357778.588456521</v>
      </c>
      <c r="J63" s="516">
        <f t="shared" si="4"/>
        <v>1365901.0608682409</v>
      </c>
      <c r="K63" s="516">
        <f t="shared" si="4"/>
        <v>1374995.416177914</v>
      </c>
      <c r="L63" s="516">
        <f t="shared" si="4"/>
        <v>1381866.7346461059</v>
      </c>
      <c r="M63" s="516">
        <f t="shared" si="4"/>
        <v>1391774.020023257</v>
      </c>
      <c r="N63" s="516">
        <f t="shared" si="4"/>
        <v>1401479.019655915</v>
      </c>
      <c r="O63" s="516">
        <f t="shared" si="4"/>
        <v>1409116.7140632281</v>
      </c>
      <c r="P63" s="517"/>
    </row>
    <row r="64" spans="1:16" s="164" customFormat="1" ht="15" customHeight="1" x14ac:dyDescent="0.25">
      <c r="A64" s="539"/>
      <c r="B64" s="524" t="s">
        <v>92</v>
      </c>
      <c r="C64" s="526">
        <v>65.936776603527804</v>
      </c>
      <c r="D64" s="526">
        <v>66.888108396285006</v>
      </c>
      <c r="E64" s="526">
        <v>67.805393581484296</v>
      </c>
      <c r="F64" s="526">
        <v>68.730156226429699</v>
      </c>
      <c r="G64" s="526">
        <v>69.559939030676105</v>
      </c>
      <c r="H64" s="526">
        <v>70.335745778849201</v>
      </c>
      <c r="I64" s="526">
        <v>71.099685025802401</v>
      </c>
      <c r="J64" s="526">
        <v>71.778826980460195</v>
      </c>
      <c r="K64" s="526">
        <v>72.483324206114801</v>
      </c>
      <c r="L64" s="526">
        <v>73.034398414893303</v>
      </c>
      <c r="M64" s="526">
        <v>73.651017277220205</v>
      </c>
      <c r="N64" s="526">
        <v>74.205728575294998</v>
      </c>
      <c r="O64" s="526">
        <v>74.855057654213994</v>
      </c>
      <c r="P64" s="525"/>
    </row>
    <row r="65" spans="2:2" ht="15" customHeight="1" x14ac:dyDescent="0.25">
      <c r="B65" s="527" t="s">
        <v>93</v>
      </c>
    </row>
  </sheetData>
  <mergeCells count="7">
    <mergeCell ref="C5:G5"/>
    <mergeCell ref="C8:G8"/>
    <mergeCell ref="C11:G11"/>
    <mergeCell ref="C15:G15"/>
    <mergeCell ref="C4:G4"/>
    <mergeCell ref="C10:G10"/>
    <mergeCell ref="C9:G9"/>
  </mergeCells>
  <hyperlinks>
    <hyperlink ref="B65" r:id="rId1" location="/resources " xr:uid="{19326883-DC07-413A-80F8-384984701E3F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3C08-9DE0-4984-B73D-2BF2E5AFA829}">
  <sheetPr codeName="Feuil3">
    <tabColor theme="9" tint="0.39997558519241921"/>
  </sheetPr>
  <dimension ref="A1:CF788"/>
  <sheetViews>
    <sheetView tabSelected="1" topLeftCell="R506" zoomScale="70" zoomScaleNormal="70" workbookViewId="0">
      <selection activeCell="AH548" sqref="AH548"/>
    </sheetView>
  </sheetViews>
  <sheetFormatPr defaultColWidth="11.5703125" defaultRowHeight="15" customHeight="1" x14ac:dyDescent="0.25"/>
  <cols>
    <col min="1" max="1" width="15.7109375" style="25" customWidth="1"/>
    <col min="2" max="2" width="55.7109375" style="25" customWidth="1"/>
    <col min="3" max="12" width="11.7109375" style="25" customWidth="1"/>
    <col min="13" max="16384" width="11.5703125" style="25"/>
  </cols>
  <sheetData>
    <row r="1" spans="1:9" ht="40.15" customHeight="1" x14ac:dyDescent="0.25">
      <c r="A1" s="97" t="s">
        <v>94</v>
      </c>
    </row>
    <row r="2" spans="1:9" ht="15" customHeight="1" x14ac:dyDescent="0.25">
      <c r="A2" s="97"/>
    </row>
    <row r="3" spans="1:9" ht="15" customHeight="1" x14ac:dyDescent="0.25">
      <c r="A3" s="97"/>
    </row>
    <row r="4" spans="1:9" ht="30" customHeight="1" x14ac:dyDescent="0.25">
      <c r="A4" s="97" t="s">
        <v>95</v>
      </c>
    </row>
    <row r="6" spans="1:9" ht="30" customHeight="1" x14ac:dyDescent="0.25">
      <c r="A6" s="479" t="s">
        <v>96</v>
      </c>
      <c r="B6" s="66" t="s">
        <v>97</v>
      </c>
      <c r="C6" s="67" cm="1">
        <f t="array" ref="C6">Exercice[Exercice N-4]</f>
        <v>2019</v>
      </c>
      <c r="D6" s="67" cm="1">
        <f t="array" ref="D6">Exercice[Exercice N-3]</f>
        <v>2020</v>
      </c>
      <c r="E6" s="67" cm="1">
        <f t="array" ref="E6">Exercice[Exercice N-2]</f>
        <v>2021</v>
      </c>
      <c r="F6" s="67" cm="1">
        <f t="array" ref="F6">Exercice[Exercice N-1]</f>
        <v>2022</v>
      </c>
      <c r="G6" s="67" cm="1">
        <f t="array" ref="G6">Exercice[Exercice N]</f>
        <v>2023</v>
      </c>
      <c r="H6" s="68" t="str" cm="1">
        <f t="array" ref="H6">"% "&amp;Exercice[Exercice N]</f>
        <v>% 2023</v>
      </c>
    </row>
    <row r="7" spans="1:9" ht="15" customHeight="1" x14ac:dyDescent="0.25">
      <c r="A7" s="25" t="s">
        <v>98</v>
      </c>
      <c r="B7" s="50" t="s">
        <v>99</v>
      </c>
      <c r="C7" s="640" cm="1">
        <f t="array" ref="C7">SUMPRODUCT((pat_tech_poste_08[[client]:[client]]=syndicat_etude)*(pat_tech_poste_08[[annee]:[annee]]=Exercice[Exercice N-4])*(pat_tech_poste_08[nbr_ps]))</f>
        <v>0</v>
      </c>
      <c r="D7" s="640" cm="1">
        <f t="array" ref="D7">SUMPRODUCT((pat_tech_poste_08[[client]:[client]]=syndicat_etude)*(pat_tech_poste_08[[annee]:[annee]]=Exercice[Exercice N-3])*(pat_tech_poste_08[nbr_ps]))</f>
        <v>0</v>
      </c>
      <c r="E7" s="640" cm="1">
        <f t="array" ref="E7">SUMPRODUCT((pat_tech_poste_08[[client]:[client]]=syndicat_etude)*(pat_tech_poste_08[[annee]:[annee]]=Exercice[Exercice N-2])*(pat_tech_poste_08[nbr_ps]))</f>
        <v>0</v>
      </c>
      <c r="F7" s="706" cm="1">
        <f t="array" ref="F7">SUMPRODUCT((pat_tech_poste_08[[client]:[client]]=syndicat_etude)*(pat_tech_poste_08[[annee]:[annee]]=Exercice[Exercice N-1])*(pat_tech_poste_08[nbr_ps]))</f>
        <v>0</v>
      </c>
      <c r="G7" s="706" cm="1">
        <f t="array" ref="G7">SUMPRODUCT((pat_tech_poste_08[[client]:[client]]=syndicat_etude)*(pat_tech_poste_08[[annee]:[annee]]=Exercice[Exercice N])*(pat_tech_poste_08[nbr_ps]))</f>
        <v>0</v>
      </c>
      <c r="H7" s="120"/>
      <c r="I7" s="65" t="s">
        <v>100</v>
      </c>
    </row>
    <row r="8" spans="1:9" ht="15" customHeight="1" x14ac:dyDescent="0.25">
      <c r="B8" s="51" t="s">
        <v>101</v>
      </c>
      <c r="C8" s="640" cm="1">
        <f t="array" ref="C8">SUMPRODUCT((pat_tech_poste_08[[client]:[client]]=syndicat_etude)*(pat_tech_poste_08[[annee]:[annee]]=Exercice[Exercice N-4])*(pat_tech_poste_08[nbr_ps_sur_territoire]))</f>
        <v>0</v>
      </c>
      <c r="D8" s="640" cm="1">
        <f t="array" ref="D8">SUMPRODUCT((pat_tech_poste_08[[client]:[client]]=syndicat_etude)*(pat_tech_poste_08[[annee]:[annee]]=Exercice[Exercice N-3])*(pat_tech_poste_08[nbr_ps_sur_territoire]))</f>
        <v>0</v>
      </c>
      <c r="E8" s="640" cm="1">
        <f t="array" ref="E8">SUMPRODUCT((pat_tech_poste_08[[client]:[client]]=syndicat_etude)*(pat_tech_poste_08[[annee]:[annee]]=Exercice[Exercice N-2])*(pat_tech_poste_08[nbr_ps_sur_territoire]))</f>
        <v>0</v>
      </c>
      <c r="F8" s="706" cm="1">
        <f t="array" ref="F8">SUMPRODUCT((pat_tech_poste_08[[client]:[client]]=syndicat_etude)*(pat_tech_poste_08[[annee]:[annee]]=Exercice[Exercice N-1])*(pat_tech_poste_08[nbr_ps_sur_territoire]))</f>
        <v>0</v>
      </c>
      <c r="G8" s="706" cm="1">
        <f t="array" ref="G8">SUMPRODUCT((pat_tech_poste_08[[client]:[client]]=syndicat_etude)*(pat_tech_poste_08[[annee]:[annee]]=Exercice[Exercice N])*(pat_tech_poste_08[nbr_ps_sur_territoire]))</f>
        <v>0</v>
      </c>
      <c r="H8" s="120">
        <f>IFERROR(G8/$G$20,"")</f>
        <v>0</v>
      </c>
      <c r="I8" s="65" t="s">
        <v>102</v>
      </c>
    </row>
    <row r="9" spans="1:9" ht="15" customHeight="1" x14ac:dyDescent="0.25">
      <c r="B9" s="50" t="s">
        <v>103</v>
      </c>
      <c r="C9" s="640" cm="1">
        <f t="array" ref="C9">SUMPRODUCT((pat_tech_poste_08[[client]:[client]]=syndicat_etude)*(pat_tech_poste_08[[annee]:[annee]]=Exercice[Exercice N-4])*(pat_tech_poste_08[puissance_installe]))</f>
        <v>0</v>
      </c>
      <c r="D9" s="640" cm="1">
        <f t="array" ref="D9">SUMPRODUCT((pat_tech_poste_08[[client]:[client]]=syndicat_etude)*(pat_tech_poste_08[[annee]:[annee]]=Exercice[Exercice N-3])*(pat_tech_poste_08[puissance_installe]))</f>
        <v>0</v>
      </c>
      <c r="E9" s="640" cm="1">
        <f t="array" ref="E9">SUMPRODUCT((pat_tech_poste_08[[client]:[client]]=syndicat_etude)*(pat_tech_poste_08[[annee]:[annee]]=Exercice[Exercice N-2])*(pat_tech_poste_08[puissance_installe]))</f>
        <v>0</v>
      </c>
      <c r="F9" s="706" cm="1">
        <f t="array" ref="F9">SUMPRODUCT((pat_tech_poste_08[[client]:[client]]=syndicat_etude)*(pat_tech_poste_08[[annee]:[annee]]=Exercice[Exercice N-1])*(pat_tech_poste_08[puissance_installe]))</f>
        <v>0</v>
      </c>
      <c r="G9" s="706" cm="1">
        <f t="array" ref="G9">SUMPRODUCT((pat_tech_poste_08[[client]:[client]]=syndicat_etude)*(pat_tech_poste_08[[annee]:[annee]]=Exercice[Exercice N])*(pat_tech_poste_08[puissance_installe]))</f>
        <v>0</v>
      </c>
      <c r="H9" s="120">
        <f>IFERROR(G9/$G$20,"")</f>
        <v>0</v>
      </c>
      <c r="I9" s="65" t="s">
        <v>104</v>
      </c>
    </row>
    <row r="10" spans="1:9" ht="15" customHeight="1" x14ac:dyDescent="0.25">
      <c r="B10" s="51" t="s">
        <v>105</v>
      </c>
      <c r="C10" s="640" cm="1">
        <f t="array" ref="C10">SUMPRODUCT((pat_tech_poste_08[[client]:[client]]=syndicat_etude)*(pat_tech_poste_08[[annee]:[annee]]=Exercice[Exercice N-4])*(pat_tech_poste_08[puissance_installe_ancien]))</f>
        <v>8</v>
      </c>
      <c r="D10" s="640" cm="1">
        <f t="array" ref="D10">SUMPRODUCT((pat_tech_poste_08[[client]:[client]]=syndicat_etude)*(pat_tech_poste_08[[annee]:[annee]]=Exercice[Exercice N-3])*(pat_tech_poste_08[puissance_installe_ancien]))</f>
        <v>8</v>
      </c>
      <c r="E10" s="640" cm="1">
        <f t="array" ref="E10">SUMPRODUCT((pat_tech_poste_08[[client]:[client]]=syndicat_etude)*(pat_tech_poste_08[[annee]:[annee]]=Exercice[Exercice N-2])*(pat_tech_poste_08[puissance_installe_ancien]))</f>
        <v>8</v>
      </c>
      <c r="F10" s="706" cm="1">
        <f t="array" ref="F10">SUMPRODUCT((pat_tech_poste_08[[client]:[client]]=syndicat_etude)*(pat_tech_poste_08[[annee]:[annee]]=Exercice[Exercice N-1])*(pat_tech_poste_08[puissance_installe_ancien]))</f>
        <v>8</v>
      </c>
      <c r="G10" s="706" cm="1">
        <f t="array" ref="G10">SUMPRODUCT((pat_tech_poste_08[[client]:[client]]=syndicat_etude)*(pat_tech_poste_08[[annee]:[annee]]=Exercice[Exercice N])*(pat_tech_poste_08[puissance_installe_ancien]))</f>
        <v>0</v>
      </c>
      <c r="H10" s="120">
        <f>IFERROR(G10/$G$20,"")</f>
        <v>0</v>
      </c>
      <c r="I10" s="65" t="s">
        <v>106</v>
      </c>
    </row>
    <row r="11" spans="1:9" ht="15" customHeight="1" x14ac:dyDescent="0.25">
      <c r="B11" s="53" t="s">
        <v>107</v>
      </c>
      <c r="C11" s="695" cm="1">
        <f t="array" ref="C11">SUMPRODUCT((pat_tech_poste_08[[client]:[client]]=syndicat_etude)*(pat_tech_poste_08[[annee]:[annee]]=Exercice[Exercice N-4])*(pat_tech_poste_08[taux_th]))</f>
        <v>0</v>
      </c>
      <c r="D11" s="695" cm="1">
        <f t="array" ref="D11">SUMPRODUCT((pat_tech_poste_08[[client]:[client]]=syndicat_etude)*(pat_tech_poste_08[[annee]:[annee]]=Exercice[Exercice N-3])*(pat_tech_poste_08[taux_th]))</f>
        <v>0</v>
      </c>
      <c r="E11" s="695" cm="1">
        <f t="array" ref="E11">SUMPRODUCT((pat_tech_poste_08[[client]:[client]]=syndicat_etude)*(pat_tech_poste_08[[annee]:[annee]]=Exercice[Exercice N-2])*(pat_tech_poste_08[taux_th]))</f>
        <v>0.25700000000000001</v>
      </c>
      <c r="F11" s="707" cm="1">
        <f t="array" ref="F11">SUMPRODUCT((pat_tech_poste_08[[client]:[client]]=syndicat_etude)*(pat_tech_poste_08[[annee]:[annee]]=Exercice[Exercice N-1])*(pat_tech_poste_08[taux_th]))</f>
        <v>0.27</v>
      </c>
      <c r="G11" s="695" cm="1">
        <f t="array" ref="G11">SUMPRODUCT((pat_tech_poste_08[[client]:[client]]=syndicat_etude)*(pat_tech_poste_08[[annee]:[annee]]=Exercice[Exercice N])*(pat_tech_poste_08[taux_th]))</f>
        <v>0.26500000000000001</v>
      </c>
      <c r="H11" s="133">
        <f>IFERROR(G11/$G$20,"")</f>
        <v>5.3788539996346447E-5</v>
      </c>
      <c r="I11" s="65" t="s">
        <v>108</v>
      </c>
    </row>
    <row r="13" spans="1:9" ht="30" customHeight="1" x14ac:dyDescent="0.25">
      <c r="A13" s="97" t="s">
        <v>109</v>
      </c>
    </row>
    <row r="15" spans="1:9" ht="30" customHeight="1" x14ac:dyDescent="0.25">
      <c r="A15" s="547" t="s">
        <v>110</v>
      </c>
      <c r="B15" s="66" t="s">
        <v>111</v>
      </c>
      <c r="C15" s="67" cm="1">
        <f t="array" ref="C15">Exercice[Exercice N-4]</f>
        <v>2019</v>
      </c>
      <c r="D15" s="67" cm="1">
        <f t="array" ref="D15">Exercice[Exercice N-3]</f>
        <v>2020</v>
      </c>
      <c r="E15" s="67" cm="1">
        <f t="array" ref="E15">Exercice[Exercice N-2]</f>
        <v>2021</v>
      </c>
      <c r="F15" s="67" cm="1">
        <f t="array" ref="F15">Exercice[Exercice N-1]</f>
        <v>2022</v>
      </c>
      <c r="G15" s="67" cm="1">
        <f t="array" ref="G15">Exercice[Exercice N]</f>
        <v>2023</v>
      </c>
      <c r="H15" s="68" t="str" cm="1">
        <f t="array" ref="H15">"% "&amp;Exercice[Exercice N]</f>
        <v>% 2023</v>
      </c>
    </row>
    <row r="16" spans="1:9" ht="15" customHeight="1" x14ac:dyDescent="0.25">
      <c r="B16" s="50" t="s">
        <v>112</v>
      </c>
      <c r="C16" s="11">
        <f>SUM(C17:C18)</f>
        <v>2265.4</v>
      </c>
      <c r="D16" s="11">
        <f>SUM(D17:D18)</f>
        <v>2260.7000000000003</v>
      </c>
      <c r="E16" s="11">
        <f>SUM(E17:E18)</f>
        <v>2253.1999999999998</v>
      </c>
      <c r="F16" s="11">
        <f>SUM(F17:F18)</f>
        <v>2248.3000000000002</v>
      </c>
      <c r="G16" s="11">
        <f>SUM(G17:G18)</f>
        <v>2251.5</v>
      </c>
      <c r="H16" s="120"/>
    </row>
    <row r="17" spans="1:8" ht="15" customHeight="1" x14ac:dyDescent="0.25">
      <c r="B17" s="51" t="s">
        <v>113</v>
      </c>
      <c r="C17" s="15" cm="1">
        <f t="array" ref="C17">SUMPRODUCT((pat_tech_hta_01[[client]:[client]]=syndicat_etude)*(pat_tech_hta_01[[annee]:[annee]]=C$15)*(pat_tech_hta_01[aerien_nu]))</f>
        <v>2260.5</v>
      </c>
      <c r="D17" s="15" cm="1">
        <f t="array" ref="D17">SUMPRODUCT((pat_tech_hta_01[[client]:[client]]=syndicat_etude)*(pat_tech_hta_01[[annee]:[annee]]=D$15)*(pat_tech_hta_01[aerien_nu]))</f>
        <v>2255.8000000000002</v>
      </c>
      <c r="E17" s="15" cm="1">
        <f t="array" ref="E17">SUMPRODUCT((pat_tech_hta_01[[client]:[client]]=syndicat_etude)*(pat_tech_hta_01[[annee]:[annee]]=E$15)*(pat_tech_hta_01[aerien_nu]))</f>
        <v>2248.1999999999998</v>
      </c>
      <c r="F17" s="15" cm="1">
        <f t="array" ref="F17">SUMPRODUCT((pat_tech_hta_01[[client]:[client]]=syndicat_etude)*(pat_tech_hta_01[[annee]:[annee]]=F$15)*(pat_tech_hta_01[aerien_nu]))</f>
        <v>2243.4</v>
      </c>
      <c r="G17" s="15" cm="1">
        <f t="array" ref="G17">SUMPRODUCT((pat_tech_hta_01[[client]:[client]]=syndicat_etude)*(pat_tech_hta_01[[annee]:[annee]]=G$15)*(pat_tech_hta_01[aerien_nu]))</f>
        <v>2246.1</v>
      </c>
      <c r="H17" s="120">
        <f>IFERROR(G17/$G$20,"")</f>
        <v>0.4559035459841273</v>
      </c>
    </row>
    <row r="18" spans="1:8" ht="15" customHeight="1" x14ac:dyDescent="0.25">
      <c r="B18" s="51" t="s">
        <v>114</v>
      </c>
      <c r="C18" s="15" cm="1">
        <f t="array" ref="C18">SUMPRODUCT((pat_tech_hta_01[[client]:[client]]=syndicat_etude)*(pat_tech_hta_01[[annee]:[annee]]=C$15)*(pat_tech_hta_01[aerien_torsade]))</f>
        <v>4.9000000000000004</v>
      </c>
      <c r="D18" s="15" cm="1">
        <f t="array" ref="D18">SUMPRODUCT((pat_tech_hta_01[[client]:[client]]=syndicat_etude)*(pat_tech_hta_01[[annee]:[annee]]=D$15)*(pat_tech_hta_01[aerien_torsade]))</f>
        <v>4.9000000000000004</v>
      </c>
      <c r="E18" s="15" cm="1">
        <f t="array" ref="E18">SUMPRODUCT((pat_tech_hta_01[[client]:[client]]=syndicat_etude)*(pat_tech_hta_01[[annee]:[annee]]=E$15)*(pat_tech_hta_01[aerien_torsade]))</f>
        <v>5</v>
      </c>
      <c r="F18" s="15" cm="1">
        <f t="array" ref="F18">SUMPRODUCT((pat_tech_hta_01[[client]:[client]]=syndicat_etude)*(pat_tech_hta_01[[annee]:[annee]]=F$15)*(pat_tech_hta_01[aerien_torsade]))</f>
        <v>4.9000000000000004</v>
      </c>
      <c r="G18" s="15" cm="1">
        <f t="array" ref="G18">SUMPRODUCT((pat_tech_hta_01[[client]:[client]]=syndicat_etude)*(pat_tech_hta_01[[annee]:[annee]]=G$15)*(pat_tech_hta_01[aerien_torsade]))</f>
        <v>5.4</v>
      </c>
      <c r="H18" s="120">
        <f>IFERROR(G18/$G$20,"")</f>
        <v>1.0960683621897011E-3</v>
      </c>
    </row>
    <row r="19" spans="1:8" ht="15" customHeight="1" x14ac:dyDescent="0.25">
      <c r="B19" s="50" t="s">
        <v>115</v>
      </c>
      <c r="C19" s="11" cm="1">
        <f t="array" ref="C19">SUMPRODUCT((pat_tech_hta_01[[client]:[client]]=syndicat_etude)*(pat_tech_hta_01[[annee]:[annee]]=C$15)*(pat_tech_hta_01[souterrain]))</f>
        <v>0</v>
      </c>
      <c r="D19" s="11" cm="1">
        <f t="array" ref="D19">SUMPRODUCT((pat_tech_hta_01[[client]:[client]]=syndicat_etude)*(pat_tech_hta_01[[annee]:[annee]]=D$15)*(pat_tech_hta_01[souterrain]))</f>
        <v>2451.3000000000002</v>
      </c>
      <c r="E19" s="11" cm="1">
        <f t="array" ref="E19">SUMPRODUCT((pat_tech_hta_01[[client]:[client]]=syndicat_etude)*(pat_tech_hta_01[[annee]:[annee]]=E$15)*(pat_tech_hta_01[souterrain]))</f>
        <v>2606</v>
      </c>
      <c r="F19" s="11" cm="1">
        <f t="array" ref="F19">SUMPRODUCT((pat_tech_hta_01[[client]:[client]]=syndicat_etude)*(pat_tech_hta_01[[annee]:[annee]]=F$15)*(pat_tech_hta_01[souterrain]))</f>
        <v>2645.1</v>
      </c>
      <c r="G19" s="11" cm="1">
        <f t="array" ref="G19">SUMPRODUCT((pat_tech_hta_01[[client]:[client]]=syndicat_etude)*(pat_tech_hta_01[[annee]:[annee]]=G$15)*(pat_tech_hta_01[souterrain]))</f>
        <v>2675.2</v>
      </c>
      <c r="H19" s="120">
        <f>IFERROR(G19/$G$20,"")</f>
        <v>0.54300038565368303</v>
      </c>
    </row>
    <row r="20" spans="1:8" ht="15" customHeight="1" x14ac:dyDescent="0.25">
      <c r="B20" s="122" t="s">
        <v>116</v>
      </c>
      <c r="C20" s="123" cm="1">
        <f t="array" ref="C20">SUMPRODUCT((pat_tech_hta_01[[client]:[client]]=syndicat_etude)*(pat_tech_hta_01[[annee]:[annee]]=C$15)*(pat_tech_hta_01[lineaire_tot]))</f>
        <v>4692.8999999999996</v>
      </c>
      <c r="D20" s="123" cm="1">
        <f t="array" ref="D20">SUMPRODUCT((pat_tech_hta_01[[client]:[client]]=syndicat_etude)*(pat_tech_hta_01[[annee]:[annee]]=D$15)*(pat_tech_hta_01[lineaire_tot]))</f>
        <v>4712.1000000000004</v>
      </c>
      <c r="E20" s="123" cm="1">
        <f t="array" ref="E20">SUMPRODUCT((pat_tech_hta_01[[client]:[client]]=syndicat_etude)*(pat_tech_hta_01[[annee]:[annee]]=E$15)*(pat_tech_hta_01[lineaire_tot]))</f>
        <v>4859.3</v>
      </c>
      <c r="F20" s="123" cm="1">
        <f t="array" ref="F20">SUMPRODUCT((pat_tech_hta_01[[client]:[client]]=syndicat_etude)*(pat_tech_hta_01[[annee]:[annee]]=F$15)*(pat_tech_hta_01[lineaire_tot]))</f>
        <v>4893.3999999999996</v>
      </c>
      <c r="G20" s="123" cm="1">
        <f t="array" ref="G20">SUMPRODUCT((pat_tech_hta_01[[client]:[client]]=syndicat_etude)*(pat_tech_hta_01[[annee]:[annee]]=G$15)*(pat_tech_hta_01[lineaire_tot]))</f>
        <v>4926.7</v>
      </c>
      <c r="H20" s="121">
        <f>IFERROR(G20/$G$20,"")</f>
        <v>1</v>
      </c>
    </row>
    <row r="21" spans="1:8" ht="15" customHeight="1" x14ac:dyDescent="0.25">
      <c r="B21" s="77" t="s">
        <v>117</v>
      </c>
      <c r="C21" s="78"/>
      <c r="D21" s="78">
        <f>IF(ISERROR(D20/C20-1),"",D20/C20-1)</f>
        <v>4.0912868375633238E-3</v>
      </c>
      <c r="E21" s="78">
        <f>IF(ISERROR(E20/D20-1),"",E20/D20-1)</f>
        <v>3.123872583349252E-2</v>
      </c>
      <c r="F21" s="78">
        <f>IF(ISERROR(F20/E20-1),"",F20/E20-1)</f>
        <v>7.0174716522954927E-3</v>
      </c>
      <c r="G21" s="78">
        <f>IF(ISERROR(G20/F20-1),"",G20/F20-1)</f>
        <v>6.8050843993952004E-3</v>
      </c>
      <c r="H21" s="79"/>
    </row>
    <row r="23" spans="1:8" ht="30" customHeight="1" x14ac:dyDescent="0.25">
      <c r="B23" s="66" t="s">
        <v>118</v>
      </c>
      <c r="C23" s="67" cm="1">
        <f t="array" ref="C23">Exercice[Exercice N-4]</f>
        <v>2019</v>
      </c>
      <c r="D23" s="67" cm="1">
        <f t="array" ref="D23">Exercice[Exercice N-3]</f>
        <v>2020</v>
      </c>
      <c r="E23" s="67" cm="1">
        <f t="array" ref="E23">Exercice[Exercice N-2]</f>
        <v>2021</v>
      </c>
      <c r="F23" s="67" cm="1">
        <f t="array" ref="F23">Exercice[Exercice N-1]</f>
        <v>2022</v>
      </c>
      <c r="G23" s="69" cm="1">
        <f t="array" ref="G23">Exercice[Exercice N]</f>
        <v>2023</v>
      </c>
      <c r="H23" s="65"/>
    </row>
    <row r="24" spans="1:8" ht="15" customHeight="1" x14ac:dyDescent="0.25">
      <c r="B24" s="61" t="s">
        <v>119</v>
      </c>
      <c r="C24" s="240">
        <f>IFERROR(C17/C$20,"-")</f>
        <v>0.48168509876622134</v>
      </c>
      <c r="D24" s="240">
        <f>IFERROR(D17/D$20,"-")</f>
        <v>0.47872498461407864</v>
      </c>
      <c r="E24" s="240">
        <f>IFERROR(E17/E$20,"-")</f>
        <v>0.46265923075340065</v>
      </c>
      <c r="F24" s="240">
        <f>IFERROR(F17/F$20,"-")</f>
        <v>0.45845424449258187</v>
      </c>
      <c r="G24" s="241">
        <f>IFERROR(G17/G$20,"-")</f>
        <v>0.4559035459841273</v>
      </c>
    </row>
    <row r="25" spans="1:8" ht="15" customHeight="1" x14ac:dyDescent="0.25">
      <c r="B25" s="50" t="s">
        <v>120</v>
      </c>
      <c r="C25" s="8">
        <f>IFERROR(C19/C$20,"-")</f>
        <v>0</v>
      </c>
      <c r="D25" s="8">
        <f>IFERROR(D19/D$20,"-")</f>
        <v>0.52021391736168587</v>
      </c>
      <c r="E25" s="8">
        <f>IFERROR(E19/E$20,"-")</f>
        <v>0.53629123536311818</v>
      </c>
      <c r="F25" s="8">
        <f>IFERROR(F19/F$20,"-")</f>
        <v>0.54054440675195159</v>
      </c>
      <c r="G25" s="80">
        <f>IFERROR(G19/G$20,"-")</f>
        <v>0.54300038565368303</v>
      </c>
    </row>
    <row r="26" spans="1:8" ht="15" customHeight="1" x14ac:dyDescent="0.25">
      <c r="B26" s="145" t="s">
        <v>121</v>
      </c>
      <c r="C26" s="520">
        <f>Synth!K$52</f>
        <v>0.50432437732558322</v>
      </c>
      <c r="D26" s="520">
        <f>Synth!L$52</f>
        <v>0.51050218409188564</v>
      </c>
      <c r="E26" s="520">
        <f>Synth!M$52</f>
        <v>0.51807693563257651</v>
      </c>
      <c r="F26" s="520">
        <f>Synth!N$52</f>
        <v>0.52373771086500753</v>
      </c>
      <c r="G26" s="397">
        <f>Synth!O$52</f>
        <v>0.5299997908522216</v>
      </c>
      <c r="H26" s="65" t="s">
        <v>122</v>
      </c>
    </row>
    <row r="27" spans="1:8" ht="15" customHeight="1" x14ac:dyDescent="0.25">
      <c r="A27" s="28"/>
      <c r="B27" s="142" t="s">
        <v>123</v>
      </c>
      <c r="C27" s="681" cm="1">
        <f t="array" ref="C27">SUMPRODUCT((pat_tech_hta_01_nat[[annee]:[annee]]=C$23)*(pat_tech_hta_01_nat[moy_nat_dens_pop]))</f>
        <v>0.43859999999999999</v>
      </c>
      <c r="D27" s="681" cm="1">
        <f t="array" ref="D27">SUMPRODUCT((pat_tech_hta_01_nat[[annee]:[annee]]=D$23)*(pat_tech_hta_01_nat[moy_nat_dens_pop]))</f>
        <v>0.438</v>
      </c>
      <c r="E27" s="681" cm="1">
        <f t="array" ref="E27">SUMPRODUCT((pat_tech_hta_01_nat[[annee]:[annee]]=E$23)*(pat_tech_hta_01_nat[moy_nat_dens_pop]))</f>
        <v>0.437</v>
      </c>
      <c r="F27" s="681" cm="1">
        <f t="array" ref="F27">SUMPRODUCT((pat_tech_hta_01_nat[[annee]:[annee]]=F$23)*(pat_tech_hta_01_nat[moy_nat_dens_pop]))</f>
        <v>0.436</v>
      </c>
      <c r="G27" s="138" cm="1">
        <f t="array" ref="G27">SUMPRODUCT((pat_tech_hta_01_nat[[annee]:[annee]]=G$23)*(pat_tech_hta_01_nat[moy_nat_dens_pop]))</f>
        <v>0.43519999999999998</v>
      </c>
      <c r="H27" s="65"/>
    </row>
    <row r="29" spans="1:8" ht="15" customHeight="1" x14ac:dyDescent="0.25">
      <c r="A29" s="479" t="s">
        <v>124</v>
      </c>
    </row>
    <row r="43" spans="1:5" ht="15" customHeight="1" x14ac:dyDescent="0.25">
      <c r="A43" s="479" t="s">
        <v>125</v>
      </c>
      <c r="E43" s="479" t="s">
        <v>126</v>
      </c>
    </row>
    <row r="62" spans="1:1" ht="15" customHeight="1" x14ac:dyDescent="0.25">
      <c r="A62" s="479" t="s">
        <v>127</v>
      </c>
    </row>
    <row r="77" spans="1:8" ht="30" customHeight="1" x14ac:dyDescent="0.25">
      <c r="A77" s="479" t="s">
        <v>128</v>
      </c>
      <c r="B77" s="66" t="s">
        <v>129</v>
      </c>
      <c r="C77" s="67" cm="1">
        <f t="array" ref="C77">Exercice[Exercice N-4]</f>
        <v>2019</v>
      </c>
      <c r="D77" s="67" cm="1">
        <f t="array" ref="D77">Exercice[Exercice N-3]</f>
        <v>2020</v>
      </c>
      <c r="E77" s="67" cm="1">
        <f t="array" ref="E77">Exercice[Exercice N-2]</f>
        <v>2021</v>
      </c>
      <c r="F77" s="67" cm="1">
        <f t="array" ref="F77">Exercice[Exercice N-1]</f>
        <v>2022</v>
      </c>
      <c r="G77" s="69" cm="1">
        <f t="array" ref="G77">Exercice[Exercice N]</f>
        <v>2023</v>
      </c>
    </row>
    <row r="78" spans="1:8" ht="15" customHeight="1" x14ac:dyDescent="0.25">
      <c r="A78" s="25" t="s">
        <v>130</v>
      </c>
      <c r="B78" s="50" t="s">
        <v>131</v>
      </c>
      <c r="C78" s="7" cm="1">
        <f t="array" ref="C78">SUMPRODUCT((pat_tech_hta_02[[client]:[client]]=syndicat_etude)*(pat_tech_hta_02[[annee]:[annee]]=C$77)*(pat_tech_hta_02[lineaire_hta_sup_40ans]))</f>
        <v>1135.5999999999999</v>
      </c>
      <c r="D78" s="5" cm="1">
        <f t="array" ref="D78">SUMPRODUCT((pat_tech_hta_02[[client]:[client]]=syndicat_etude)*(pat_tech_hta_02[[annee]:[annee]]=D$77)*(pat_tech_hta_02[lineaire_hta_sup_40ans]))</f>
        <v>1164.5</v>
      </c>
      <c r="E78" s="5" cm="1">
        <f t="array" ref="E78">SUMPRODUCT((pat_tech_hta_02[[client]:[client]]=syndicat_etude)*(pat_tech_hta_02[[annee]:[annee]]=E$77)*(pat_tech_hta_02[lineaire_hta_sup_40ans]))</f>
        <v>1192.4000000000001</v>
      </c>
      <c r="F78" s="5" cm="1">
        <f t="array" ref="F78">SUMPRODUCT((pat_tech_hta_02[[client]:[client]]=syndicat_etude)*(pat_tech_hta_02[[annee]:[annee]]=F$77)*(pat_tech_hta_02[lineaire_hta_sup_40ans]))</f>
        <v>1265</v>
      </c>
      <c r="G78" s="112" cm="1">
        <f t="array" ref="G78">SUMPRODUCT((pat_tech_hta_02[[client]:[client]]=syndicat_etude)*(pat_tech_hta_02[[annee]:[annee]]=G$77)*(pat_tech_hta_02[lineaire_hta_sup_40ans]))</f>
        <v>1328.6</v>
      </c>
    </row>
    <row r="79" spans="1:8" ht="15" customHeight="1" x14ac:dyDescent="0.25">
      <c r="B79" s="124" t="s">
        <v>132</v>
      </c>
      <c r="C79" s="708" cm="1">
        <f t="array" ref="C79">SUMPRODUCT((pat_tech_hta_02[[client]:[client]]=syndicat_etude)*(pat_tech_hta_02[[annee]:[annee]]=C$77)*(pat_tech_hta_02[pourcent_tot]))</f>
        <v>0.24199999999999999</v>
      </c>
      <c r="D79" s="708" cm="1">
        <f t="array" ref="D79">SUMPRODUCT((pat_tech_hta_02[[client]:[client]]=syndicat_etude)*(pat_tech_hta_02[[annee]:[annee]]=D$77)*(pat_tech_hta_02[pourcent_tot]))</f>
        <v>0.24709999999999999</v>
      </c>
      <c r="E79" s="708" cm="1">
        <f t="array" ref="E79">SUMPRODUCT((pat_tech_hta_02[[client]:[client]]=syndicat_etude)*(pat_tech_hta_02[[annee]:[annee]]=E$77)*(pat_tech_hta_02[pourcent_tot]))</f>
        <v>0.24540000000000001</v>
      </c>
      <c r="F79" s="708" cm="1">
        <f t="array" ref="F79">SUMPRODUCT((pat_tech_hta_02[[client]:[client]]=syndicat_etude)*(pat_tech_hta_02[[annee]:[annee]]=F$77)*(pat_tech_hta_02[pourcent_tot]))</f>
        <v>0.25850000000000001</v>
      </c>
      <c r="G79" s="243" cm="1">
        <f t="array" ref="G79">SUMPRODUCT((pat_tech_hta_02[[client]:[client]]=syndicat_etude)*(pat_tech_hta_02[[annee]:[annee]]=G$77)*(pat_tech_hta_02[pourcent_tot]))</f>
        <v>0.2697</v>
      </c>
    </row>
    <row r="80" spans="1:8" ht="15" customHeight="1" x14ac:dyDescent="0.25">
      <c r="A80" s="28"/>
      <c r="B80" s="124" t="s">
        <v>134</v>
      </c>
      <c r="C80" s="520" cm="1">
        <f t="array" ref="C80">SUMPRODUCT((pat_tech_hta_02[[client]:[client]]=syndicat_etude)*(pat_tech_hta_02[[annee]:[annee]]=C$77)*(pat_tech_hta_02[pourcent_nat]))</f>
        <v>0.24593731201120358</v>
      </c>
      <c r="D80" s="520" cm="1">
        <f t="array" ref="D80">SUMPRODUCT((pat_tech_hta_02[[client]:[client]]=syndicat_etude)*(pat_tech_hta_02[[annee]:[annee]]=D$77)*(pat_tech_hta_02[pourcent_nat]))</f>
        <v>0.26299980765961956</v>
      </c>
      <c r="E80" s="520" cm="1">
        <f t="array" ref="E80">SUMPRODUCT((pat_tech_hta_02[[client]:[client]]=syndicat_etude)*(pat_tech_hta_02[[annee]:[annee]]=E$77)*(pat_tech_hta_02[pourcent_nat]))</f>
        <v>0.27840755148357232</v>
      </c>
      <c r="F80" s="520" cm="1">
        <f t="array" ref="F80">SUMPRODUCT((pat_tech_hta_02[[client]:[client]]=syndicat_etude)*(pat_tech_hta_02[[annee]:[annee]]=F$77)*(pat_tech_hta_02[pourcent_nat]))</f>
        <v>0.29343153390953114</v>
      </c>
      <c r="G80" s="397" cm="1">
        <f t="array" ref="G80">SUMPRODUCT((pat_tech_hta_02[[client]:[client]]=syndicat_etude)*(pat_tech_hta_02[[annee]:[annee]]=G$77)*(pat_tech_hta_02[pourcent_nat]))</f>
        <v>0.31187456964574384</v>
      </c>
      <c r="H80" s="65" t="s">
        <v>135</v>
      </c>
    </row>
    <row r="81" spans="1:8" ht="15" customHeight="1" x14ac:dyDescent="0.25">
      <c r="B81" s="50" t="s">
        <v>136</v>
      </c>
      <c r="C81" s="7" cm="1">
        <f t="array" ref="C81">SUMPRODUCT((pat_tech_hta_02[[client]:[client]]=syndicat_etude)*(pat_tech_hta_02[[annee]:[annee]]=C$77)*(pat_tech_hta_02[lineaire_hta_sup_50ans]))</f>
        <v>611.9</v>
      </c>
      <c r="D81" s="7" cm="1">
        <f t="array" ref="D81">SUMPRODUCT((pat_tech_hta_02[[client]:[client]]=syndicat_etude)*(pat_tech_hta_02[[annee]:[annee]]=D$77)*(pat_tech_hta_02[lineaire_hta_sup_50ans]))</f>
        <v>668.4</v>
      </c>
      <c r="E81" s="7" cm="1">
        <f t="array" ref="E81">SUMPRODUCT((pat_tech_hta_02[[client]:[client]]=syndicat_etude)*(pat_tech_hta_02[[annee]:[annee]]=E$77)*(pat_tech_hta_02[lineaire_hta_sup_50ans]))</f>
        <v>710.2</v>
      </c>
      <c r="F81" s="7" cm="1">
        <f t="array" ref="F81">SUMPRODUCT((pat_tech_hta_02[[client]:[client]]=syndicat_etude)*(pat_tech_hta_02[[annee]:[annee]]=F$77)*(pat_tech_hta_02[lineaire_hta_sup_50ans]))</f>
        <v>749.8</v>
      </c>
      <c r="G81" s="85" cm="1">
        <f t="array" ref="G81">SUMPRODUCT((pat_tech_hta_02[[client]:[client]]=syndicat_etude)*(pat_tech_hta_02[[annee]:[annee]]=G$77)*(pat_tech_hta_02[lineaire_hta_sup_50ans]))</f>
        <v>813.2</v>
      </c>
    </row>
    <row r="82" spans="1:8" ht="15" customHeight="1" x14ac:dyDescent="0.25">
      <c r="B82" s="53" t="s">
        <v>137</v>
      </c>
      <c r="C82" s="90" cm="1">
        <f t="array" ref="C82">SUMPRODUCT((pat_tech_hta_02[[client]:[client]]=syndicat_etude)*(pat_tech_hta_02[[annee]:[annee]]=C$77)*(pat_tech_hta_02[lineaire_hta_sup_60ans]))</f>
        <v>54.4</v>
      </c>
      <c r="D82" s="90" cm="1">
        <f t="array" ref="D82">SUMPRODUCT((pat_tech_hta_02[[client]:[client]]=syndicat_etude)*(pat_tech_hta_02[[annee]:[annee]]=D$77)*(pat_tech_hta_02[lineaire_hta_sup_60ans]))</f>
        <v>102.6</v>
      </c>
      <c r="E82" s="86" cm="1">
        <f t="array" ref="E82">SUMPRODUCT((pat_tech_hta_02[[client]:[client]]=syndicat_etude)*(pat_tech_hta_02[[annee]:[annee]]=E$77)*(pat_tech_hta_02[lineaire_hta_sup_60ans]))</f>
        <v>121.6</v>
      </c>
      <c r="F82" s="86" cm="1">
        <f t="array" ref="F82">SUMPRODUCT((pat_tech_hta_02[[client]:[client]]=syndicat_etude)*(pat_tech_hta_02[[annee]:[annee]]=F$77)*(pat_tech_hta_02[lineaire_hta_sup_60ans]))</f>
        <v>157.19999999999999</v>
      </c>
      <c r="G82" s="87" cm="1">
        <f t="array" ref="G82">SUMPRODUCT((pat_tech_hta_02[[client]:[client]]=syndicat_etude)*(pat_tech_hta_02[[annee]:[annee]]=G$77)*(pat_tech_hta_02[lineaire_hta_sup_60ans]))</f>
        <v>197</v>
      </c>
    </row>
    <row r="84" spans="1:8" ht="30" customHeight="1" x14ac:dyDescent="0.25">
      <c r="A84" s="479" t="s">
        <v>138</v>
      </c>
      <c r="B84" s="66" t="s">
        <v>139</v>
      </c>
      <c r="C84" s="67" cm="1">
        <f t="array" ref="C84">Exercice[Exercice N-4]</f>
        <v>2019</v>
      </c>
      <c r="D84" s="67" cm="1">
        <f t="array" ref="D84">Exercice[Exercice N-3]</f>
        <v>2020</v>
      </c>
      <c r="E84" s="67" cm="1">
        <f t="array" ref="E84">Exercice[Exercice N-2]</f>
        <v>2021</v>
      </c>
      <c r="F84" s="67" cm="1">
        <f t="array" ref="F84">Exercice[Exercice N-1]</f>
        <v>2022</v>
      </c>
      <c r="G84" s="69" cm="1">
        <f t="array" ref="G84">Exercice[Exercice N]</f>
        <v>2023</v>
      </c>
    </row>
    <row r="85" spans="1:8" ht="15" customHeight="1" x14ac:dyDescent="0.25">
      <c r="A85" s="25" t="s">
        <v>140</v>
      </c>
      <c r="B85" s="329" t="s">
        <v>141</v>
      </c>
      <c r="C85" s="134" cm="1">
        <f t="array" ref="C85">SUMPRODUCT((pat_tech_hta_06[[client]:[client]]=syndicat_etude)*(pat_tech_hta_06[[annee]:[annee]]=C$84)*(pat_tech_hta_06[[nbr_depart_hta]:[nbr_depart_hta]]))</f>
        <v>258</v>
      </c>
      <c r="D85" s="134" cm="1">
        <f t="array" ref="D85">SUMPRODUCT((pat_tech_hta_06[[client]:[client]]=syndicat_etude)*(pat_tech_hta_06[[annee]:[annee]]=D$84)*(pat_tech_hta_06[[nbr_depart_hta]:[nbr_depart_hta]]))</f>
        <v>257</v>
      </c>
      <c r="E85" s="134" cm="1">
        <f t="array" ref="E85">SUMPRODUCT((pat_tech_hta_06[[client]:[client]]=syndicat_etude)*(pat_tech_hta_06[[annee]:[annee]]=E$84)*(pat_tech_hta_06[[nbr_depart_hta]:[nbr_depart_hta]]))</f>
        <v>275</v>
      </c>
      <c r="F85" s="134" cm="1">
        <f t="array" ref="F85">SUMPRODUCT((pat_tech_hta_06[[client]:[client]]=syndicat_etude)*(pat_tech_hta_06[[annee]:[annee]]=F$84)*(pat_tech_hta_06[[nbr_depart_hta]:[nbr_depart_hta]]))</f>
        <v>277</v>
      </c>
      <c r="G85" s="555" cm="1">
        <f t="array" ref="G85">SUMPRODUCT((pat_tech_hta_06[[client]:[client]]=syndicat_etude)*(pat_tech_hta_06[[annee]:[annee]]=G$84)*(pat_tech_hta_06[[nbr_depart_hta]:[nbr_depart_hta]]))</f>
        <v>280</v>
      </c>
    </row>
    <row r="86" spans="1:8" ht="15" customHeight="1" x14ac:dyDescent="0.25">
      <c r="B86" s="556" t="s">
        <v>142</v>
      </c>
      <c r="C86" s="11" cm="1">
        <f t="array" ref="C86">SUMPRODUCT((pat_tech_hta_06[[client]:[client]]=syndicat_etude)*(pat_tech_hta_06[[annee]:[annee]]=C$84)*(pat_tech_hta_06[[nbr_depart_hta_btw_50_70]:[nbr_depart_hta_btw_50_70]]))</f>
        <v>19</v>
      </c>
      <c r="D86" s="11" cm="1">
        <f t="array" ref="D86">SUMPRODUCT((pat_tech_hta_06[[client]:[client]]=syndicat_etude)*(pat_tech_hta_06[[annee]:[annee]]=D$84)*(pat_tech_hta_06[[nbr_depart_hta_btw_50_70]:[nbr_depart_hta_btw_50_70]]))</f>
        <v>19</v>
      </c>
      <c r="E86" s="11" cm="1">
        <f t="array" ref="E86">SUMPRODUCT((pat_tech_hta_06[[client]:[client]]=syndicat_etude)*(pat_tech_hta_06[[annee]:[annee]]=E$84)*(pat_tech_hta_06[[nbr_depart_hta_btw_50_70]:[nbr_depart_hta_btw_50_70]]))</f>
        <v>20</v>
      </c>
      <c r="F86" s="11" cm="1">
        <f t="array" ref="F86">SUMPRODUCT((pat_tech_hta_06[[client]:[client]]=syndicat_etude)*(pat_tech_hta_06[[annee]:[annee]]=F$84)*(pat_tech_hta_06[[nbr_depart_hta_btw_50_70]:[nbr_depart_hta_btw_50_70]]))</f>
        <v>20</v>
      </c>
      <c r="G86" s="12" cm="1">
        <f t="array" ref="G86">SUMPRODUCT((pat_tech_hta_06[[client]:[client]]=syndicat_etude)*(pat_tech_hta_06[[annee]:[annee]]=G$84)*(pat_tech_hta_06[[nbr_depart_hta_btw_50_70]:[nbr_depart_hta_btw_50_70]]))</f>
        <v>20</v>
      </c>
    </row>
    <row r="87" spans="1:8" ht="15" customHeight="1" x14ac:dyDescent="0.25">
      <c r="B87" s="556" t="s">
        <v>143</v>
      </c>
      <c r="C87" s="11" cm="1">
        <f t="array" ref="C87">SUMPRODUCT((pat_tech_hta_06[[client]:[client]]=syndicat_etude)*(pat_tech_hta_06[[annee]:[annee]]=C$84)*(pat_tech_hta_06[[nbr_depart_hta_btw_70_100]:[nbr_depart_hta_btw_70_100]]))</f>
        <v>3</v>
      </c>
      <c r="D87" s="11" cm="1">
        <f t="array" ref="D87">SUMPRODUCT((pat_tech_hta_06[[client]:[client]]=syndicat_etude)*(pat_tech_hta_06[[annee]:[annee]]=D$84)*(pat_tech_hta_06[[nbr_depart_hta_btw_70_100]:[nbr_depart_hta_btw_70_100]]))</f>
        <v>3</v>
      </c>
      <c r="E87" s="11" cm="1">
        <f t="array" ref="E87">SUMPRODUCT((pat_tech_hta_06[[client]:[client]]=syndicat_etude)*(pat_tech_hta_06[[annee]:[annee]]=E$84)*(pat_tech_hta_06[[nbr_depart_hta_btw_70_100]:[nbr_depart_hta_btw_70_100]]))</f>
        <v>3</v>
      </c>
      <c r="F87" s="11" cm="1">
        <f t="array" ref="F87">SUMPRODUCT((pat_tech_hta_06[[client]:[client]]=syndicat_etude)*(pat_tech_hta_06[[annee]:[annee]]=F$84)*(pat_tech_hta_06[[nbr_depart_hta_btw_70_100]:[nbr_depart_hta_btw_70_100]]))</f>
        <v>3</v>
      </c>
      <c r="G87" s="12" cm="1">
        <f t="array" ref="G87">SUMPRODUCT((pat_tech_hta_06[[client]:[client]]=syndicat_etude)*(pat_tech_hta_06[[annee]:[annee]]=G$84)*(pat_tech_hta_06[[nbr_depart_hta_btw_70_100]:[nbr_depart_hta_btw_70_100]]))</f>
        <v>4</v>
      </c>
    </row>
    <row r="88" spans="1:8" ht="15" customHeight="1" x14ac:dyDescent="0.25">
      <c r="B88" s="556" t="s">
        <v>144</v>
      </c>
      <c r="C88" s="11" cm="1">
        <f t="array" ref="C88">SUMPRODUCT((pat_tech_hta_06[[client]:[client]]=syndicat_etude)*(pat_tech_hta_06[[annee]:[annee]]=C$84)*(pat_tech_hta_06[[nbr_depart_hta_sup_100]:[nbr_depart_hta_sup_100]]))</f>
        <v>0</v>
      </c>
      <c r="D88" s="11" cm="1">
        <f t="array" ref="D88">SUMPRODUCT((pat_tech_hta_06[[client]:[client]]=syndicat_etude)*(pat_tech_hta_06[[annee]:[annee]]=D$84)*(pat_tech_hta_06[[nbr_depart_hta_sup_100]:[nbr_depart_hta_sup_100]]))</f>
        <v>0</v>
      </c>
      <c r="E88" s="11" cm="1">
        <f t="array" ref="E88">SUMPRODUCT((pat_tech_hta_06[[client]:[client]]=syndicat_etude)*(pat_tech_hta_06[[annee]:[annee]]=E$84)*(pat_tech_hta_06[[nbr_depart_hta_sup_100]:[nbr_depart_hta_sup_100]]))</f>
        <v>0</v>
      </c>
      <c r="F88" s="11" cm="1">
        <f t="array" ref="F88">SUMPRODUCT((pat_tech_hta_06[[client]:[client]]=syndicat_etude)*(pat_tech_hta_06[[annee]:[annee]]=F$84)*(pat_tech_hta_06[[nbr_depart_hta_sup_100]:[nbr_depart_hta_sup_100]]))</f>
        <v>0</v>
      </c>
      <c r="G88" s="12" cm="1">
        <f t="array" ref="G88">SUMPRODUCT((pat_tech_hta_06[[client]:[client]]=syndicat_etude)*(pat_tech_hta_06[[annee]:[annee]]=G$84)*(pat_tech_hta_06[[nbr_depart_hta_sup_100]:[nbr_depart_hta_sup_100]]))</f>
        <v>0</v>
      </c>
    </row>
    <row r="89" spans="1:8" ht="15" customHeight="1" x14ac:dyDescent="0.25">
      <c r="B89" s="534" t="s">
        <v>145</v>
      </c>
      <c r="C89" s="331" cm="1">
        <f t="array" ref="C89">SUMPRODUCT((pat_tech_hta_06[[client]:[client]]=syndicat_etude)*(pat_tech_hta_06[[annee]:[annee]]=C$84)*(pat_tech_hta_06[[long_depart_hta_plus_long]:[long_depart_hta_plus_long]]))</f>
        <v>73.2</v>
      </c>
      <c r="D89" s="331" cm="1">
        <f t="array" ref="D89">SUMPRODUCT((pat_tech_hta_06[[client]:[client]]=syndicat_etude)*(pat_tech_hta_06[[annee]:[annee]]=D$84)*(pat_tech_hta_06[[long_depart_hta_plus_long]:[long_depart_hta_plus_long]]))</f>
        <v>73.25</v>
      </c>
      <c r="E89" s="331" cm="1">
        <f t="array" ref="E89">SUMPRODUCT((pat_tech_hta_06[[client]:[client]]=syndicat_etude)*(pat_tech_hta_06[[annee]:[annee]]=E$84)*(pat_tech_hta_06[[long_depart_hta_plus_long]:[long_depart_hta_plus_long]]))</f>
        <v>73.25</v>
      </c>
      <c r="F89" s="331" cm="1">
        <f t="array" ref="F89">SUMPRODUCT((pat_tech_hta_06[[client]:[client]]=syndicat_etude)*(pat_tech_hta_06[[annee]:[annee]]=F$84)*(pat_tech_hta_06[[long_depart_hta_plus_long]:[long_depart_hta_plus_long]]))</f>
        <v>73.25</v>
      </c>
      <c r="G89" s="540" cm="1">
        <f t="array" ref="G89">SUMPRODUCT((pat_tech_hta_06[[client]:[client]]=syndicat_etude)*(pat_tech_hta_06[[annee]:[annee]]=G$84)*(pat_tech_hta_06[[long_depart_hta_plus_long]:[long_depart_hta_plus_long]]))</f>
        <v>74.180000000000007</v>
      </c>
    </row>
    <row r="90" spans="1:8" ht="15" customHeight="1" x14ac:dyDescent="0.25">
      <c r="B90" s="534" t="s">
        <v>146</v>
      </c>
      <c r="C90" s="331" t="str">
        <f>IFERROR(VLOOKUP(C89,pat_tech_hta_06[[long_depart_hta_plus_long]:[nom_depart_hta_plus_long]],2,FALSE),"-")</f>
        <v>FLACY</v>
      </c>
      <c r="D90" s="331" t="str">
        <f>IFERROR(VLOOKUP(D89,pat_tech_hta_06[[long_depart_hta_plus_long]:[nom_depart_hta_plus_long]],2,FALSE),"-")</f>
        <v>FLACY</v>
      </c>
      <c r="E90" s="331" t="str">
        <f>IFERROR(VLOOKUP(E89,pat_tech_hta_06[[long_depart_hta_plus_long]:[nom_depart_hta_plus_long]],2,FALSE),"-")</f>
        <v>FLACY</v>
      </c>
      <c r="F90" s="331" t="str">
        <f>IFERROR(VLOOKUP(F89,pat_tech_hta_06[[long_depart_hta_plus_long]:[nom_depart_hta_plus_long]],2,FALSE),"-")</f>
        <v>FLACY</v>
      </c>
      <c r="G90" s="540" t="str">
        <f>IFERROR(VLOOKUP(G89,pat_tech_hta_06[[long_depart_hta_plus_long]:[nom_depart_hta_plus_long]],2,FALSE),"-")</f>
        <v>STOUEN</v>
      </c>
    </row>
    <row r="91" spans="1:8" ht="15" customHeight="1" x14ac:dyDescent="0.25">
      <c r="B91" s="6" t="s">
        <v>147</v>
      </c>
      <c r="C91" s="7" cm="1">
        <f t="array" ref="C91">SUMPRODUCT((pat_tech_hta_06[[client]:[client]]=syndicat_etude)*(pat_tech_hta_06[[annee]:[annee]]=C$84)*(pat_tech_hta_06[[long_moy_depart_hta]:[long_moy_depart_hta]]))</f>
        <v>20</v>
      </c>
      <c r="D91" s="7" cm="1">
        <f t="array" ref="D91">SUMPRODUCT((pat_tech_hta_06[[client]:[client]]=syndicat_etude)*(pat_tech_hta_06[[annee]:[annee]]=D$84)*(pat_tech_hta_06[[long_moy_depart_hta]:[long_moy_depart_hta]]))</f>
        <v>20.100000000000001</v>
      </c>
      <c r="E91" s="7" cm="1">
        <f t="array" ref="E91">SUMPRODUCT((pat_tech_hta_06[[client]:[client]]=syndicat_etude)*(pat_tech_hta_06[[annee]:[annee]]=E$84)*(pat_tech_hta_06[[long_moy_depart_hta]:[long_moy_depart_hta]]))</f>
        <v>19.5</v>
      </c>
      <c r="F91" s="7" cm="1">
        <f t="array" ref="F91">SUMPRODUCT((pat_tech_hta_06[[client]:[client]]=syndicat_etude)*(pat_tech_hta_06[[annee]:[annee]]=F$84)*(pat_tech_hta_06[[long_moy_depart_hta]:[long_moy_depart_hta]]))</f>
        <v>19.399999999999999</v>
      </c>
      <c r="G91" s="10" cm="1">
        <f t="array" ref="G91">SUMPRODUCT((pat_tech_hta_06[[client]:[client]]=syndicat_etude)*(pat_tech_hta_06[[annee]:[annee]]=G$84)*(pat_tech_hta_06[[long_moy_depart_hta]:[long_moy_depart_hta]]))</f>
        <v>19.600000000000001</v>
      </c>
    </row>
    <row r="92" spans="1:8" ht="15" customHeight="1" x14ac:dyDescent="0.25">
      <c r="B92" s="6" t="s">
        <v>148</v>
      </c>
      <c r="C92" s="7" cm="1">
        <f t="array" ref="C92">SUMPRODUCT((pat_tech_hta_06[[client]:[client]]=syndicat_etude)*(pat_tech_hta_06[[annee]:[annee]]=C$84)*(pat_tech_hta_06[[long_moy_top_10_pourcent_depart_plus_long]:[long_moy_top_10_pourcent_depart_plus_long]]))</f>
        <v>55.7</v>
      </c>
      <c r="D92" s="7" cm="1">
        <f t="array" ref="D92">SUMPRODUCT((pat_tech_hta_06[[client]:[client]]=syndicat_etude)*(pat_tech_hta_06[[annee]:[annee]]=D$84)*(pat_tech_hta_06[[long_moy_top_10_pourcent_depart_plus_long]:[long_moy_top_10_pourcent_depart_plus_long]]))</f>
        <v>56.02</v>
      </c>
      <c r="E92" s="7" cm="1">
        <f t="array" ref="E92">SUMPRODUCT((pat_tech_hta_06[[client]:[client]]=syndicat_etude)*(pat_tech_hta_06[[annee]:[annee]]=E$84)*(pat_tech_hta_06[[long_moy_top_10_pourcent_depart_plus_long]:[long_moy_top_10_pourcent_depart_plus_long]]))</f>
        <v>56.21</v>
      </c>
      <c r="F92" s="7" cm="1">
        <f t="array" ref="F92">SUMPRODUCT((pat_tech_hta_06[[client]:[client]]=syndicat_etude)*(pat_tech_hta_06[[annee]:[annee]]=F$84)*(pat_tech_hta_06[[long_moy_top_10_pourcent_depart_plus_long]:[long_moy_top_10_pourcent_depart_plus_long]]))</f>
        <v>56.32</v>
      </c>
      <c r="G92" s="10" cm="1">
        <f t="array" ref="G92">SUMPRODUCT((pat_tech_hta_06[[client]:[client]]=syndicat_etude)*(pat_tech_hta_06[[annee]:[annee]]=G$84)*(pat_tech_hta_06[[long_moy_top_10_pourcent_depart_plus_long]:[long_moy_top_10_pourcent_depart_plus_long]]))</f>
        <v>57.97</v>
      </c>
    </row>
    <row r="93" spans="1:8" ht="15" customHeight="1" x14ac:dyDescent="0.25">
      <c r="B93" s="534" t="s">
        <v>149</v>
      </c>
      <c r="C93" s="331" cm="1">
        <f t="array" ref="C93">SUMPRODUCT((pat_tech_hta_06[[client]:[client]]=syndicat_etude)*(pat_tech_hta_06[[annee]:[annee]]=C$84)*(pat_tech_hta_06[[nbr_moy_omt_par_depart_hta_aerien]:[nbr_moy_omt_par_depart_hta_aerien]]))</f>
        <v>5.61</v>
      </c>
      <c r="D93" s="331" cm="1">
        <f t="array" ref="D93">SUMPRODUCT((pat_tech_hta_06[[client]:[client]]=syndicat_etude)*(pat_tech_hta_06[[annee]:[annee]]=D$84)*(pat_tech_hta_06[[nbr_moy_omt_par_depart_hta_aerien]:[nbr_moy_omt_par_depart_hta_aerien]]))</f>
        <v>5.85</v>
      </c>
      <c r="E93" s="331" cm="1">
        <f t="array" ref="E93">SUMPRODUCT((pat_tech_hta_06[[client]:[client]]=syndicat_etude)*(pat_tech_hta_06[[annee]:[annee]]=E$84)*(pat_tech_hta_06[[nbr_moy_omt_par_depart_hta_aerien]:[nbr_moy_omt_par_depart_hta_aerien]]))</f>
        <v>6.01</v>
      </c>
      <c r="F93" s="331" cm="1">
        <f t="array" ref="F93">SUMPRODUCT((pat_tech_hta_06[[client]:[client]]=syndicat_etude)*(pat_tech_hta_06[[annee]:[annee]]=F$84)*(pat_tech_hta_06[[nbr_moy_omt_par_depart_hta_aerien]:[nbr_moy_omt_par_depart_hta_aerien]]))</f>
        <v>6.1</v>
      </c>
      <c r="G93" s="540" cm="1">
        <f t="array" ref="G93">SUMPRODUCT((pat_tech_hta_06[[client]:[client]]=syndicat_etude)*(pat_tech_hta_06[[annee]:[annee]]=G$84)*(pat_tech_hta_06[[nbr_moy_omt_par_depart_hta_aerien]:[nbr_moy_omt_par_depart_hta_aerien]]))</f>
        <v>6.5</v>
      </c>
    </row>
    <row r="94" spans="1:8" ht="15" customHeight="1" x14ac:dyDescent="0.25">
      <c r="A94" s="28"/>
      <c r="B94" s="667" t="s">
        <v>150</v>
      </c>
      <c r="C94" s="668" cm="1">
        <f t="array" ref="C94">SUMPRODUCT((pat_tech_hta_06[[client]:[client]]=syndicat_etude)*(pat_tech_hta_06[[annee]:[annee]]=C$84)*(pat_tech_hta_06[nbr_omt_moy_nat]))</f>
        <v>3.59</v>
      </c>
      <c r="D94" s="668" cm="1">
        <f t="array" ref="D94">SUMPRODUCT((pat_tech_hta_06[[client]:[client]]=syndicat_etude)*(pat_tech_hta_06[[annee]:[annee]]=D$84)*(pat_tech_hta_06[nbr_omt_moy_nat]))</f>
        <v>3.46</v>
      </c>
      <c r="E94" s="668" cm="1">
        <f t="array" ref="E94">SUMPRODUCT((pat_tech_hta_06[[client]:[client]]=syndicat_etude)*(pat_tech_hta_06[[annee]:[annee]]=E$84)*(pat_tech_hta_06[nbr_omt_moy_nat]))</f>
        <v>3.51</v>
      </c>
      <c r="F94" s="668" cm="1">
        <f t="array" ref="F94">SUMPRODUCT((pat_tech_hta_06[[client]:[client]]=syndicat_etude)*(pat_tech_hta_06[[annee]:[annee]]=F$84)*(pat_tech_hta_06[nbr_omt_moy_nat]))</f>
        <v>3.49</v>
      </c>
      <c r="G94" s="669" cm="1">
        <f t="array" ref="G94">SUMPRODUCT((pat_tech_hta_06[[client]:[client]]=syndicat_etude)*(pat_tech_hta_06[[annee]:[annee]]=G$84)*(pat_tech_hta_06[nbr_omt_moy_nat]))</f>
        <v>3.27</v>
      </c>
      <c r="H94" s="65" t="s">
        <v>151</v>
      </c>
    </row>
    <row r="95" spans="1:8" ht="15" customHeight="1" x14ac:dyDescent="0.25">
      <c r="B95" s="23"/>
      <c r="C95" s="7"/>
      <c r="D95" s="7"/>
      <c r="E95" s="7"/>
      <c r="F95" s="7"/>
      <c r="G95" s="7"/>
    </row>
    <row r="96" spans="1:8" ht="30" customHeight="1" x14ac:dyDescent="0.25">
      <c r="A96" s="479" t="s">
        <v>152</v>
      </c>
      <c r="B96" s="66" t="s">
        <v>153</v>
      </c>
      <c r="C96" s="67" cm="1">
        <f t="array" ref="C96">Exercice[Exercice N-4]</f>
        <v>2019</v>
      </c>
      <c r="D96" s="67" cm="1">
        <f t="array" ref="D96">Exercice[Exercice N-3]</f>
        <v>2020</v>
      </c>
      <c r="E96" s="553" cm="1">
        <f t="array" ref="E96">Exercice[Exercice N-2]</f>
        <v>2021</v>
      </c>
      <c r="F96" s="67" cm="1">
        <f t="array" ref="F96">Exercice[Exercice N-1]</f>
        <v>2022</v>
      </c>
      <c r="G96" s="554" cm="1">
        <f t="array" ref="G96">Exercice[Exercice N]</f>
        <v>2023</v>
      </c>
    </row>
    <row r="97" spans="1:14" ht="15" customHeight="1" x14ac:dyDescent="0.25">
      <c r="A97" s="25" t="s">
        <v>154</v>
      </c>
      <c r="B97" s="50" t="s">
        <v>155</v>
      </c>
      <c r="C97" s="11" cm="1">
        <f t="array" ref="C97">SUMPRODUCT((pat_tech_hta_14[[client]:[client]]=syndicat_etude)*(pat_tech_hta_14[[annee]:[annee]]=Exercice[[Exercice N-4]:[Exercice N-4]])*(pat_tech_hta_14[[Catégorie de tension]:[Catégorie de tension]]="20 kV")*(pat_tech_hta_14[[nbr_departs_hta]:[nbr_departs_hta]]))</f>
        <v>0</v>
      </c>
      <c r="D97" s="11" cm="1">
        <f t="array" ref="D97">SUMPRODUCT((pat_tech_hta_14[[client]:[client]]=syndicat_etude)*(pat_tech_hta_14[[annee]:[annee]]=Exercice[[Exercice N-3]:[Exercice N-3]])*(pat_tech_hta_14[[Catégorie de tension]:[Catégorie de tension]]="20 kV")*(pat_tech_hta_14[[nbr_departs_hta]:[nbr_departs_hta]]))</f>
        <v>0</v>
      </c>
      <c r="E97" s="11" cm="1">
        <f t="array" ref="E97">SUMPRODUCT((pat_tech_hta_14[[client]:[client]]=syndicat_etude)*(pat_tech_hta_14[[annee]:[annee]]=Exercice[[Exercice N-2]:[Exercice N-2]])*(pat_tech_hta_14[[Catégorie de tension]:[Catégorie de tension]]="20 kV")*(pat_tech_hta_14[[nbr_departs_hta]:[nbr_departs_hta]]))</f>
        <v>271</v>
      </c>
      <c r="F97" s="11" cm="1">
        <f t="array" ref="F97">SUMPRODUCT((pat_tech_hta_14[[client]:[client]]=syndicat_etude)*(pat_tech_hta_14[[annee]:[annee]]=Exercice[[Exercice N-1]:[Exercice N-1]])*(pat_tech_hta_14[[Catégorie de tension]:[Catégorie de tension]]="20 kV")*(pat_tech_hta_14[[nbr_departs_hta]:[nbr_departs_hta]]))</f>
        <v>274</v>
      </c>
      <c r="G97" s="93" cm="1">
        <f t="array" ref="G97">SUMPRODUCT((pat_tech_hta_14[[client]:[client]]=syndicat_etude)*(pat_tech_hta_14[[annee]:[annee]]=Exercice[[Exercice N]:[Exercice N]])*(pat_tech_hta_14[[Catégorie de tension]:[Catégorie de tension]]="20 kV")*(pat_tech_hta_14[[nbr_departs_hta]:[nbr_departs_hta]]))</f>
        <v>276</v>
      </c>
    </row>
    <row r="98" spans="1:14" ht="15" customHeight="1" x14ac:dyDescent="0.25">
      <c r="B98" s="50" t="s">
        <v>156</v>
      </c>
      <c r="C98" s="11" cm="1">
        <f t="array" ref="C98">SUMPRODUCT((pat_tech_hta_14[[client]:[client]]=syndicat_etude)*(pat_tech_hta_14[[annee]:[annee]]=Exercice[[Exercice N-4]:[Exercice N-4]])*(pat_tech_hta_14[[Catégorie de tension]:[Catégorie de tension]]="15 kV")*(pat_tech_hta_14[[nbr_departs_hta]:[nbr_departs_hta]]))</f>
        <v>0</v>
      </c>
      <c r="D98" s="11" cm="1">
        <f t="array" ref="D98">SUMPRODUCT((pat_tech_hta_14[[client]:[client]]=syndicat_etude)*(pat_tech_hta_14[[annee]:[annee]]=Exercice[[Exercice N-3]:[Exercice N-3]])*(pat_tech_hta_14[[Catégorie de tension]:[Catégorie de tension]]="15 kV")*(pat_tech_hta_14[[nbr_departs_hta]:[nbr_departs_hta]]))</f>
        <v>0</v>
      </c>
      <c r="E98" s="11" cm="1">
        <f t="array" ref="E98">SUMPRODUCT((pat_tech_hta_14[[client]:[client]]=syndicat_etude)*(pat_tech_hta_14[[annee]:[annee]]=Exercice[[Exercice N-2]:[Exercice N-2]])*(pat_tech_hta_14[[Catégorie de tension]:[Catégorie de tension]]="15 kV")*(pat_tech_hta_14[[nbr_departs_hta]:[nbr_departs_hta]]))</f>
        <v>39</v>
      </c>
      <c r="F98" s="11" cm="1">
        <f t="array" ref="F98">SUMPRODUCT((pat_tech_hta_14[[client]:[client]]=syndicat_etude)*(pat_tech_hta_14[[annee]:[annee]]=Exercice[[Exercice N-1]:[Exercice N-1]])*(pat_tech_hta_14[[Catégorie de tension]:[Catégorie de tension]]="15 kV")*(pat_tech_hta_14[[nbr_departs_hta]:[nbr_departs_hta]]))</f>
        <v>40</v>
      </c>
      <c r="G98" s="93" cm="1">
        <f t="array" ref="G98">SUMPRODUCT((pat_tech_hta_14[[client]:[client]]=syndicat_etude)*(pat_tech_hta_14[[annee]:[annee]]=Exercice[[Exercice N]:[Exercice N]])*(pat_tech_hta_14[[Catégorie de tension]:[Catégorie de tension]]="15 kV")*(pat_tech_hta_14[[nbr_departs_hta]:[nbr_departs_hta]]))</f>
        <v>39</v>
      </c>
      <c r="K98" s="11"/>
    </row>
    <row r="99" spans="1:14" ht="15" customHeight="1" x14ac:dyDescent="0.25">
      <c r="B99" s="53" t="s">
        <v>157</v>
      </c>
      <c r="C99" s="94" cm="1">
        <f t="array" ref="C99">SUMPRODUCT((pat_tech_hta_14[[client]:[client]]=syndicat_etude)*(pat_tech_hta_14[[annee]:[annee]]=Exercice[[Exercice N-4]:[Exercice N-4]])*(pat_tech_hta_14[[Catégorie de tension]:[Catégorie de tension]]="Autre")*(pat_tech_hta_14[[nbr_departs_hta]:[nbr_departs_hta]]))</f>
        <v>284</v>
      </c>
      <c r="D99" s="94" cm="1">
        <f t="array" ref="D99">SUMPRODUCT((pat_tech_hta_14[[client]:[client]]=syndicat_etude)*(pat_tech_hta_14[[annee]:[annee]]=Exercice[[Exercice N-3]:[Exercice N-3]])*(pat_tech_hta_14[[Catégorie de tension]:[Catégorie de tension]]="Autre")*(pat_tech_hta_14[[nbr_departs_hta]:[nbr_departs_hta]]))</f>
        <v>284</v>
      </c>
      <c r="E99" s="94" cm="1">
        <f t="array" ref="E99">SUMPRODUCT((pat_tech_hta_14[[client]:[client]]=syndicat_etude)*(pat_tech_hta_14[[annee]:[annee]]=Exercice[[Exercice N-2]:[Exercice N-2]])*(pat_tech_hta_14[[Catégorie de tension]:[Catégorie de tension]]="Autre")*(pat_tech_hta_14[[nbr_departs_hta]:[nbr_departs_hta]]))</f>
        <v>3</v>
      </c>
      <c r="F99" s="94" cm="1">
        <f t="array" ref="F99">SUMPRODUCT((pat_tech_hta_14[[client]:[client]]=syndicat_etude)*(pat_tech_hta_14[[annee]:[annee]]=Exercice[[Exercice N-1]:[Exercice N-1]])*(pat_tech_hta_14[[Catégorie de tension]:[Catégorie de tension]]="Autre")*(pat_tech_hta_14[[nbr_departs_hta]:[nbr_departs_hta]]))</f>
        <v>3</v>
      </c>
      <c r="G99" s="95" cm="1">
        <f t="array" ref="G99">SUMPRODUCT((pat_tech_hta_14[[client]:[client]]=syndicat_etude)*(pat_tech_hta_14[[annee]:[annee]]=Exercice[[Exercice N]:[Exercice N]])*(pat_tech_hta_14[[Catégorie de tension]:[Catégorie de tension]]="Autre")*(pat_tech_hta_14[[nbr_departs_hta]:[nbr_departs_hta]]))</f>
        <v>3</v>
      </c>
      <c r="K99" s="11"/>
    </row>
    <row r="100" spans="1:14" ht="15" customHeight="1" x14ac:dyDescent="0.25">
      <c r="I100" s="7"/>
      <c r="J100" s="7"/>
      <c r="K100" s="7"/>
      <c r="L100" s="7"/>
      <c r="M100" s="7"/>
      <c r="N100" s="7"/>
    </row>
    <row r="101" spans="1:14" ht="30" customHeight="1" x14ac:dyDescent="0.25">
      <c r="A101" s="479" t="s">
        <v>158</v>
      </c>
      <c r="B101" s="66" t="s">
        <v>159</v>
      </c>
      <c r="C101" s="67" cm="1">
        <f t="array" ref="C101">Exercice[Exercice N-4]</f>
        <v>2019</v>
      </c>
      <c r="D101" s="67" cm="1">
        <f t="array" ref="D101">Exercice[Exercice N-3]</f>
        <v>2020</v>
      </c>
      <c r="E101" s="67" cm="1">
        <f t="array" ref="E101">Exercice[Exercice N-2]</f>
        <v>2021</v>
      </c>
      <c r="F101" s="67" cm="1">
        <f t="array" ref="F101">Exercice[Exercice N-1]</f>
        <v>2022</v>
      </c>
      <c r="G101" s="69" cm="1">
        <f t="array" ref="G101">Exercice[Exercice N]</f>
        <v>2023</v>
      </c>
    </row>
    <row r="102" spans="1:14" ht="15" customHeight="1" x14ac:dyDescent="0.25">
      <c r="B102" s="50" t="s">
        <v>160</v>
      </c>
      <c r="C102" s="7" cm="1">
        <f t="array" ref="C102">SUMPRODUCT((pat_tech_hta_rnvl_crac[[Client]:[Client]]=syndicat_etude)*(pat_tech_hta_rnvl_crac[[Annee]:[Annee]]=C101)*(pat_tech_hta_rnvl_crac[[longueur_renouvelee_km]:[longueur_renouvelee_km]]))</f>
        <v>20.28</v>
      </c>
      <c r="D102" s="7" cm="1">
        <f t="array" ref="D102">SUMPRODUCT((pat_tech_hta_rnvl_crac[[Client]:[Client]]=syndicat_etude)*(pat_tech_hta_rnvl_crac[[Annee]:[Annee]]=D101)*(pat_tech_hta_rnvl_crac[[longueur_renouvelee_km]:[longueur_renouvelee_km]]))</f>
        <v>11.02</v>
      </c>
      <c r="E102" s="7" cm="1">
        <f t="array" ref="E102">SUMPRODUCT((pat_tech_hta_rnvl_crac[[Client]:[Client]]=syndicat_etude)*(pat_tech_hta_rnvl_crac[[Annee]:[Annee]]=E101)*(pat_tech_hta_rnvl_crac[[longueur_renouvelee_km]:[longueur_renouvelee_km]]))</f>
        <v>14.95</v>
      </c>
      <c r="F102" s="7" cm="1">
        <f t="array" ref="F102">SUMPRODUCT((pat_tech_hta_rnvl_crac[[Client]:[Client]]=syndicat_etude)*(pat_tech_hta_rnvl_crac[[Annee]:[Annee]]=F101)*(pat_tech_hta_rnvl_crac[[longueur_renouvelee_km]:[longueur_renouvelee_km]]))</f>
        <v>20.399999999999999</v>
      </c>
      <c r="G102" s="732" cm="1">
        <f t="array" ref="G102">SUMPRODUCT((pat_tech_hta_rnvl_crac[[Client]:[Client]]=syndicat_etude)*(pat_tech_hta_rnvl_crac[[Annee]:[Annee]]=G101)*(pat_tech_hta_rnvl_crac[[longueur_renouvelee_km]:[longueur_renouvelee_km]]))</f>
        <v>4.12</v>
      </c>
    </row>
    <row r="103" spans="1:14" ht="15" customHeight="1" x14ac:dyDescent="0.25">
      <c r="B103" s="50" t="s">
        <v>161</v>
      </c>
      <c r="C103" s="7" cm="1">
        <f t="array" ref="C103">SUMPRODUCT((pat_tech_hta_rnvl_crac[[Client]:[Client]]=syndicat_etude)*(pat_tech_hta_rnvl_crac[[Annee]:[Annee]]=C101)*(pat_tech_hta_rnvl_crac[[longueur_renforcee_km]:[longueur_renforcee_km]]))</f>
        <v>10.26</v>
      </c>
      <c r="D103" s="7" cm="1">
        <f t="array" ref="D103">SUMPRODUCT((pat_tech_hta_rnvl_crac[[Client]:[Client]]=syndicat_etude)*(pat_tech_hta_rnvl_crac[[Annee]:[Annee]]=D101)*(pat_tech_hta_rnvl_crac[[longueur_renforcee_km]:[longueur_renforcee_km]]))</f>
        <v>14.79</v>
      </c>
      <c r="E103" s="7" cm="1">
        <f t="array" ref="E103">SUMPRODUCT((pat_tech_hta_rnvl_crac[[Client]:[Client]]=syndicat_etude)*(pat_tech_hta_rnvl_crac[[Annee]:[Annee]]=E101)*(pat_tech_hta_rnvl_crac[[longueur_renforcee_km]:[longueur_renforcee_km]]))</f>
        <v>14.6</v>
      </c>
      <c r="F103" s="7" cm="1">
        <f t="array" ref="F103">SUMPRODUCT((pat_tech_hta_rnvl_crac[[Client]:[Client]]=syndicat_etude)*(pat_tech_hta_rnvl_crac[[Annee]:[Annee]]=F101)*(pat_tech_hta_rnvl_crac[[longueur_renforcee_km]:[longueur_renforcee_km]]))</f>
        <v>3.74</v>
      </c>
      <c r="G103" s="732" cm="1">
        <f t="array" ref="G103">SUMPRODUCT((pat_tech_hta_rnvl_crac[[Client]:[Client]]=syndicat_etude)*(pat_tech_hta_rnvl_crac[[Annee]:[Annee]]=G101)*(pat_tech_hta_rnvl_crac[[longueur_renforcee_km]:[longueur_renforcee_km]]))</f>
        <v>6.06</v>
      </c>
    </row>
    <row r="104" spans="1:14" ht="15" customHeight="1" x14ac:dyDescent="0.25">
      <c r="B104" s="126" t="s">
        <v>162</v>
      </c>
      <c r="C104" s="403" cm="1">
        <f t="array" ref="C104">SUMPRODUCT((pat_tech_hta_rnvl_crac[[Client]:[Client]]=syndicat_etude)*(pat_tech_hta_rnvl_crac[[Annee]:[Annee]]=C101)*(pat_tech_hta_rnvl_crac[[taux_renouvellement_concession_percent]:[taux_renouvellement_concession_percent]])) / 1000</f>
        <v>6.5100000000000002E-3</v>
      </c>
      <c r="D104" s="403" cm="1">
        <f t="array" ref="D104">SUMPRODUCT((pat_tech_hta_rnvl_crac[[Client]:[Client]]=syndicat_etude)*(pat_tech_hta_rnvl_crac[[Annee]:[Annee]]=D101)*(pat_tech_hta_rnvl_crac[[taux_renouvellement_concession_percent]:[taux_renouvellement_concession_percent]])) / 1000</f>
        <v>5.4800000000000005E-3</v>
      </c>
      <c r="E104" s="403" cm="1">
        <f t="array" ref="E104">SUMPRODUCT((pat_tech_hta_rnvl_crac[[Client]:[Client]]=syndicat_etude)*(pat_tech_hta_rnvl_crac[[Annee]:[Annee]]=E101)*(pat_tech_hta_rnvl_crac[[taux_renouvellement_concession_percent]:[taux_renouvellement_concession_percent]])) / 1000</f>
        <v>6.0800000000000003E-3</v>
      </c>
      <c r="F104" s="403" cm="1">
        <f t="array" ref="F104">SUMPRODUCT((pat_tech_hta_rnvl_crac[[Client]:[Client]]=syndicat_etude)*(pat_tech_hta_rnvl_crac[[Annee]:[Annee]]=F101)*(pat_tech_hta_rnvl_crac[[taux_renouvellement_concession_percent]:[taux_renouvellement_concession_percent]])) / 1000</f>
        <v>4.9299999999999995E-3</v>
      </c>
      <c r="G104" s="701" cm="1">
        <f t="array" ref="G104">SUMPRODUCT((pat_tech_hta_rnvl_crac[[Client]:[Client]]=syndicat_etude)*(pat_tech_hta_rnvl_crac[[Annee]:[Annee]]=G101)*(pat_tech_hta_rnvl_crac[[taux_renouvellement_concession_percent]:[taux_renouvellement_concession_percent]])) / 1000</f>
        <v>2.0699999999999998E-3</v>
      </c>
    </row>
    <row r="105" spans="1:14" ht="15" customHeight="1" x14ac:dyDescent="0.25">
      <c r="B105" s="77" t="s">
        <v>163</v>
      </c>
      <c r="C105" s="541" cm="1">
        <f t="array" ref="C105">SUMPRODUCT((pat_tech_hta_rnvl_crac[[Client]:[Client]]=syndicat_etude)*(pat_tech_hta_rnvl_crac[[Annee]:[Annee]]=C101)*(pat_tech_hta_rnvl_crac[[taux_renouvellement_cible_theorique_percent]:[taux_renouvellement_cible_theorique_percent]]))</f>
        <v>2.5000000000000001E-2</v>
      </c>
      <c r="D105" s="541" cm="1">
        <f t="array" ref="D105">SUMPRODUCT((pat_tech_hta_rnvl_crac[[Client]:[Client]]=syndicat_etude)*(pat_tech_hta_rnvl_crac[[Annee]:[Annee]]=D101)*(pat_tech_hta_rnvl_crac[[taux_renouvellement_cible_theorique_percent]:[taux_renouvellement_cible_theorique_percent]]))</f>
        <v>2.5000000000000001E-2</v>
      </c>
      <c r="E105" s="541" cm="1">
        <f t="array" ref="E105">SUMPRODUCT((pat_tech_hta_rnvl_crac[[Client]:[Client]]=syndicat_etude)*(pat_tech_hta_rnvl_crac[[Annee]:[Annee]]=E101)*(pat_tech_hta_rnvl_crac[[taux_renouvellement_cible_theorique_percent]:[taux_renouvellement_cible_theorique_percent]]))</f>
        <v>2.5000000000000001E-2</v>
      </c>
      <c r="F105" s="541" cm="1">
        <f t="array" ref="F105">SUMPRODUCT((pat_tech_hta_rnvl_crac[[Client]:[Client]]=syndicat_etude)*(pat_tech_hta_rnvl_crac[[Annee]:[Annee]]=F101)*(pat_tech_hta_rnvl_crac[[taux_renouvellement_cible_theorique_percent]:[taux_renouvellement_cible_theorique_percent]]))</f>
        <v>2.5000000000000001E-2</v>
      </c>
      <c r="G105" s="703" cm="1">
        <f t="array" ref="G105">SUMPRODUCT((pat_tech_hta_rnvl_crac[[Client]:[Client]]=syndicat_etude)*(pat_tech_hta_rnvl_crac[[Annee]:[Annee]]=G101)*(pat_tech_hta_rnvl_crac[[taux_renouvellement_cible_theorique_percent]:[taux_renouvellement_cible_theorique_percent]]))</f>
        <v>2.5000000000000001E-2</v>
      </c>
    </row>
    <row r="107" spans="1:14" ht="30" customHeight="1" x14ac:dyDescent="0.25">
      <c r="A107" s="479" t="s">
        <v>158</v>
      </c>
      <c r="B107" s="66" t="s">
        <v>164</v>
      </c>
      <c r="C107" s="67" cm="1">
        <f t="array" ref="C107">Exercice[Exercice N-4]</f>
        <v>2019</v>
      </c>
      <c r="D107" s="67" cm="1">
        <f t="array" ref="D107">Exercice[Exercice N-3]</f>
        <v>2020</v>
      </c>
      <c r="E107" s="67" cm="1">
        <f t="array" ref="E107">Exercice[Exercice N-2]</f>
        <v>2021</v>
      </c>
      <c r="F107" s="67" cm="1">
        <f t="array" ref="F107">Exercice[Exercice N-1]</f>
        <v>2022</v>
      </c>
      <c r="G107" s="69" cm="1">
        <f t="array" ref="G107">Exercice[Exercice N]</f>
        <v>2023</v>
      </c>
    </row>
    <row r="108" spans="1:14" ht="15" customHeight="1" x14ac:dyDescent="0.25">
      <c r="A108" s="25" t="s">
        <v>165</v>
      </c>
      <c r="B108" s="255" t="s">
        <v>166</v>
      </c>
      <c r="C108" s="696" cm="1">
        <f t="array" ref="C108">SUMPRODUCT((pat_tech_hta_17[[annee]:[annee]]=Exercice[[Exercice N-4]:[Exercice N-4]])*(pat_tech_hta_17[moyenne_nationale_renouvellement])*(pat_tech_hta_17[[echelle]:[echelle]]="DEP"))</f>
        <v>7.6537742219935714E-3</v>
      </c>
      <c r="D108" s="696" cm="1">
        <f t="array" ref="D108">SUMPRODUCT((pat_tech_hta_17[[annee]:[annee]]=Exercice[[Exercice N-3]:[Exercice N-3]])*(pat_tech_hta_17[moyenne_nationale_renouvellement])*(pat_tech_hta_17[[echelle]:[echelle]]="DEP"))</f>
        <v>5.7688141594170253E-3</v>
      </c>
      <c r="E108" s="696" cm="1">
        <f t="array" ref="E108">SUMPRODUCT((pat_tech_hta_17[[annee]:[annee]]=Exercice[[Exercice N-2]:[Exercice N-2]])*(pat_tech_hta_17[moyenne_nationale_renouvellement])*(pat_tech_hta_17[[echelle]:[echelle]]="DEP"))</f>
        <v>7.2098525126563827E-3</v>
      </c>
      <c r="F108" s="696" cm="1">
        <f t="array" ref="F108">SUMPRODUCT((pat_tech_hta_17[[annee]:[annee]]=Exercice[[Exercice N-1]:[Exercice N-1]])*(pat_tech_hta_17[moyenne_nationale_renouvellement])*(pat_tech_hta_17[[echelle]:[echelle]]="DEP"))</f>
        <v>5.5342483852971894E-3</v>
      </c>
      <c r="G108" s="697" cm="1">
        <f t="array" ref="G108">SUMPRODUCT((pat_tech_hta_17[[annee]:[annee]]=Exercice[[Exercice N]:[Exercice N]])*(pat_tech_hta_17[moyenne_nationale_renouvellement])*(pat_tech_hta_17[[echelle]:[echelle]]="DEP"))</f>
        <v>4.8601858287410865E-3</v>
      </c>
      <c r="H108" s="65" t="s">
        <v>151</v>
      </c>
    </row>
    <row r="109" spans="1:14" ht="15" customHeight="1" x14ac:dyDescent="0.25">
      <c r="B109" s="288" t="s">
        <v>167</v>
      </c>
      <c r="C109" s="698" cm="1">
        <f t="array" ref="C109">SUMPRODUCT((pat_tech_hta_17[[annee]:[annee]]=Exercice[[Exercice N-4]:[Exercice N-4]])*(pat_tech_hta_17[min_renouvellement])*(pat_tech_hta_17[[echelle]:[echelle]]="DEP"))</f>
        <v>1.0107278655651081E-5</v>
      </c>
      <c r="D109" s="698" cm="1">
        <f t="array" ref="D109">SUMPRODUCT((pat_tech_hta_17[[annee]:[annee]]=Exercice[[Exercice N-3]:[Exercice N-3]])*(pat_tech_hta_17[min_renouvellement])*(pat_tech_hta_17[[echelle]:[echelle]]="DEP"))</f>
        <v>0</v>
      </c>
      <c r="E109" s="698" cm="1">
        <f t="array" ref="E109">SUMPRODUCT((pat_tech_hta_17[[annee]:[annee]]=Exercice[[Exercice N-2]:[Exercice N-2]])*(pat_tech_hta_17[min_renouvellement])*(pat_tech_hta_17[[echelle]:[echelle]]="DEP"))</f>
        <v>8.4917429379577824E-4</v>
      </c>
      <c r="F109" s="698" cm="1">
        <f t="array" ref="F109">SUMPRODUCT((pat_tech_hta_17[[annee]:[annee]]=Exercice[[Exercice N-1]:[Exercice N-1]])*(pat_tech_hta_17[min_renouvellement])*(pat_tech_hta_17[[echelle]:[echelle]]="DEP"))</f>
        <v>3.0765870189563908E-5</v>
      </c>
      <c r="G109" s="699" cm="1">
        <f t="array" ref="G109">SUMPRODUCT((pat_tech_hta_17[[annee]:[annee]]=Exercice[[Exercice N]:[Exercice N]])*(pat_tech_hta_17[min_renouvellement])*(pat_tech_hta_17[[echelle]:[echelle]]="DEP"))</f>
        <v>0</v>
      </c>
      <c r="H109" s="65" t="s">
        <v>151</v>
      </c>
    </row>
    <row r="110" spans="1:14" ht="15" customHeight="1" x14ac:dyDescent="0.25">
      <c r="B110" s="288" t="s">
        <v>168</v>
      </c>
      <c r="C110" s="698" cm="1">
        <f t="array" ref="C110">SUMPRODUCT((pat_tech_hta_17[[annee]:[annee]]=Exercice[[Exercice N-4]:[Exercice N-4]])*(pat_tech_hta_17[max_renouvellement])*(pat_tech_hta_17[[echelle]:[echelle]]="DEP"))</f>
        <v>2.5643295090194775E-2</v>
      </c>
      <c r="D110" s="698" cm="1">
        <f t="array" ref="D110">SUMPRODUCT((pat_tech_hta_17[[annee]:[annee]]=Exercice[[Exercice N-3]:[Exercice N-3]])*(pat_tech_hta_17[max_renouvellement])*(pat_tech_hta_17[[echelle]:[echelle]]="DEP"))</f>
        <v>4.6829707834986703E-2</v>
      </c>
      <c r="E110" s="698" cm="1">
        <f t="array" ref="E110">SUMPRODUCT((pat_tech_hta_17[[annee]:[annee]]=Exercice[[Exercice N-2]:[Exercice N-2]])*(pat_tech_hta_17[max_renouvellement])*(pat_tech_hta_17[[echelle]:[echelle]]="DEP"))</f>
        <v>2.4642400868636082E-2</v>
      </c>
      <c r="F110" s="698" cm="1">
        <f t="array" ref="F110">SUMPRODUCT((pat_tech_hta_17[[annee]:[annee]]=Exercice[[Exercice N-1]:[Exercice N-1]])*(pat_tech_hta_17[max_renouvellement])*(pat_tech_hta_17[[echelle]:[echelle]]="DEP"))</f>
        <v>2.2934372732525122E-2</v>
      </c>
      <c r="G110" s="699" cm="1">
        <f t="array" ref="G110">SUMPRODUCT((pat_tech_hta_17[[annee]:[annee]]=Exercice[[Exercice N]:[Exercice N]])*(pat_tech_hta_17[max_renouvellement])*(pat_tech_hta_17[[echelle]:[echelle]]="DEP"))</f>
        <v>2.4542710301952302E-2</v>
      </c>
      <c r="H110" s="65" t="s">
        <v>151</v>
      </c>
    </row>
    <row r="111" spans="1:14" ht="15" customHeight="1" x14ac:dyDescent="0.25">
      <c r="B111" s="126" t="s">
        <v>169</v>
      </c>
      <c r="C111" s="700" cm="1">
        <f t="array" ref="C111">SUMPRODUCT((pat_tech_hta_17[[annee]:[annee]]=Exercice[[Exercice N-4]:[Exercice N-4]])*(pat_tech_hta_17[moyenne_nationale_renouvellement])*(pat_tech_hta_17[[echelle]:[echelle]]="URB"))</f>
        <v>1.8611537520041865E-2</v>
      </c>
      <c r="D111" s="700" cm="1">
        <f t="array" ref="D111">SUMPRODUCT((pat_tech_hta_17[[annee]:[annee]]=Exercice[[Exercice N-3]:[Exercice N-3]])*(pat_tech_hta_17[moyenne_nationale_renouvellement])*(pat_tech_hta_17[[echelle]:[echelle]]="URB"))</f>
        <v>9.0117967749016089E-3</v>
      </c>
      <c r="E111" s="700" cm="1">
        <f t="array" ref="E111">SUMPRODUCT((pat_tech_hta_17[[annee]:[annee]]=Exercice[[Exercice N-2]:[Exercice N-2]])*(pat_tech_hta_17[moyenne_nationale_renouvellement])*(pat_tech_hta_17[[echelle]:[echelle]]="URB"))</f>
        <v>1.3254937422289436E-2</v>
      </c>
      <c r="F111" s="700" cm="1">
        <f t="array" ref="F111">SUMPRODUCT((pat_tech_hta_17[[annee]:[annee]]=Exercice[[Exercice N-1]:[Exercice N-1]])*(pat_tech_hta_17[moyenne_nationale_renouvellement])*(pat_tech_hta_17[[echelle]:[echelle]]="URB"))</f>
        <v>9.2664250873450722E-3</v>
      </c>
      <c r="G111" s="701" cm="1">
        <f t="array" ref="G111">SUMPRODUCT((pat_tech_hta_17[[annee]:[annee]]=Exercice[[Exercice N]:[Exercice N]])*(pat_tech_hta_17[moyenne_nationale_renouvellement])*(pat_tech_hta_17[[echelle]:[echelle]]="URB"))</f>
        <v>8.6813820948784971E-3</v>
      </c>
      <c r="H111" s="65" t="s">
        <v>151</v>
      </c>
    </row>
    <row r="112" spans="1:14" ht="15" customHeight="1" x14ac:dyDescent="0.25">
      <c r="B112" s="288" t="s">
        <v>167</v>
      </c>
      <c r="C112" s="698" cm="1">
        <f t="array" ref="C112">SUMPRODUCT((pat_tech_hta_17[[annee]:[annee]]=Exercice[[Exercice N-4]:[Exercice N-4]])*(pat_tech_hta_17[min_renouvellement])*(pat_tech_hta_17[[echelle]:[echelle]]="URB"))</f>
        <v>3.4439485577875701E-3</v>
      </c>
      <c r="D112" s="698" cm="1">
        <f t="array" ref="D112">SUMPRODUCT((pat_tech_hta_17[[annee]:[annee]]=Exercice[[Exercice N-3]:[Exercice N-3]])*(pat_tech_hta_17[min_renouvellement])*(pat_tech_hta_17[[echelle]:[echelle]]="URB"))</f>
        <v>2.1558138993651374E-3</v>
      </c>
      <c r="E112" s="698" cm="1">
        <f t="array" ref="E112">SUMPRODUCT((pat_tech_hta_17[[annee]:[annee]]=Exercice[[Exercice N-2]:[Exercice N-2]])*(pat_tech_hta_17[min_renouvellement])*(pat_tech_hta_17[[echelle]:[echelle]]="URB"))</f>
        <v>4.5104950997598902E-3</v>
      </c>
      <c r="F112" s="698" cm="1">
        <f t="array" ref="F112">SUMPRODUCT((pat_tech_hta_17[[annee]:[annee]]=Exercice[[Exercice N-1]:[Exercice N-1]])*(pat_tech_hta_17[min_renouvellement])*(pat_tech_hta_17[[echelle]:[echelle]]="URB"))</f>
        <v>4.1818623875516654E-4</v>
      </c>
      <c r="G112" s="702" cm="1">
        <f t="array" ref="G112">SUMPRODUCT((pat_tech_hta_17[[annee]:[annee]]=Exercice[[Exercice N]:[Exercice N]])*(pat_tech_hta_17[min_renouvellement])*(pat_tech_hta_17[[echelle]:[echelle]]="URB"))</f>
        <v>2.0801308558089028E-3</v>
      </c>
      <c r="H112" s="65" t="s">
        <v>151</v>
      </c>
    </row>
    <row r="113" spans="1:15" ht="15" customHeight="1" x14ac:dyDescent="0.25">
      <c r="B113" s="289" t="s">
        <v>168</v>
      </c>
      <c r="C113" s="666" cm="1">
        <f t="array" ref="C113">SUMPRODUCT((pat_tech_hta_17[[annee]:[annee]]=Exercice[[Exercice N-4]:[Exercice N-4]])*(pat_tech_hta_17[max_renouvellement])*(pat_tech_hta_17[[echelle]:[echelle]]="URB"))</f>
        <v>9.7963678516228753E-2</v>
      </c>
      <c r="D113" s="666" cm="1">
        <f t="array" ref="D113">SUMPRODUCT((pat_tech_hta_17[[annee]:[annee]]=Exercice[[Exercice N-3]:[Exercice N-3]])*(pat_tech_hta_17[max_renouvellement])*(pat_tech_hta_17[[echelle]:[echelle]]="URB"))</f>
        <v>2.1099234828578482E-2</v>
      </c>
      <c r="E113" s="666" cm="1">
        <f t="array" ref="E113">SUMPRODUCT((pat_tech_hta_17[[annee]:[annee]]=Exercice[[Exercice N-2]:[Exercice N-2]])*(pat_tech_hta_17[max_renouvellement])*(pat_tech_hta_17[[echelle]:[echelle]]="URB"))</f>
        <v>7.0669836862569876E-2</v>
      </c>
      <c r="F113" s="666" cm="1">
        <f t="array" ref="F113">SUMPRODUCT((pat_tech_hta_17[[annee]:[annee]]=Exercice[[Exercice N-1]:[Exercice N-1]])*(pat_tech_hta_17[max_renouvellement])*(pat_tech_hta_17[[echelle]:[echelle]]="URB"))</f>
        <v>2.0850615561546729E-2</v>
      </c>
      <c r="G113" s="703" cm="1">
        <f t="array" ref="G113">SUMPRODUCT((pat_tech_hta_17[[annee]:[annee]]=Exercice[[Exercice N]:[Exercice N]])*(pat_tech_hta_17[max_renouvellement])*(pat_tech_hta_17[[echelle]:[echelle]]="URB"))</f>
        <v>4.1969213333453902E-2</v>
      </c>
      <c r="H113" s="65" t="s">
        <v>151</v>
      </c>
    </row>
    <row r="114" spans="1:15" ht="15" customHeight="1" x14ac:dyDescent="0.25">
      <c r="B114" s="544"/>
      <c r="C114" s="543"/>
      <c r="D114" s="543"/>
      <c r="E114" s="543"/>
      <c r="F114" s="543"/>
      <c r="G114" s="543"/>
      <c r="H114" s="65"/>
    </row>
    <row r="115" spans="1:15" ht="15" customHeight="1" x14ac:dyDescent="0.25">
      <c r="A115" s="479" t="s">
        <v>170</v>
      </c>
      <c r="B115" s="709" t="s">
        <v>171</v>
      </c>
      <c r="C115" s="710"/>
      <c r="D115" s="710"/>
      <c r="E115" s="710"/>
      <c r="F115" s="710"/>
      <c r="G115" s="710"/>
      <c r="H115" s="711"/>
    </row>
    <row r="116" spans="1:15" ht="15" customHeight="1" x14ac:dyDescent="0.25">
      <c r="A116" s="546"/>
      <c r="B116" s="545" t="s">
        <v>172</v>
      </c>
      <c r="C116" s="543"/>
      <c r="D116" s="543"/>
      <c r="E116" s="543"/>
      <c r="F116" s="543"/>
      <c r="G116" s="543"/>
      <c r="H116" s="65"/>
    </row>
    <row r="117" spans="1:15" ht="15" customHeight="1" x14ac:dyDescent="0.25">
      <c r="B117" s="544"/>
      <c r="C117" s="543"/>
      <c r="D117" s="543"/>
      <c r="E117" s="543"/>
      <c r="F117" s="543"/>
      <c r="G117" s="543"/>
      <c r="H117" s="65"/>
    </row>
    <row r="118" spans="1:15" ht="30" customHeight="1" x14ac:dyDescent="0.25">
      <c r="A118" s="479" t="s">
        <v>173</v>
      </c>
      <c r="B118" s="71" t="s">
        <v>174</v>
      </c>
      <c r="C118" s="72" cm="1">
        <f t="array" ref="C118">Exercice[Exercice N-4]</f>
        <v>2019</v>
      </c>
      <c r="D118" s="72" cm="1">
        <f t="array" ref="D118">Exercice[Exercice N-3]</f>
        <v>2020</v>
      </c>
      <c r="E118" s="72" cm="1">
        <f t="array" ref="E118">Exercice[Exercice N-2]</f>
        <v>2021</v>
      </c>
      <c r="F118" s="72" cm="1">
        <f t="array" ref="F118">Exercice[Exercice N-1]</f>
        <v>2022</v>
      </c>
      <c r="G118" s="73" cm="1">
        <f t="array" ref="G118">Exercice[Exercice N]</f>
        <v>2023</v>
      </c>
      <c r="H118" s="65"/>
    </row>
    <row r="119" spans="1:15" ht="15" customHeight="1" x14ac:dyDescent="0.2">
      <c r="A119" s="26" t="s">
        <v>175</v>
      </c>
      <c r="B119" s="126" t="s">
        <v>176</v>
      </c>
      <c r="C119" s="331" cm="1">
        <f t="array" ref="C119">SUMPRODUCT((pat_tech_hta_16[[Client]:[Client]]=syndicat_etude)*(pat_tech_hta_16[[Annee]:[Annee]]=C118)*(pat_tech_hta_16[[longueur_risques_averes_km]:[longueur_risques_averes_km]]))</f>
        <v>0</v>
      </c>
      <c r="D119" s="331" cm="1">
        <f t="array" ref="D119">SUMPRODUCT((pat_tech_hta_16[[Client]:[Client]]=syndicat_etude)*(pat_tech_hta_16[[Annee]:[Annee]]=D118)*(pat_tech_hta_16[[longueur_risques_averes_km]:[longueur_risques_averes_km]]))</f>
        <v>0</v>
      </c>
      <c r="E119" s="331" cm="1">
        <f t="array" ref="E119">SUMPRODUCT((pat_tech_hta_16[[Client]:[Client]]=syndicat_etude)*(pat_tech_hta_16[[Annee]:[Annee]]=E118)*(pat_tech_hta_16[[longueur_risques_averes_km]:[longueur_risques_averes_km]]))</f>
        <v>0</v>
      </c>
      <c r="F119" s="331" cm="1">
        <f t="array" ref="F119">SUMPRODUCT((pat_tech_hta_16[[Client]:[Client]]=syndicat_etude)*(pat_tech_hta_16[[Annee]:[Annee]]=F118)*(pat_tech_hta_16[[longueur_risques_averes_km]:[longueur_risques_averes_km]]))</f>
        <v>0</v>
      </c>
      <c r="G119" s="139" cm="1">
        <f t="array" ref="G119">SUMPRODUCT((pat_tech_hta_16[[Client]:[Client]]=syndicat_etude)*(pat_tech_hta_16[[Annee]:[Annee]]=G118)*(pat_tech_hta_16[[longueur_risques_averes_km]:[longueur_risques_averes_km]]))</f>
        <v>0</v>
      </c>
      <c r="H119" s="65"/>
    </row>
    <row r="120" spans="1:15" ht="15" customHeight="1" x14ac:dyDescent="0.25">
      <c r="B120" s="287" t="s">
        <v>177</v>
      </c>
      <c r="C120" s="7" cm="1">
        <f t="array" ref="C120">SUMPRODUCT((pat_tech_hta_16[[Client]:[Client]]=syndicat_etude)*(pat_tech_hta_16[[Annee]:[Annee]]=C118)*(pat_tech_hta_16[[longueur_risque_bois_km]:[longueur_risque_bois_km]]))</f>
        <v>0</v>
      </c>
      <c r="D120" s="7" cm="1">
        <f t="array" ref="D120">SUMPRODUCT((pat_tech_hta_16[[Client]:[Client]]=syndicat_etude)*(pat_tech_hta_16[[Annee]:[Annee]]=D118)*(pat_tech_hta_16[[longueur_risque_bois_km]:[longueur_risque_bois_km]]))</f>
        <v>0</v>
      </c>
      <c r="E120" s="7" cm="1">
        <f t="array" ref="E120">SUMPRODUCT((pat_tech_hta_16[[Client]:[Client]]=syndicat_etude)*(pat_tech_hta_16[[Annee]:[Annee]]=E118)*(pat_tech_hta_16[[longueur_risque_bois_km]:[longueur_risque_bois_km]]))</f>
        <v>0</v>
      </c>
      <c r="F120" s="7" cm="1">
        <f t="array" ref="F120">SUMPRODUCT((pat_tech_hta_16[[Client]:[Client]]=syndicat_etude)*(pat_tech_hta_16[[Annee]:[Annee]]=F118)*(pat_tech_hta_16[[longueur_risque_bois_km]:[longueur_risque_bois_km]]))</f>
        <v>0</v>
      </c>
      <c r="G120" s="83" cm="1">
        <f t="array" ref="G120">SUMPRODUCT((pat_tech_hta_16[[Client]:[Client]]=syndicat_etude)*(pat_tech_hta_16[[Annee]:[Annee]]=G118)*(pat_tech_hta_16[[longueur_risque_bois_km]:[longueur_risque_bois_km]]))</f>
        <v>0</v>
      </c>
      <c r="H120" s="65"/>
    </row>
    <row r="121" spans="1:15" ht="15" customHeight="1" x14ac:dyDescent="0.25">
      <c r="B121" s="287" t="s">
        <v>178</v>
      </c>
      <c r="C121" s="7" cm="1">
        <f t="array" ref="C121">SUMPRODUCT((pat_tech_hta_16[[Client]:[Client]]=syndicat_etude)*(pat_tech_hta_16[[Annee]:[Annee]]=C118)*(pat_tech_hta_16[[longueur_risque_neige_givre_km]:[longueur_risque_neige_givre_km]]))</f>
        <v>0</v>
      </c>
      <c r="D121" s="7" cm="1">
        <f t="array" ref="D121">SUMPRODUCT((pat_tech_hta_16[[Client]:[Client]]=syndicat_etude)*(pat_tech_hta_16[[Annee]:[Annee]]=D118)*(pat_tech_hta_16[[longueur_risque_neige_givre_km]:[longueur_risque_neige_givre_km]]))</f>
        <v>0</v>
      </c>
      <c r="E121" s="7" cm="1">
        <f t="array" ref="E121">SUMPRODUCT((pat_tech_hta_16[[Client]:[Client]]=syndicat_etude)*(pat_tech_hta_16[[Annee]:[Annee]]=E118)*(pat_tech_hta_16[[longueur_risque_neige_givre_km]:[longueur_risque_neige_givre_km]]))</f>
        <v>0</v>
      </c>
      <c r="F121" s="7" cm="1">
        <f t="array" ref="F121">SUMPRODUCT((pat_tech_hta_16[[Client]:[Client]]=syndicat_etude)*(pat_tech_hta_16[[Annee]:[Annee]]=F118)*(pat_tech_hta_16[[longueur_risque_neige_givre_km]:[longueur_risque_neige_givre_km]]))</f>
        <v>0</v>
      </c>
      <c r="G121" s="83" cm="1">
        <f t="array" ref="G121">SUMPRODUCT((pat_tech_hta_16[[Client]:[Client]]=syndicat_etude)*(pat_tech_hta_16[[Annee]:[Annee]]=G118)*(pat_tech_hta_16[[longueur_risque_neige_givre_km]:[longueur_risque_neige_givre_km]]))</f>
        <v>0</v>
      </c>
      <c r="H121" s="65"/>
    </row>
    <row r="122" spans="1:15" ht="15" customHeight="1" x14ac:dyDescent="0.25">
      <c r="B122" s="340" t="s">
        <v>179</v>
      </c>
      <c r="C122" s="88" cm="1">
        <f t="array" ref="C122">SUMPRODUCT((pat_tech_hta_16[[Client]:[Client]]=syndicat_etude)*(pat_tech_hta_16[[Annee]:[Annee]]=C118)*(pat_tech_hta_16[[longueur_risque_vent_km]:[longueur_risque_vent_km]]))</f>
        <v>0</v>
      </c>
      <c r="D122" s="88" cm="1">
        <f t="array" ref="D122">SUMPRODUCT((pat_tech_hta_16[[Client]:[Client]]=syndicat_etude)*(pat_tech_hta_16[[Annee]:[Annee]]=D118)*(pat_tech_hta_16[[longueur_risque_vent_km]:[longueur_risque_vent_km]]))</f>
        <v>0</v>
      </c>
      <c r="E122" s="88" cm="1">
        <f t="array" ref="E122">SUMPRODUCT((pat_tech_hta_16[[Client]:[Client]]=syndicat_etude)*(pat_tech_hta_16[[Annee]:[Annee]]=E118)*(pat_tech_hta_16[[longueur_risque_vent_km]:[longueur_risque_vent_km]]))</f>
        <v>0</v>
      </c>
      <c r="F122" s="88" cm="1">
        <f t="array" ref="F122">SUMPRODUCT((pat_tech_hta_16[[Client]:[Client]]=syndicat_etude)*(pat_tech_hta_16[[Annee]:[Annee]]=F118)*(pat_tech_hta_16[[longueur_risque_vent_km]:[longueur_risque_vent_km]]))</f>
        <v>0</v>
      </c>
      <c r="G122" s="92" cm="1">
        <f t="array" ref="G122">SUMPRODUCT((pat_tech_hta_16[[Client]:[Client]]=syndicat_etude)*(pat_tech_hta_16[[Annee]:[Annee]]=G118)*(pat_tech_hta_16[[longueur_risque_vent_km]:[longueur_risque_vent_km]]))</f>
        <v>0</v>
      </c>
      <c r="H122" s="65"/>
    </row>
    <row r="124" spans="1:15" ht="40.15" customHeight="1" x14ac:dyDescent="0.25">
      <c r="A124" s="25" t="s">
        <v>180</v>
      </c>
      <c r="B124" s="66" t="s">
        <v>181</v>
      </c>
      <c r="C124" s="67">
        <v>2012</v>
      </c>
      <c r="D124" s="67">
        <v>2013</v>
      </c>
      <c r="E124" s="67">
        <v>2014</v>
      </c>
      <c r="F124" s="67">
        <v>2015</v>
      </c>
      <c r="G124" s="67">
        <v>2016</v>
      </c>
      <c r="H124" s="67">
        <v>2017</v>
      </c>
      <c r="I124" s="67">
        <v>2018</v>
      </c>
      <c r="J124" s="67">
        <v>2019</v>
      </c>
      <c r="K124" s="67">
        <v>2020</v>
      </c>
      <c r="L124" s="67" cm="1">
        <f t="array" ref="L124">Exercice[Exercice N-2]</f>
        <v>2021</v>
      </c>
      <c r="M124" s="67" cm="1">
        <f t="array" ref="M124">Exercice[Exercice N-1]</f>
        <v>2022</v>
      </c>
      <c r="N124" s="67" cm="1">
        <f t="array" ref="N124">Exercice[Exercice N]</f>
        <v>2023</v>
      </c>
      <c r="O124" s="69" t="s">
        <v>182</v>
      </c>
    </row>
    <row r="125" spans="1:15" ht="15" customHeight="1" x14ac:dyDescent="0.25">
      <c r="B125" s="50" t="s">
        <v>183</v>
      </c>
      <c r="C125" s="7" cm="1">
        <f t="array" ref="C125">SUMPRODUCT((pat_tech_hta_10[[client]:[client]]=syndicat_etude)*(pat_tech_hta_10[[annee]:[annee]]=annee_CRAC)*(pat_tech_hta_10[[annee_pdv]:[annee_pdv]]=C$124)*(pat_tech_hta_10[[type_traitement_pdv]:[type_traitement_pdv]]="Traité (immobilisé)")*(pat_tech_hta_10[[longueur_km_hta_pdv]:[longueur_km_hta_pdv]]))</f>
        <v>0</v>
      </c>
      <c r="D125" s="7" cm="1">
        <f t="array" ref="D125">SUMPRODUCT((pat_tech_hta_10[[client]:[client]]=syndicat_etude)*(pat_tech_hta_10[[annee]:[annee]]=annee_CRAC)*(pat_tech_hta_10[[annee_pdv]:[annee_pdv]]=D$124)*(pat_tech_hta_10[[type_traitement_pdv]:[type_traitement_pdv]]="Traité (immobilisé)")*(pat_tech_hta_10[[longueur_km_hta_pdv]:[longueur_km_hta_pdv]]))</f>
        <v>12.95</v>
      </c>
      <c r="E125" s="7" cm="1">
        <f t="array" ref="E125">SUMPRODUCT((pat_tech_hta_10[[client]:[client]]=syndicat_etude)*(pat_tech_hta_10[[annee]:[annee]]=annee_CRAC)*(pat_tech_hta_10[[annee_pdv]:[annee_pdv]]=E$124)*(pat_tech_hta_10[[type_traitement_pdv]:[type_traitement_pdv]]="Traité (immobilisé)")*(pat_tech_hta_10[[longueur_km_hta_pdv]:[longueur_km_hta_pdv]]))</f>
        <v>7.41</v>
      </c>
      <c r="F125" s="7" cm="1">
        <f t="array" ref="F125">SUMPRODUCT((pat_tech_hta_10[[client]:[client]]=syndicat_etude)*(pat_tech_hta_10[[annee]:[annee]]=annee_CRAC)*(pat_tech_hta_10[[annee_pdv]:[annee_pdv]]=F$124)*(pat_tech_hta_10[[type_traitement_pdv]:[type_traitement_pdv]]="Traité (immobilisé)")*(pat_tech_hta_10[[longueur_km_hta_pdv]:[longueur_km_hta_pdv]]))</f>
        <v>8.61</v>
      </c>
      <c r="G125" s="7" cm="1">
        <f t="array" ref="G125">SUMPRODUCT((pat_tech_hta_10[[client]:[client]]=syndicat_etude)*(pat_tech_hta_10[[annee]:[annee]]=annee_CRAC)*(pat_tech_hta_10[[annee_pdv]:[annee_pdv]]=G$124)*(pat_tech_hta_10[[type_traitement_pdv]:[type_traitement_pdv]]="Traité (immobilisé)")*(pat_tech_hta_10[[longueur_km_hta_pdv]:[longueur_km_hta_pdv]]))</f>
        <v>20.63</v>
      </c>
      <c r="H125" s="7" cm="1">
        <f t="array" ref="H125">SUMPRODUCT((pat_tech_hta_10[[client]:[client]]=syndicat_etude)*(pat_tech_hta_10[[annee]:[annee]]=annee_CRAC)*(pat_tech_hta_10[[annee_pdv]:[annee_pdv]]=H$124)*(pat_tech_hta_10[[type_traitement_pdv]:[type_traitement_pdv]]="Traité (immobilisé)")*(pat_tech_hta_10[[longueur_km_hta_pdv]:[longueur_km_hta_pdv]]))</f>
        <v>13.09</v>
      </c>
      <c r="I125" s="7" cm="1">
        <f t="array" ref="I125">SUMPRODUCT((pat_tech_hta_10[[client]:[client]]=syndicat_etude)*(pat_tech_hta_10[[annee]:[annee]]=annee_CRAC)*(pat_tech_hta_10[[annee_pdv]:[annee_pdv]]=I$124)*(pat_tech_hta_10[[type_traitement_pdv]:[type_traitement_pdv]]="Traité (immobilisé)")*(pat_tech_hta_10[[longueur_km_hta_pdv]:[longueur_km_hta_pdv]]))</f>
        <v>18.34</v>
      </c>
      <c r="J125" s="7" cm="1">
        <f t="array" ref="J125">SUMPRODUCT((pat_tech_hta_10[[client]:[client]]=syndicat_etude)*(pat_tech_hta_10[[annee]:[annee]]=annee_CRAC)*(pat_tech_hta_10[[annee_pdv]:[annee_pdv]]=J$124)*(pat_tech_hta_10[[type_traitement_pdv]:[type_traitement_pdv]]="Traité (immobilisé)")*(pat_tech_hta_10[[longueur_km_hta_pdv]:[longueur_km_hta_pdv]]))</f>
        <v>34.090000000000003</v>
      </c>
      <c r="K125" s="7" cm="1">
        <f t="array" ref="K125">SUMPRODUCT((pat_tech_hta_10[[client]:[client]]=syndicat_etude)*(pat_tech_hta_10[[annee]:[annee]]=annee_CRAC)*(pat_tech_hta_10[[annee_pdv]:[annee_pdv]]=K$124)*(pat_tech_hta_10[[type_traitement_pdv]:[type_traitement_pdv]]="Traité (immobilisé)")*(pat_tech_hta_10[[longueur_km_hta_pdv]:[longueur_km_hta_pdv]]))</f>
        <v>32.19</v>
      </c>
      <c r="L125" s="7" cm="1">
        <f t="array" ref="L125">SUMPRODUCT((pat_tech_hta_10[[client]:[client]]=syndicat_etude)*(pat_tech_hta_10[[annee]:[annee]]=annee_CRAC)*(pat_tech_hta_10[[annee_pdv]:[annee_pdv]]=L$124)*(pat_tech_hta_10[[type_traitement_pdv]:[type_traitement_pdv]]="Traité (immobilisé)")*(pat_tech_hta_10[[longueur_km_hta_pdv]:[longueur_km_hta_pdv]]))</f>
        <v>39.86</v>
      </c>
      <c r="M125" s="7" cm="1">
        <f t="array" ref="M125">SUMPRODUCT((pat_tech_hta_10[[client]:[client]]=syndicat_etude)*(pat_tech_hta_10[[annee]:[annee]]=annee_CRAC)*(pat_tech_hta_10[[annee_pdv]:[annee_pdv]]=M$124)*(pat_tech_hta_10[[type_traitement_pdv]:[type_traitement_pdv]]="Traité (immobilisé)")*(pat_tech_hta_10[[longueur_km_hta_pdv]:[longueur_km_hta_pdv]]))</f>
        <v>23.68</v>
      </c>
      <c r="N125" s="7" cm="1">
        <f t="array" ref="N125">SUMPRODUCT((pat_tech_hta_10[[client]:[client]]=syndicat_etude)*(pat_tech_hta_10[[annee]:[annee]]=annee_CRAC)*(pat_tech_hta_10[[annee_pdv]:[annee_pdv]]=N$124)*(pat_tech_hta_10[[type_traitement_pdv]:[type_traitement_pdv]]="Traité (immobilisé)")*(pat_tech_hta_10[[longueur_km_hta_pdv]:[longueur_km_hta_pdv]]))</f>
        <v>41.59</v>
      </c>
      <c r="O125" s="139">
        <f>SUM(C125:N125)</f>
        <v>252.44000000000003</v>
      </c>
    </row>
    <row r="126" spans="1:15" ht="15" customHeight="1" x14ac:dyDescent="0.25">
      <c r="B126" s="53" t="s">
        <v>184</v>
      </c>
      <c r="C126" s="88" cm="1">
        <f t="array" ref="C126">SUMPRODUCT((pat_tech_hta_10[[client]:[client]]=syndicat_etude)*(pat_tech_hta_10[[annee]:[annee]]=annee_CRAC)*(pat_tech_hta_10[[annee_pdv]:[annee_pdv]]=C$124)*(pat_tech_hta_10[[type_traitement_pdv]:[type_traitement_pdv]]="Fiabilisé")*(pat_tech_hta_10[[longueur_km_hta_pdv]:[longueur_km_hta_pdv]]))</f>
        <v>0</v>
      </c>
      <c r="D126" s="88" cm="1">
        <f t="array" ref="D126">SUMPRODUCT((pat_tech_hta_10[[client]:[client]]=syndicat_etude)*(pat_tech_hta_10[[annee]:[annee]]=annee_CRAC)*(pat_tech_hta_10[[annee_pdv]:[annee_pdv]]=D$124)*(pat_tech_hta_10[[type_traitement_pdv]:[type_traitement_pdv]]="Fiabilisé")*(pat_tech_hta_10[[longueur_km_hta_pdv]:[longueur_km_hta_pdv]]))</f>
        <v>0.79</v>
      </c>
      <c r="E126" s="88" cm="1">
        <f t="array" ref="E126">SUMPRODUCT((pat_tech_hta_10[[client]:[client]]=syndicat_etude)*(pat_tech_hta_10[[annee]:[annee]]=annee_CRAC)*(pat_tech_hta_10[[annee_pdv]:[annee_pdv]]=E$124)*(pat_tech_hta_10[[type_traitement_pdv]:[type_traitement_pdv]]="Fiabilisé")*(pat_tech_hta_10[[longueur_km_hta_pdv]:[longueur_km_hta_pdv]]))</f>
        <v>0.23</v>
      </c>
      <c r="F126" s="88" cm="1">
        <f t="array" ref="F126">SUMPRODUCT((pat_tech_hta_10[[client]:[client]]=syndicat_etude)*(pat_tech_hta_10[[annee]:[annee]]=annee_CRAC)*(pat_tech_hta_10[[annee_pdv]:[annee_pdv]]=F$124)*(pat_tech_hta_10[[type_traitement_pdv]:[type_traitement_pdv]]="Fiabilisé")*(pat_tech_hta_10[[longueur_km_hta_pdv]:[longueur_km_hta_pdv]]))</f>
        <v>10.7</v>
      </c>
      <c r="G126" s="88" cm="1">
        <f t="array" ref="G126">SUMPRODUCT((pat_tech_hta_10[[client]:[client]]=syndicat_etude)*(pat_tech_hta_10[[annee]:[annee]]=annee_CRAC)*(pat_tech_hta_10[[annee_pdv]:[annee_pdv]]=G$124)*(pat_tech_hta_10[[type_traitement_pdv]:[type_traitement_pdv]]="Fiabilisé")*(pat_tech_hta_10[[longueur_km_hta_pdv]:[longueur_km_hta_pdv]]))</f>
        <v>11.4</v>
      </c>
      <c r="H126" s="88" cm="1">
        <f t="array" ref="H126">SUMPRODUCT((pat_tech_hta_10[[client]:[client]]=syndicat_etude)*(pat_tech_hta_10[[annee]:[annee]]=annee_CRAC)*(pat_tech_hta_10[[annee_pdv]:[annee_pdv]]=H$124)*(pat_tech_hta_10[[type_traitement_pdv]:[type_traitement_pdv]]="Fiabilisé")*(pat_tech_hta_10[[longueur_km_hta_pdv]:[longueur_km_hta_pdv]]))</f>
        <v>2.86</v>
      </c>
      <c r="I126" s="88" cm="1">
        <f t="array" ref="I126">SUMPRODUCT((pat_tech_hta_10[[client]:[client]]=syndicat_etude)*(pat_tech_hta_10[[annee]:[annee]]=annee_CRAC)*(pat_tech_hta_10[[annee_pdv]:[annee_pdv]]=I$124)*(pat_tech_hta_10[[type_traitement_pdv]:[type_traitement_pdv]]="Fiabilisé")*(pat_tech_hta_10[[longueur_km_hta_pdv]:[longueur_km_hta_pdv]]))</f>
        <v>6.2</v>
      </c>
      <c r="J126" s="88" cm="1">
        <f t="array" ref="J126">SUMPRODUCT((pat_tech_hta_10[[client]:[client]]=syndicat_etude)*(pat_tech_hta_10[[annee]:[annee]]=annee_CRAC)*(pat_tech_hta_10[[annee_pdv]:[annee_pdv]]=J$124)*(pat_tech_hta_10[[type_traitement_pdv]:[type_traitement_pdv]]="Fiabilisé")*(pat_tech_hta_10[[longueur_km_hta_pdv]:[longueur_km_hta_pdv]]))</f>
        <v>3.31</v>
      </c>
      <c r="K126" s="88" cm="1">
        <f t="array" ref="K126">SUMPRODUCT((pat_tech_hta_10[[client]:[client]]=syndicat_etude)*(pat_tech_hta_10[[annee]:[annee]]=annee_CRAC)*(pat_tech_hta_10[[annee_pdv]:[annee_pdv]]=K$124)*(pat_tech_hta_10[[type_traitement_pdv]:[type_traitement_pdv]]="Fiabilisé")*(pat_tech_hta_10[[longueur_km_hta_pdv]:[longueur_km_hta_pdv]]))</f>
        <v>0.4</v>
      </c>
      <c r="L126" s="88" cm="1">
        <f t="array" ref="L126">SUMPRODUCT((pat_tech_hta_10[[client]:[client]]=syndicat_etude)*(pat_tech_hta_10[[annee]:[annee]]=annee_CRAC)*(pat_tech_hta_10[[annee_pdv]:[annee_pdv]]=L$124)*(pat_tech_hta_10[[type_traitement_pdv]:[type_traitement_pdv]]="Fiabilisé")*(pat_tech_hta_10[[longueur_km_hta_pdv]:[longueur_km_hta_pdv]]))</f>
        <v>2.5499999999999998</v>
      </c>
      <c r="M126" s="88" cm="1">
        <f t="array" ref="M126">SUMPRODUCT((pat_tech_hta_10[[client]:[client]]=syndicat_etude)*(pat_tech_hta_10[[annee]:[annee]]=annee_CRAC)*(pat_tech_hta_10[[annee_pdv]:[annee_pdv]]=M$124)*(pat_tech_hta_10[[type_traitement_pdv]:[type_traitement_pdv]]="Fiabilisé")*(pat_tech_hta_10[[longueur_km_hta_pdv]:[longueur_km_hta_pdv]]))</f>
        <v>2.2200000000000002</v>
      </c>
      <c r="N126" s="88" cm="1">
        <f t="array" ref="N126">SUMPRODUCT((pat_tech_hta_10[[client]:[client]]=syndicat_etude)*(pat_tech_hta_10[[annee]:[annee]]=annee_CRAC)*(pat_tech_hta_10[[annee_pdv]:[annee_pdv]]=N$124)*(pat_tech_hta_10[[type_traitement_pdv]:[type_traitement_pdv]]="Fiabilisé")*(pat_tech_hta_10[[longueur_km_hta_pdv]:[longueur_km_hta_pdv]]))</f>
        <v>0</v>
      </c>
      <c r="O126" s="140">
        <f>SUM(C126:N126)</f>
        <v>40.659999999999997</v>
      </c>
    </row>
    <row r="127" spans="1:15" ht="15" customHeight="1" x14ac:dyDescent="0.25">
      <c r="B127" s="29" t="s">
        <v>185</v>
      </c>
      <c r="C127" s="165"/>
      <c r="D127" s="165"/>
      <c r="E127" s="165"/>
      <c r="F127" s="165"/>
      <c r="G127" s="165"/>
      <c r="H127" s="165"/>
      <c r="I127" s="165"/>
      <c r="J127" s="165"/>
      <c r="K127" s="165"/>
    </row>
    <row r="128" spans="1:15" ht="15" customHeight="1" x14ac:dyDescent="0.25">
      <c r="B128" s="29"/>
      <c r="C128" s="165"/>
      <c r="D128" s="165"/>
      <c r="E128" s="165"/>
      <c r="F128" s="165"/>
      <c r="G128" s="165"/>
      <c r="H128" s="165"/>
      <c r="I128" s="165"/>
      <c r="J128" s="165"/>
      <c r="K128" s="165"/>
    </row>
    <row r="129" spans="1:11" ht="15" customHeight="1" x14ac:dyDescent="0.25">
      <c r="A129" s="479" t="s">
        <v>186</v>
      </c>
      <c r="B129" s="29"/>
      <c r="C129" s="165"/>
      <c r="D129" s="165"/>
      <c r="E129" s="479" t="s">
        <v>187</v>
      </c>
      <c r="G129" s="165"/>
      <c r="H129" s="165"/>
      <c r="I129" s="165"/>
      <c r="J129" s="165"/>
      <c r="K129" s="165"/>
    </row>
    <row r="130" spans="1:11" ht="15" customHeight="1" x14ac:dyDescent="0.25">
      <c r="B130" s="29"/>
      <c r="C130" s="165"/>
      <c r="D130" s="165"/>
      <c r="E130" s="165"/>
      <c r="F130" s="165"/>
      <c r="G130" s="165"/>
      <c r="H130" s="165"/>
      <c r="I130" s="165"/>
      <c r="J130" s="165"/>
      <c r="K130" s="165"/>
    </row>
    <row r="131" spans="1:11" ht="15" customHeight="1" x14ac:dyDescent="0.25">
      <c r="B131" s="29"/>
      <c r="C131" s="165"/>
      <c r="D131" s="165"/>
      <c r="E131" s="165"/>
      <c r="F131" s="165"/>
      <c r="G131" s="165"/>
      <c r="H131" s="165"/>
      <c r="I131" s="165"/>
      <c r="J131" s="165"/>
      <c r="K131" s="165"/>
    </row>
    <row r="132" spans="1:11" ht="15" customHeight="1" x14ac:dyDescent="0.25">
      <c r="B132" s="29"/>
      <c r="C132" s="165"/>
      <c r="D132" s="165"/>
      <c r="E132" s="165"/>
      <c r="F132" s="165"/>
      <c r="G132" s="165"/>
      <c r="H132" s="165"/>
      <c r="I132" s="165"/>
      <c r="J132" s="165"/>
      <c r="K132" s="165"/>
    </row>
    <row r="133" spans="1:11" ht="15" customHeight="1" x14ac:dyDescent="0.25">
      <c r="B133" s="29"/>
      <c r="C133" s="165"/>
      <c r="D133" s="165"/>
      <c r="E133" s="165"/>
      <c r="F133" s="165"/>
      <c r="G133" s="165"/>
      <c r="H133" s="165"/>
      <c r="I133" s="165"/>
      <c r="J133" s="165"/>
      <c r="K133" s="165"/>
    </row>
    <row r="134" spans="1:11" ht="15" customHeight="1" x14ac:dyDescent="0.25">
      <c r="B134" s="29"/>
      <c r="C134" s="165"/>
      <c r="D134" s="165"/>
      <c r="E134" s="165"/>
      <c r="F134" s="165"/>
      <c r="G134" s="165"/>
      <c r="H134" s="165"/>
      <c r="I134" s="165"/>
      <c r="J134" s="165"/>
      <c r="K134" s="165"/>
    </row>
    <row r="135" spans="1:11" ht="15" customHeight="1" x14ac:dyDescent="0.25">
      <c r="B135" s="29"/>
      <c r="C135" s="165"/>
      <c r="D135" s="165"/>
      <c r="E135" s="165"/>
      <c r="F135" s="165"/>
      <c r="G135" s="165"/>
      <c r="H135" s="165"/>
      <c r="I135" s="165"/>
      <c r="J135" s="165"/>
      <c r="K135" s="165"/>
    </row>
    <row r="136" spans="1:11" ht="15" customHeight="1" x14ac:dyDescent="0.25">
      <c r="B136" s="29"/>
      <c r="C136" s="165"/>
      <c r="D136" s="165"/>
      <c r="E136" s="165"/>
      <c r="F136" s="165"/>
      <c r="G136" s="165"/>
      <c r="H136" s="165"/>
      <c r="I136" s="165"/>
      <c r="J136" s="165"/>
      <c r="K136" s="165"/>
    </row>
    <row r="137" spans="1:11" ht="15" customHeight="1" x14ac:dyDescent="0.25">
      <c r="B137" s="29"/>
      <c r="C137" s="165"/>
      <c r="D137" s="165"/>
      <c r="E137" s="165"/>
      <c r="F137" s="165"/>
      <c r="G137" s="165"/>
      <c r="H137" s="165"/>
      <c r="I137" s="165"/>
      <c r="J137" s="165"/>
      <c r="K137" s="165"/>
    </row>
    <row r="138" spans="1:11" ht="15" customHeight="1" x14ac:dyDescent="0.25">
      <c r="B138" s="29"/>
      <c r="C138" s="165"/>
      <c r="D138" s="165"/>
      <c r="E138" s="165"/>
      <c r="F138" s="165"/>
      <c r="G138" s="165"/>
      <c r="H138" s="165"/>
      <c r="I138" s="165"/>
      <c r="J138" s="165"/>
      <c r="K138" s="165"/>
    </row>
    <row r="139" spans="1:11" ht="15" customHeight="1" x14ac:dyDescent="0.25">
      <c r="B139" s="29"/>
      <c r="C139" s="165"/>
      <c r="D139" s="165"/>
      <c r="E139" s="165"/>
      <c r="F139" s="165"/>
      <c r="G139" s="165"/>
      <c r="H139" s="165"/>
      <c r="I139" s="165"/>
      <c r="J139" s="165"/>
      <c r="K139" s="165"/>
    </row>
    <row r="140" spans="1:11" ht="15" customHeight="1" x14ac:dyDescent="0.25">
      <c r="B140" s="29"/>
      <c r="C140" s="165"/>
      <c r="D140" s="165"/>
      <c r="E140" s="165"/>
      <c r="F140" s="165"/>
      <c r="G140" s="165"/>
      <c r="H140" s="165"/>
      <c r="I140" s="165"/>
      <c r="J140" s="165"/>
      <c r="K140" s="165"/>
    </row>
    <row r="141" spans="1:11" ht="15" customHeight="1" x14ac:dyDescent="0.25">
      <c r="B141" s="29"/>
      <c r="C141" s="165"/>
      <c r="D141" s="165"/>
      <c r="E141" s="165"/>
      <c r="F141" s="165"/>
      <c r="G141" s="165"/>
      <c r="H141" s="165"/>
      <c r="I141" s="165"/>
      <c r="J141" s="165"/>
      <c r="K141" s="165"/>
    </row>
    <row r="142" spans="1:11" ht="15" customHeight="1" x14ac:dyDescent="0.25">
      <c r="B142" s="29"/>
      <c r="C142" s="165"/>
      <c r="D142" s="165"/>
      <c r="E142" s="165"/>
      <c r="F142" s="165"/>
      <c r="G142" s="165"/>
      <c r="H142" s="165"/>
      <c r="I142" s="165"/>
      <c r="J142" s="165"/>
      <c r="K142" s="165"/>
    </row>
    <row r="143" spans="1:11" ht="15" customHeight="1" x14ac:dyDescent="0.25">
      <c r="B143" s="29"/>
      <c r="C143" s="165"/>
      <c r="D143" s="165"/>
      <c r="E143" s="165"/>
      <c r="F143" s="165"/>
      <c r="G143" s="165"/>
      <c r="H143" s="165"/>
      <c r="I143" s="165"/>
      <c r="J143" s="165"/>
      <c r="K143" s="165"/>
    </row>
    <row r="144" spans="1:11" ht="15" customHeight="1" x14ac:dyDescent="0.25">
      <c r="B144" s="29"/>
      <c r="C144" s="165"/>
      <c r="D144" s="165"/>
      <c r="E144" s="165"/>
      <c r="F144" s="165"/>
      <c r="G144" s="165"/>
      <c r="H144" s="165"/>
      <c r="I144" s="165"/>
      <c r="J144" s="165"/>
      <c r="K144" s="165"/>
    </row>
    <row r="145" spans="1:14" ht="15" customHeight="1" x14ac:dyDescent="0.25">
      <c r="B145" s="29"/>
      <c r="C145" s="165"/>
      <c r="D145" s="165"/>
      <c r="E145" s="165"/>
      <c r="F145" s="165"/>
      <c r="G145" s="165"/>
      <c r="H145" s="165"/>
      <c r="I145" s="165"/>
      <c r="J145" s="165"/>
      <c r="K145" s="165"/>
    </row>
    <row r="146" spans="1:14" ht="15" customHeight="1" x14ac:dyDescent="0.25">
      <c r="B146" s="29"/>
      <c r="C146" s="165"/>
      <c r="D146" s="165"/>
      <c r="E146" s="165"/>
      <c r="F146" s="165"/>
      <c r="G146" s="165"/>
      <c r="H146" s="165"/>
      <c r="I146" s="165"/>
      <c r="J146" s="165"/>
      <c r="K146" s="165"/>
    </row>
    <row r="147" spans="1:14" ht="15" customHeight="1" x14ac:dyDescent="0.25">
      <c r="B147" s="29"/>
      <c r="C147" s="165"/>
      <c r="D147" s="165"/>
      <c r="E147" s="165"/>
      <c r="F147" s="165"/>
      <c r="G147" s="165"/>
      <c r="H147" s="165"/>
      <c r="I147" s="165"/>
      <c r="J147" s="165"/>
      <c r="K147" s="165"/>
    </row>
    <row r="148" spans="1:14" ht="15" customHeight="1" x14ac:dyDescent="0.25">
      <c r="A148" s="479" t="s">
        <v>188</v>
      </c>
      <c r="B148" s="237" t="s">
        <v>189</v>
      </c>
      <c r="C148" s="165"/>
      <c r="D148" s="165"/>
      <c r="E148" s="165"/>
      <c r="F148" s="165"/>
      <c r="G148" s="165"/>
      <c r="H148" s="165"/>
      <c r="I148" s="165"/>
      <c r="J148" s="165"/>
      <c r="K148" s="165"/>
    </row>
    <row r="149" spans="1:14" ht="15" customHeight="1" x14ac:dyDescent="0.25">
      <c r="B149" s="103"/>
      <c r="C149" s="103"/>
      <c r="D149" s="13"/>
      <c r="E149" s="13"/>
      <c r="F149" s="13"/>
      <c r="G149" s="13"/>
      <c r="H149" s="13"/>
      <c r="I149" s="13"/>
    </row>
    <row r="150" spans="1:14" ht="40.15" customHeight="1" x14ac:dyDescent="0.25">
      <c r="B150" s="66" t="s">
        <v>190</v>
      </c>
      <c r="C150" s="67">
        <v>2012</v>
      </c>
      <c r="D150" s="67">
        <v>2013</v>
      </c>
      <c r="E150" s="67">
        <v>2014</v>
      </c>
      <c r="F150" s="67">
        <v>2015</v>
      </c>
      <c r="G150" s="67">
        <v>2016</v>
      </c>
      <c r="H150" s="67">
        <v>2017</v>
      </c>
      <c r="I150" s="67">
        <v>2018</v>
      </c>
      <c r="J150" s="67">
        <v>2019</v>
      </c>
      <c r="K150" s="67">
        <v>2020</v>
      </c>
      <c r="L150" s="67" cm="1">
        <f t="array" ref="L150">Exercice[Exercice N-2]</f>
        <v>2021</v>
      </c>
      <c r="M150" s="67" cm="1">
        <f t="array" ref="M150">Exercice[Exercice N-1]</f>
        <v>2022</v>
      </c>
      <c r="N150" s="69" cm="1">
        <f t="array" ref="N150">Exercice[Exercice N]</f>
        <v>2023</v>
      </c>
    </row>
    <row r="151" spans="1:14" ht="15" customHeight="1" x14ac:dyDescent="0.25">
      <c r="B151" s="50" t="s">
        <v>191</v>
      </c>
      <c r="C151" s="7">
        <f>C125</f>
        <v>0</v>
      </c>
      <c r="D151" s="7">
        <f t="shared" ref="D151:N151" si="0">D125+C151</f>
        <v>12.95</v>
      </c>
      <c r="E151" s="7">
        <f t="shared" si="0"/>
        <v>20.36</v>
      </c>
      <c r="F151" s="7">
        <f t="shared" si="0"/>
        <v>28.97</v>
      </c>
      <c r="G151" s="7">
        <f t="shared" si="0"/>
        <v>49.599999999999994</v>
      </c>
      <c r="H151" s="7">
        <f t="shared" si="0"/>
        <v>62.69</v>
      </c>
      <c r="I151" s="7">
        <f t="shared" si="0"/>
        <v>81.03</v>
      </c>
      <c r="J151" s="7">
        <f t="shared" si="0"/>
        <v>115.12</v>
      </c>
      <c r="K151" s="7">
        <f t="shared" si="0"/>
        <v>147.31</v>
      </c>
      <c r="L151" s="7">
        <f t="shared" si="0"/>
        <v>187.17000000000002</v>
      </c>
      <c r="M151" s="7">
        <f t="shared" si="0"/>
        <v>210.85000000000002</v>
      </c>
      <c r="N151" s="83">
        <f t="shared" si="0"/>
        <v>252.44000000000003</v>
      </c>
    </row>
    <row r="152" spans="1:14" ht="15" customHeight="1" x14ac:dyDescent="0.25">
      <c r="B152" s="53" t="s">
        <v>192</v>
      </c>
      <c r="C152" s="88">
        <f>C126</f>
        <v>0</v>
      </c>
      <c r="D152" s="88">
        <f t="shared" ref="D152:N152" si="1">D126+C152</f>
        <v>0.79</v>
      </c>
      <c r="E152" s="88">
        <f t="shared" si="1"/>
        <v>1.02</v>
      </c>
      <c r="F152" s="88">
        <f t="shared" si="1"/>
        <v>11.719999999999999</v>
      </c>
      <c r="G152" s="88">
        <f t="shared" si="1"/>
        <v>23.119999999999997</v>
      </c>
      <c r="H152" s="88">
        <f t="shared" si="1"/>
        <v>25.979999999999997</v>
      </c>
      <c r="I152" s="88">
        <f t="shared" si="1"/>
        <v>32.18</v>
      </c>
      <c r="J152" s="88">
        <f t="shared" si="1"/>
        <v>35.49</v>
      </c>
      <c r="K152" s="88">
        <f t="shared" si="1"/>
        <v>35.89</v>
      </c>
      <c r="L152" s="88">
        <f t="shared" si="1"/>
        <v>38.44</v>
      </c>
      <c r="M152" s="88">
        <f t="shared" si="1"/>
        <v>40.659999999999997</v>
      </c>
      <c r="N152" s="92">
        <f t="shared" si="1"/>
        <v>40.659999999999997</v>
      </c>
    </row>
    <row r="153" spans="1:14" ht="15" customHeight="1" x14ac:dyDescent="0.25">
      <c r="B153" s="23"/>
      <c r="C153" s="7"/>
      <c r="D153" s="7"/>
      <c r="E153" s="7"/>
      <c r="F153" s="7"/>
      <c r="G153" s="7"/>
      <c r="H153" s="7"/>
    </row>
    <row r="154" spans="1:14" ht="30" customHeight="1" x14ac:dyDescent="0.25">
      <c r="A154" s="479" t="s">
        <v>193</v>
      </c>
      <c r="B154" s="66" t="s">
        <v>194</v>
      </c>
      <c r="C154" s="67" cm="1">
        <f t="array" ref="C154">Exercice[Exercice N-4]</f>
        <v>2019</v>
      </c>
      <c r="D154" s="67" cm="1">
        <f t="array" ref="D154">Exercice[Exercice N-3]</f>
        <v>2020</v>
      </c>
      <c r="E154" s="67" cm="1">
        <f t="array" ref="E154">Exercice[Exercice N-2]</f>
        <v>2021</v>
      </c>
      <c r="F154" s="67" cm="1">
        <f t="array" ref="F154">Exercice[Exercice N-1]</f>
        <v>2022</v>
      </c>
      <c r="G154" s="69" cm="1">
        <f t="array" ref="G154">Exercice[Exercice N]</f>
        <v>2023</v>
      </c>
    </row>
    <row r="155" spans="1:14" ht="15" customHeight="1" x14ac:dyDescent="0.25">
      <c r="A155" s="25" t="s">
        <v>195</v>
      </c>
      <c r="B155" s="50" t="s">
        <v>196</v>
      </c>
      <c r="C155" s="7" cm="1">
        <f t="array" ref="C155">SUMPRODUCT((pat_tech_hta_03[[client]:[client]]=syndicat_etude)*(pat_tech_hta_03[[annee]:[annee]]=Exercice[[Exercice N-4]:[Exercice N-4]])*(pat_tech_hta_03[aerien_nu_fs]))</f>
        <v>15.1</v>
      </c>
      <c r="D155" s="7" cm="1">
        <f t="array" ref="D155">SUMPRODUCT((pat_tech_hta_03[[client]:[client]]=syndicat_etude)*(pat_tech_hta_03[[annee]:[annee]]=Exercice[[Exercice N-2]:[Exercice N-2]])*(pat_tech_hta_03[aerien_nu_fs]))</f>
        <v>14.9</v>
      </c>
      <c r="E155" s="7" cm="1">
        <f t="array" ref="E155">SUMPRODUCT((pat_tech_hta_03[[client]:[client]]=syndicat_etude)*(pat_tech_hta_03[[annee]:[annee]]=Exercice[[Exercice N-2]:[Exercice N-2]])*(pat_tech_hta_03[aerien_nu_fs]))</f>
        <v>14.9</v>
      </c>
      <c r="F155" s="7" cm="1">
        <f t="array" ref="F155">SUMPRODUCT((pat_tech_hta_03[[client]:[client]]=syndicat_etude)*(pat_tech_hta_03[[annee]:[annee]]=Exercice[[Exercice N-1]:[Exercice N-1]])*(pat_tech_hta_03[aerien_nu_fs]))</f>
        <v>14.8</v>
      </c>
      <c r="G155" s="83" cm="1">
        <f t="array" ref="G155">SUMPRODUCT((pat_tech_hta_03[[client]:[client]]=syndicat_etude)*(pat_tech_hta_03[[annee]:[annee]]=Exercice[[Exercice N]:[Exercice N]])*(pat_tech_hta_03[aerien_nu_fs]))</f>
        <v>15.1</v>
      </c>
    </row>
    <row r="156" spans="1:14" ht="15" customHeight="1" x14ac:dyDescent="0.25">
      <c r="B156" s="50" t="s">
        <v>197</v>
      </c>
      <c r="C156" s="670" cm="1">
        <f t="array" ref="C156">SUMPRODUCT((pat_tech_hta_03[[client]:[client]]=syndicat_etude)*(pat_tech_hta_03[[annee]:[annee]]=Exercice[[Exercice N-4]:[Exercice N-4]])*(pat_tech_hta_03[aerien_nu_reduites_50])) - C155</f>
        <v>698.1</v>
      </c>
      <c r="D156" s="670" cm="1">
        <f t="array" ref="D156">SUMPRODUCT((pat_tech_hta_03[[client]:[client]]=syndicat_etude)*(pat_tech_hta_03[[annee]:[annee]]=Exercice[[Exercice N-2]:[Exercice N-2]])*(pat_tech_hta_03[aerien_nu_reduites_50])) - D155</f>
        <v>694.4</v>
      </c>
      <c r="E156" s="670" cm="1">
        <f t="array" ref="E156">SUMPRODUCT((pat_tech_hta_03[[client]:[client]]=syndicat_etude)*(pat_tech_hta_03[[annee]:[annee]]=Exercice[[Exercice N-2]:[Exercice N-2]])*(pat_tech_hta_03[aerien_nu_reduites_50])) - E155</f>
        <v>694.4</v>
      </c>
      <c r="F156" s="670" cm="1">
        <f t="array" ref="F156">SUMPRODUCT((pat_tech_hta_03[[client]:[client]]=syndicat_etude)*(pat_tech_hta_03[[annee]:[annee]]=Exercice[[Exercice N-1]:[Exercice N-1]])*(pat_tech_hta_03[aerien_nu_reduites_50])) - F155</f>
        <v>689.80000000000007</v>
      </c>
      <c r="G156" s="671" cm="1">
        <f t="array" ref="G156">SUMPRODUCT((pat_tech_hta_03[[client]:[client]]=syndicat_etude)*(pat_tech_hta_03[[annee]:[annee]]=Exercice[[Exercice N]:[Exercice N]])*(pat_tech_hta_03[aerien_nu_reduites_50])) - G155</f>
        <v>688.69999999999993</v>
      </c>
      <c r="H156" s="237" t="s">
        <v>198</v>
      </c>
    </row>
    <row r="157" spans="1:14" ht="15" customHeight="1" x14ac:dyDescent="0.25">
      <c r="B157" s="127" t="s">
        <v>199</v>
      </c>
      <c r="C157" s="128" cm="1">
        <f t="array" ref="C157">SUMPRODUCT((pat_tech_hta_03[[client]:[client]]=syndicat_etude)*(pat_tech_hta_03[[annee]:[annee]]=Exercice[[Exercice N-4]:[Exercice N-4]])*(pat_tech_hta_03[pourcent_aerien_nu_fs_sur_aerien]))</f>
        <v>6.6E-3</v>
      </c>
      <c r="D157" s="128" cm="1">
        <f t="array" ref="D157">SUMPRODUCT((pat_tech_hta_03[[client]:[client]]=syndicat_etude)*(pat_tech_hta_03[[annee]:[annee]]=Exercice[[Exercice N-2]:[Exercice N-2]])*(pat_tech_hta_03[pourcent_aerien_nu_fs_sur_aerien]))</f>
        <v>6.6E-3</v>
      </c>
      <c r="E157" s="128" cm="1">
        <f t="array" ref="E157">SUMPRODUCT((pat_tech_hta_03[[client]:[client]]=syndicat_etude)*(pat_tech_hta_03[[annee]:[annee]]=Exercice[[Exercice N-2]:[Exercice N-2]])*(pat_tech_hta_03[pourcent_aerien_nu_fs_sur_aerien]))</f>
        <v>6.6E-3</v>
      </c>
      <c r="F157" s="128" cm="1">
        <f t="array" ref="F157">SUMPRODUCT((pat_tech_hta_03[[client]:[client]]=syndicat_etude)*(pat_tech_hta_03[[annee]:[annee]]=Exercice[[Exercice N-1]:[Exercice N-1]])*(pat_tech_hta_03[pourcent_aerien_nu_fs_sur_aerien]))</f>
        <v>6.6E-3</v>
      </c>
      <c r="G157" s="129" cm="1">
        <f t="array" ref="G157">SUMPRODUCT((pat_tech_hta_03[[client]:[client]]=syndicat_etude)*(pat_tech_hta_03[[annee]:[annee]]=Exercice[[Exercice N]:[Exercice N]])*(pat_tech_hta_03[pourcent_aerien_nu_fs_sur_aerien]))</f>
        <v>6.7000000000000002E-3</v>
      </c>
    </row>
    <row r="159" spans="1:14" ht="30" customHeight="1" x14ac:dyDescent="0.25">
      <c r="A159" s="25" t="s">
        <v>200</v>
      </c>
      <c r="B159" s="66" t="s">
        <v>201</v>
      </c>
      <c r="C159" s="67" cm="1">
        <f t="array" ref="C159">Exercice[Exercice N-4]</f>
        <v>2019</v>
      </c>
      <c r="D159" s="67" cm="1">
        <f t="array" ref="D159">Exercice[Exercice N-3]</f>
        <v>2020</v>
      </c>
      <c r="E159" s="67" cm="1">
        <f t="array" ref="E159">Exercice[Exercice N-2]</f>
        <v>2021</v>
      </c>
      <c r="F159" s="67" cm="1">
        <f t="array" ref="F159">Exercice[Exercice N-1]</f>
        <v>2022</v>
      </c>
      <c r="G159" s="67" cm="1">
        <f t="array" ref="G159">Exercice[Exercice N]</f>
        <v>2023</v>
      </c>
      <c r="H159" s="68" t="str" cm="1">
        <f t="array" ref="H159">"% "&amp;Exercice[Exercice N]</f>
        <v>% 2023</v>
      </c>
    </row>
    <row r="160" spans="1:14" ht="15" customHeight="1" x14ac:dyDescent="0.25">
      <c r="B160" s="50" t="s">
        <v>202</v>
      </c>
      <c r="C160" s="7" cm="1">
        <f t="array" ref="C160">SUMPRODUCT((pat_tech_hta_04[[client]:[client]]=syndicat_etude)*(pat_tech_hta_04[[annee]:[annee]]=Exercice[[Exercice N-4]:[Exercice N-4]])*(pat_tech_hta_04[acier_alu]))</f>
        <v>78</v>
      </c>
      <c r="D160" s="7" cm="1">
        <f t="array" ref="D160">SUMPRODUCT((pat_tech_hta_04[[client]:[client]]=syndicat_etude)*(pat_tech_hta_04[[annee]:[annee]]=Exercice[[Exercice N-3]:[Exercice N-3]])*(pat_tech_hta_04[acier_alu]))</f>
        <v>78</v>
      </c>
      <c r="E160" s="7" cm="1">
        <f t="array" ref="E160">SUMPRODUCT((pat_tech_hta_04[[client]:[client]]=syndicat_etude)*(pat_tech_hta_04[[annee]:[annee]]=Exercice[[Exercice N-2]:[Exercice N-2]])*(pat_tech_hta_04[acier_alu]))</f>
        <v>77</v>
      </c>
      <c r="F160" s="7" cm="1">
        <f t="array" ref="F160">SUMPRODUCT((pat_tech_hta_04[[client]:[client]]=syndicat_etude)*(pat_tech_hta_04[[annee]:[annee]]=Exercice[[Exercice N-1]:[Exercice N-1]])*(pat_tech_hta_04[acier_alu]))</f>
        <v>77</v>
      </c>
      <c r="G160" s="7" cm="1">
        <f t="array" ref="G160">SUMPRODUCT((pat_tech_hta_04[[client]:[client]]=syndicat_etude)*(pat_tech_hta_04[[annee]:[annee]]=Exercice[[Exercice N]:[Exercice N]])*(pat_tech_hta_04[acier_alu]))</f>
        <v>77</v>
      </c>
      <c r="H160" s="120" cm="1">
        <f t="array" ref="H160">SUMPRODUCT((pat_tech_hta_04[[client]:[client]]=syndicat_etude)*(pat_tech_hta_04[[annee]:[annee]]=Exercice[[Exercice N]:[Exercice N]])*(pat_tech_hta_04[pourcent_acier_alu]))</f>
        <v>1.5699999999999999E-2</v>
      </c>
    </row>
    <row r="161" spans="1:8" ht="15" customHeight="1" x14ac:dyDescent="0.25">
      <c r="B161" s="50" t="s">
        <v>203</v>
      </c>
      <c r="C161" s="7" cm="1">
        <f t="array" ref="C161">SUMPRODUCT((pat_tech_hta_04[[client]:[client]]=syndicat_etude)*(pat_tech_hta_04[[annee]:[annee]]=Exercice[[Exercice N-4]:[Exercice N-4]])*(pat_tech_hta_04[aluminium]))</f>
        <v>2319</v>
      </c>
      <c r="D161" s="7" cm="1">
        <f t="array" ref="D161">SUMPRODUCT((pat_tech_hta_04[[client]:[client]]=syndicat_etude)*(pat_tech_hta_04[[annee]:[annee]]=Exercice[[Exercice N-3]:[Exercice N-3]])*(pat_tech_hta_04[aluminium]))</f>
        <v>2343</v>
      </c>
      <c r="E161" s="7" cm="1">
        <f t="array" ref="E161">SUMPRODUCT((pat_tech_hta_04[[client]:[client]]=syndicat_etude)*(pat_tech_hta_04[[annee]:[annee]]=Exercice[[Exercice N-2]:[Exercice N-2]])*(pat_tech_hta_04[aluminium]))</f>
        <v>2485</v>
      </c>
      <c r="F161" s="7" cm="1">
        <f t="array" ref="F161">SUMPRODUCT((pat_tech_hta_04[[client]:[client]]=syndicat_etude)*(pat_tech_hta_04[[annee]:[annee]]=Exercice[[Exercice N-1]:[Exercice N-1]])*(pat_tech_hta_04[aluminium]))</f>
        <v>2525</v>
      </c>
      <c r="G161" s="7" cm="1">
        <f t="array" ref="G161">SUMPRODUCT((pat_tech_hta_04[[client]:[client]]=syndicat_etude)*(pat_tech_hta_04[[annee]:[annee]]=Exercice[[Exercice N]:[Exercice N]])*(pat_tech_hta_04[aluminium]))</f>
        <v>2551</v>
      </c>
      <c r="H161" s="120">
        <f>IFERROR(G161/$G$20,"")</f>
        <v>0.51779081332331989</v>
      </c>
    </row>
    <row r="162" spans="1:8" ht="15" customHeight="1" x14ac:dyDescent="0.25">
      <c r="B162" s="50" t="s">
        <v>204</v>
      </c>
      <c r="C162" s="7" cm="1">
        <f t="array" ref="C162">SUMPRODUCT((pat_tech_hta_04[[client]:[client]]=syndicat_etude)*(pat_tech_hta_04[[annee]:[annee]]=Exercice[[Exercice N-4]:[Exercice N-4]])*(pat_tech_hta_04[almelec]))</f>
        <v>2136</v>
      </c>
      <c r="D162" s="7" cm="1">
        <f t="array" ref="D162">SUMPRODUCT((pat_tech_hta_04[[client]:[client]]=syndicat_etude)*(pat_tech_hta_04[[annee]:[annee]]=Exercice[[Exercice N-3]:[Exercice N-3]])*(pat_tech_hta_04[almelec]))</f>
        <v>2133</v>
      </c>
      <c r="E162" s="7" cm="1">
        <f t="array" ref="E162">SUMPRODUCT((pat_tech_hta_04[[client]:[client]]=syndicat_etude)*(pat_tech_hta_04[[annee]:[annee]]=Exercice[[Exercice N-2]:[Exercice N-2]])*(pat_tech_hta_04[almelec]))</f>
        <v>2126</v>
      </c>
      <c r="F162" s="7" cm="1">
        <f t="array" ref="F162">SUMPRODUCT((pat_tech_hta_04[[client]:[client]]=syndicat_etude)*(pat_tech_hta_04[[annee]:[annee]]=Exercice[[Exercice N-1]:[Exercice N-1]])*(pat_tech_hta_04[almelec]))</f>
        <v>2121</v>
      </c>
      <c r="G162" s="7" cm="1">
        <f t="array" ref="G162">SUMPRODUCT((pat_tech_hta_04[[client]:[client]]=syndicat_etude)*(pat_tech_hta_04[[annee]:[annee]]=Exercice[[Exercice N]:[Exercice N]])*(pat_tech_hta_04[almelec]))</f>
        <v>2124</v>
      </c>
      <c r="H162" s="120">
        <f>IFERROR(G162/$G$20,"")</f>
        <v>0.4311202224612824</v>
      </c>
    </row>
    <row r="163" spans="1:8" ht="15" customHeight="1" x14ac:dyDescent="0.25">
      <c r="B163" s="50" t="s">
        <v>205</v>
      </c>
      <c r="C163" s="7" cm="1">
        <f t="array" ref="C163">SUMPRODUCT((pat_tech_hta_04[[client]:[client]]=syndicat_etude)*(pat_tech_hta_04[[annee]:[annee]]=Exercice[[Exercice N-4]:[Exercice N-4]])*(pat_tech_hta_04[almelec_acier]))</f>
        <v>0</v>
      </c>
      <c r="D163" s="7" cm="1">
        <f t="array" ref="D163">SUMPRODUCT((pat_tech_hta_04[[client]:[client]]=syndicat_etude)*(pat_tech_hta_04[[annee]:[annee]]=Exercice[[Exercice N-3]:[Exercice N-3]])*(pat_tech_hta_04[almelec_acier]))</f>
        <v>0</v>
      </c>
      <c r="E163" s="7" cm="1">
        <f t="array" ref="E163">SUMPRODUCT((pat_tech_hta_04[[client]:[client]]=syndicat_etude)*(pat_tech_hta_04[[annee]:[annee]]=Exercice[[Exercice N-2]:[Exercice N-2]])*(pat_tech_hta_04[almelec_acier]))</f>
        <v>0</v>
      </c>
      <c r="F163" s="7" cm="1">
        <f t="array" ref="F163">SUMPRODUCT((pat_tech_hta_04[[client]:[client]]=syndicat_etude)*(pat_tech_hta_04[[annee]:[annee]]=Exercice[[Exercice N-1]:[Exercice N-1]])*(pat_tech_hta_04[almelec_acier]))</f>
        <v>0</v>
      </c>
      <c r="G163" s="7" cm="1">
        <f t="array" ref="G163">SUMPRODUCT((pat_tech_hta_04[[client]:[client]]=syndicat_etude)*(pat_tech_hta_04[[annee]:[annee]]=Exercice[[Exercice N]:[Exercice N]])*(pat_tech_hta_04[almelec_acier]))</f>
        <v>0</v>
      </c>
      <c r="H163" s="120" cm="1">
        <f t="array" ref="H163">SUMPRODUCT((pat_tech_hta_04[[client]:[client]]=syndicat_etude)*(pat_tech_hta_04[[annee]:[annee]]=Exercice[[Exercice N]:[Exercice N]])*(pat_tech_hta_04[pourcent_almelec_acier]))</f>
        <v>0</v>
      </c>
    </row>
    <row r="164" spans="1:8" ht="15" customHeight="1" x14ac:dyDescent="0.25">
      <c r="B164" s="50" t="s">
        <v>206</v>
      </c>
      <c r="C164" s="7" cm="1">
        <f t="array" ref="C164">SUMPRODUCT((pat_tech_hta_04[[client]:[client]]=syndicat_etude)*(pat_tech_hta_04[[annee]:[annee]]=Exercice[[Exercice N-4]:[Exercice N-4]])*(pat_tech_hta_04[cuivre]))</f>
        <v>160</v>
      </c>
      <c r="D164" s="7" cm="1">
        <f t="array" ref="D164">SUMPRODUCT((pat_tech_hta_04[[client]:[client]]=syndicat_etude)*(pat_tech_hta_04[[annee]:[annee]]=Exercice[[Exercice N-3]:[Exercice N-3]])*(pat_tech_hta_04[cuivre]))</f>
        <v>159</v>
      </c>
      <c r="E164" s="7" cm="1">
        <f t="array" ref="E164">SUMPRODUCT((pat_tech_hta_04[[client]:[client]]=syndicat_etude)*(pat_tech_hta_04[[annee]:[annee]]=Exercice[[Exercice N-2]:[Exercice N-2]])*(pat_tech_hta_04[cuivre]))</f>
        <v>172</v>
      </c>
      <c r="F164" s="7" cm="1">
        <f t="array" ref="F164">SUMPRODUCT((pat_tech_hta_04[[client]:[client]]=syndicat_etude)*(pat_tech_hta_04[[annee]:[annee]]=Exercice[[Exercice N-1]:[Exercice N-1]])*(pat_tech_hta_04[cuivre]))</f>
        <v>171</v>
      </c>
      <c r="G164" s="7" cm="1">
        <f t="array" ref="G164">SUMPRODUCT((pat_tech_hta_04[[client]:[client]]=syndicat_etude)*(pat_tech_hta_04[[annee]:[annee]]=Exercice[[Exercice N]:[Exercice N]])*(pat_tech_hta_04[cuivre]))</f>
        <v>174</v>
      </c>
      <c r="H164" s="120" cm="1">
        <f t="array" ref="H164">SUMPRODUCT((pat_tech_hta_04[[client]:[client]]=syndicat_etude)*(pat_tech_hta_04[[annee]:[annee]]=Exercice[[Exercice N]:[Exercice N]])*(pat_tech_hta_04[pourcent_cuivre]))</f>
        <v>3.5299999999999998E-2</v>
      </c>
    </row>
    <row r="165" spans="1:8" ht="15" customHeight="1" x14ac:dyDescent="0.25">
      <c r="B165" s="131" t="s">
        <v>182</v>
      </c>
      <c r="C165" s="132">
        <f t="shared" ref="C165:H165" si="2">SUM(C160:C164)</f>
        <v>4693</v>
      </c>
      <c r="D165" s="132">
        <f t="shared" si="2"/>
        <v>4713</v>
      </c>
      <c r="E165" s="132">
        <f t="shared" si="2"/>
        <v>4860</v>
      </c>
      <c r="F165" s="132">
        <f t="shared" si="2"/>
        <v>4894</v>
      </c>
      <c r="G165" s="132">
        <f t="shared" si="2"/>
        <v>4926</v>
      </c>
      <c r="H165" s="130">
        <f t="shared" si="2"/>
        <v>0.99991103578460228</v>
      </c>
    </row>
    <row r="167" spans="1:8" ht="30" customHeight="1" x14ac:dyDescent="0.25">
      <c r="A167" s="25" t="s">
        <v>207</v>
      </c>
      <c r="B167" s="66" t="s">
        <v>208</v>
      </c>
      <c r="C167" s="67" cm="1">
        <f t="array" ref="C167">Exercice[Exercice N-4]</f>
        <v>2019</v>
      </c>
      <c r="D167" s="67" cm="1">
        <f t="array" ref="D167">Exercice[Exercice N-3]</f>
        <v>2020</v>
      </c>
      <c r="E167" s="67" cm="1">
        <f t="array" ref="E167">Exercice[Exercice N-2]</f>
        <v>2021</v>
      </c>
      <c r="F167" s="67" cm="1">
        <f t="array" ref="F167">Exercice[Exercice N-1]</f>
        <v>2022</v>
      </c>
      <c r="G167" s="67" cm="1">
        <f t="array" ref="G167">Exercice[Exercice N]</f>
        <v>2023</v>
      </c>
      <c r="H167" s="68" t="str" cm="1">
        <f t="array" ref="H167">"% "&amp;Exercice[Exercice N]</f>
        <v>% 2023</v>
      </c>
    </row>
    <row r="168" spans="1:8" ht="15" customHeight="1" x14ac:dyDescent="0.25">
      <c r="B168" s="50" t="s">
        <v>209</v>
      </c>
      <c r="C168" s="7" cm="1">
        <f t="array" ref="C168">SUMPRODUCT((pat_tech_hta_05[[client]:[client]]=syndicat_etude)*(pat_tech_hta_05[[annee]:[annee]]=Exercice[[Exercice N-4]:[Exercice N-4]])*(pat_tech_hta_05[[sans_iso]:[sans_iso]]))</f>
        <v>2265.48</v>
      </c>
      <c r="D168" s="7" cm="1">
        <f t="array" ref="D168">SUMPRODUCT((pat_tech_hta_05[[client]:[client]]=syndicat_etude)*(pat_tech_hta_05[[annee]:[annee]]=Exercice[[Exercice N-3]:[Exercice N-3]])*(pat_tech_hta_05[[sans_iso]:[sans_iso]]))</f>
        <v>2260.7800000000002</v>
      </c>
      <c r="E168" s="7" cm="1">
        <f t="array" ref="E168">SUMPRODUCT((pat_tech_hta_05[[client]:[client]]=syndicat_etude)*(pat_tech_hta_05[[annee]:[annee]]=Exercice[[Exercice N-2]:[Exercice N-2]])*(pat_tech_hta_05[[sans_iso]:[sans_iso]]))</f>
        <v>2253.23</v>
      </c>
      <c r="F168" s="7" cm="1">
        <f t="array" ref="F168">SUMPRODUCT((pat_tech_hta_05[[client]:[client]]=syndicat_etude)*(pat_tech_hta_05[[annee]:[annee]]=Exercice[[Exercice N-1]:[Exercice N-1]])*(pat_tech_hta_05[[sans_iso]:[sans_iso]]))</f>
        <v>2248.33</v>
      </c>
      <c r="G168" s="7" cm="1">
        <f t="array" ref="G168">SUMPRODUCT((pat_tech_hta_05[[client]:[client]]=syndicat_etude)*(pat_tech_hta_05[[annee]:[annee]]=Exercice[[Exercice N]:[Exercice N]])*(pat_tech_hta_05[[sans_iso]:[sans_iso]]))</f>
        <v>2251.52</v>
      </c>
      <c r="H168" s="120" cm="1">
        <f t="array" ref="H168">SUMPRODUCT((pat_tech_hta_05[[client]:[client]]=syndicat_etude)*(pat_tech_hta_05[[annee]:[annee]]=Exercice[[Exercice N]:[Exercice N]])*(pat_tech_hta_05[[pourcent_sans_iso]:[pourcent_sans_iso]]))</f>
        <v>0.45700000000000002</v>
      </c>
    </row>
    <row r="169" spans="1:8" ht="15" customHeight="1" x14ac:dyDescent="0.25">
      <c r="B169" s="50" t="s">
        <v>210</v>
      </c>
      <c r="C169" s="7" cm="1">
        <f t="array" ref="C169">SUMPRODUCT((pat_tech_hta_05[[client]:[client]]=syndicat_etude)*(pat_tech_hta_05[[annee]:[annee]]=Exercice[[Exercice N-4]:[Exercice N-4]])*(pat_tech_hta_05[[iso_synthe]:[iso_synthe]]))</f>
        <v>2330.3000000000002</v>
      </c>
      <c r="D169" s="7" cm="1">
        <f t="array" ref="D169">SUMPRODUCT((pat_tech_hta_05[[client]:[client]]=syndicat_etude)*(pat_tech_hta_05[[annee]:[annee]]=Exercice[[Exercice N-3]:[Exercice N-3]])*(pat_tech_hta_05[[iso_synthe]:[iso_synthe]]))</f>
        <v>2360.0300000000002</v>
      </c>
      <c r="E169" s="7" cm="1">
        <f t="array" ref="E169">SUMPRODUCT((pat_tech_hta_05[[client]:[client]]=syndicat_etude)*(pat_tech_hta_05[[annee]:[annee]]=Exercice[[Exercice N-2]:[Exercice N-2]])*(pat_tech_hta_05[[iso_synthe]:[iso_synthe]]))</f>
        <v>2518.23</v>
      </c>
      <c r="F169" s="7" cm="1">
        <f t="array" ref="F169">SUMPRODUCT((pat_tech_hta_05[[client]:[client]]=syndicat_etude)*(pat_tech_hta_05[[annee]:[annee]]=Exercice[[Exercice N-1]:[Exercice N-1]])*(pat_tech_hta_05[[iso_synthe]:[iso_synthe]]))</f>
        <v>2558.2199999999998</v>
      </c>
      <c r="G169" s="7" cm="1">
        <f t="array" ref="G169">SUMPRODUCT((pat_tech_hta_05[[client]:[client]]=syndicat_etude)*(pat_tech_hta_05[[annee]:[annee]]=Exercice[[Exercice N]:[Exercice N]])*(pat_tech_hta_05[[iso_synthe]:[iso_synthe]]))</f>
        <v>2592</v>
      </c>
      <c r="H169" s="120" cm="1">
        <f t="array" ref="H169">SUMPRODUCT((pat_tech_hta_05[[client]:[client]]=syndicat_etude)*(pat_tech_hta_05[[annee]:[annee]]=Exercice[[Exercice N]:[Exercice N]])*(pat_tech_hta_05[[pourcent_iso_synthe]:[pourcent_iso_synthe]]))</f>
        <v>0.52610000000000001</v>
      </c>
    </row>
    <row r="170" spans="1:8" ht="15" customHeight="1" x14ac:dyDescent="0.25">
      <c r="B170" s="53" t="s">
        <v>211</v>
      </c>
      <c r="C170" s="88" cm="1">
        <f t="array" ref="C170">SUMPRODUCT((pat_tech_hta_05[[client]:[client]]=syndicat_etude)*(pat_tech_hta_05[[annee]:[annee]]=Exercice[[Exercice N-4]:[Exercice N-4]])*(pat_tech_hta_05[[iso_pap]:[iso_pap]]))</f>
        <v>97.07</v>
      </c>
      <c r="D170" s="88" cm="1">
        <f t="array" ref="D170">SUMPRODUCT((pat_tech_hta_05[[client]:[client]]=syndicat_etude)*(pat_tech_hta_05[[annee]:[annee]]=Exercice[[Exercice N-3]:[Exercice N-3]])*(pat_tech_hta_05[[iso_pap]:[iso_pap]]))</f>
        <v>91.24</v>
      </c>
      <c r="E170" s="88" cm="1">
        <f t="array" ref="E170">SUMPRODUCT((pat_tech_hta_05[[client]:[client]]=syndicat_etude)*(pat_tech_hta_05[[annee]:[annee]]=Exercice[[Exercice N-2]:[Exercice N-2]])*(pat_tech_hta_05[[iso_pap]:[iso_pap]]))</f>
        <v>87.81</v>
      </c>
      <c r="F170" s="88" cm="1">
        <f t="array" ref="F170">SUMPRODUCT((pat_tech_hta_05[[client]:[client]]=syndicat_etude)*(pat_tech_hta_05[[annee]:[annee]]=Exercice[[Exercice N-1]:[Exercice N-1]])*(pat_tech_hta_05[[iso_pap]:[iso_pap]]))</f>
        <v>86.86</v>
      </c>
      <c r="G170" s="88" cm="1">
        <f t="array" ref="G170">SUMPRODUCT((pat_tech_hta_05[[client]:[client]]=syndicat_etude)*(pat_tech_hta_05[[annee]:[annee]]=Exercice[[Exercice N]:[Exercice N]])*(pat_tech_hta_05[[iso_pap]:[iso_pap]]))</f>
        <v>83.21</v>
      </c>
      <c r="H170" s="133" cm="1">
        <f t="array" ref="H170">SUMPRODUCT((pat_tech_hta_05[[client]:[client]]=syndicat_etude)*(pat_tech_hta_05[[annee]:[annee]]=Exercice[[Exercice N]:[Exercice N]])*(pat_tech_hta_05[[pourcent_iso_pap]:[pourcent_iso_pap]]))</f>
        <v>1.6899999999999998E-2</v>
      </c>
    </row>
    <row r="172" spans="1:8" ht="30" customHeight="1" x14ac:dyDescent="0.25">
      <c r="A172" s="479" t="s">
        <v>212</v>
      </c>
      <c r="B172" s="66" t="s">
        <v>213</v>
      </c>
      <c r="C172" s="67" cm="1">
        <f t="array" ref="C172">Exercice[Exercice N-4]</f>
        <v>2019</v>
      </c>
      <c r="D172" s="67" cm="1">
        <f t="array" ref="D172">Exercice[Exercice N-3]</f>
        <v>2020</v>
      </c>
      <c r="E172" s="67" cm="1">
        <f t="array" ref="E172">Exercice[Exercice N-2]</f>
        <v>2021</v>
      </c>
      <c r="F172" s="67" cm="1">
        <f t="array" ref="F172">Exercice[Exercice N-1]</f>
        <v>2022</v>
      </c>
      <c r="G172" s="69" cm="1">
        <f t="array" ref="G172">Exercice[Exercice N]</f>
        <v>2023</v>
      </c>
    </row>
    <row r="173" spans="1:8" ht="15" customHeight="1" x14ac:dyDescent="0.25">
      <c r="B173" s="50" t="s">
        <v>214</v>
      </c>
      <c r="C173" s="7">
        <f>C$170</f>
        <v>97.07</v>
      </c>
      <c r="D173" s="7">
        <f>D$170</f>
        <v>91.24</v>
      </c>
      <c r="E173" s="7">
        <f>E$170</f>
        <v>87.81</v>
      </c>
      <c r="F173" s="7">
        <f>F$170</f>
        <v>86.86</v>
      </c>
      <c r="G173" s="83">
        <f>G$170</f>
        <v>83.21</v>
      </c>
    </row>
    <row r="174" spans="1:8" ht="15" customHeight="1" x14ac:dyDescent="0.25">
      <c r="B174" s="50" t="s">
        <v>215</v>
      </c>
      <c r="C174" s="84" cm="1">
        <f t="array" ref="C174">SUMPRODUCT((pat_tech_hta_05[[client]:[client]]=syndicat_etude)*(pat_tech_hta_05[[annee]:[annee]]=Exercice[[Exercice N-4]:[Exercice N-4]])*(pat_tech_hta_05[[lg_synth_1ere_gen]:[lg_synth_1ere_gen]]))</f>
        <v>1.78</v>
      </c>
      <c r="D174" s="84" cm="1">
        <f t="array" ref="D174">SUMPRODUCT((pat_tech_hta_05[[client]:[client]]=syndicat_etude)*(pat_tech_hta_05[[annee]:[annee]]=Exercice[[Exercice N-3]:[Exercice N-3]])*(pat_tech_hta_05[[lg_synth_1ere_gen]:[lg_synth_1ere_gen]]))</f>
        <v>1.78</v>
      </c>
      <c r="E174" s="84" cm="1">
        <f t="array" ref="E174">SUMPRODUCT((pat_tech_hta_05[[client]:[client]]=syndicat_etude)*(pat_tech_hta_05[[annee]:[annee]]=Exercice[[Exercice N-2]:[Exercice N-2]])*(pat_tech_hta_05[[lg_synth_1ere_gen]:[lg_synth_1ere_gen]]))</f>
        <v>1.78</v>
      </c>
      <c r="F174" s="84" cm="1">
        <f t="array" ref="F174">SUMPRODUCT((pat_tech_hta_05[[client]:[client]]=syndicat_etude)*(pat_tech_hta_05[[annee]:[annee]]=Exercice[[Exercice N-1]:[Exercice N-1]])*(pat_tech_hta_05[[lg_synth_1ere_gen]:[lg_synth_1ere_gen]]))</f>
        <v>1.78</v>
      </c>
      <c r="G174" s="85" cm="1">
        <f t="array" ref="G174">SUMPRODUCT((pat_tech_hta_05[[client]:[client]]=syndicat_etude)*(pat_tech_hta_05[[annee]:[annee]]=Exercice[[Exercice N]:[Exercice N]])*(pat_tech_hta_05[[lg_synth_1ere_gen]:[lg_synth_1ere_gen]]))</f>
        <v>1.78</v>
      </c>
    </row>
    <row r="175" spans="1:8" ht="15" customHeight="1" x14ac:dyDescent="0.25">
      <c r="B175" s="127" t="s">
        <v>216</v>
      </c>
      <c r="C175" s="128" t="str">
        <f>IFERROR((C$173+C$174)/C$19,"-")</f>
        <v>-</v>
      </c>
      <c r="D175" s="128">
        <f>IFERROR((D$173+D$174)/D$19,"-")</f>
        <v>3.7947211683596452E-2</v>
      </c>
      <c r="E175" s="128">
        <f>IFERROR((E$173+E$174)/E$19,"-")</f>
        <v>3.4378357636224099E-2</v>
      </c>
      <c r="F175" s="128">
        <f>IFERROR((F$173+F$174)/F$19,"-")</f>
        <v>3.3511020377301429E-2</v>
      </c>
      <c r="G175" s="129">
        <f>IFERROR((G$173+G$174)/G$19,"-")</f>
        <v>3.1769587320574166E-2</v>
      </c>
    </row>
    <row r="177" spans="1:12" ht="15" customHeight="1" x14ac:dyDescent="0.25">
      <c r="A177" s="479" t="s">
        <v>217</v>
      </c>
      <c r="B177" s="237" t="s">
        <v>218</v>
      </c>
    </row>
    <row r="179" spans="1:12" ht="15" customHeight="1" x14ac:dyDescent="0.25">
      <c r="A179" s="479" t="s">
        <v>219</v>
      </c>
      <c r="B179" s="237" t="s">
        <v>220</v>
      </c>
    </row>
    <row r="181" spans="1:12" ht="15" customHeight="1" x14ac:dyDescent="0.25">
      <c r="A181" s="479" t="s">
        <v>221</v>
      </c>
      <c r="B181" s="237" t="s">
        <v>222</v>
      </c>
    </row>
    <row r="183" spans="1:12" ht="15" customHeight="1" x14ac:dyDescent="0.25">
      <c r="A183" s="479" t="s">
        <v>223</v>
      </c>
      <c r="B183" s="237" t="s">
        <v>224</v>
      </c>
    </row>
    <row r="185" spans="1:12" ht="30" customHeight="1" x14ac:dyDescent="0.25">
      <c r="A185" s="25" t="s">
        <v>225</v>
      </c>
      <c r="B185" s="54" t="s">
        <v>226</v>
      </c>
      <c r="C185" s="764" cm="1">
        <f t="array" ref="C185">Exercice[Exercice N-4]</f>
        <v>2019</v>
      </c>
      <c r="D185" s="764"/>
      <c r="E185" s="764" cm="1">
        <f t="array" ref="E185">Exercice[Exercice N-3]</f>
        <v>2020</v>
      </c>
      <c r="F185" s="764"/>
      <c r="G185" s="764" cm="1">
        <f t="array" ref="G185">Exercice[Exercice N-2]</f>
        <v>2021</v>
      </c>
      <c r="H185" s="764"/>
      <c r="I185" s="764" cm="1">
        <f t="array" ref="I185">Exercice[Exercice N-1]</f>
        <v>2022</v>
      </c>
      <c r="J185" s="764"/>
      <c r="K185" s="764" cm="1">
        <f t="array" ref="K185">Exercice[Exercice N]</f>
        <v>2023</v>
      </c>
      <c r="L185" s="765"/>
    </row>
    <row r="186" spans="1:12" ht="15" customHeight="1" x14ac:dyDescent="0.25">
      <c r="B186" s="61" t="s">
        <v>227</v>
      </c>
      <c r="C186" s="761" cm="1">
        <f t="array" ref="C186">SUMPRODUCT((pat_tech_hta_07[[client]:[client]]=syndicat_etude)*(pat_tech_hta_07[[annee]:[annee]]=Exercice[[Exercice N-4]:[Exercice N-4]])*(pat_tech_hta_07[long_tot]))</f>
        <v>4692.8599999999997</v>
      </c>
      <c r="D186" s="761"/>
      <c r="E186" s="761" cm="1">
        <f t="array" ref="E186">SUMPRODUCT((pat_tech_hta_07[[client]:[client]]=syndicat_etude)*(pat_tech_hta_07[[annee]:[annee]]=Exercice[[Exercice N-3]:[Exercice N-3]])*(pat_tech_hta_07[long_tot]))</f>
        <v>4712.05</v>
      </c>
      <c r="F186" s="761"/>
      <c r="G186" s="761" cm="1">
        <f t="array" ref="G186">SUMPRODUCT((pat_tech_hta_07[[client]:[client]]=syndicat_etude)*(pat_tech_hta_07[[annee]:[annee]]=Exercice[[Exercice N-2]:[Exercice N-2]])*(pat_tech_hta_07[long_tot]))</f>
        <v>4859.2700000000004</v>
      </c>
      <c r="H186" s="761"/>
      <c r="I186" s="761" cm="1">
        <f t="array" ref="I186">SUMPRODUCT((pat_tech_hta_07[[client]:[client]]=syndicat_etude)*(pat_tech_hta_07[[annee]:[annee]]=Exercice[[Exercice N-1]:[Exercice N-1]])*(pat_tech_hta_07[long_tot]))</f>
        <v>4893.42</v>
      </c>
      <c r="J186" s="761"/>
      <c r="K186" s="761" cm="1">
        <f t="array" ref="K186">SUMPRODUCT((pat_tech_hta_07[[client]:[client]]=syndicat_etude)*(pat_tech_hta_07[[annee]:[annee]]=Exercice[[Exercice N]:[Exercice N]])*(pat_tech_hta_07[long_tot]))</f>
        <v>4926.7299999999996</v>
      </c>
      <c r="L186" s="762"/>
    </row>
    <row r="187" spans="1:12" ht="15" customHeight="1" x14ac:dyDescent="0.25">
      <c r="B187" s="53" t="s">
        <v>228</v>
      </c>
      <c r="C187" s="759" cm="1">
        <f t="array" ref="C187">SUMPRODUCT((pat_tech_hta_07[[client]:[client]]=syndicat_etude)*(pat_tech_hta_07[[annee]:[annee]]=Exercice[[Exercice N-4]:[Exercice N-4]])*(pat_tech_hta_07[age_moyen]))</f>
        <v>26.99</v>
      </c>
      <c r="D187" s="759"/>
      <c r="E187" s="759" cm="1">
        <f t="array" ref="E187">SUMPRODUCT((pat_tech_hta_07[[client]:[client]]=syndicat_etude)*(pat_tech_hta_07[[annee]:[annee]]=Exercice[[Exercice N-3]:[Exercice N-3]])*(pat_tech_hta_07[age_moyen]))</f>
        <v>27.76</v>
      </c>
      <c r="F187" s="759"/>
      <c r="G187" s="759" cm="1">
        <f t="array" ref="G187">SUMPRODUCT((pat_tech_hta_07[[client]:[client]]=syndicat_etude)*(pat_tech_hta_07[[annee]:[annee]]=Exercice[[Exercice N-2]:[Exercice N-2]])*(pat_tech_hta_07[age_moyen]))</f>
        <v>27.78</v>
      </c>
      <c r="H187" s="759"/>
      <c r="I187" s="759" cm="1">
        <f t="array" ref="I187">SUMPRODUCT((pat_tech_hta_07[[client]:[client]]=syndicat_etude)*(pat_tech_hta_07[[annee]:[annee]]=Exercice[[Exercice N-1]:[Exercice N-1]])*(pat_tech_hta_07[age_moyen]))</f>
        <v>28.51</v>
      </c>
      <c r="J187" s="759"/>
      <c r="K187" s="759" cm="1">
        <f t="array" ref="K187">SUMPRODUCT((pat_tech_hta_07[[client]:[client]]=syndicat_etude)*(pat_tech_hta_07[[annee]:[annee]]=Exercice[[Exercice N]:[Exercice N]])*(pat_tech_hta_07[age_moyen]))</f>
        <v>29.3</v>
      </c>
      <c r="L187" s="760"/>
    </row>
    <row r="188" spans="1:12" ht="15" customHeight="1" x14ac:dyDescent="0.25">
      <c r="B188" s="50" t="s">
        <v>229</v>
      </c>
      <c r="C188" s="13" cm="1">
        <f t="array" ref="C188">SUMPRODUCT((pat_tech_hta_07[[client]:[client]]=syndicat_etude)*(pat_tech_hta_07[[annee]:[annee]]=Exercice[[Exercice N-4]:[Exercice N-4]])*(pat_tech_hta_07[long_inf_10_ans]))</f>
        <v>997.19</v>
      </c>
      <c r="D188" s="135" cm="1">
        <f t="array" ref="D188">SUMPRODUCT((pat_tech_hta_07[[client]:[client]]=syndicat_etude)*(pat_tech_hta_07[[annee]:[annee]]=Exercice[[Exercice N-4]:[Exercice N-4]])*(pat_tech_hta_07[pourcent_long_inf_10_ans]))</f>
        <v>0.21249999999999999</v>
      </c>
      <c r="E188" s="109" cm="1">
        <f t="array" ref="E188">SUMPRODUCT((pat_tech_hta_07[[client]:[client]]=syndicat_etude)*(pat_tech_hta_07[[annee]:[annee]]=Exercice[[Exercice N-3]:[Exercice N-3]])*(pat_tech_hta_07[long_inf_10_ans]))</f>
        <v>921.51</v>
      </c>
      <c r="F188" s="147" cm="1">
        <f t="array" ref="F188">SUMPRODUCT((pat_tech_hta_07[[client]:[client]]=syndicat_etude)*(pat_tech_hta_07[[annee]:[annee]]=Exercice[[Exercice N-3]:[Exercice N-3]])*(pat_tech_hta_07[pourcent_long_inf_10_ans]))</f>
        <v>0.1956</v>
      </c>
      <c r="G188" s="109" cm="1">
        <f t="array" ref="G188">SUMPRODUCT((pat_tech_hta_07[[client]:[client]]=syndicat_etude)*(pat_tech_hta_07[[annee]:[annee]]=Exercice[[Exercice N-2]:[Exercice N-2]])*(pat_tech_hta_07[long_inf_10_ans]))</f>
        <v>991.34</v>
      </c>
      <c r="H188" s="147" cm="1">
        <f t="array" ref="H188">SUMPRODUCT((pat_tech_hta_07[[client]:[client]]=syndicat_etude)*(pat_tech_hta_07[[annee]:[annee]]=Exercice[[Exercice N-2]:[Exercice N-2]])*(pat_tech_hta_07[pourcent_long_inf_10_ans]))</f>
        <v>0.20399999999999999</v>
      </c>
      <c r="I188" s="109" cm="1">
        <f t="array" ref="I188">SUMPRODUCT((pat_tech_hta_07[[client]:[client]]=syndicat_etude)*(pat_tech_hta_07[[annee]:[annee]]=Exercice[[Exercice N-1]:[Exercice N-1]])*(pat_tech_hta_07[long_inf_10_ans]))</f>
        <v>851.71</v>
      </c>
      <c r="J188" s="147" cm="1">
        <f t="array" ref="J188">SUMPRODUCT((pat_tech_hta_07[[client]:[client]]=syndicat_etude)*(pat_tech_hta_07[[annee]:[annee]]=Exercice[[Exercice N-1]:[Exercice N-1]])*(pat_tech_hta_07[pourcent_long_inf_10_ans]))</f>
        <v>0.1741</v>
      </c>
      <c r="K188" s="13" cm="1">
        <f t="array" ref="K188">SUMPRODUCT((pat_tech_hta_07[[client]:[client]]=syndicat_etude)*(pat_tech_hta_07[[annee]:[annee]]=Exercice[[Exercice N]:[Exercice N]])*(pat_tech_hta_07[long_inf_10_ans]))</f>
        <v>846.8</v>
      </c>
      <c r="L188" s="137" cm="1">
        <f t="array" ref="L188">SUMPRODUCT((pat_tech_hta_07[[client]:[client]]=syndicat_etude)*(pat_tech_hta_07[[annee]:[annee]]=Exercice[[Exercice N]:[Exercice N]])*(pat_tech_hta_07[pourcent_long_inf_10_ans]))</f>
        <v>0.1719</v>
      </c>
    </row>
    <row r="189" spans="1:12" ht="15" customHeight="1" x14ac:dyDescent="0.25">
      <c r="B189" s="50" t="s">
        <v>230</v>
      </c>
      <c r="C189" s="13" cm="1">
        <f t="array" ref="C189">SUMPRODUCT((pat_tech_hta_07[[client]:[client]]=syndicat_etude)*(pat_tech_hta_07[[annee]:[annee]]=Exercice[[Exercice N-4]:[Exercice N-4]])*(pat_tech_hta_07[long_btw_10_20_ans]))</f>
        <v>665.72</v>
      </c>
      <c r="D189" s="135" cm="1">
        <f t="array" ref="D189">SUMPRODUCT((pat_tech_hta_07[[client]:[client]]=syndicat_etude)*(pat_tech_hta_07[[annee]:[annee]]=Exercice[[Exercice N-4]:[Exercice N-4]])*(pat_tech_hta_07[pourcent_long_btw_10_20_ans]))</f>
        <v>0.1419</v>
      </c>
      <c r="E189" s="107" cm="1">
        <f t="array" ref="E189">SUMPRODUCT((pat_tech_hta_07[[client]:[client]]=syndicat_etude)*(pat_tech_hta_07[[annee]:[annee]]=Exercice[[Exercice N-3]:[Exercice N-3]])*(pat_tech_hta_07[long_btw_10_20_ans]))</f>
        <v>675.19</v>
      </c>
      <c r="F189" s="137" cm="1">
        <f t="array" ref="F189">SUMPRODUCT((pat_tech_hta_07[[client]:[client]]=syndicat_etude)*(pat_tech_hta_07[[annee]:[annee]]=Exercice[[Exercice N-3]:[Exercice N-3]])*(pat_tech_hta_07[pourcent_long_btw_10_20_ans]))</f>
        <v>0.14330000000000001</v>
      </c>
      <c r="G189" s="107" cm="1">
        <f t="array" ref="G189">SUMPRODUCT((pat_tech_hta_07[[client]:[client]]=syndicat_etude)*(pat_tech_hta_07[[annee]:[annee]]=Exercice[[Exercice N-2]:[Exercice N-2]])*(pat_tech_hta_07[long_btw_10_20_ans]))</f>
        <v>682.49</v>
      </c>
      <c r="H189" s="137" cm="1">
        <f t="array" ref="H189">SUMPRODUCT((pat_tech_hta_07[[client]:[client]]=syndicat_etude)*(pat_tech_hta_07[[annee]:[annee]]=Exercice[[Exercice N-2]:[Exercice N-2]])*(pat_tech_hta_07[pourcent_long_btw_10_20_ans]))</f>
        <v>0.14050000000000001</v>
      </c>
      <c r="I189" s="107" cm="1">
        <f t="array" ref="I189">SUMPRODUCT((pat_tech_hta_07[[client]:[client]]=syndicat_etude)*(pat_tech_hta_07[[annee]:[annee]]=Exercice[[Exercice N-1]:[Exercice N-1]])*(pat_tech_hta_07[long_btw_10_20_ans]))</f>
        <v>749.7</v>
      </c>
      <c r="J189" s="137" cm="1">
        <f t="array" ref="J189">SUMPRODUCT((pat_tech_hta_07[[client]:[client]]=syndicat_etude)*(pat_tech_hta_07[[annee]:[annee]]=Exercice[[Exercice N-1]:[Exercice N-1]])*(pat_tech_hta_07[pourcent_long_btw_10_20_ans]))</f>
        <v>0.1532</v>
      </c>
      <c r="K189" s="13" cm="1">
        <f t="array" ref="K189">SUMPRODUCT((pat_tech_hta_07[[client]:[client]]=syndicat_etude)*(pat_tech_hta_07[[annee]:[annee]]=Exercice[[Exercice N]:[Exercice N]])*(pat_tech_hta_07[long_btw_10_20_ans]))</f>
        <v>755.92</v>
      </c>
      <c r="L189" s="137" cm="1">
        <f t="array" ref="L189">SUMPRODUCT((pat_tech_hta_07[[client]:[client]]=syndicat_etude)*(pat_tech_hta_07[[annee]:[annee]]=Exercice[[Exercice N]:[Exercice N]])*(pat_tech_hta_07[pourcent_long_btw_10_20_ans]))</f>
        <v>0.15340000000000001</v>
      </c>
    </row>
    <row r="190" spans="1:12" ht="15" customHeight="1" x14ac:dyDescent="0.25">
      <c r="B190" s="50" t="s">
        <v>231</v>
      </c>
      <c r="C190" s="13" cm="1">
        <f t="array" ref="C190">SUMPRODUCT((pat_tech_hta_07[[client]:[client]]=syndicat_etude)*(pat_tech_hta_07[[annee]:[annee]]=Exercice[[Exercice N-4]:[Exercice N-4]])*(pat_tech_hta_07[long_btw_20_30_ans]))</f>
        <v>924.15</v>
      </c>
      <c r="D190" s="135" cm="1">
        <f t="array" ref="D190">SUMPRODUCT((pat_tech_hta_07[[client]:[client]]=syndicat_etude)*(pat_tech_hta_07[[annee]:[annee]]=Exercice[[Exercice N-4]:[Exercice N-4]])*(pat_tech_hta_07[pourcent_long_btw_20_30_ans]))</f>
        <v>0.19689999999999999</v>
      </c>
      <c r="E190" s="107" cm="1">
        <f t="array" ref="E190">SUMPRODUCT((pat_tech_hta_07[[client]:[client]]=syndicat_etude)*(pat_tech_hta_07[[annee]:[annee]]=Exercice[[Exercice N-3]:[Exercice N-3]])*(pat_tech_hta_07[long_btw_20_30_ans]))</f>
        <v>901.97</v>
      </c>
      <c r="F190" s="137" cm="1">
        <f t="array" ref="F190">SUMPRODUCT((pat_tech_hta_07[[client]:[client]]=syndicat_etude)*(pat_tech_hta_07[[annee]:[annee]]=Exercice[[Exercice N-3]:[Exercice N-3]])*(pat_tech_hta_07[pourcent_long_btw_20_30_ans]))</f>
        <v>0.19139999999999999</v>
      </c>
      <c r="G190" s="107" cm="1">
        <f t="array" ref="G190">SUMPRODUCT((pat_tech_hta_07[[client]:[client]]=syndicat_etude)*(pat_tech_hta_07[[annee]:[annee]]=Exercice[[Exercice N-2]:[Exercice N-2]])*(pat_tech_hta_07[long_btw_20_30_ans]))</f>
        <v>856.6</v>
      </c>
      <c r="H190" s="137" cm="1">
        <f t="array" ref="H190">SUMPRODUCT((pat_tech_hta_07[[client]:[client]]=syndicat_etude)*(pat_tech_hta_07[[annee]:[annee]]=Exercice[[Exercice N-2]:[Exercice N-2]])*(pat_tech_hta_07[pourcent_long_btw_20_30_ans]))</f>
        <v>0.17630000000000001</v>
      </c>
      <c r="I190" s="107" cm="1">
        <f t="array" ref="I190">SUMPRODUCT((pat_tech_hta_07[[client]:[client]]=syndicat_etude)*(pat_tech_hta_07[[annee]:[annee]]=Exercice[[Exercice N-1]:[Exercice N-1]])*(pat_tech_hta_07[long_btw_20_30_ans]))</f>
        <v>833.13</v>
      </c>
      <c r="J190" s="137" cm="1">
        <f t="array" ref="J190">SUMPRODUCT((pat_tech_hta_07[[client]:[client]]=syndicat_etude)*(pat_tech_hta_07[[annee]:[annee]]=Exercice[[Exercice N-1]:[Exercice N-1]])*(pat_tech_hta_07[pourcent_long_btw_20_30_ans]))</f>
        <v>0.17030000000000001</v>
      </c>
      <c r="K190" s="13" cm="1">
        <f t="array" ref="K190">SUMPRODUCT((pat_tech_hta_07[[client]:[client]]=syndicat_etude)*(pat_tech_hta_07[[annee]:[annee]]=Exercice[[Exercice N]:[Exercice N]])*(pat_tech_hta_07[long_btw_20_30_ans]))</f>
        <v>783.12</v>
      </c>
      <c r="L190" s="137" cm="1">
        <f t="array" ref="L190">SUMPRODUCT((pat_tech_hta_07[[client]:[client]]=syndicat_etude)*(pat_tech_hta_07[[annee]:[annee]]=Exercice[[Exercice N]:[Exercice N]])*(pat_tech_hta_07[pourcent_long_btw_20_30_ans]))</f>
        <v>0.159</v>
      </c>
    </row>
    <row r="191" spans="1:12" ht="15" customHeight="1" x14ac:dyDescent="0.25">
      <c r="B191" s="50" t="s">
        <v>232</v>
      </c>
      <c r="C191" s="13" cm="1">
        <f t="array" ref="C191">SUMPRODUCT((pat_tech_hta_07[[client]:[client]]=syndicat_etude)*(pat_tech_hta_07[[annee]:[annee]]=Exercice[[Exercice N-4]:[Exercice N-4]])*(pat_tech_hta_07[long_btw_30_40_ans]))</f>
        <v>970.22</v>
      </c>
      <c r="D191" s="135" cm="1">
        <f t="array" ref="D191">SUMPRODUCT((pat_tech_hta_07[[client]:[client]]=syndicat_etude)*(pat_tech_hta_07[[annee]:[annee]]=Exercice[[Exercice N-4]:[Exercice N-4]])*(pat_tech_hta_07[pourcent_long_btw_30_40_ans]))</f>
        <v>0.20669999999999999</v>
      </c>
      <c r="E191" s="107" cm="1">
        <f t="array" ref="E191">SUMPRODUCT((pat_tech_hta_07[[client]:[client]]=syndicat_etude)*(pat_tech_hta_07[[annee]:[annee]]=Exercice[[Exercice N-3]:[Exercice N-3]])*(pat_tech_hta_07[long_btw_30_40_ans]))</f>
        <v>1048.9100000000001</v>
      </c>
      <c r="F191" s="137" cm="1">
        <f t="array" ref="F191">SUMPRODUCT((pat_tech_hta_07[[client]:[client]]=syndicat_etude)*(pat_tech_hta_07[[annee]:[annee]]=Exercice[[Exercice N-3]:[Exercice N-3]])*(pat_tech_hta_07[pourcent_long_btw_30_40_ans]))</f>
        <v>0.22259999999999999</v>
      </c>
      <c r="G191" s="107" cm="1">
        <f t="array" ref="G191">SUMPRODUCT((pat_tech_hta_07[[client]:[client]]=syndicat_etude)*(pat_tech_hta_07[[annee]:[annee]]=Exercice[[Exercice N-2]:[Exercice N-2]])*(pat_tech_hta_07[long_btw_30_40_ans]))</f>
        <v>1136.42</v>
      </c>
      <c r="H191" s="137" cm="1">
        <f t="array" ref="H191">SUMPRODUCT((pat_tech_hta_07[[client]:[client]]=syndicat_etude)*(pat_tech_hta_07[[annee]:[annee]]=Exercice[[Exercice N-2]:[Exercice N-2]])*(pat_tech_hta_07[pourcent_long_btw_30_40_ans]))</f>
        <v>0.2339</v>
      </c>
      <c r="I191" s="107" cm="1">
        <f t="array" ref="I191">SUMPRODUCT((pat_tech_hta_07[[client]:[client]]=syndicat_etude)*(pat_tech_hta_07[[annee]:[annee]]=Exercice[[Exercice N-1]:[Exercice N-1]])*(pat_tech_hta_07[long_btw_30_40_ans]))</f>
        <v>1193.9100000000001</v>
      </c>
      <c r="J191" s="137" cm="1">
        <f t="array" ref="J191">SUMPRODUCT((pat_tech_hta_07[[client]:[client]]=syndicat_etude)*(pat_tech_hta_07[[annee]:[annee]]=Exercice[[Exercice N-1]:[Exercice N-1]])*(pat_tech_hta_07[pourcent_long_btw_30_40_ans]))</f>
        <v>0.24399999999999999</v>
      </c>
      <c r="K191" s="13" cm="1">
        <f t="array" ref="K191">SUMPRODUCT((pat_tech_hta_07[[client]:[client]]=syndicat_etude)*(pat_tech_hta_07[[annee]:[annee]]=Exercice[[Exercice N]:[Exercice N]])*(pat_tech_hta_07[long_btw_30_40_ans]))</f>
        <v>1212.32</v>
      </c>
      <c r="L191" s="137" cm="1">
        <f t="array" ref="L191">SUMPRODUCT((pat_tech_hta_07[[client]:[client]]=syndicat_etude)*(pat_tech_hta_07[[annee]:[annee]]=Exercice[[Exercice N]:[Exercice N]])*(pat_tech_hta_07[pourcent_long_btw_30_40_ans]))</f>
        <v>0.24610000000000001</v>
      </c>
    </row>
    <row r="192" spans="1:12" ht="15" customHeight="1" x14ac:dyDescent="0.25">
      <c r="B192" s="50" t="s">
        <v>233</v>
      </c>
      <c r="C192" s="13" cm="1">
        <f t="array" ref="C192">SUMPRODUCT((pat_tech_hta_07[[client]:[client]]=syndicat_etude)*(pat_tech_hta_07[[annee]:[annee]]=Exercice[[Exercice N-4]:[Exercice N-4]])*(pat_tech_hta_07[long_btw_40_50_ans]))</f>
        <v>523.67999999999995</v>
      </c>
      <c r="D192" s="135" cm="1">
        <f t="array" ref="D192">SUMPRODUCT((pat_tech_hta_07[[client]:[client]]=syndicat_etude)*(pat_tech_hta_07[[annee]:[annee]]=Exercice[[Exercice N-4]:[Exercice N-4]])*(pat_tech_hta_07[pourcent_long_btw_40_50_ans]))</f>
        <v>0.1116</v>
      </c>
      <c r="E192" s="107" cm="1">
        <f t="array" ref="E192">SUMPRODUCT((pat_tech_hta_07[[client]:[client]]=syndicat_etude)*(pat_tech_hta_07[[annee]:[annee]]=Exercice[[Exercice N-3]:[Exercice N-3]])*(pat_tech_hta_07[long_btw_40_50_ans]))</f>
        <v>496.07</v>
      </c>
      <c r="F192" s="137" cm="1">
        <f t="array" ref="F192">SUMPRODUCT((pat_tech_hta_07[[client]:[client]]=syndicat_etude)*(pat_tech_hta_07[[annee]:[annee]]=Exercice[[Exercice N-3]:[Exercice N-3]])*(pat_tech_hta_07[pourcent_long_btw_40_50_ans]))</f>
        <v>0.1053</v>
      </c>
      <c r="G192" s="107" cm="1">
        <f t="array" ref="G192">SUMPRODUCT((pat_tech_hta_07[[client]:[client]]=syndicat_etude)*(pat_tech_hta_07[[annee]:[annee]]=Exercice[[Exercice N-2]:[Exercice N-2]])*(pat_tech_hta_07[long_btw_40_50_ans]))</f>
        <v>482.26</v>
      </c>
      <c r="H192" s="137" cm="1">
        <f t="array" ref="H192">SUMPRODUCT((pat_tech_hta_07[[client]:[client]]=syndicat_etude)*(pat_tech_hta_07[[annee]:[annee]]=Exercice[[Exercice N-2]:[Exercice N-2]])*(pat_tech_hta_07[pourcent_long_btw_40_50_ans]))</f>
        <v>9.9199999999999997E-2</v>
      </c>
      <c r="I192" s="107" cm="1">
        <f t="array" ref="I192">SUMPRODUCT((pat_tech_hta_07[[client]:[client]]=syndicat_etude)*(pat_tech_hta_07[[annee]:[annee]]=Exercice[[Exercice N-1]:[Exercice N-1]])*(pat_tech_hta_07[long_btw_40_50_ans]))</f>
        <v>515.14</v>
      </c>
      <c r="J192" s="137" cm="1">
        <f t="array" ref="J192">SUMPRODUCT((pat_tech_hta_07[[client]:[client]]=syndicat_etude)*(pat_tech_hta_07[[annee]:[annee]]=Exercice[[Exercice N-1]:[Exercice N-1]])*(pat_tech_hta_07[pourcent_long_btw_40_50_ans]))</f>
        <v>0.1053</v>
      </c>
      <c r="K192" s="13" cm="1">
        <f t="array" ref="K192">SUMPRODUCT((pat_tech_hta_07[[client]:[client]]=syndicat_etude)*(pat_tech_hta_07[[annee]:[annee]]=Exercice[[Exercice N]:[Exercice N]])*(pat_tech_hta_07[long_btw_40_50_ans]))</f>
        <v>515.38</v>
      </c>
      <c r="L192" s="137" cm="1">
        <f t="array" ref="L192">SUMPRODUCT((pat_tech_hta_07[[client]:[client]]=syndicat_etude)*(pat_tech_hta_07[[annee]:[annee]]=Exercice[[Exercice N]:[Exercice N]])*(pat_tech_hta_07[pourcent_long_btw_40_50_ans]))</f>
        <v>0.1046</v>
      </c>
    </row>
    <row r="193" spans="1:12" ht="15" customHeight="1" x14ac:dyDescent="0.25">
      <c r="B193" s="50" t="s">
        <v>234</v>
      </c>
      <c r="C193" s="13" cm="1">
        <f t="array" ref="C193">SUMPRODUCT((pat_tech_hta_07[[client]:[client]]=syndicat_etude)*(pat_tech_hta_07[[annee]:[annee]]=Exercice[[Exercice N-4]:[Exercice N-4]])*(pat_tech_hta_07[long_btw_50_60_ans]))</f>
        <v>557.54</v>
      </c>
      <c r="D193" s="135" cm="1">
        <f t="array" ref="D193">SUMPRODUCT((pat_tech_hta_07[[client]:[client]]=syndicat_etude)*(pat_tech_hta_07[[annee]:[annee]]=Exercice[[Exercice N-4]:[Exercice N-4]])*(pat_tech_hta_07[pourcent_long_btw_50_60_ans]))</f>
        <v>0.1188</v>
      </c>
      <c r="E193" s="107" cm="1">
        <f t="array" ref="E193">SUMPRODUCT((pat_tech_hta_07[[client]:[client]]=syndicat_etude)*(pat_tech_hta_07[[annee]:[annee]]=Exercice[[Exercice N-3]:[Exercice N-3]])*(pat_tech_hta_07[long_btw_50_60_ans]))</f>
        <v>565.77</v>
      </c>
      <c r="F193" s="137" cm="1">
        <f t="array" ref="F193">SUMPRODUCT((pat_tech_hta_07[[client]:[client]]=syndicat_etude)*(pat_tech_hta_07[[annee]:[annee]]=Exercice[[Exercice N-3]:[Exercice N-3]])*(pat_tech_hta_07[pourcent_long_btw_50_60_ans]))</f>
        <v>0.1201</v>
      </c>
      <c r="G193" s="107" cm="1">
        <f t="array" ref="G193">SUMPRODUCT((pat_tech_hta_07[[client]:[client]]=syndicat_etude)*(pat_tech_hta_07[[annee]:[annee]]=Exercice[[Exercice N-2]:[Exercice N-2]])*(pat_tech_hta_07[long_btw_50_60_ans]))</f>
        <v>588.55999999999995</v>
      </c>
      <c r="H193" s="137" cm="1">
        <f t="array" ref="H193">SUMPRODUCT((pat_tech_hta_07[[client]:[client]]=syndicat_etude)*(pat_tech_hta_07[[annee]:[annee]]=Exercice[[Exercice N-2]:[Exercice N-2]])*(pat_tech_hta_07[pourcent_long_btw_50_60_ans]))</f>
        <v>0.1211</v>
      </c>
      <c r="I193" s="107" cm="1">
        <f t="array" ref="I193">SUMPRODUCT((pat_tech_hta_07[[client]:[client]]=syndicat_etude)*(pat_tech_hta_07[[annee]:[annee]]=Exercice[[Exercice N-1]:[Exercice N-1]])*(pat_tech_hta_07[long_btw_50_60_ans]))</f>
        <v>592.62</v>
      </c>
      <c r="J193" s="137" cm="1">
        <f t="array" ref="J193">SUMPRODUCT((pat_tech_hta_07[[client]:[client]]=syndicat_etude)*(pat_tech_hta_07[[annee]:[annee]]=Exercice[[Exercice N-1]:[Exercice N-1]])*(pat_tech_hta_07[pourcent_long_btw_50_60_ans]))</f>
        <v>0.1211</v>
      </c>
      <c r="K193" s="13" cm="1">
        <f t="array" ref="K193">SUMPRODUCT((pat_tech_hta_07[[client]:[client]]=syndicat_etude)*(pat_tech_hta_07[[annee]:[annee]]=Exercice[[Exercice N]:[Exercice N]])*(pat_tech_hta_07[long_btw_50_60_ans]))</f>
        <v>616.16999999999996</v>
      </c>
      <c r="L193" s="137" cm="1">
        <f t="array" ref="L193">SUMPRODUCT((pat_tech_hta_07[[client]:[client]]=syndicat_etude)*(pat_tech_hta_07[[annee]:[annee]]=Exercice[[Exercice N]:[Exercice N]])*(pat_tech_hta_07[pourcent_long_btw_50_60_ans]))</f>
        <v>0.12509999999999999</v>
      </c>
    </row>
    <row r="194" spans="1:12" ht="15" customHeight="1" x14ac:dyDescent="0.25">
      <c r="B194" s="53" t="s">
        <v>235</v>
      </c>
      <c r="C194" s="89" cm="1">
        <f t="array" ref="C194">SUMPRODUCT((pat_tech_hta_07[[client]:[client]]=syndicat_etude)*(pat_tech_hta_07[[annee]:[annee]]=Exercice[[Exercice N-4]:[Exercice N-4]])*(pat_tech_hta_07[long_sup_60_ans]))</f>
        <v>54.37</v>
      </c>
      <c r="D194" s="136" cm="1">
        <f t="array" ref="D194">SUMPRODUCT((pat_tech_hta_07[[client]:[client]]=syndicat_etude)*(pat_tech_hta_07[[annee]:[annee]]=Exercice[[Exercice N-4]:[Exercice N-4]])*(pat_tech_hta_07[pourcent_sup_60_ans]))</f>
        <v>1.1599999999999999E-2</v>
      </c>
      <c r="E194" s="108" cm="1">
        <f t="array" ref="E194">SUMPRODUCT((pat_tech_hta_07[[client]:[client]]=syndicat_etude)*(pat_tech_hta_07[[annee]:[annee]]=Exercice[[Exercice N-3]:[Exercice N-3]])*(pat_tech_hta_07[long_sup_60_ans]))</f>
        <v>102.62</v>
      </c>
      <c r="F194" s="138" cm="1">
        <f t="array" ref="F194">SUMPRODUCT((pat_tech_hta_07[[client]:[client]]=syndicat_etude)*(pat_tech_hta_07[[annee]:[annee]]=Exercice[[Exercice N-3]:[Exercice N-3]])*(pat_tech_hta_07[pourcent_sup_60_ans]))</f>
        <v>2.18E-2</v>
      </c>
      <c r="G194" s="108" cm="1">
        <f t="array" ref="G194">SUMPRODUCT((pat_tech_hta_07[[client]:[client]]=syndicat_etude)*(pat_tech_hta_07[[annee]:[annee]]=Exercice[[Exercice N-2]:[Exercice N-2]])*(pat_tech_hta_07[long_sup_60_ans]))</f>
        <v>121.6</v>
      </c>
      <c r="H194" s="138" cm="1">
        <f t="array" ref="H194">SUMPRODUCT((pat_tech_hta_07[[client]:[client]]=syndicat_etude)*(pat_tech_hta_07[[annee]:[annee]]=Exercice[[Exercice N-2]:[Exercice N-2]])*(pat_tech_hta_07[pourcent_sup_60_ans]))</f>
        <v>2.5000000000000001E-2</v>
      </c>
      <c r="I194" s="108" cm="1">
        <f t="array" ref="I194">SUMPRODUCT((pat_tech_hta_07[[client]:[client]]=syndicat_etude)*(pat_tech_hta_07[[annee]:[annee]]=Exercice[[Exercice N-1]:[Exercice N-1]])*(pat_tech_hta_07[long_sup_60_ans]))</f>
        <v>157.22999999999999</v>
      </c>
      <c r="J194" s="138" cm="1">
        <f t="array" ref="J194">SUMPRODUCT((pat_tech_hta_07[[client]:[client]]=syndicat_etude)*(pat_tech_hta_07[[annee]:[annee]]=Exercice[[Exercice N-1]:[Exercice N-1]])*(pat_tech_hta_07[pourcent_sup_60_ans]))</f>
        <v>3.2099999999999997E-2</v>
      </c>
      <c r="K194" s="89" cm="1">
        <f t="array" ref="K194">SUMPRODUCT((pat_tech_hta_07[[client]:[client]]=syndicat_etude)*(pat_tech_hta_07[[annee]:[annee]]=Exercice[[Exercice N]:[Exercice N]])*(pat_tech_hta_07[long_sup_60_ans]))</f>
        <v>197.03</v>
      </c>
      <c r="L194" s="138" cm="1">
        <f t="array" ref="L194">SUMPRODUCT((pat_tech_hta_07[[client]:[client]]=syndicat_etude)*(pat_tech_hta_07[[annee]:[annee]]=Exercice[[Exercice N]:[Exercice N]])*(pat_tech_hta_07[pourcent_sup_60_ans]))</f>
        <v>0.04</v>
      </c>
    </row>
    <row r="196" spans="1:12" ht="30" customHeight="1" x14ac:dyDescent="0.25">
      <c r="A196" s="25" t="s">
        <v>236</v>
      </c>
      <c r="B196" s="54" t="s">
        <v>237</v>
      </c>
      <c r="C196" s="764" cm="1">
        <f t="array" ref="C196">Exercice[Exercice N-4]</f>
        <v>2019</v>
      </c>
      <c r="D196" s="764"/>
      <c r="E196" s="764" cm="1">
        <f t="array" ref="E196">Exercice[Exercice N-3]</f>
        <v>2020</v>
      </c>
      <c r="F196" s="764"/>
      <c r="G196" s="764" cm="1">
        <f t="array" ref="G196">Exercice[Exercice N-2]</f>
        <v>2021</v>
      </c>
      <c r="H196" s="764"/>
      <c r="I196" s="764" cm="1">
        <f t="array" ref="I196">Exercice[Exercice N-1]</f>
        <v>2022</v>
      </c>
      <c r="J196" s="764"/>
      <c r="K196" s="764" cm="1">
        <f t="array" ref="K196">Exercice[Exercice N]</f>
        <v>2023</v>
      </c>
      <c r="L196" s="765"/>
    </row>
    <row r="197" spans="1:12" ht="15" customHeight="1" x14ac:dyDescent="0.25">
      <c r="B197" s="61" t="s">
        <v>227</v>
      </c>
      <c r="C197" s="761" cm="1">
        <f t="array" ref="C197">SUMPRODUCT((pat_tech_hta_08[[client]:[client]]=syndicat_etude)*(pat_tech_hta_08[[annee]:[annee]]=Exercice[[Exercice N-4]:[Exercice N-4]])*(pat_tech_hta_08[long_tot]))</f>
        <v>4662</v>
      </c>
      <c r="D197" s="761"/>
      <c r="E197" s="761" cm="1">
        <f t="array" ref="E197">SUMPRODUCT((pat_tech_hta_08[[client]:[client]]=syndicat_etude)*(pat_tech_hta_08[[annee]:[annee]]=Exercice[[Exercice N-3]:[Exercice N-3]])*(pat_tech_hta_08[long_tot]))</f>
        <v>4681</v>
      </c>
      <c r="F197" s="761"/>
      <c r="G197" s="761" cm="1">
        <f t="array" ref="G197">SUMPRODUCT((pat_tech_hta_08[[client]:[client]]=syndicat_etude)*(pat_tech_hta_08[[annee]:[annee]]=Exercice[[Exercice N-2]:[Exercice N-2]])*(pat_tech_hta_08[long_tot]))</f>
        <v>4818</v>
      </c>
      <c r="H197" s="761"/>
      <c r="I197" s="761" cm="1">
        <f t="array" ref="I197">SUMPRODUCT((pat_tech_hta_08[[client]:[client]]=syndicat_etude)*(pat_tech_hta_08[[annee]:[annee]]=Exercice[[Exercice N-1]:[Exercice N-1]])*(pat_tech_hta_08[long_tot]))</f>
        <v>4851</v>
      </c>
      <c r="J197" s="761"/>
      <c r="K197" s="761" cm="1">
        <f t="array" ref="K197">SUMPRODUCT((pat_tech_hta_08[[client]:[client]]=syndicat_etude)*(pat_tech_hta_08[[annee]:[annee]]=Exercice[[Exercice N]:[Exercice N]])*(pat_tech_hta_08[long_tot]))</f>
        <v>4880</v>
      </c>
      <c r="L197" s="762"/>
    </row>
    <row r="198" spans="1:12" ht="15" customHeight="1" x14ac:dyDescent="0.25">
      <c r="B198" s="53" t="s">
        <v>228</v>
      </c>
      <c r="C198" s="759" cm="1">
        <f t="array" ref="C198">SUMPRODUCT((pat_tech_hta_08[[client]:[client]]=syndicat_etude)*(pat_tech_hta_08[[annee]:[annee]]=Exercice[[Exercice N-4]:[Exercice N-4]])*(pat_tech_hta_08[age_moyen]))</f>
        <v>27.35</v>
      </c>
      <c r="D198" s="759"/>
      <c r="E198" s="759" cm="1">
        <f t="array" ref="E198">SUMPRODUCT((pat_tech_hta_08[[client]:[client]]=syndicat_etude)*(pat_tech_hta_08[[annee]:[annee]]=Exercice[[Exercice N-3]:[Exercice N-3]])*(pat_tech_hta_08[age_moyen]))</f>
        <v>28.13</v>
      </c>
      <c r="F198" s="759"/>
      <c r="G198" s="759" cm="1">
        <f t="array" ref="G198">SUMPRODUCT((pat_tech_hta_08[[client]:[client]]=syndicat_etude)*(pat_tech_hta_08[[annee]:[annee]]=Exercice[[Exercice N-2]:[Exercice N-2]])*(pat_tech_hta_08[age_moyen]))</f>
        <v>28.18</v>
      </c>
      <c r="H198" s="759"/>
      <c r="I198" s="759" cm="1">
        <f t="array" ref="I198">SUMPRODUCT((pat_tech_hta_08[[client]:[client]]=syndicat_etude)*(pat_tech_hta_08[[annee]:[annee]]=Exercice[[Exercice N-1]:[Exercice N-1]])*(pat_tech_hta_08[age_moyen]))</f>
        <v>28.87</v>
      </c>
      <c r="J198" s="759"/>
      <c r="K198" s="759" cm="1">
        <f t="array" ref="K198">SUMPRODUCT((pat_tech_hta_08[[client]:[client]]=syndicat_etude)*(pat_tech_hta_08[[annee]:[annee]]=Exercice[[Exercice N]:[Exercice N]])*(pat_tech_hta_08[age_moyen]))</f>
        <v>29.69</v>
      </c>
      <c r="L198" s="760"/>
    </row>
    <row r="199" spans="1:12" ht="15" customHeight="1" x14ac:dyDescent="0.25">
      <c r="B199" s="50" t="s">
        <v>229</v>
      </c>
      <c r="C199" s="13" cm="1">
        <f t="array" ref="C199">SUMPRODUCT((pat_tech_hta_08[[client]:[client]]=syndicat_etude)*(pat_tech_hta_08[[annee]:[annee]]=Exercice[[Exercice N-4]:[Exercice N-4]])*(pat_tech_hta_08[long_inf_10_ans]))</f>
        <v>997</v>
      </c>
      <c r="D199" s="135" cm="1">
        <f t="array" ref="D199">SUMPRODUCT((pat_tech_hta_08[[client]:[client]]=syndicat_etude)*(pat_tech_hta_08[[annee]:[annee]]=Exercice[[Exercice N-4]:[Exercice N-4]])*(pat_tech_hta_08[pourcent_long_inf_10_ans]))</f>
        <v>0.21390000000000001</v>
      </c>
      <c r="E199" s="109" cm="1">
        <f t="array" ref="E199">SUMPRODUCT((pat_tech_hta_08[[client]:[client]]=syndicat_etude)*(pat_tech_hta_08[[annee]:[annee]]=Exercice[[Exercice N-3]:[Exercice N-3]])*(pat_tech_hta_08[long_inf_10_ans]))</f>
        <v>920</v>
      </c>
      <c r="F199" s="147" cm="1">
        <f t="array" ref="F199">SUMPRODUCT((pat_tech_hta_08[[client]:[client]]=syndicat_etude)*(pat_tech_hta_08[[annee]:[annee]]=Exercice[[Exercice N-3]:[Exercice N-3]])*(pat_tech_hta_08[pourcent_long_inf_10_ans]))</f>
        <v>0.19650000000000001</v>
      </c>
      <c r="G199" s="109" cm="1">
        <f t="array" ref="G199">SUMPRODUCT((pat_tech_hta_08[[client]:[client]]=syndicat_etude)*(pat_tech_hta_08[[annee]:[annee]]=Exercice[[Exercice N-2]:[Exercice N-2]])*(pat_tech_hta_08[long_inf_10_ans]))</f>
        <v>982</v>
      </c>
      <c r="H199" s="147" cm="1">
        <f t="array" ref="H199">SUMPRODUCT((pat_tech_hta_08[[client]:[client]]=syndicat_etude)*(pat_tech_hta_08[[annee]:[annee]]=Exercice[[Exercice N-2]:[Exercice N-2]])*(pat_tech_hta_08[pourcent_long_inf_10_ans]))</f>
        <v>0.20380000000000001</v>
      </c>
      <c r="I199" s="109" cm="1">
        <f t="array" ref="I199">SUMPRODUCT((pat_tech_hta_08[[client]:[client]]=syndicat_etude)*(pat_tech_hta_08[[annee]:[annee]]=Exercice[[Exercice N-1]:[Exercice N-1]])*(pat_tech_hta_08[long_inf_10_ans]))</f>
        <v>846</v>
      </c>
      <c r="J199" s="147" cm="1">
        <f t="array" ref="J199">SUMPRODUCT((pat_tech_hta_08[[client]:[client]]=syndicat_etude)*(pat_tech_hta_08[[annee]:[annee]]=Exercice[[Exercice N-1]:[Exercice N-1]])*(pat_tech_hta_08[pourcent_long_inf_10_ans]))</f>
        <v>0.1744</v>
      </c>
      <c r="K199" s="13" cm="1">
        <f t="array" ref="K199">SUMPRODUCT((pat_tech_hta_08[[client]:[client]]=syndicat_etude)*(pat_tech_hta_08[[annee]:[annee]]=Exercice[[Exercice N]:[Exercice N]])*(pat_tech_hta_08[long_inf_10_ans]))</f>
        <v>836</v>
      </c>
      <c r="L199" s="137" cm="1">
        <f t="array" ref="L199">SUMPRODUCT((pat_tech_hta_08[[client]:[client]]=syndicat_etude)*(pat_tech_hta_08[[annee]:[annee]]=Exercice[[Exercice N]:[Exercice N]])*(pat_tech_hta_08[pourcent_long_inf_10_ans]))</f>
        <v>0.17130000000000001</v>
      </c>
    </row>
    <row r="200" spans="1:12" ht="15" customHeight="1" x14ac:dyDescent="0.25">
      <c r="B200" s="50" t="s">
        <v>230</v>
      </c>
      <c r="C200" s="13" cm="1">
        <f t="array" ref="C200">SUMPRODUCT((pat_tech_hta_08[[client]:[client]]=syndicat_etude)*(pat_tech_hta_08[[annee]:[annee]]=Exercice[[Exercice N-4]:[Exercice N-4]])*(pat_tech_hta_08[long_btw_10_20_ans]))</f>
        <v>679</v>
      </c>
      <c r="D200" s="135" cm="1">
        <f t="array" ref="D200">SUMPRODUCT((pat_tech_hta_08[[client]:[client]]=syndicat_etude)*(pat_tech_hta_08[[annee]:[annee]]=Exercice[[Exercice N-4]:[Exercice N-4]])*(pat_tech_hta_08[pourcent_long_btw_10_20_ans]))</f>
        <v>0.14560000000000001</v>
      </c>
      <c r="E200" s="107" cm="1">
        <f t="array" ref="E200">SUMPRODUCT((pat_tech_hta_08[[client]:[client]]=syndicat_etude)*(pat_tech_hta_08[[annee]:[annee]]=Exercice[[Exercice N-3]:[Exercice N-3]])*(pat_tech_hta_08[long_btw_10_20_ans]))</f>
        <v>677</v>
      </c>
      <c r="F200" s="137" cm="1">
        <f t="array" ref="F200">SUMPRODUCT((pat_tech_hta_08[[client]:[client]]=syndicat_etude)*(pat_tech_hta_08[[annee]:[annee]]=Exercice[[Exercice N-3]:[Exercice N-3]])*(pat_tech_hta_08[pourcent_long_btw_10_20_ans]))</f>
        <v>0.14460000000000001</v>
      </c>
      <c r="G200" s="107" cm="1">
        <f t="array" ref="G200">SUMPRODUCT((pat_tech_hta_08[[client]:[client]]=syndicat_etude)*(pat_tech_hta_08[[annee]:[annee]]=Exercice[[Exercice N-2]:[Exercice N-2]])*(pat_tech_hta_08[long_btw_10_20_ans]))</f>
        <v>684</v>
      </c>
      <c r="H200" s="137" cm="1">
        <f t="array" ref="H200">SUMPRODUCT((pat_tech_hta_08[[client]:[client]]=syndicat_etude)*(pat_tech_hta_08[[annee]:[annee]]=Exercice[[Exercice N-2]:[Exercice N-2]])*(pat_tech_hta_08[pourcent_long_btw_10_20_ans]))</f>
        <v>0.14199999999999999</v>
      </c>
      <c r="I200" s="107" cm="1">
        <f t="array" ref="I200">SUMPRODUCT((pat_tech_hta_08[[client]:[client]]=syndicat_etude)*(pat_tech_hta_08[[annee]:[annee]]=Exercice[[Exercice N-1]:[Exercice N-1]])*(pat_tech_hta_08[long_btw_10_20_ans]))</f>
        <v>751</v>
      </c>
      <c r="J200" s="137" cm="1">
        <f t="array" ref="J200">SUMPRODUCT((pat_tech_hta_08[[client]:[client]]=syndicat_etude)*(pat_tech_hta_08[[annee]:[annee]]=Exercice[[Exercice N-1]:[Exercice N-1]])*(pat_tech_hta_08[pourcent_long_btw_10_20_ans]))</f>
        <v>0.15479999999999999</v>
      </c>
      <c r="K200" s="13" cm="1">
        <f t="array" ref="K200">SUMPRODUCT((pat_tech_hta_08[[client]:[client]]=syndicat_etude)*(pat_tech_hta_08[[annee]:[annee]]=Exercice[[Exercice N]:[Exercice N]])*(pat_tech_hta_08[long_btw_10_20_ans]))</f>
        <v>758</v>
      </c>
      <c r="L200" s="137" cm="1">
        <f t="array" ref="L200">SUMPRODUCT((pat_tech_hta_08[[client]:[client]]=syndicat_etude)*(pat_tech_hta_08[[annee]:[annee]]=Exercice[[Exercice N]:[Exercice N]])*(pat_tech_hta_08[pourcent_long_btw_10_20_ans]))</f>
        <v>0.15529999999999999</v>
      </c>
    </row>
    <row r="201" spans="1:12" ht="15" customHeight="1" x14ac:dyDescent="0.25">
      <c r="B201" s="50" t="s">
        <v>231</v>
      </c>
      <c r="C201" s="13" cm="1">
        <f t="array" ref="C201">SUMPRODUCT((pat_tech_hta_08[[client]:[client]]=syndicat_etude)*(pat_tech_hta_08[[annee]:[annee]]=Exercice[[Exercice N-4]:[Exercice N-4]])*(pat_tech_hta_08[long_btw_20_30_ans]))</f>
        <v>905</v>
      </c>
      <c r="D201" s="135" cm="1">
        <f t="array" ref="D201">SUMPRODUCT((pat_tech_hta_08[[client]:[client]]=syndicat_etude)*(pat_tech_hta_08[[annee]:[annee]]=Exercice[[Exercice N-4]:[Exercice N-4]])*(pat_tech_hta_08[pourcent_long_btw_20_30_ans]))</f>
        <v>0.19409999999999999</v>
      </c>
      <c r="E201" s="107" cm="1">
        <f t="array" ref="E201">SUMPRODUCT((pat_tech_hta_08[[client]:[client]]=syndicat_etude)*(pat_tech_hta_08[[annee]:[annee]]=Exercice[[Exercice N-3]:[Exercice N-3]])*(pat_tech_hta_08[long_btw_20_30_ans]))</f>
        <v>896</v>
      </c>
      <c r="F201" s="137" cm="1">
        <f t="array" ref="F201">SUMPRODUCT((pat_tech_hta_08[[client]:[client]]=syndicat_etude)*(pat_tech_hta_08[[annee]:[annee]]=Exercice[[Exercice N-3]:[Exercice N-3]])*(pat_tech_hta_08[pourcent_long_btw_20_30_ans]))</f>
        <v>0.19139999999999999</v>
      </c>
      <c r="G201" s="107" cm="1">
        <f t="array" ref="G201">SUMPRODUCT((pat_tech_hta_08[[client]:[client]]=syndicat_etude)*(pat_tech_hta_08[[annee]:[annee]]=Exercice[[Exercice N-2]:[Exercice N-2]])*(pat_tech_hta_08[long_btw_20_30_ans]))</f>
        <v>855</v>
      </c>
      <c r="H201" s="137" cm="1">
        <f t="array" ref="H201">SUMPRODUCT((pat_tech_hta_08[[client]:[client]]=syndicat_etude)*(pat_tech_hta_08[[annee]:[annee]]=Exercice[[Exercice N-2]:[Exercice N-2]])*(pat_tech_hta_08[pourcent_long_btw_20_30_ans]))</f>
        <v>0.17749999999999999</v>
      </c>
      <c r="I201" s="107" cm="1">
        <f t="array" ref="I201">SUMPRODUCT((pat_tech_hta_08[[client]:[client]]=syndicat_etude)*(pat_tech_hta_08[[annee]:[annee]]=Exercice[[Exercice N-1]:[Exercice N-1]])*(pat_tech_hta_08[long_btw_20_30_ans]))</f>
        <v>833</v>
      </c>
      <c r="J201" s="137" cm="1">
        <f t="array" ref="J201">SUMPRODUCT((pat_tech_hta_08[[client]:[client]]=syndicat_etude)*(pat_tech_hta_08[[annee]:[annee]]=Exercice[[Exercice N-1]:[Exercice N-1]])*(pat_tech_hta_08[pourcent_long_btw_20_30_ans]))</f>
        <v>0.17169999999999999</v>
      </c>
      <c r="K201" s="13" cm="1">
        <f t="array" ref="K201">SUMPRODUCT((pat_tech_hta_08[[client]:[client]]=syndicat_etude)*(pat_tech_hta_08[[annee]:[annee]]=Exercice[[Exercice N]:[Exercice N]])*(pat_tech_hta_08[long_btw_20_30_ans]))</f>
        <v>778</v>
      </c>
      <c r="L201" s="137" cm="1">
        <f t="array" ref="L201">SUMPRODUCT((pat_tech_hta_08[[client]:[client]]=syndicat_etude)*(pat_tech_hta_08[[annee]:[annee]]=Exercice[[Exercice N]:[Exercice N]])*(pat_tech_hta_08[pourcent_long_btw_20_30_ans]))</f>
        <v>0.15939999999999999</v>
      </c>
    </row>
    <row r="202" spans="1:12" ht="15" customHeight="1" x14ac:dyDescent="0.25">
      <c r="B202" s="50" t="s">
        <v>232</v>
      </c>
      <c r="C202" s="13" cm="1">
        <f t="array" ref="C202">SUMPRODUCT((pat_tech_hta_08[[client]:[client]]=syndicat_etude)*(pat_tech_hta_08[[annee]:[annee]]=Exercice[[Exercice N-4]:[Exercice N-4]])*(pat_tech_hta_08[long_btw_30_40_ans]))</f>
        <v>999</v>
      </c>
      <c r="D202" s="135" cm="1">
        <f t="array" ref="D202">SUMPRODUCT((pat_tech_hta_08[[client]:[client]]=syndicat_etude)*(pat_tech_hta_08[[annee]:[annee]]=Exercice[[Exercice N-4]:[Exercice N-4]])*(pat_tech_hta_08[pourcent_long_btw_30_40_ans]))</f>
        <v>0.21429999999999999</v>
      </c>
      <c r="E202" s="107" cm="1">
        <f t="array" ref="E202">SUMPRODUCT((pat_tech_hta_08[[client]:[client]]=syndicat_etude)*(pat_tech_hta_08[[annee]:[annee]]=Exercice[[Exercice N-3]:[Exercice N-3]])*(pat_tech_hta_08[long_btw_30_40_ans]))</f>
        <v>1076</v>
      </c>
      <c r="F202" s="137" cm="1">
        <f t="array" ref="F202">SUMPRODUCT((pat_tech_hta_08[[client]:[client]]=syndicat_etude)*(pat_tech_hta_08[[annee]:[annee]]=Exercice[[Exercice N-3]:[Exercice N-3]])*(pat_tech_hta_08[pourcent_long_btw_30_40_ans]))</f>
        <v>0.22989999999999999</v>
      </c>
      <c r="G202" s="107" cm="1">
        <f t="array" ref="G202">SUMPRODUCT((pat_tech_hta_08[[client]:[client]]=syndicat_etude)*(pat_tech_hta_08[[annee]:[annee]]=Exercice[[Exercice N-2]:[Exercice N-2]])*(pat_tech_hta_08[long_btw_30_40_ans]))</f>
        <v>1151</v>
      </c>
      <c r="H202" s="137" cm="1">
        <f t="array" ref="H202">SUMPRODUCT((pat_tech_hta_08[[client]:[client]]=syndicat_etude)*(pat_tech_hta_08[[annee]:[annee]]=Exercice[[Exercice N-2]:[Exercice N-2]])*(pat_tech_hta_08[pourcent_long_btw_30_40_ans]))</f>
        <v>0.2389</v>
      </c>
      <c r="I202" s="107" cm="1">
        <f t="array" ref="I202">SUMPRODUCT((pat_tech_hta_08[[client]:[client]]=syndicat_etude)*(pat_tech_hta_08[[annee]:[annee]]=Exercice[[Exercice N-1]:[Exercice N-1]])*(pat_tech_hta_08[long_btw_30_40_ans]))</f>
        <v>1207</v>
      </c>
      <c r="J202" s="137" cm="1">
        <f t="array" ref="J202">SUMPRODUCT((pat_tech_hta_08[[client]:[client]]=syndicat_etude)*(pat_tech_hta_08[[annee]:[annee]]=Exercice[[Exercice N-1]:[Exercice N-1]])*(pat_tech_hta_08[pourcent_long_btw_30_40_ans]))</f>
        <v>0.24879999999999999</v>
      </c>
      <c r="K202" s="13" cm="1">
        <f t="array" ref="K202">SUMPRODUCT((pat_tech_hta_08[[client]:[client]]=syndicat_etude)*(pat_tech_hta_08[[annee]:[annee]]=Exercice[[Exercice N]:[Exercice N]])*(pat_tech_hta_08[long_btw_30_40_ans]))</f>
        <v>1212</v>
      </c>
      <c r="L202" s="137" cm="1">
        <f t="array" ref="L202">SUMPRODUCT((pat_tech_hta_08[[client]:[client]]=syndicat_etude)*(pat_tech_hta_08[[annee]:[annee]]=Exercice[[Exercice N]:[Exercice N]])*(pat_tech_hta_08[pourcent_long_btw_30_40_ans]))</f>
        <v>0.24840000000000001</v>
      </c>
    </row>
    <row r="203" spans="1:12" ht="15" customHeight="1" x14ac:dyDescent="0.25">
      <c r="B203" s="50" t="s">
        <v>233</v>
      </c>
      <c r="C203" s="13" cm="1">
        <f t="array" ref="C203">SUMPRODUCT((pat_tech_hta_08[[client]:[client]]=syndicat_etude)*(pat_tech_hta_08[[annee]:[annee]]=Exercice[[Exercice N-4]:[Exercice N-4]])*(pat_tech_hta_08[long_btw_40_50_ans]))</f>
        <v>492</v>
      </c>
      <c r="D203" s="135" cm="1">
        <f t="array" ref="D203">SUMPRODUCT((pat_tech_hta_08[[client]:[client]]=syndicat_etude)*(pat_tech_hta_08[[annee]:[annee]]=Exercice[[Exercice N-4]:[Exercice N-4]])*(pat_tech_hta_08[pourcent_long_btw_40_50_ans]))</f>
        <v>0.1055</v>
      </c>
      <c r="E203" s="107" cm="1">
        <f t="array" ref="E203">SUMPRODUCT((pat_tech_hta_08[[client]:[client]]=syndicat_etude)*(pat_tech_hta_08[[annee]:[annee]]=Exercice[[Exercice N-3]:[Exercice N-3]])*(pat_tech_hta_08[long_btw_40_50_ans]))</f>
        <v>454</v>
      </c>
      <c r="F203" s="137" cm="1">
        <f t="array" ref="F203">SUMPRODUCT((pat_tech_hta_08[[client]:[client]]=syndicat_etude)*(pat_tech_hta_08[[annee]:[annee]]=Exercice[[Exercice N-3]:[Exercice N-3]])*(pat_tech_hta_08[pourcent_long_btw_40_50_ans]))</f>
        <v>9.7000000000000003E-2</v>
      </c>
      <c r="G203" s="107" cm="1">
        <f t="array" ref="G203">SUMPRODUCT((pat_tech_hta_08[[client]:[client]]=syndicat_etude)*(pat_tech_hta_08[[annee]:[annee]]=Exercice[[Exercice N-2]:[Exercice N-2]])*(pat_tech_hta_08[long_btw_40_50_ans]))</f>
        <v>450</v>
      </c>
      <c r="H203" s="137" cm="1">
        <f t="array" ref="H203">SUMPRODUCT((pat_tech_hta_08[[client]:[client]]=syndicat_etude)*(pat_tech_hta_08[[annee]:[annee]]=Exercice[[Exercice N-2]:[Exercice N-2]])*(pat_tech_hta_08[pourcent_long_btw_40_50_ans]))</f>
        <v>9.3399999999999997E-2</v>
      </c>
      <c r="I203" s="107" cm="1">
        <f t="array" ref="I203">SUMPRODUCT((pat_tech_hta_08[[client]:[client]]=syndicat_etude)*(pat_tech_hta_08[[annee]:[annee]]=Exercice[[Exercice N-1]:[Exercice N-1]])*(pat_tech_hta_08[long_btw_40_50_ans]))</f>
        <v>463</v>
      </c>
      <c r="J203" s="137" cm="1">
        <f t="array" ref="J203">SUMPRODUCT((pat_tech_hta_08[[client]:[client]]=syndicat_etude)*(pat_tech_hta_08[[annee]:[annee]]=Exercice[[Exercice N-1]:[Exercice N-1]])*(pat_tech_hta_08[pourcent_long_btw_40_50_ans]))</f>
        <v>9.5399999999999999E-2</v>
      </c>
      <c r="K203" s="13" cm="1">
        <f t="array" ref="K203">SUMPRODUCT((pat_tech_hta_08[[client]:[client]]=syndicat_etude)*(pat_tech_hta_08[[annee]:[annee]]=Exercice[[Exercice N]:[Exercice N]])*(pat_tech_hta_08[long_btw_40_50_ans]))</f>
        <v>479</v>
      </c>
      <c r="L203" s="137" cm="1">
        <f t="array" ref="L203">SUMPRODUCT((pat_tech_hta_08[[client]:[client]]=syndicat_etude)*(pat_tech_hta_08[[annee]:[annee]]=Exercice[[Exercice N]:[Exercice N]])*(pat_tech_hta_08[pourcent_long_btw_40_50_ans]))</f>
        <v>9.8199999999999996E-2</v>
      </c>
    </row>
    <row r="204" spans="1:12" ht="15" customHeight="1" x14ac:dyDescent="0.25">
      <c r="B204" s="50" t="s">
        <v>234</v>
      </c>
      <c r="C204" s="13" cm="1">
        <f t="array" ref="C204">SUMPRODUCT((pat_tech_hta_08[[client]:[client]]=syndicat_etude)*(pat_tech_hta_08[[annee]:[annee]]=Exercice[[Exercice N-4]:[Exercice N-4]])*(pat_tech_hta_08[long_btw_50_60_ans]))</f>
        <v>532</v>
      </c>
      <c r="D204" s="135" cm="1">
        <f t="array" ref="D204">SUMPRODUCT((pat_tech_hta_08[[client]:[client]]=syndicat_etude)*(pat_tech_hta_08[[annee]:[annee]]=Exercice[[Exercice N-4]:[Exercice N-4]])*(pat_tech_hta_08[pourcent_long_btw_50_60_ans]))</f>
        <v>0.11409999999999999</v>
      </c>
      <c r="E204" s="107" cm="1">
        <f t="array" ref="E204">SUMPRODUCT((pat_tech_hta_08[[client]:[client]]=syndicat_etude)*(pat_tech_hta_08[[annee]:[annee]]=Exercice[[Exercice N-3]:[Exercice N-3]])*(pat_tech_hta_08[long_btw_50_60_ans]))</f>
        <v>580</v>
      </c>
      <c r="F204" s="137" cm="1">
        <f t="array" ref="F204">SUMPRODUCT((pat_tech_hta_08[[client]:[client]]=syndicat_etude)*(pat_tech_hta_08[[annee]:[annee]]=Exercice[[Exercice N-3]:[Exercice N-3]])*(pat_tech_hta_08[pourcent_long_btw_50_60_ans]))</f>
        <v>0.1239</v>
      </c>
      <c r="G204" s="107" cm="1">
        <f t="array" ref="G204">SUMPRODUCT((pat_tech_hta_08[[client]:[client]]=syndicat_etude)*(pat_tech_hta_08[[annee]:[annee]]=Exercice[[Exercice N-2]:[Exercice N-2]])*(pat_tech_hta_08[long_btw_50_60_ans]))</f>
        <v>599</v>
      </c>
      <c r="H204" s="137" cm="1">
        <f t="array" ref="H204">SUMPRODUCT((pat_tech_hta_08[[client]:[client]]=syndicat_etude)*(pat_tech_hta_08[[annee]:[annee]]=Exercice[[Exercice N-2]:[Exercice N-2]])*(pat_tech_hta_08[pourcent_long_btw_50_60_ans]))</f>
        <v>0.12429999999999999</v>
      </c>
      <c r="I204" s="107" cm="1">
        <f t="array" ref="I204">SUMPRODUCT((pat_tech_hta_08[[client]:[client]]=syndicat_etude)*(pat_tech_hta_08[[annee]:[annee]]=Exercice[[Exercice N-1]:[Exercice N-1]])*(pat_tech_hta_08[long_btw_50_60_ans]))</f>
        <v>616</v>
      </c>
      <c r="J204" s="137" cm="1">
        <f t="array" ref="J204">SUMPRODUCT((pat_tech_hta_08[[client]:[client]]=syndicat_etude)*(pat_tech_hta_08[[annee]:[annee]]=Exercice[[Exercice N-1]:[Exercice N-1]])*(pat_tech_hta_08[pourcent_long_btw_50_60_ans]))</f>
        <v>0.127</v>
      </c>
      <c r="K204" s="13" cm="1">
        <f t="array" ref="K204">SUMPRODUCT((pat_tech_hta_08[[client]:[client]]=syndicat_etude)*(pat_tech_hta_08[[annee]:[annee]]=Exercice[[Exercice N]:[Exercice N]])*(pat_tech_hta_08[long_btw_50_60_ans]))</f>
        <v>641</v>
      </c>
      <c r="L204" s="137" cm="1">
        <f t="array" ref="L204">SUMPRODUCT((pat_tech_hta_08[[client]:[client]]=syndicat_etude)*(pat_tech_hta_08[[annee]:[annee]]=Exercice[[Exercice N]:[Exercice N]])*(pat_tech_hta_08[pourcent_long_btw_50_60_ans]))</f>
        <v>0.13139999999999999</v>
      </c>
    </row>
    <row r="205" spans="1:12" ht="15" customHeight="1" x14ac:dyDescent="0.25">
      <c r="A205" s="25" t="s">
        <v>133</v>
      </c>
      <c r="B205" s="53" t="s">
        <v>235</v>
      </c>
      <c r="C205" s="89" cm="1">
        <f t="array" ref="C205">SUMPRODUCT((pat_tech_hta_08[[client]:[client]]=syndicat_etude)*(pat_tech_hta_08[[annee]:[annee]]=Exercice[[Exercice N-4]:[Exercice N-4]])*(pat_tech_hta_08[long_sup_60_ans]))</f>
        <v>59</v>
      </c>
      <c r="D205" s="136" cm="1">
        <f t="array" ref="D205">SUMPRODUCT((pat_tech_hta_08[[client]:[client]]=syndicat_etude)*(pat_tech_hta_08[[annee]:[annee]]=Exercice[[Exercice N-4]:[Exercice N-4]])*(pat_tech_hta_08[pourcent_sup_60_ans]))</f>
        <v>1.2699999999999999E-2</v>
      </c>
      <c r="E205" s="108" cm="1">
        <f t="array" ref="E205">SUMPRODUCT((pat_tech_hta_08[[client]:[client]]=syndicat_etude)*(pat_tech_hta_08[[annee]:[annee]]=Exercice[[Exercice N-3]:[Exercice N-3]])*(pat_tech_hta_08[long_sup_60_ans]))</f>
        <v>77</v>
      </c>
      <c r="F205" s="138" cm="1">
        <f t="array" ref="F205">SUMPRODUCT((pat_tech_hta_08[[client]:[client]]=syndicat_etude)*(pat_tech_hta_08[[annee]:[annee]]=Exercice[[Exercice N-3]:[Exercice N-3]])*(pat_tech_hta_08[pourcent_sup_60_ans]))</f>
        <v>1.6400000000000001E-2</v>
      </c>
      <c r="G205" s="108" cm="1">
        <f t="array" ref="G205">SUMPRODUCT((pat_tech_hta_08[[client]:[client]]=syndicat_etude)*(pat_tech_hta_08[[annee]:[annee]]=Exercice[[Exercice N-2]:[Exercice N-2]])*(pat_tech_hta_08[long_sup_60_ans]))</f>
        <v>97</v>
      </c>
      <c r="H205" s="138" cm="1">
        <f t="array" ref="H205">SUMPRODUCT((pat_tech_hta_08[[client]:[client]]=syndicat_etude)*(pat_tech_hta_08[[annee]:[annee]]=Exercice[[Exercice N-2]:[Exercice N-2]])*(pat_tech_hta_08[pourcent_sup_60_ans]))</f>
        <v>2.01E-2</v>
      </c>
      <c r="I205" s="108" cm="1">
        <f t="array" ref="I205">SUMPRODUCT((pat_tech_hta_08[[client]:[client]]=syndicat_etude)*(pat_tech_hta_08[[annee]:[annee]]=Exercice[[Exercice N-1]:[Exercice N-1]])*(pat_tech_hta_08[long_sup_60_ans]))</f>
        <v>135</v>
      </c>
      <c r="J205" s="138" cm="1">
        <f t="array" ref="J205">SUMPRODUCT((pat_tech_hta_08[[client]:[client]]=syndicat_etude)*(pat_tech_hta_08[[annee]:[annee]]=Exercice[[Exercice N-1]:[Exercice N-1]])*(pat_tech_hta_08[pourcent_sup_60_ans]))</f>
        <v>2.7799999999999998E-2</v>
      </c>
      <c r="K205" s="89" cm="1">
        <f t="array" ref="K205">SUMPRODUCT((pat_tech_hta_08[[client]:[client]]=syndicat_etude)*(pat_tech_hta_08[[annee]:[annee]]=Exercice[[Exercice N]:[Exercice N]])*(pat_tech_hta_08[long_sup_60_ans]))</f>
        <v>176</v>
      </c>
      <c r="L205" s="138" cm="1">
        <f t="array" ref="L205">SUMPRODUCT((pat_tech_hta_08[[client]:[client]]=syndicat_etude)*(pat_tech_hta_08[[annee]:[annee]]=Exercice[[Exercice N]:[Exercice N]])*(pat_tech_hta_08[pourcent_sup_60_ans]))</f>
        <v>3.61E-2</v>
      </c>
    </row>
    <row r="207" spans="1:12" ht="30" customHeight="1" x14ac:dyDescent="0.25">
      <c r="A207" s="25" t="s">
        <v>238</v>
      </c>
      <c r="B207" s="66" t="s">
        <v>239</v>
      </c>
      <c r="C207" s="67" cm="1">
        <f t="array" ref="C207">Exercice[Exercice N-4]</f>
        <v>2019</v>
      </c>
      <c r="D207" s="67" cm="1">
        <f t="array" ref="D207">Exercice[Exercice N-3]</f>
        <v>2020</v>
      </c>
      <c r="E207" s="67" cm="1">
        <f t="array" ref="E207">Exercice[Exercice N-2]</f>
        <v>2021</v>
      </c>
      <c r="F207" s="67" cm="1">
        <f t="array" ref="F207">Exercice[Exercice N-1]</f>
        <v>2022</v>
      </c>
      <c r="G207" s="69" cm="1">
        <f t="array" ref="G207">Exercice[Exercice N]</f>
        <v>2023</v>
      </c>
    </row>
    <row r="208" spans="1:12" ht="15" customHeight="1" x14ac:dyDescent="0.25">
      <c r="B208" s="341" t="s">
        <v>82</v>
      </c>
      <c r="C208" s="537" cm="1">
        <f t="array" ref="C208">SUMPRODUCT((pat_tech_hta_07[[client]:[client]]=syndicat_etude)*(pat_tech_hta_07[[annee]:[annee]]=Exercice[[Exercice N-4]:[Exercice N-4]])*(pat_tech_hta_07[[age_moyen]:[age_moyen]]))</f>
        <v>26.99</v>
      </c>
      <c r="D208" s="537" cm="1">
        <f t="array" ref="D208">SUMPRODUCT((pat_tech_hta_07[[client]:[client]]=syndicat_etude)*(pat_tech_hta_07[[annee]:[annee]]=Exercice[[Exercice N-3]:[Exercice N-3]])*(pat_tech_hta_07[[age_moyen]:[age_moyen]]))</f>
        <v>27.76</v>
      </c>
      <c r="E208" s="537" cm="1">
        <f t="array" ref="E208">SUMPRODUCT((pat_tech_hta_07[[client]:[client]]=syndicat_etude)*(pat_tech_hta_07[[annee]:[annee]]=Exercice[[Exercice N-2]:[Exercice N-2]])*(pat_tech_hta_07[[age_moyen]:[age_moyen]]))</f>
        <v>27.78</v>
      </c>
      <c r="F208" s="537" cm="1">
        <f t="array" ref="F208">SUMPRODUCT((pat_tech_hta_07[[client]:[client]]=syndicat_etude)*(pat_tech_hta_07[[annee]:[annee]]=Exercice[[Exercice N-1]:[Exercice N-1]])*(pat_tech_hta_07[[age_moyen]:[age_moyen]]))</f>
        <v>28.51</v>
      </c>
      <c r="G208" s="537" cm="1">
        <f t="array" ref="G208">SUMPRODUCT((pat_tech_hta_07[[client]:[client]]=syndicat_etude)*(pat_tech_hta_07[[annee]:[annee]]=Exercice[[Exercice N]:[Exercice N]])*(pat_tech_hta_07[[age_moyen]:[age_moyen]]))</f>
        <v>29.3</v>
      </c>
    </row>
    <row r="209" spans="1:84" ht="15" customHeight="1" x14ac:dyDescent="0.25">
      <c r="B209" s="126" t="s">
        <v>240</v>
      </c>
      <c r="C209" s="331" cm="1">
        <f t="array" ref="C209">SUMPRODUCT((pat_tech_hta_09[[client]:[client]]=syndicat_etude)*(pat_tech_hta_09[[annee]:[annee]]=annee_CRAC-4)*(pat_tech_hta_09[[age_moyen_aerien_nu]:[age_moyen_aerien_nu]]))</f>
        <v>39.28</v>
      </c>
      <c r="D209" s="331" cm="1">
        <f t="array" ref="D209">SUMPRODUCT((pat_tech_hta_09[[client]:[client]]=syndicat_etude)*(pat_tech_hta_09[[annee]:[annee]]=annee_CRAC-3)*(pat_tech_hta_09[[age_moyen_aerien_nu]:[age_moyen_aerien_nu]]))</f>
        <v>40.270000000000003</v>
      </c>
      <c r="E209" s="331" cm="1">
        <f t="array" ref="E209">SUMPRODUCT((pat_tech_hta_09[[client]:[client]]=syndicat_etude)*(pat_tech_hta_09[[annee]:[annee]]=annee_CRAC-2)*(pat_tech_hta_09[[age_moyen_aerien_nu]:[age_moyen_aerien_nu]]))</f>
        <v>41.27</v>
      </c>
      <c r="F209" s="331" cm="1">
        <f t="array" ref="F209">SUMPRODUCT((pat_tech_hta_09[[client]:[client]]=syndicat_etude)*(pat_tech_hta_09[[annee]:[annee]]=annee_CRAC-1)*(pat_tech_hta_09[[age_moyen_aerien_nu]:[age_moyen_aerien_nu]]))</f>
        <v>42.26</v>
      </c>
      <c r="G209" s="535" cm="1">
        <f t="array" ref="G209">SUMPRODUCT((pat_tech_hta_09[[client]:[client]]=syndicat_etude)*(pat_tech_hta_09[[annee]:[annee]]=annee_CRAC)*(pat_tech_hta_09[[age_moyen_aerien_nu]:[age_moyen_aerien_nu]]))</f>
        <v>43.25</v>
      </c>
    </row>
    <row r="210" spans="1:84" ht="15" customHeight="1" x14ac:dyDescent="0.25">
      <c r="B210" s="51" t="s">
        <v>241</v>
      </c>
      <c r="C210" s="20" cm="1">
        <f t="array" ref="C210">SUMPRODUCT((pat_tech_hta_09[[client]:[client]]=syndicat_etude)*(pat_tech_hta_09[[annee]:[annee]]=annee_CRAC-4)*(pat_tech_hta_09[[age_moyen_aerien_nu_fs]:[age_moyen_aerien_nu_fs]]))</f>
        <v>45.91</v>
      </c>
      <c r="D210" s="20" cm="1">
        <f t="array" ref="D210">SUMPRODUCT((pat_tech_hta_09[[client]:[client]]=syndicat_etude)*(pat_tech_hta_09[[annee]:[annee]]=annee_CRAC-3)*(pat_tech_hta_09[[age_moyen_aerien_nu_fs]:[age_moyen_aerien_nu_fs]]))</f>
        <v>46.85</v>
      </c>
      <c r="E210" s="20" cm="1">
        <f t="array" ref="E210">SUMPRODUCT((pat_tech_hta_09[[client]:[client]]=syndicat_etude)*(pat_tech_hta_09[[annee]:[annee]]=annee_CRAC-2)*(pat_tech_hta_09[[age_moyen_aerien_nu_fs]:[age_moyen_aerien_nu_fs]]))</f>
        <v>47.85</v>
      </c>
      <c r="F210" s="20" cm="1">
        <f t="array" ref="F210">SUMPRODUCT((pat_tech_hta_09[[client]:[client]]=syndicat_etude)*(pat_tech_hta_09[[annee]:[annee]]=annee_CRAC-1)*(pat_tech_hta_09[[age_moyen_aerien_nu_fs]:[age_moyen_aerien_nu_fs]]))</f>
        <v>48.85</v>
      </c>
      <c r="G210" s="166" cm="1">
        <f t="array" ref="G210">SUMPRODUCT((pat_tech_hta_09[[client]:[client]]=syndicat_etude)*(pat_tech_hta_09[[annee]:[annee]]=annee_CRAC)*(pat_tech_hta_09[[age_moyen_aerien_nu_fs]:[age_moyen_aerien_nu_fs]]))</f>
        <v>49.72</v>
      </c>
    </row>
    <row r="211" spans="1:84" ht="15" customHeight="1" x14ac:dyDescent="0.25">
      <c r="B211" s="126" t="s">
        <v>114</v>
      </c>
      <c r="C211" s="331" cm="1">
        <f t="array" ref="C211">SUMPRODUCT((pat_tech_hta_09[[client]:[client]]=syndicat_etude)*(pat_tech_hta_09[[annee]:[annee]]=annee_CRAC-4)*(pat_tech_hta_09[[age_moyen_aerien_torsade]:[age_moyen_aerien_torsade]]))</f>
        <v>34.119999999999997</v>
      </c>
      <c r="D211" s="331" cm="1">
        <f t="array" ref="D211">SUMPRODUCT((pat_tech_hta_09[[client]:[client]]=syndicat_etude)*(pat_tech_hta_09[[annee]:[annee]]=annee_CRAC-3)*(pat_tech_hta_09[[age_moyen_aerien_torsade]:[age_moyen_aerien_torsade]]))</f>
        <v>35.119999999999997</v>
      </c>
      <c r="E211" s="331" cm="1">
        <f t="array" ref="E211">SUMPRODUCT((pat_tech_hta_09[[client]:[client]]=syndicat_etude)*(pat_tech_hta_09[[annee]:[annee]]=annee_CRAC-2)*(pat_tech_hta_09[[age_moyen_aerien_torsade]:[age_moyen_aerien_torsade]]))</f>
        <v>35.79</v>
      </c>
      <c r="F211" s="331" cm="1">
        <f t="array" ref="F211">SUMPRODUCT((pat_tech_hta_09[[client]:[client]]=syndicat_etude)*(pat_tech_hta_09[[annee]:[annee]]=annee_CRAC-1)*(pat_tech_hta_09[[age_moyen_aerien_torsade]:[age_moyen_aerien_torsade]]))</f>
        <v>37.119999999999997</v>
      </c>
      <c r="G211" s="535" cm="1">
        <f t="array" ref="G211">SUMPRODUCT((pat_tech_hta_09[[client]:[client]]=syndicat_etude)*(pat_tech_hta_09[[annee]:[annee]]=annee_CRAC)*(pat_tech_hta_09[[age_moyen_aerien_torsade]:[age_moyen_aerien_torsade]]))</f>
        <v>36.92</v>
      </c>
    </row>
    <row r="212" spans="1:84" ht="15" customHeight="1" x14ac:dyDescent="0.25">
      <c r="B212" s="126" t="s">
        <v>115</v>
      </c>
      <c r="C212" s="331" cm="1">
        <f t="array" ref="C212">SUMPRODUCT((pat_tech_hta_09[[client]:[client]]=syndicat_etude)*(pat_tech_hta_09[[annee]:[annee]]=annee_CRAC-4)*(pat_tech_hta_09[[age_moyen_souterrain]:[age_moyen_souterrain]]))</f>
        <v>15.53</v>
      </c>
      <c r="D212" s="331" cm="1">
        <f t="array" ref="D212">SUMPRODUCT((pat_tech_hta_09[[client]:[client]]=syndicat_etude)*(pat_tech_hta_09[[annee]:[annee]]=annee_CRAC-3)*(pat_tech_hta_09[[age_moyen_souterrain]:[age_moyen_souterrain]]))</f>
        <v>16.23</v>
      </c>
      <c r="E212" s="331" cm="1">
        <f t="array" ref="E212">SUMPRODUCT((pat_tech_hta_09[[client]:[client]]=syndicat_etude)*(pat_tech_hta_09[[annee]:[annee]]=annee_CRAC-2)*(pat_tech_hta_09[[age_moyen_souterrain]:[age_moyen_souterrain]]))</f>
        <v>16.12</v>
      </c>
      <c r="F212" s="331" cm="1">
        <f t="array" ref="F212">SUMPRODUCT((pat_tech_hta_09[[client]:[client]]=syndicat_etude)*(pat_tech_hta_09[[annee]:[annee]]=annee_CRAC-1)*(pat_tech_hta_09[[age_moyen_souterrain]:[age_moyen_souterrain]]))</f>
        <v>16.84</v>
      </c>
      <c r="G212" s="535" cm="1">
        <f t="array" ref="G212">SUMPRODUCT((pat_tech_hta_09[[client]:[client]]=syndicat_etude)*(pat_tech_hta_09[[annee]:[annee]]=annee_CRAC)*(pat_tech_hta_09[[age_moyen_souterrain]:[age_moyen_souterrain]]))</f>
        <v>17.559999999999999</v>
      </c>
    </row>
    <row r="213" spans="1:84" ht="15" customHeight="1" x14ac:dyDescent="0.25">
      <c r="B213" s="536" t="s">
        <v>242</v>
      </c>
      <c r="C213" s="167" cm="1">
        <f t="array" ref="C213">SUMPRODUCT((pat_tech_hta_09[[client]:[client]]=syndicat_etude)*(pat_tech_hta_09[[annee]:[annee]]=annee_CRAC-4)*(pat_tech_hta_09[[age_moyen_souterrain_cpi]:[age_moyen_souterrain_cpi]]))</f>
        <v>46.98</v>
      </c>
      <c r="D213" s="167" cm="1">
        <f t="array" ref="D213">SUMPRODUCT((pat_tech_hta_09[[client]:[client]]=syndicat_etude)*(pat_tech_hta_09[[annee]:[annee]]=annee_CRAC-3)*(pat_tech_hta_09[[age_moyen_souterrain_cpi]:[age_moyen_souterrain_cpi]]))</f>
        <v>47.86</v>
      </c>
      <c r="E213" s="167" cm="1">
        <f t="array" ref="E213">SUMPRODUCT((pat_tech_hta_09[[client]:[client]]=syndicat_etude)*(pat_tech_hta_09[[annee]:[annee]]=annee_CRAC-2)*(pat_tech_hta_09[[age_moyen_souterrain_cpi]:[age_moyen_souterrain_cpi]]))</f>
        <v>48.67</v>
      </c>
      <c r="F213" s="167" cm="1">
        <f t="array" ref="F213">SUMPRODUCT((pat_tech_hta_09[[client]:[client]]=syndicat_etude)*(pat_tech_hta_09[[annee]:[annee]]=annee_CRAC-1)*(pat_tech_hta_09[[age_moyen_souterrain_cpi]:[age_moyen_souterrain_cpi]]))</f>
        <v>49.69</v>
      </c>
      <c r="G213" s="168" cm="1">
        <f t="array" ref="G213">SUMPRODUCT((pat_tech_hta_09[[client]:[client]]=syndicat_etude)*(pat_tech_hta_09[[annee]:[annee]]=annee_CRAC)*(pat_tech_hta_09[[age_moyen_souterrain_cpi]:[age_moyen_souterrain_cpi]]))</f>
        <v>50.64</v>
      </c>
    </row>
    <row r="215" spans="1:84" ht="30" customHeight="1" x14ac:dyDescent="0.25">
      <c r="A215" s="25" t="s">
        <v>243</v>
      </c>
      <c r="B215" s="66" t="s">
        <v>244</v>
      </c>
      <c r="C215" s="67">
        <v>1946</v>
      </c>
      <c r="D215" s="67">
        <v>1947</v>
      </c>
      <c r="E215" s="67">
        <v>1948</v>
      </c>
      <c r="F215" s="67">
        <v>1949</v>
      </c>
      <c r="G215" s="67">
        <v>1950</v>
      </c>
      <c r="H215" s="67">
        <v>1951</v>
      </c>
      <c r="I215" s="67">
        <v>1952</v>
      </c>
      <c r="J215" s="67">
        <v>1953</v>
      </c>
      <c r="K215" s="67">
        <v>1954</v>
      </c>
      <c r="L215" s="67">
        <v>1955</v>
      </c>
      <c r="M215" s="67">
        <v>1956</v>
      </c>
      <c r="N215" s="67">
        <v>1957</v>
      </c>
      <c r="O215" s="67">
        <v>1958</v>
      </c>
      <c r="P215" s="67">
        <v>1959</v>
      </c>
      <c r="Q215" s="67">
        <v>1960</v>
      </c>
      <c r="R215" s="67">
        <v>1961</v>
      </c>
      <c r="S215" s="67">
        <v>1962</v>
      </c>
      <c r="T215" s="67">
        <v>1963</v>
      </c>
      <c r="U215" s="67">
        <v>1964</v>
      </c>
      <c r="V215" s="67">
        <v>1965</v>
      </c>
      <c r="W215" s="67">
        <v>1966</v>
      </c>
      <c r="X215" s="67">
        <v>1967</v>
      </c>
      <c r="Y215" s="67">
        <v>1968</v>
      </c>
      <c r="Z215" s="67">
        <v>1969</v>
      </c>
      <c r="AA215" s="67">
        <v>1970</v>
      </c>
      <c r="AB215" s="67">
        <v>1971</v>
      </c>
      <c r="AC215" s="67">
        <v>1972</v>
      </c>
      <c r="AD215" s="67">
        <v>1973</v>
      </c>
      <c r="AE215" s="67">
        <v>1974</v>
      </c>
      <c r="AF215" s="67">
        <v>1975</v>
      </c>
      <c r="AG215" s="67">
        <v>1976</v>
      </c>
      <c r="AH215" s="67">
        <v>1977</v>
      </c>
      <c r="AI215" s="67">
        <v>1978</v>
      </c>
      <c r="AJ215" s="67">
        <v>1979</v>
      </c>
      <c r="AK215" s="67">
        <v>1980</v>
      </c>
      <c r="AL215" s="67">
        <v>1981</v>
      </c>
      <c r="AM215" s="67">
        <v>1982</v>
      </c>
      <c r="AN215" s="67">
        <v>1983</v>
      </c>
      <c r="AO215" s="67">
        <v>1984</v>
      </c>
      <c r="AP215" s="67">
        <v>1985</v>
      </c>
      <c r="AQ215" s="67">
        <v>1986</v>
      </c>
      <c r="AR215" s="67">
        <v>1987</v>
      </c>
      <c r="AS215" s="67">
        <v>1988</v>
      </c>
      <c r="AT215" s="67">
        <v>1989</v>
      </c>
      <c r="AU215" s="67">
        <v>1990</v>
      </c>
      <c r="AV215" s="67">
        <v>1991</v>
      </c>
      <c r="AW215" s="67">
        <v>1992</v>
      </c>
      <c r="AX215" s="67">
        <v>1993</v>
      </c>
      <c r="AY215" s="67">
        <v>1994</v>
      </c>
      <c r="AZ215" s="67">
        <v>1995</v>
      </c>
      <c r="BA215" s="67">
        <v>1996</v>
      </c>
      <c r="BB215" s="67">
        <v>1997</v>
      </c>
      <c r="BC215" s="67">
        <v>1998</v>
      </c>
      <c r="BD215" s="67">
        <v>1999</v>
      </c>
      <c r="BE215" s="67">
        <v>2000</v>
      </c>
      <c r="BF215" s="67">
        <v>2001</v>
      </c>
      <c r="BG215" s="67">
        <v>2002</v>
      </c>
      <c r="BH215" s="67">
        <v>2003</v>
      </c>
      <c r="BI215" s="67">
        <v>2004</v>
      </c>
      <c r="BJ215" s="67">
        <v>2005</v>
      </c>
      <c r="BK215" s="67">
        <v>2006</v>
      </c>
      <c r="BL215" s="67">
        <v>2007</v>
      </c>
      <c r="BM215" s="67">
        <v>2008</v>
      </c>
      <c r="BN215" s="67">
        <v>2009</v>
      </c>
      <c r="BO215" s="67">
        <v>2010</v>
      </c>
      <c r="BP215" s="67">
        <v>2011</v>
      </c>
      <c r="BQ215" s="67">
        <v>2012</v>
      </c>
      <c r="BR215" s="67">
        <v>2013</v>
      </c>
      <c r="BS215" s="67">
        <v>2014</v>
      </c>
      <c r="BT215" s="67">
        <v>2015</v>
      </c>
      <c r="BU215" s="67">
        <v>2016</v>
      </c>
      <c r="BV215" s="67">
        <v>2017</v>
      </c>
      <c r="BW215" s="67">
        <v>2018</v>
      </c>
      <c r="BX215" s="67">
        <v>2019</v>
      </c>
      <c r="BY215" s="67">
        <v>2020</v>
      </c>
      <c r="BZ215" s="67">
        <v>2021</v>
      </c>
      <c r="CA215" s="67">
        <v>2022</v>
      </c>
      <c r="CB215" s="67">
        <v>2023</v>
      </c>
      <c r="CC215" s="67">
        <v>2024</v>
      </c>
      <c r="CD215" s="67">
        <v>2025</v>
      </c>
      <c r="CE215" s="67">
        <v>2026</v>
      </c>
      <c r="CF215" s="69">
        <v>2027</v>
      </c>
    </row>
    <row r="216" spans="1:84" ht="15" customHeight="1" x14ac:dyDescent="0.25">
      <c r="B216" s="126" t="s">
        <v>115</v>
      </c>
      <c r="C216" s="331" cm="1">
        <f t="array" ref="C216">SUMPRODUCT((pat_tech_hta_15[[Client]:[Client]]=syndicat_etude)*(pat_tech_hta_15[[Annee]:[Annee]]=annee_CRAC)*(pat_tech_hta_15[[Annee Construction]:[Annee Construction]]=C$215)*(pat_tech_hta_15[[souterrain_km]:[souterrain_km]]))</f>
        <v>0</v>
      </c>
      <c r="D216" s="331" cm="1">
        <f t="array" ref="D216">SUMPRODUCT((pat_tech_hta_15[[Client]:[Client]]=syndicat_etude)*(pat_tech_hta_15[[Annee]:[Annee]]=annee_CRAC)*(pat_tech_hta_15[[Annee Construction]:[Annee Construction]]=D$215)*(pat_tech_hta_15[[souterrain_km]:[souterrain_km]]))</f>
        <v>0</v>
      </c>
      <c r="E216" s="331" cm="1">
        <f t="array" ref="E216">SUMPRODUCT((pat_tech_hta_15[[Client]:[Client]]=syndicat_etude)*(pat_tech_hta_15[[Annee]:[Annee]]=annee_CRAC)*(pat_tech_hta_15[[Annee Construction]:[Annee Construction]]=E$215)*(pat_tech_hta_15[[souterrain_km]:[souterrain_km]]))</f>
        <v>0</v>
      </c>
      <c r="F216" s="331" cm="1">
        <f t="array" ref="F216">SUMPRODUCT((pat_tech_hta_15[[Client]:[Client]]=syndicat_etude)*(pat_tech_hta_15[[Annee]:[Annee]]=annee_CRAC)*(pat_tech_hta_15[[Annee Construction]:[Annee Construction]]=F$215)*(pat_tech_hta_15[[souterrain_km]:[souterrain_km]]))</f>
        <v>0</v>
      </c>
      <c r="G216" s="331" cm="1">
        <f t="array" ref="G216">SUMPRODUCT((pat_tech_hta_15[[Client]:[Client]]=syndicat_etude)*(pat_tech_hta_15[[Annee]:[Annee]]=annee_CRAC)*(pat_tech_hta_15[[Annee Construction]:[Annee Construction]]=G$215)*(pat_tech_hta_15[[souterrain_km]:[souterrain_km]]))</f>
        <v>0</v>
      </c>
      <c r="H216" s="331" cm="1">
        <f t="array" ref="H216">SUMPRODUCT((pat_tech_hta_15[[Client]:[Client]]=syndicat_etude)*(pat_tech_hta_15[[Annee]:[Annee]]=annee_CRAC)*(pat_tech_hta_15[[Annee Construction]:[Annee Construction]]=H$215)*(pat_tech_hta_15[[souterrain_km]:[souterrain_km]]))</f>
        <v>0</v>
      </c>
      <c r="I216" s="331" cm="1">
        <f t="array" ref="I216">SUMPRODUCT((pat_tech_hta_15[[Client]:[Client]]=syndicat_etude)*(pat_tech_hta_15[[Annee]:[Annee]]=annee_CRAC)*(pat_tech_hta_15[[Annee Construction]:[Annee Construction]]=I$215)*(pat_tech_hta_15[[souterrain_km]:[souterrain_km]]))</f>
        <v>0</v>
      </c>
      <c r="J216" s="331" cm="1">
        <f t="array" ref="J216">SUMPRODUCT((pat_tech_hta_15[[Client]:[Client]]=syndicat_etude)*(pat_tech_hta_15[[Annee]:[Annee]]=annee_CRAC)*(pat_tech_hta_15[[Annee Construction]:[Annee Construction]]=J$215)*(pat_tech_hta_15[[souterrain_km]:[souterrain_km]]))</f>
        <v>0</v>
      </c>
      <c r="K216" s="331" cm="1">
        <f t="array" ref="K216">SUMPRODUCT((pat_tech_hta_15[[Client]:[Client]]=syndicat_etude)*(pat_tech_hta_15[[Annee]:[Annee]]=annee_CRAC)*(pat_tech_hta_15[[Annee Construction]:[Annee Construction]]=K$215)*(pat_tech_hta_15[[souterrain_km]:[souterrain_km]]))</f>
        <v>0.01</v>
      </c>
      <c r="L216" s="331" cm="1">
        <f t="array" ref="L216">SUMPRODUCT((pat_tech_hta_15[[Client]:[Client]]=syndicat_etude)*(pat_tech_hta_15[[Annee]:[Annee]]=annee_CRAC)*(pat_tech_hta_15[[Annee Construction]:[Annee Construction]]=L$215)*(pat_tech_hta_15[[souterrain_km]:[souterrain_km]]))</f>
        <v>0</v>
      </c>
      <c r="M216" s="331" cm="1">
        <f t="array" ref="M216">SUMPRODUCT((pat_tech_hta_15[[Client]:[Client]]=syndicat_etude)*(pat_tech_hta_15[[Annee]:[Annee]]=annee_CRAC)*(pat_tech_hta_15[[Annee Construction]:[Annee Construction]]=M$215)*(pat_tech_hta_15[[souterrain_km]:[souterrain_km]]))</f>
        <v>0</v>
      </c>
      <c r="N216" s="331" cm="1">
        <f t="array" ref="N216">SUMPRODUCT((pat_tech_hta_15[[Client]:[Client]]=syndicat_etude)*(pat_tech_hta_15[[Annee]:[Annee]]=annee_CRAC)*(pat_tech_hta_15[[Annee Construction]:[Annee Construction]]=N$215)*(pat_tech_hta_15[[souterrain_km]:[souterrain_km]]))</f>
        <v>0</v>
      </c>
      <c r="O216" s="331" cm="1">
        <f t="array" ref="O216">SUMPRODUCT((pat_tech_hta_15[[Client]:[Client]]=syndicat_etude)*(pat_tech_hta_15[[Annee]:[Annee]]=annee_CRAC)*(pat_tech_hta_15[[Annee Construction]:[Annee Construction]]=O$215)*(pat_tech_hta_15[[souterrain_km]:[souterrain_km]]))</f>
        <v>0</v>
      </c>
      <c r="P216" s="331" cm="1">
        <f t="array" ref="P216">SUMPRODUCT((pat_tech_hta_15[[Client]:[Client]]=syndicat_etude)*(pat_tech_hta_15[[Annee]:[Annee]]=annee_CRAC)*(pat_tech_hta_15[[Annee Construction]:[Annee Construction]]=P$215)*(pat_tech_hta_15[[souterrain_km]:[souterrain_km]]))</f>
        <v>0</v>
      </c>
      <c r="Q216" s="331" cm="1">
        <f t="array" ref="Q216">SUMPRODUCT((pat_tech_hta_15[[Client]:[Client]]=syndicat_etude)*(pat_tech_hta_15[[Annee]:[Annee]]=annee_CRAC)*(pat_tech_hta_15[[Annee Construction]:[Annee Construction]]=Q$215)*(pat_tech_hta_15[[souterrain_km]:[souterrain_km]]))</f>
        <v>26.77</v>
      </c>
      <c r="R216" s="331" cm="1">
        <f t="array" ref="R216">SUMPRODUCT((pat_tech_hta_15[[Client]:[Client]]=syndicat_etude)*(pat_tech_hta_15[[Annee]:[Annee]]=annee_CRAC)*(pat_tech_hta_15[[Annee Construction]:[Annee Construction]]=R$215)*(pat_tech_hta_15[[souterrain_km]:[souterrain_km]]))</f>
        <v>2.17</v>
      </c>
      <c r="S216" s="331" cm="1">
        <f t="array" ref="S216">SUMPRODUCT((pat_tech_hta_15[[Client]:[Client]]=syndicat_etude)*(pat_tech_hta_15[[Annee]:[Annee]]=annee_CRAC)*(pat_tech_hta_15[[Annee Construction]:[Annee Construction]]=S$215)*(pat_tech_hta_15[[souterrain_km]:[souterrain_km]]))</f>
        <v>0</v>
      </c>
      <c r="T216" s="331" cm="1">
        <f t="array" ref="T216">SUMPRODUCT((pat_tech_hta_15[[Client]:[Client]]=syndicat_etude)*(pat_tech_hta_15[[Annee]:[Annee]]=annee_CRAC)*(pat_tech_hta_15[[Annee Construction]:[Annee Construction]]=T$215)*(pat_tech_hta_15[[souterrain_km]:[souterrain_km]]))</f>
        <v>0</v>
      </c>
      <c r="U216" s="331" cm="1">
        <f t="array" ref="U216">SUMPRODUCT((pat_tech_hta_15[[Client]:[Client]]=syndicat_etude)*(pat_tech_hta_15[[Annee]:[Annee]]=annee_CRAC)*(pat_tech_hta_15[[Annee Construction]:[Annee Construction]]=U$215)*(pat_tech_hta_15[[souterrain_km]:[souterrain_km]]))</f>
        <v>0.91</v>
      </c>
      <c r="V216" s="331" cm="1">
        <f t="array" ref="V216">SUMPRODUCT((pat_tech_hta_15[[Client]:[Client]]=syndicat_etude)*(pat_tech_hta_15[[Annee]:[Annee]]=annee_CRAC)*(pat_tech_hta_15[[Annee Construction]:[Annee Construction]]=V$215)*(pat_tech_hta_15[[souterrain_km]:[souterrain_km]]))</f>
        <v>1.2</v>
      </c>
      <c r="W216" s="331" cm="1">
        <f t="array" ref="W216">SUMPRODUCT((pat_tech_hta_15[[Client]:[Client]]=syndicat_etude)*(pat_tech_hta_15[[Annee]:[Annee]]=annee_CRAC)*(pat_tech_hta_15[[Annee Construction]:[Annee Construction]]=W$215)*(pat_tech_hta_15[[souterrain_km]:[souterrain_km]]))</f>
        <v>19.600000000000001</v>
      </c>
      <c r="X216" s="331" cm="1">
        <f t="array" ref="X216">SUMPRODUCT((pat_tech_hta_15[[Client]:[Client]]=syndicat_etude)*(pat_tech_hta_15[[Annee]:[Annee]]=annee_CRAC)*(pat_tech_hta_15[[Annee Construction]:[Annee Construction]]=X$215)*(pat_tech_hta_15[[souterrain_km]:[souterrain_km]]))</f>
        <v>1.51</v>
      </c>
      <c r="Y216" s="331" cm="1">
        <f t="array" ref="Y216">SUMPRODUCT((pat_tech_hta_15[[Client]:[Client]]=syndicat_etude)*(pat_tech_hta_15[[Annee]:[Annee]]=annee_CRAC)*(pat_tech_hta_15[[Annee Construction]:[Annee Construction]]=Y$215)*(pat_tech_hta_15[[souterrain_km]:[souterrain_km]]))</f>
        <v>0.18</v>
      </c>
      <c r="Z216" s="331" cm="1">
        <f t="array" ref="Z216">SUMPRODUCT((pat_tech_hta_15[[Client]:[Client]]=syndicat_etude)*(pat_tech_hta_15[[Annee]:[Annee]]=annee_CRAC)*(pat_tech_hta_15[[Annee Construction]:[Annee Construction]]=Z$215)*(pat_tech_hta_15[[souterrain_km]:[souterrain_km]]))</f>
        <v>0.97</v>
      </c>
      <c r="AA216" s="331" cm="1">
        <f t="array" ref="AA216">SUMPRODUCT((pat_tech_hta_15[[Client]:[Client]]=syndicat_etude)*(pat_tech_hta_15[[Annee]:[Annee]]=annee_CRAC)*(pat_tech_hta_15[[Annee Construction]:[Annee Construction]]=AA$215)*(pat_tech_hta_15[[souterrain_km]:[souterrain_km]]))</f>
        <v>0.61</v>
      </c>
      <c r="AB216" s="331" cm="1">
        <f t="array" ref="AB216">SUMPRODUCT((pat_tech_hta_15[[Client]:[Client]]=syndicat_etude)*(pat_tech_hta_15[[Annee]:[Annee]]=annee_CRAC)*(pat_tech_hta_15[[Annee Construction]:[Annee Construction]]=AB$215)*(pat_tech_hta_15[[souterrain_km]:[souterrain_km]]))</f>
        <v>0.67</v>
      </c>
      <c r="AC216" s="331" cm="1">
        <f t="array" ref="AC216">SUMPRODUCT((pat_tech_hta_15[[Client]:[Client]]=syndicat_etude)*(pat_tech_hta_15[[Annee]:[Annee]]=annee_CRAC)*(pat_tech_hta_15[[Annee Construction]:[Annee Construction]]=AC$215)*(pat_tech_hta_15[[souterrain_km]:[souterrain_km]]))</f>
        <v>0.43</v>
      </c>
      <c r="AD216" s="331" cm="1">
        <f t="array" ref="AD216">SUMPRODUCT((pat_tech_hta_15[[Client]:[Client]]=syndicat_etude)*(pat_tech_hta_15[[Annee]:[Annee]]=annee_CRAC)*(pat_tech_hta_15[[Annee Construction]:[Annee Construction]]=AD$215)*(pat_tech_hta_15[[souterrain_km]:[souterrain_km]]))</f>
        <v>0.94</v>
      </c>
      <c r="AE216" s="331" cm="1">
        <f t="array" ref="AE216">SUMPRODUCT((pat_tech_hta_15[[Client]:[Client]]=syndicat_etude)*(pat_tech_hta_15[[Annee]:[Annee]]=annee_CRAC)*(pat_tech_hta_15[[Annee Construction]:[Annee Construction]]=AE$215)*(pat_tech_hta_15[[souterrain_km]:[souterrain_km]]))</f>
        <v>0.04</v>
      </c>
      <c r="AF216" s="331" cm="1">
        <f t="array" ref="AF216">SUMPRODUCT((pat_tech_hta_15[[Client]:[Client]]=syndicat_etude)*(pat_tech_hta_15[[Annee]:[Annee]]=annee_CRAC)*(pat_tech_hta_15[[Annee Construction]:[Annee Construction]]=AF$215)*(pat_tech_hta_15[[souterrain_km]:[souterrain_km]]))</f>
        <v>2.5499999999999998</v>
      </c>
      <c r="AG216" s="331" cm="1">
        <f t="array" ref="AG216">SUMPRODUCT((pat_tech_hta_15[[Client]:[Client]]=syndicat_etude)*(pat_tech_hta_15[[Annee]:[Annee]]=annee_CRAC)*(pat_tech_hta_15[[Annee Construction]:[Annee Construction]]=AG$215)*(pat_tech_hta_15[[souterrain_km]:[souterrain_km]]))</f>
        <v>0.56999999999999995</v>
      </c>
      <c r="AH216" s="331" cm="1">
        <f t="array" ref="AH216">SUMPRODUCT((pat_tech_hta_15[[Client]:[Client]]=syndicat_etude)*(pat_tech_hta_15[[Annee]:[Annee]]=annee_CRAC)*(pat_tech_hta_15[[Annee Construction]:[Annee Construction]]=AH$215)*(pat_tech_hta_15[[souterrain_km]:[souterrain_km]]))</f>
        <v>4.5599999999999996</v>
      </c>
      <c r="AI216" s="331" cm="1">
        <f t="array" ref="AI216">SUMPRODUCT((pat_tech_hta_15[[Client]:[Client]]=syndicat_etude)*(pat_tech_hta_15[[Annee]:[Annee]]=annee_CRAC)*(pat_tech_hta_15[[Annee Construction]:[Annee Construction]]=AI$215)*(pat_tech_hta_15[[souterrain_km]:[souterrain_km]]))</f>
        <v>50.44</v>
      </c>
      <c r="AJ216" s="331" cm="1">
        <f t="array" ref="AJ216">SUMPRODUCT((pat_tech_hta_15[[Client]:[Client]]=syndicat_etude)*(pat_tech_hta_15[[Annee]:[Annee]]=annee_CRAC)*(pat_tech_hta_15[[Annee Construction]:[Annee Construction]]=AJ$215)*(pat_tech_hta_15[[souterrain_km]:[souterrain_km]]))</f>
        <v>3.08</v>
      </c>
      <c r="AK216" s="331" cm="1">
        <f t="array" ref="AK216">SUMPRODUCT((pat_tech_hta_15[[Client]:[Client]]=syndicat_etude)*(pat_tech_hta_15[[Annee]:[Annee]]=annee_CRAC)*(pat_tech_hta_15[[Annee Construction]:[Annee Construction]]=AK$215)*(pat_tech_hta_15[[souterrain_km]:[souterrain_km]]))</f>
        <v>9.31</v>
      </c>
      <c r="AL216" s="331" cm="1">
        <f t="array" ref="AL216">SUMPRODUCT((pat_tech_hta_15[[Client]:[Client]]=syndicat_etude)*(pat_tech_hta_15[[Annee]:[Annee]]=annee_CRAC)*(pat_tech_hta_15[[Annee Construction]:[Annee Construction]]=AL$215)*(pat_tech_hta_15[[souterrain_km]:[souterrain_km]]))</f>
        <v>15.44</v>
      </c>
      <c r="AM216" s="331" cm="1">
        <f t="array" ref="AM216">SUMPRODUCT((pat_tech_hta_15[[Client]:[Client]]=syndicat_etude)*(pat_tech_hta_15[[Annee]:[Annee]]=annee_CRAC)*(pat_tech_hta_15[[Annee Construction]:[Annee Construction]]=AM$215)*(pat_tech_hta_15[[souterrain_km]:[souterrain_km]]))</f>
        <v>15.96</v>
      </c>
      <c r="AN216" s="331" cm="1">
        <f t="array" ref="AN216">SUMPRODUCT((pat_tech_hta_15[[Client]:[Client]]=syndicat_etude)*(pat_tech_hta_15[[Annee]:[Annee]]=annee_CRAC)*(pat_tech_hta_15[[Annee Construction]:[Annee Construction]]=AN$215)*(pat_tech_hta_15[[souterrain_km]:[souterrain_km]]))</f>
        <v>12.73</v>
      </c>
      <c r="AO216" s="331" cm="1">
        <f t="array" ref="AO216">SUMPRODUCT((pat_tech_hta_15[[Client]:[Client]]=syndicat_etude)*(pat_tech_hta_15[[Annee]:[Annee]]=annee_CRAC)*(pat_tech_hta_15[[Annee Construction]:[Annee Construction]]=AO$215)*(pat_tech_hta_15[[souterrain_km]:[souterrain_km]]))</f>
        <v>18.260000000000002</v>
      </c>
      <c r="AP216" s="331" cm="1">
        <f t="array" ref="AP216">SUMPRODUCT((pat_tech_hta_15[[Client]:[Client]]=syndicat_etude)*(pat_tech_hta_15[[Annee]:[Annee]]=annee_CRAC)*(pat_tech_hta_15[[Annee Construction]:[Annee Construction]]=AP$215)*(pat_tech_hta_15[[souterrain_km]:[souterrain_km]]))</f>
        <v>17.079999999999998</v>
      </c>
      <c r="AQ216" s="331" cm="1">
        <f t="array" ref="AQ216">SUMPRODUCT((pat_tech_hta_15[[Client]:[Client]]=syndicat_etude)*(pat_tech_hta_15[[Annee]:[Annee]]=annee_CRAC)*(pat_tech_hta_15[[Annee Construction]:[Annee Construction]]=AQ$215)*(pat_tech_hta_15[[souterrain_km]:[souterrain_km]]))</f>
        <v>17.329999999999998</v>
      </c>
      <c r="AR216" s="331" cm="1">
        <f t="array" ref="AR216">SUMPRODUCT((pat_tech_hta_15[[Client]:[Client]]=syndicat_etude)*(pat_tech_hta_15[[Annee]:[Annee]]=annee_CRAC)*(pat_tech_hta_15[[Annee Construction]:[Annee Construction]]=AR$215)*(pat_tech_hta_15[[souterrain_km]:[souterrain_km]]))</f>
        <v>16.260000000000002</v>
      </c>
      <c r="AS216" s="331" cm="1">
        <f t="array" ref="AS216">SUMPRODUCT((pat_tech_hta_15[[Client]:[Client]]=syndicat_etude)*(pat_tech_hta_15[[Annee]:[Annee]]=annee_CRAC)*(pat_tech_hta_15[[Annee Construction]:[Annee Construction]]=AS$215)*(pat_tech_hta_15[[souterrain_km]:[souterrain_km]]))</f>
        <v>24.41</v>
      </c>
      <c r="AT216" s="331" cm="1">
        <f t="array" ref="AT216">SUMPRODUCT((pat_tech_hta_15[[Client]:[Client]]=syndicat_etude)*(pat_tech_hta_15[[Annee]:[Annee]]=annee_CRAC)*(pat_tech_hta_15[[Annee Construction]:[Annee Construction]]=AT$215)*(pat_tech_hta_15[[souterrain_km]:[souterrain_km]]))</f>
        <v>19.57</v>
      </c>
      <c r="AU216" s="331" cm="1">
        <f t="array" ref="AU216">SUMPRODUCT((pat_tech_hta_15[[Client]:[Client]]=syndicat_etude)*(pat_tech_hta_15[[Annee]:[Annee]]=annee_CRAC)*(pat_tech_hta_15[[Annee Construction]:[Annee Construction]]=AU$215)*(pat_tech_hta_15[[souterrain_km]:[souterrain_km]]))</f>
        <v>15.84</v>
      </c>
      <c r="AV216" s="331" cm="1">
        <f t="array" ref="AV216">SUMPRODUCT((pat_tech_hta_15[[Client]:[Client]]=syndicat_etude)*(pat_tech_hta_15[[Annee]:[Annee]]=annee_CRAC)*(pat_tech_hta_15[[Annee Construction]:[Annee Construction]]=AV$215)*(pat_tech_hta_15[[souterrain_km]:[souterrain_km]]))</f>
        <v>17.86</v>
      </c>
      <c r="AW216" s="331" cm="1">
        <f t="array" ref="AW216">SUMPRODUCT((pat_tech_hta_15[[Client]:[Client]]=syndicat_etude)*(pat_tech_hta_15[[Annee]:[Annee]]=annee_CRAC)*(pat_tech_hta_15[[Annee Construction]:[Annee Construction]]=AW$215)*(pat_tech_hta_15[[souterrain_km]:[souterrain_km]]))</f>
        <v>30.34</v>
      </c>
      <c r="AX216" s="331" cm="1">
        <f t="array" ref="AX216">SUMPRODUCT((pat_tech_hta_15[[Client]:[Client]]=syndicat_etude)*(pat_tech_hta_15[[Annee]:[Annee]]=annee_CRAC)*(pat_tech_hta_15[[Annee Construction]:[Annee Construction]]=AX$215)*(pat_tech_hta_15[[souterrain_km]:[souterrain_km]]))</f>
        <v>47.65</v>
      </c>
      <c r="AY216" s="331" cm="1">
        <f t="array" ref="AY216">SUMPRODUCT((pat_tech_hta_15[[Client]:[Client]]=syndicat_etude)*(pat_tech_hta_15[[Annee]:[Annee]]=annee_CRAC)*(pat_tech_hta_15[[Annee Construction]:[Annee Construction]]=AY$215)*(pat_tech_hta_15[[souterrain_km]:[souterrain_km]]))</f>
        <v>49.87</v>
      </c>
      <c r="AZ216" s="331" cm="1">
        <f t="array" ref="AZ216">SUMPRODUCT((pat_tech_hta_15[[Client]:[Client]]=syndicat_etude)*(pat_tech_hta_15[[Annee]:[Annee]]=annee_CRAC)*(pat_tech_hta_15[[Annee Construction]:[Annee Construction]]=AZ$215)*(pat_tech_hta_15[[souterrain_km]:[souterrain_km]]))</f>
        <v>40.119999999999997</v>
      </c>
      <c r="BA216" s="331" cm="1">
        <f t="array" ref="BA216">SUMPRODUCT((pat_tech_hta_15[[Client]:[Client]]=syndicat_etude)*(pat_tech_hta_15[[Annee]:[Annee]]=annee_CRAC)*(pat_tech_hta_15[[Annee Construction]:[Annee Construction]]=BA$215)*(pat_tech_hta_15[[souterrain_km]:[souterrain_km]]))</f>
        <v>90.2</v>
      </c>
      <c r="BB216" s="331" cm="1">
        <f t="array" ref="BB216">SUMPRODUCT((pat_tech_hta_15[[Client]:[Client]]=syndicat_etude)*(pat_tech_hta_15[[Annee]:[Annee]]=annee_CRAC)*(pat_tech_hta_15[[Annee Construction]:[Annee Construction]]=BB$215)*(pat_tech_hta_15[[souterrain_km]:[souterrain_km]]))</f>
        <v>61.63</v>
      </c>
      <c r="BC216" s="331" cm="1">
        <f t="array" ref="BC216">SUMPRODUCT((pat_tech_hta_15[[Client]:[Client]]=syndicat_etude)*(pat_tech_hta_15[[Annee]:[Annee]]=annee_CRAC)*(pat_tech_hta_15[[Annee Construction]:[Annee Construction]]=BC$215)*(pat_tech_hta_15[[souterrain_km]:[souterrain_km]]))</f>
        <v>51.89</v>
      </c>
      <c r="BD216" s="331" cm="1">
        <f t="array" ref="BD216">SUMPRODUCT((pat_tech_hta_15[[Client]:[Client]]=syndicat_etude)*(pat_tech_hta_15[[Annee]:[Annee]]=annee_CRAC)*(pat_tech_hta_15[[Annee Construction]:[Annee Construction]]=BD$215)*(pat_tech_hta_15[[souterrain_km]:[souterrain_km]]))</f>
        <v>92.36</v>
      </c>
      <c r="BE216" s="331" cm="1">
        <f t="array" ref="BE216">SUMPRODUCT((pat_tech_hta_15[[Client]:[Client]]=syndicat_etude)*(pat_tech_hta_15[[Annee]:[Annee]]=annee_CRAC)*(pat_tech_hta_15[[Annee Construction]:[Annee Construction]]=BE$215)*(pat_tech_hta_15[[souterrain_km]:[souterrain_km]]))</f>
        <v>82.71</v>
      </c>
      <c r="BF216" s="331" cm="1">
        <f t="array" ref="BF216">SUMPRODUCT((pat_tech_hta_15[[Client]:[Client]]=syndicat_etude)*(pat_tech_hta_15[[Annee]:[Annee]]=annee_CRAC)*(pat_tech_hta_15[[Annee Construction]:[Annee Construction]]=BF$215)*(pat_tech_hta_15[[souterrain_km]:[souterrain_km]]))</f>
        <v>79.709999999999994</v>
      </c>
      <c r="BG216" s="331" cm="1">
        <f t="array" ref="BG216">SUMPRODUCT((pat_tech_hta_15[[Client]:[Client]]=syndicat_etude)*(pat_tech_hta_15[[Annee]:[Annee]]=annee_CRAC)*(pat_tech_hta_15[[Annee Construction]:[Annee Construction]]=BG$215)*(pat_tech_hta_15[[souterrain_km]:[souterrain_km]]))</f>
        <v>112.06</v>
      </c>
      <c r="BH216" s="331" cm="1">
        <f t="array" ref="BH216">SUMPRODUCT((pat_tech_hta_15[[Client]:[Client]]=syndicat_etude)*(pat_tech_hta_15[[Annee]:[Annee]]=annee_CRAC)*(pat_tech_hta_15[[Annee Construction]:[Annee Construction]]=BH$215)*(pat_tech_hta_15[[souterrain_km]:[souterrain_km]]))</f>
        <v>31.51</v>
      </c>
      <c r="BI216" s="331" cm="1">
        <f t="array" ref="BI216">SUMPRODUCT((pat_tech_hta_15[[Client]:[Client]]=syndicat_etude)*(pat_tech_hta_15[[Annee]:[Annee]]=annee_CRAC)*(pat_tech_hta_15[[Annee Construction]:[Annee Construction]]=BI$215)*(pat_tech_hta_15[[souterrain_km]:[souterrain_km]]))</f>
        <v>38.46</v>
      </c>
      <c r="BJ216" s="331" cm="1">
        <f t="array" ref="BJ216">SUMPRODUCT((pat_tech_hta_15[[Client]:[Client]]=syndicat_etude)*(pat_tech_hta_15[[Annee]:[Annee]]=annee_CRAC)*(pat_tech_hta_15[[Annee Construction]:[Annee Construction]]=BJ$215)*(pat_tech_hta_15[[souterrain_km]:[souterrain_km]]))</f>
        <v>55.87</v>
      </c>
      <c r="BK216" s="331" cm="1">
        <f t="array" ref="BK216">SUMPRODUCT((pat_tech_hta_15[[Client]:[Client]]=syndicat_etude)*(pat_tech_hta_15[[Annee]:[Annee]]=annee_CRAC)*(pat_tech_hta_15[[Annee Construction]:[Annee Construction]]=BK$215)*(pat_tech_hta_15[[souterrain_km]:[souterrain_km]]))</f>
        <v>22.86</v>
      </c>
      <c r="BL216" s="331" cm="1">
        <f t="array" ref="BL216">SUMPRODUCT((pat_tech_hta_15[[Client]:[Client]]=syndicat_etude)*(pat_tech_hta_15[[Annee]:[Annee]]=annee_CRAC)*(pat_tech_hta_15[[Annee Construction]:[Annee Construction]]=BL$215)*(pat_tech_hta_15[[souterrain_km]:[souterrain_km]]))</f>
        <v>42.26</v>
      </c>
      <c r="BM216" s="331" cm="1">
        <f t="array" ref="BM216">SUMPRODUCT((pat_tech_hta_15[[Client]:[Client]]=syndicat_etude)*(pat_tech_hta_15[[Annee]:[Annee]]=annee_CRAC)*(pat_tech_hta_15[[Annee Construction]:[Annee Construction]]=BM$215)*(pat_tech_hta_15[[souterrain_km]:[souterrain_km]]))</f>
        <v>78.39</v>
      </c>
      <c r="BN216" s="331" cm="1">
        <f t="array" ref="BN216">SUMPRODUCT((pat_tech_hta_15[[Client]:[Client]]=syndicat_etude)*(pat_tech_hta_15[[Annee]:[Annee]]=annee_CRAC)*(pat_tech_hta_15[[Annee Construction]:[Annee Construction]]=BN$215)*(pat_tech_hta_15[[souterrain_km]:[souterrain_km]]))</f>
        <v>92.06</v>
      </c>
      <c r="BO216" s="331" cm="1">
        <f t="array" ref="BO216">SUMPRODUCT((pat_tech_hta_15[[Client]:[Client]]=syndicat_etude)*(pat_tech_hta_15[[Annee]:[Annee]]=annee_CRAC)*(pat_tech_hta_15[[Annee Construction]:[Annee Construction]]=BO$215)*(pat_tech_hta_15[[souterrain_km]:[souterrain_km]]))</f>
        <v>106.5</v>
      </c>
      <c r="BP216" s="331" cm="1">
        <f t="array" ref="BP216">SUMPRODUCT((pat_tech_hta_15[[Client]:[Client]]=syndicat_etude)*(pat_tech_hta_15[[Annee]:[Annee]]=annee_CRAC)*(pat_tech_hta_15[[Annee Construction]:[Annee Construction]]=BP$215)*(pat_tech_hta_15[[souterrain_km]:[souterrain_km]]))</f>
        <v>90.02</v>
      </c>
      <c r="BQ216" s="331" cm="1">
        <f t="array" ref="BQ216">SUMPRODUCT((pat_tech_hta_15[[Client]:[Client]]=syndicat_etude)*(pat_tech_hta_15[[Annee]:[Annee]]=annee_CRAC)*(pat_tech_hta_15[[Annee Construction]:[Annee Construction]]=BQ$215)*(pat_tech_hta_15[[souterrain_km]:[souterrain_km]]))</f>
        <v>180.73</v>
      </c>
      <c r="BR216" s="331" cm="1">
        <f t="array" ref="BR216">SUMPRODUCT((pat_tech_hta_15[[Client]:[Client]]=syndicat_etude)*(pat_tech_hta_15[[Annee]:[Annee]]=annee_CRAC)*(pat_tech_hta_15[[Annee Construction]:[Annee Construction]]=BR$215)*(pat_tech_hta_15[[souterrain_km]:[souterrain_km]]))</f>
        <v>38.22</v>
      </c>
      <c r="BS216" s="331" cm="1">
        <f t="array" ref="BS216">SUMPRODUCT((pat_tech_hta_15[[Client]:[Client]]=syndicat_etude)*(pat_tech_hta_15[[Annee]:[Annee]]=annee_CRAC)*(pat_tech_hta_15[[Annee Construction]:[Annee Construction]]=BS$215)*(pat_tech_hta_15[[souterrain_km]:[souterrain_km]]))</f>
        <v>84.13</v>
      </c>
      <c r="BT216" s="331" cm="1">
        <f t="array" ref="BT216">SUMPRODUCT((pat_tech_hta_15[[Client]:[Client]]=syndicat_etude)*(pat_tech_hta_15[[Annee]:[Annee]]=annee_CRAC)*(pat_tech_hta_15[[Annee Construction]:[Annee Construction]]=BT$215)*(pat_tech_hta_15[[souterrain_km]:[souterrain_km]]))</f>
        <v>109.74</v>
      </c>
      <c r="BU216" s="331" cm="1">
        <f t="array" ref="BU216">SUMPRODUCT((pat_tech_hta_15[[Client]:[Client]]=syndicat_etude)*(pat_tech_hta_15[[Annee]:[Annee]]=annee_CRAC)*(pat_tech_hta_15[[Annee Construction]:[Annee Construction]]=BU$215)*(pat_tech_hta_15[[souterrain_km]:[souterrain_km]]))</f>
        <v>73.849999999999994</v>
      </c>
      <c r="BV216" s="331" cm="1">
        <f t="array" ref="BV216">SUMPRODUCT((pat_tech_hta_15[[Client]:[Client]]=syndicat_etude)*(pat_tech_hta_15[[Annee]:[Annee]]=annee_CRAC)*(pat_tech_hta_15[[Annee Construction]:[Annee Construction]]=BV$215)*(pat_tech_hta_15[[souterrain_km]:[souterrain_km]]))</f>
        <v>91.45</v>
      </c>
      <c r="BW216" s="331" cm="1">
        <f t="array" ref="BW216">SUMPRODUCT((pat_tech_hta_15[[Client]:[Client]]=syndicat_etude)*(pat_tech_hta_15[[Annee]:[Annee]]=annee_CRAC)*(pat_tech_hta_15[[Annee Construction]:[Annee Construction]]=BW$215)*(pat_tech_hta_15[[souterrain_km]:[souterrain_km]]))</f>
        <v>187.25</v>
      </c>
      <c r="BX216" s="331" cm="1">
        <f t="array" ref="BX216">SUMPRODUCT((pat_tech_hta_15[[Client]:[Client]]=syndicat_etude)*(pat_tech_hta_15[[Annee]:[Annee]]=annee_CRAC)*(pat_tech_hta_15[[Annee Construction]:[Annee Construction]]=BX$215)*(pat_tech_hta_15[[souterrain_km]:[souterrain_km]]))</f>
        <v>34.380000000000003</v>
      </c>
      <c r="BY216" s="331" cm="1">
        <f t="array" ref="BY216">SUMPRODUCT((pat_tech_hta_15[[Client]:[Client]]=syndicat_etude)*(pat_tech_hta_15[[Annee]:[Annee]]=annee_CRAC)*(pat_tech_hta_15[[Annee Construction]:[Annee Construction]]=BY$215)*(pat_tech_hta_15[[souterrain_km]:[souterrain_km]]))</f>
        <v>36.08</v>
      </c>
      <c r="BZ216" s="331" cm="1">
        <f t="array" ref="BZ216">SUMPRODUCT((pat_tech_hta_15[[Client]:[Client]]=syndicat_etude)*(pat_tech_hta_15[[Annee]:[Annee]]=annee_CRAC)*(pat_tech_hta_15[[Annee Construction]:[Annee Construction]]=BZ$215)*(pat_tech_hta_15[[souterrain_km]:[souterrain_km]]))</f>
        <v>155.13999999999999</v>
      </c>
      <c r="CA216" s="331" cm="1">
        <f t="array" ref="CA216">SUMPRODUCT((pat_tech_hta_15[[Client]:[Client]]=syndicat_etude)*(pat_tech_hta_15[[Annee]:[Annee]]=annee_CRAC)*(pat_tech_hta_15[[Annee Construction]:[Annee Construction]]=CA$215)*(pat_tech_hta_15[[souterrain_km]:[souterrain_km]]))</f>
        <v>38.56</v>
      </c>
      <c r="CB216" s="331" cm="1">
        <f t="array" ref="CB216">SUMPRODUCT((pat_tech_hta_15[[Client]:[Client]]=syndicat_etude)*(pat_tech_hta_15[[Annee]:[Annee]]=annee_CRAC)*(pat_tech_hta_15[[Annee Construction]:[Annee Construction]]=CB$215)*(pat_tech_hta_15[[souterrain_km]:[souterrain_km]]))</f>
        <v>31.99</v>
      </c>
      <c r="CC216" s="331" cm="1">
        <f t="array" ref="CC216">SUMPRODUCT((pat_tech_hta_15[[Client]:[Client]]=syndicat_etude)*(pat_tech_hta_15[[Annee]:[Annee]]=annee_CRAC)*(pat_tech_hta_15[[Annee Construction]:[Annee Construction]]=CC$215)*(pat_tech_hta_15[[souterrain_km]:[souterrain_km]]))</f>
        <v>0</v>
      </c>
      <c r="CD216" s="331" cm="1">
        <f t="array" ref="CD216">SUMPRODUCT((pat_tech_hta_15[[Client]:[Client]]=syndicat_etude)*(pat_tech_hta_15[[Annee]:[Annee]]=annee_CRAC)*(pat_tech_hta_15[[Annee Construction]:[Annee Construction]]=CD$215)*(pat_tech_hta_15[[souterrain_km]:[souterrain_km]]))</f>
        <v>0</v>
      </c>
      <c r="CE216" s="331" cm="1">
        <f t="array" ref="CE216">SUMPRODUCT((pat_tech_hta_15[[Client]:[Client]]=syndicat_etude)*(pat_tech_hta_15[[Annee]:[Annee]]=annee_CRAC)*(pat_tech_hta_15[[Annee Construction]:[Annee Construction]]=CE$215)*(pat_tech_hta_15[[souterrain_km]:[souterrain_km]]))</f>
        <v>0</v>
      </c>
      <c r="CF216" s="535" cm="1">
        <f t="array" ref="CF216">SUMPRODUCT((pat_tech_hta_15[[Client]:[Client]]=syndicat_etude)*(pat_tech_hta_15[[Annee]:[Annee]]=annee_CRAC)*(pat_tech_hta_15[[Annee Construction]:[Annee Construction]]=CF$215)*(pat_tech_hta_15[[souterrain_km]:[souterrain_km]]))</f>
        <v>0</v>
      </c>
    </row>
    <row r="217" spans="1:84" s="164" customFormat="1" ht="15" customHeight="1" x14ac:dyDescent="0.25">
      <c r="B217" s="288" t="s">
        <v>245</v>
      </c>
      <c r="C217" s="20" cm="1">
        <f t="array" ref="C217">SUMPRODUCT((pat_tech_hta_15[[Client]:[Client]]=syndicat_etude)*(pat_tech_hta_15[[Annee]:[Annee]]=annee_CRAC)*(pat_tech_hta_15[[Annee Construction]:[Annee Construction]]=C$215)*(pat_tech_hta_15[[dont_cpi_km]:[dont_cpi_km]]))</f>
        <v>0</v>
      </c>
      <c r="D217" s="20" cm="1">
        <f t="array" ref="D217">SUMPRODUCT((pat_tech_hta_15[[Client]:[Client]]=syndicat_etude)*(pat_tech_hta_15[[Annee]:[Annee]]=annee_CRAC)*(pat_tech_hta_15[[Annee Construction]:[Annee Construction]]=D$215)*(pat_tech_hta_15[[dont_cpi_km]:[dont_cpi_km]]))</f>
        <v>0</v>
      </c>
      <c r="E217" s="20" cm="1">
        <f t="array" ref="E217">SUMPRODUCT((pat_tech_hta_15[[Client]:[Client]]=syndicat_etude)*(pat_tech_hta_15[[Annee]:[Annee]]=annee_CRAC)*(pat_tech_hta_15[[Annee Construction]:[Annee Construction]]=E$215)*(pat_tech_hta_15[[dont_cpi_km]:[dont_cpi_km]]))</f>
        <v>0</v>
      </c>
      <c r="F217" s="20" cm="1">
        <f t="array" ref="F217">SUMPRODUCT((pat_tech_hta_15[[Client]:[Client]]=syndicat_etude)*(pat_tech_hta_15[[Annee]:[Annee]]=annee_CRAC)*(pat_tech_hta_15[[Annee Construction]:[Annee Construction]]=F$215)*(pat_tech_hta_15[[dont_cpi_km]:[dont_cpi_km]]))</f>
        <v>0</v>
      </c>
      <c r="G217" s="20" cm="1">
        <f t="array" ref="G217">SUMPRODUCT((pat_tech_hta_15[[Client]:[Client]]=syndicat_etude)*(pat_tech_hta_15[[Annee]:[Annee]]=annee_CRAC)*(pat_tech_hta_15[[Annee Construction]:[Annee Construction]]=G$215)*(pat_tech_hta_15[[dont_cpi_km]:[dont_cpi_km]]))</f>
        <v>0</v>
      </c>
      <c r="H217" s="20" cm="1">
        <f t="array" ref="H217">SUMPRODUCT((pat_tech_hta_15[[Client]:[Client]]=syndicat_etude)*(pat_tech_hta_15[[Annee]:[Annee]]=annee_CRAC)*(pat_tech_hta_15[[Annee Construction]:[Annee Construction]]=H$215)*(pat_tech_hta_15[[dont_cpi_km]:[dont_cpi_km]]))</f>
        <v>0</v>
      </c>
      <c r="I217" s="20" cm="1">
        <f t="array" ref="I217">SUMPRODUCT((pat_tech_hta_15[[Client]:[Client]]=syndicat_etude)*(pat_tech_hta_15[[Annee]:[Annee]]=annee_CRAC)*(pat_tech_hta_15[[Annee Construction]:[Annee Construction]]=I$215)*(pat_tech_hta_15[[dont_cpi_km]:[dont_cpi_km]]))</f>
        <v>0</v>
      </c>
      <c r="J217" s="20" cm="1">
        <f t="array" ref="J217">SUMPRODUCT((pat_tech_hta_15[[Client]:[Client]]=syndicat_etude)*(pat_tech_hta_15[[Annee]:[Annee]]=annee_CRAC)*(pat_tech_hta_15[[Annee Construction]:[Annee Construction]]=J$215)*(pat_tech_hta_15[[dont_cpi_km]:[dont_cpi_km]]))</f>
        <v>0</v>
      </c>
      <c r="K217" s="20" cm="1">
        <f t="array" ref="K217">SUMPRODUCT((pat_tech_hta_15[[Client]:[Client]]=syndicat_etude)*(pat_tech_hta_15[[Annee]:[Annee]]=annee_CRAC)*(pat_tech_hta_15[[Annee Construction]:[Annee Construction]]=K$215)*(pat_tech_hta_15[[dont_cpi_km]:[dont_cpi_km]]))</f>
        <v>0.01</v>
      </c>
      <c r="L217" s="20" cm="1">
        <f t="array" ref="L217">SUMPRODUCT((pat_tech_hta_15[[Client]:[Client]]=syndicat_etude)*(pat_tech_hta_15[[Annee]:[Annee]]=annee_CRAC)*(pat_tech_hta_15[[Annee Construction]:[Annee Construction]]=L$215)*(pat_tech_hta_15[[dont_cpi_km]:[dont_cpi_km]]))</f>
        <v>0</v>
      </c>
      <c r="M217" s="20" cm="1">
        <f t="array" ref="M217">SUMPRODUCT((pat_tech_hta_15[[Client]:[Client]]=syndicat_etude)*(pat_tech_hta_15[[Annee]:[Annee]]=annee_CRAC)*(pat_tech_hta_15[[Annee Construction]:[Annee Construction]]=M$215)*(pat_tech_hta_15[[dont_cpi_km]:[dont_cpi_km]]))</f>
        <v>0</v>
      </c>
      <c r="N217" s="20" cm="1">
        <f t="array" ref="N217">SUMPRODUCT((pat_tech_hta_15[[Client]:[Client]]=syndicat_etude)*(pat_tech_hta_15[[Annee]:[Annee]]=annee_CRAC)*(pat_tech_hta_15[[Annee Construction]:[Annee Construction]]=N$215)*(pat_tech_hta_15[[dont_cpi_km]:[dont_cpi_km]]))</f>
        <v>0</v>
      </c>
      <c r="O217" s="20" cm="1">
        <f t="array" ref="O217">SUMPRODUCT((pat_tech_hta_15[[Client]:[Client]]=syndicat_etude)*(pat_tech_hta_15[[Annee]:[Annee]]=annee_CRAC)*(pat_tech_hta_15[[Annee Construction]:[Annee Construction]]=O$215)*(pat_tech_hta_15[[dont_cpi_km]:[dont_cpi_km]]))</f>
        <v>0</v>
      </c>
      <c r="P217" s="20" cm="1">
        <f t="array" ref="P217">SUMPRODUCT((pat_tech_hta_15[[Client]:[Client]]=syndicat_etude)*(pat_tech_hta_15[[Annee]:[Annee]]=annee_CRAC)*(pat_tech_hta_15[[Annee Construction]:[Annee Construction]]=P$215)*(pat_tech_hta_15[[dont_cpi_km]:[dont_cpi_km]]))</f>
        <v>0</v>
      </c>
      <c r="Q217" s="20" cm="1">
        <f t="array" ref="Q217">SUMPRODUCT((pat_tech_hta_15[[Client]:[Client]]=syndicat_etude)*(pat_tech_hta_15[[Annee]:[Annee]]=annee_CRAC)*(pat_tech_hta_15[[Annee Construction]:[Annee Construction]]=Q$215)*(pat_tech_hta_15[[dont_cpi_km]:[dont_cpi_km]]))</f>
        <v>25.14</v>
      </c>
      <c r="R217" s="20" cm="1">
        <f t="array" ref="R217">SUMPRODUCT((pat_tech_hta_15[[Client]:[Client]]=syndicat_etude)*(pat_tech_hta_15[[Annee]:[Annee]]=annee_CRAC)*(pat_tech_hta_15[[Annee Construction]:[Annee Construction]]=R$215)*(pat_tech_hta_15[[dont_cpi_km]:[dont_cpi_km]]))</f>
        <v>2.09</v>
      </c>
      <c r="S217" s="20" cm="1">
        <f t="array" ref="S217">SUMPRODUCT((pat_tech_hta_15[[Client]:[Client]]=syndicat_etude)*(pat_tech_hta_15[[Annee]:[Annee]]=annee_CRAC)*(pat_tech_hta_15[[Annee Construction]:[Annee Construction]]=S$215)*(pat_tech_hta_15[[dont_cpi_km]:[dont_cpi_km]]))</f>
        <v>0</v>
      </c>
      <c r="T217" s="20" cm="1">
        <f t="array" ref="T217">SUMPRODUCT((pat_tech_hta_15[[Client]:[Client]]=syndicat_etude)*(pat_tech_hta_15[[Annee]:[Annee]]=annee_CRAC)*(pat_tech_hta_15[[Annee Construction]:[Annee Construction]]=T$215)*(pat_tech_hta_15[[dont_cpi_km]:[dont_cpi_km]]))</f>
        <v>0</v>
      </c>
      <c r="U217" s="20" cm="1">
        <f t="array" ref="U217">SUMPRODUCT((pat_tech_hta_15[[Client]:[Client]]=syndicat_etude)*(pat_tech_hta_15[[Annee]:[Annee]]=annee_CRAC)*(pat_tech_hta_15[[Annee Construction]:[Annee Construction]]=U$215)*(pat_tech_hta_15[[dont_cpi_km]:[dont_cpi_km]]))</f>
        <v>0.8</v>
      </c>
      <c r="V217" s="20" cm="1">
        <f t="array" ref="V217">SUMPRODUCT((pat_tech_hta_15[[Client]:[Client]]=syndicat_etude)*(pat_tech_hta_15[[Annee]:[Annee]]=annee_CRAC)*(pat_tech_hta_15[[Annee Construction]:[Annee Construction]]=V$215)*(pat_tech_hta_15[[dont_cpi_km]:[dont_cpi_km]]))</f>
        <v>0.28999999999999998</v>
      </c>
      <c r="W217" s="20" cm="1">
        <f t="array" ref="W217">SUMPRODUCT((pat_tech_hta_15[[Client]:[Client]]=syndicat_etude)*(pat_tech_hta_15[[Annee]:[Annee]]=annee_CRAC)*(pat_tech_hta_15[[Annee Construction]:[Annee Construction]]=W$215)*(pat_tech_hta_15[[dont_cpi_km]:[dont_cpi_km]]))</f>
        <v>17.899999999999999</v>
      </c>
      <c r="X217" s="20" cm="1">
        <f t="array" ref="X217">SUMPRODUCT((pat_tech_hta_15[[Client]:[Client]]=syndicat_etude)*(pat_tech_hta_15[[Annee]:[Annee]]=annee_CRAC)*(pat_tech_hta_15[[Annee Construction]:[Annee Construction]]=X$215)*(pat_tech_hta_15[[dont_cpi_km]:[dont_cpi_km]]))</f>
        <v>1.1200000000000001</v>
      </c>
      <c r="Y217" s="20" cm="1">
        <f t="array" ref="Y217">SUMPRODUCT((pat_tech_hta_15[[Client]:[Client]]=syndicat_etude)*(pat_tech_hta_15[[Annee]:[Annee]]=annee_CRAC)*(pat_tech_hta_15[[Annee Construction]:[Annee Construction]]=Y$215)*(pat_tech_hta_15[[dont_cpi_km]:[dont_cpi_km]]))</f>
        <v>0.14000000000000001</v>
      </c>
      <c r="Z217" s="20" cm="1">
        <f t="array" ref="Z217">SUMPRODUCT((pat_tech_hta_15[[Client]:[Client]]=syndicat_etude)*(pat_tech_hta_15[[Annee]:[Annee]]=annee_CRAC)*(pat_tech_hta_15[[Annee Construction]:[Annee Construction]]=Z$215)*(pat_tech_hta_15[[dont_cpi_km]:[dont_cpi_km]]))</f>
        <v>0.97</v>
      </c>
      <c r="AA217" s="20" cm="1">
        <f t="array" ref="AA217">SUMPRODUCT((pat_tech_hta_15[[Client]:[Client]]=syndicat_etude)*(pat_tech_hta_15[[Annee]:[Annee]]=annee_CRAC)*(pat_tech_hta_15[[Annee Construction]:[Annee Construction]]=AA$215)*(pat_tech_hta_15[[dont_cpi_km]:[dont_cpi_km]]))</f>
        <v>0.43</v>
      </c>
      <c r="AB217" s="20" cm="1">
        <f t="array" ref="AB217">SUMPRODUCT((pat_tech_hta_15[[Client]:[Client]]=syndicat_etude)*(pat_tech_hta_15[[Annee]:[Annee]]=annee_CRAC)*(pat_tech_hta_15[[Annee Construction]:[Annee Construction]]=AB$215)*(pat_tech_hta_15[[dont_cpi_km]:[dont_cpi_km]]))</f>
        <v>0.67</v>
      </c>
      <c r="AC217" s="20" cm="1">
        <f t="array" ref="AC217">SUMPRODUCT((pat_tech_hta_15[[Client]:[Client]]=syndicat_etude)*(pat_tech_hta_15[[Annee]:[Annee]]=annee_CRAC)*(pat_tech_hta_15[[Annee Construction]:[Annee Construction]]=AC$215)*(pat_tech_hta_15[[dont_cpi_km]:[dont_cpi_km]]))</f>
        <v>0.43</v>
      </c>
      <c r="AD217" s="20" cm="1">
        <f t="array" ref="AD217">SUMPRODUCT((pat_tech_hta_15[[Client]:[Client]]=syndicat_etude)*(pat_tech_hta_15[[Annee]:[Annee]]=annee_CRAC)*(pat_tech_hta_15[[Annee Construction]:[Annee Construction]]=AD$215)*(pat_tech_hta_15[[dont_cpi_km]:[dont_cpi_km]]))</f>
        <v>0.94</v>
      </c>
      <c r="AE217" s="20" cm="1">
        <f t="array" ref="AE217">SUMPRODUCT((pat_tech_hta_15[[Client]:[Client]]=syndicat_etude)*(pat_tech_hta_15[[Annee]:[Annee]]=annee_CRAC)*(pat_tech_hta_15[[Annee Construction]:[Annee Construction]]=AE$215)*(pat_tech_hta_15[[dont_cpi_km]:[dont_cpi_km]]))</f>
        <v>0.04</v>
      </c>
      <c r="AF217" s="20" cm="1">
        <f t="array" ref="AF217">SUMPRODUCT((pat_tech_hta_15[[Client]:[Client]]=syndicat_etude)*(pat_tech_hta_15[[Annee]:[Annee]]=annee_CRAC)*(pat_tech_hta_15[[Annee Construction]:[Annee Construction]]=AF$215)*(pat_tech_hta_15[[dont_cpi_km]:[dont_cpi_km]]))</f>
        <v>1.61</v>
      </c>
      <c r="AG217" s="20" cm="1">
        <f t="array" ref="AG217">SUMPRODUCT((pat_tech_hta_15[[Client]:[Client]]=syndicat_etude)*(pat_tech_hta_15[[Annee]:[Annee]]=annee_CRAC)*(pat_tech_hta_15[[Annee Construction]:[Annee Construction]]=AG$215)*(pat_tech_hta_15[[dont_cpi_km]:[dont_cpi_km]]))</f>
        <v>0.56999999999999995</v>
      </c>
      <c r="AH217" s="20" cm="1">
        <f t="array" ref="AH217">SUMPRODUCT((pat_tech_hta_15[[Client]:[Client]]=syndicat_etude)*(pat_tech_hta_15[[Annee]:[Annee]]=annee_CRAC)*(pat_tech_hta_15[[Annee Construction]:[Annee Construction]]=AH$215)*(pat_tech_hta_15[[dont_cpi_km]:[dont_cpi_km]]))</f>
        <v>3.7</v>
      </c>
      <c r="AI217" s="20" cm="1">
        <f t="array" ref="AI217">SUMPRODUCT((pat_tech_hta_15[[Client]:[Client]]=syndicat_etude)*(pat_tech_hta_15[[Annee]:[Annee]]=annee_CRAC)*(pat_tech_hta_15[[Annee Construction]:[Annee Construction]]=AI$215)*(pat_tech_hta_15[[dont_cpi_km]:[dont_cpi_km]]))</f>
        <v>4.9000000000000004</v>
      </c>
      <c r="AJ217" s="20" cm="1">
        <f t="array" ref="AJ217">SUMPRODUCT((pat_tech_hta_15[[Client]:[Client]]=syndicat_etude)*(pat_tech_hta_15[[Annee]:[Annee]]=annee_CRAC)*(pat_tech_hta_15[[Annee Construction]:[Annee Construction]]=AJ$215)*(pat_tech_hta_15[[dont_cpi_km]:[dont_cpi_km]]))</f>
        <v>0.74</v>
      </c>
      <c r="AK217" s="20" cm="1">
        <f t="array" ref="AK217">SUMPRODUCT((pat_tech_hta_15[[Client]:[Client]]=syndicat_etude)*(pat_tech_hta_15[[Annee]:[Annee]]=annee_CRAC)*(pat_tech_hta_15[[Annee Construction]:[Annee Construction]]=AK$215)*(pat_tech_hta_15[[dont_cpi_km]:[dont_cpi_km]]))</f>
        <v>0</v>
      </c>
      <c r="AL217" s="20" cm="1">
        <f t="array" ref="AL217">SUMPRODUCT((pat_tech_hta_15[[Client]:[Client]]=syndicat_etude)*(pat_tech_hta_15[[Annee]:[Annee]]=annee_CRAC)*(pat_tech_hta_15[[Annee Construction]:[Annee Construction]]=AL$215)*(pat_tech_hta_15[[dont_cpi_km]:[dont_cpi_km]]))</f>
        <v>0.34</v>
      </c>
      <c r="AM217" s="20" cm="1">
        <f t="array" ref="AM217">SUMPRODUCT((pat_tech_hta_15[[Client]:[Client]]=syndicat_etude)*(pat_tech_hta_15[[Annee]:[Annee]]=annee_CRAC)*(pat_tech_hta_15[[Annee Construction]:[Annee Construction]]=AM$215)*(pat_tech_hta_15[[dont_cpi_km]:[dont_cpi_km]]))</f>
        <v>1.1299999999999999</v>
      </c>
      <c r="AN217" s="20" cm="1">
        <f t="array" ref="AN217">SUMPRODUCT((pat_tech_hta_15[[Client]:[Client]]=syndicat_etude)*(pat_tech_hta_15[[Annee]:[Annee]]=annee_CRAC)*(pat_tech_hta_15[[Annee Construction]:[Annee Construction]]=AN$215)*(pat_tech_hta_15[[dont_cpi_km]:[dont_cpi_km]]))</f>
        <v>0</v>
      </c>
      <c r="AO217" s="20" cm="1">
        <f t="array" ref="AO217">SUMPRODUCT((pat_tech_hta_15[[Client]:[Client]]=syndicat_etude)*(pat_tech_hta_15[[Annee]:[Annee]]=annee_CRAC)*(pat_tech_hta_15[[Annee Construction]:[Annee Construction]]=AO$215)*(pat_tech_hta_15[[dont_cpi_km]:[dont_cpi_km]]))</f>
        <v>0.4</v>
      </c>
      <c r="AP217" s="20" cm="1">
        <f t="array" ref="AP217">SUMPRODUCT((pat_tech_hta_15[[Client]:[Client]]=syndicat_etude)*(pat_tech_hta_15[[Annee]:[Annee]]=annee_CRAC)*(pat_tech_hta_15[[Annee Construction]:[Annee Construction]]=AP$215)*(pat_tech_hta_15[[dont_cpi_km]:[dont_cpi_km]]))</f>
        <v>2.12</v>
      </c>
      <c r="AQ217" s="20" cm="1">
        <f t="array" ref="AQ217">SUMPRODUCT((pat_tech_hta_15[[Client]:[Client]]=syndicat_etude)*(pat_tech_hta_15[[Annee]:[Annee]]=annee_CRAC)*(pat_tech_hta_15[[Annee Construction]:[Annee Construction]]=AQ$215)*(pat_tech_hta_15[[dont_cpi_km]:[dont_cpi_km]]))</f>
        <v>2.15</v>
      </c>
      <c r="AR217" s="20" cm="1">
        <f t="array" ref="AR217">SUMPRODUCT((pat_tech_hta_15[[Client]:[Client]]=syndicat_etude)*(pat_tech_hta_15[[Annee]:[Annee]]=annee_CRAC)*(pat_tech_hta_15[[Annee Construction]:[Annee Construction]]=AR$215)*(pat_tech_hta_15[[dont_cpi_km]:[dont_cpi_km]]))</f>
        <v>0.74</v>
      </c>
      <c r="AS217" s="20" cm="1">
        <f t="array" ref="AS217">SUMPRODUCT((pat_tech_hta_15[[Client]:[Client]]=syndicat_etude)*(pat_tech_hta_15[[Annee]:[Annee]]=annee_CRAC)*(pat_tech_hta_15[[Annee Construction]:[Annee Construction]]=AS$215)*(pat_tech_hta_15[[dont_cpi_km]:[dont_cpi_km]]))</f>
        <v>0.75</v>
      </c>
      <c r="AT217" s="20" cm="1">
        <f t="array" ref="AT217">SUMPRODUCT((pat_tech_hta_15[[Client]:[Client]]=syndicat_etude)*(pat_tech_hta_15[[Annee]:[Annee]]=annee_CRAC)*(pat_tech_hta_15[[Annee Construction]:[Annee Construction]]=AT$215)*(pat_tech_hta_15[[dont_cpi_km]:[dont_cpi_km]]))</f>
        <v>0.95</v>
      </c>
      <c r="AU217" s="20" cm="1">
        <f t="array" ref="AU217">SUMPRODUCT((pat_tech_hta_15[[Client]:[Client]]=syndicat_etude)*(pat_tech_hta_15[[Annee]:[Annee]]=annee_CRAC)*(pat_tech_hta_15[[Annee Construction]:[Annee Construction]]=AU$215)*(pat_tech_hta_15[[dont_cpi_km]:[dont_cpi_km]]))</f>
        <v>0.48</v>
      </c>
      <c r="AV217" s="20" cm="1">
        <f t="array" ref="AV217">SUMPRODUCT((pat_tech_hta_15[[Client]:[Client]]=syndicat_etude)*(pat_tech_hta_15[[Annee]:[Annee]]=annee_CRAC)*(pat_tech_hta_15[[Annee Construction]:[Annee Construction]]=AV$215)*(pat_tech_hta_15[[dont_cpi_km]:[dont_cpi_km]]))</f>
        <v>0.62</v>
      </c>
      <c r="AW217" s="20" cm="1">
        <f t="array" ref="AW217">SUMPRODUCT((pat_tech_hta_15[[Client]:[Client]]=syndicat_etude)*(pat_tech_hta_15[[Annee]:[Annee]]=annee_CRAC)*(pat_tech_hta_15[[Annee Construction]:[Annee Construction]]=AW$215)*(pat_tech_hta_15[[dont_cpi_km]:[dont_cpi_km]]))</f>
        <v>0.93</v>
      </c>
      <c r="AX217" s="20" cm="1">
        <f t="array" ref="AX217">SUMPRODUCT((pat_tech_hta_15[[Client]:[Client]]=syndicat_etude)*(pat_tech_hta_15[[Annee]:[Annee]]=annee_CRAC)*(pat_tech_hta_15[[Annee Construction]:[Annee Construction]]=AX$215)*(pat_tech_hta_15[[dont_cpi_km]:[dont_cpi_km]]))</f>
        <v>0.67</v>
      </c>
      <c r="AY217" s="20" cm="1">
        <f t="array" ref="AY217">SUMPRODUCT((pat_tech_hta_15[[Client]:[Client]]=syndicat_etude)*(pat_tech_hta_15[[Annee]:[Annee]]=annee_CRAC)*(pat_tech_hta_15[[Annee Construction]:[Annee Construction]]=AY$215)*(pat_tech_hta_15[[dont_cpi_km]:[dont_cpi_km]]))</f>
        <v>0.26</v>
      </c>
      <c r="AZ217" s="20" cm="1">
        <f t="array" ref="AZ217">SUMPRODUCT((pat_tech_hta_15[[Client]:[Client]]=syndicat_etude)*(pat_tech_hta_15[[Annee]:[Annee]]=annee_CRAC)*(pat_tech_hta_15[[Annee Construction]:[Annee Construction]]=AZ$215)*(pat_tech_hta_15[[dont_cpi_km]:[dont_cpi_km]]))</f>
        <v>0.8</v>
      </c>
      <c r="BA217" s="20" cm="1">
        <f t="array" ref="BA217">SUMPRODUCT((pat_tech_hta_15[[Client]:[Client]]=syndicat_etude)*(pat_tech_hta_15[[Annee]:[Annee]]=annee_CRAC)*(pat_tech_hta_15[[Annee Construction]:[Annee Construction]]=BA$215)*(pat_tech_hta_15[[dont_cpi_km]:[dont_cpi_km]]))</f>
        <v>1.39</v>
      </c>
      <c r="BB217" s="20" cm="1">
        <f t="array" ref="BB217">SUMPRODUCT((pat_tech_hta_15[[Client]:[Client]]=syndicat_etude)*(pat_tech_hta_15[[Annee]:[Annee]]=annee_CRAC)*(pat_tech_hta_15[[Annee Construction]:[Annee Construction]]=BB$215)*(pat_tech_hta_15[[dont_cpi_km]:[dont_cpi_km]]))</f>
        <v>1.35</v>
      </c>
      <c r="BC217" s="20" cm="1">
        <f t="array" ref="BC217">SUMPRODUCT((pat_tech_hta_15[[Client]:[Client]]=syndicat_etude)*(pat_tech_hta_15[[Annee]:[Annee]]=annee_CRAC)*(pat_tech_hta_15[[Annee Construction]:[Annee Construction]]=BC$215)*(pat_tech_hta_15[[dont_cpi_km]:[dont_cpi_km]]))</f>
        <v>0.63</v>
      </c>
      <c r="BD217" s="20" cm="1">
        <f t="array" ref="BD217">SUMPRODUCT((pat_tech_hta_15[[Client]:[Client]]=syndicat_etude)*(pat_tech_hta_15[[Annee]:[Annee]]=annee_CRAC)*(pat_tech_hta_15[[Annee Construction]:[Annee Construction]]=BD$215)*(pat_tech_hta_15[[dont_cpi_km]:[dont_cpi_km]]))</f>
        <v>2.57</v>
      </c>
      <c r="BE217" s="20" cm="1">
        <f t="array" ref="BE217">SUMPRODUCT((pat_tech_hta_15[[Client]:[Client]]=syndicat_etude)*(pat_tech_hta_15[[Annee]:[Annee]]=annee_CRAC)*(pat_tech_hta_15[[Annee Construction]:[Annee Construction]]=BE$215)*(pat_tech_hta_15[[dont_cpi_km]:[dont_cpi_km]]))</f>
        <v>0.26</v>
      </c>
      <c r="BF217" s="20" cm="1">
        <f t="array" ref="BF217">SUMPRODUCT((pat_tech_hta_15[[Client]:[Client]]=syndicat_etude)*(pat_tech_hta_15[[Annee]:[Annee]]=annee_CRAC)*(pat_tech_hta_15[[Annee Construction]:[Annee Construction]]=BF$215)*(pat_tech_hta_15[[dont_cpi_km]:[dont_cpi_km]]))</f>
        <v>0.43</v>
      </c>
      <c r="BG217" s="20" cm="1">
        <f t="array" ref="BG217">SUMPRODUCT((pat_tech_hta_15[[Client]:[Client]]=syndicat_etude)*(pat_tech_hta_15[[Annee]:[Annee]]=annee_CRAC)*(pat_tech_hta_15[[Annee Construction]:[Annee Construction]]=BG$215)*(pat_tech_hta_15[[dont_cpi_km]:[dont_cpi_km]]))</f>
        <v>1.37</v>
      </c>
      <c r="BH217" s="20" cm="1">
        <f t="array" ref="BH217">SUMPRODUCT((pat_tech_hta_15[[Client]:[Client]]=syndicat_etude)*(pat_tech_hta_15[[Annee]:[Annee]]=annee_CRAC)*(pat_tech_hta_15[[Annee Construction]:[Annee Construction]]=BH$215)*(pat_tech_hta_15[[dont_cpi_km]:[dont_cpi_km]]))</f>
        <v>0</v>
      </c>
      <c r="BI217" s="20" cm="1">
        <f t="array" ref="BI217">SUMPRODUCT((pat_tech_hta_15[[Client]:[Client]]=syndicat_etude)*(pat_tech_hta_15[[Annee]:[Annee]]=annee_CRAC)*(pat_tech_hta_15[[Annee Construction]:[Annee Construction]]=BI$215)*(pat_tech_hta_15[[dont_cpi_km]:[dont_cpi_km]]))</f>
        <v>0.31</v>
      </c>
      <c r="BJ217" s="20" cm="1">
        <f t="array" ref="BJ217">SUMPRODUCT((pat_tech_hta_15[[Client]:[Client]]=syndicat_etude)*(pat_tech_hta_15[[Annee]:[Annee]]=annee_CRAC)*(pat_tech_hta_15[[Annee Construction]:[Annee Construction]]=BJ$215)*(pat_tech_hta_15[[dont_cpi_km]:[dont_cpi_km]]))</f>
        <v>0</v>
      </c>
      <c r="BK217" s="20" cm="1">
        <f t="array" ref="BK217">SUMPRODUCT((pat_tech_hta_15[[Client]:[Client]]=syndicat_etude)*(pat_tech_hta_15[[Annee]:[Annee]]=annee_CRAC)*(pat_tech_hta_15[[Annee Construction]:[Annee Construction]]=BK$215)*(pat_tech_hta_15[[dont_cpi_km]:[dont_cpi_km]]))</f>
        <v>0</v>
      </c>
      <c r="BL217" s="20" cm="1">
        <f t="array" ref="BL217">SUMPRODUCT((pat_tech_hta_15[[Client]:[Client]]=syndicat_etude)*(pat_tech_hta_15[[Annee]:[Annee]]=annee_CRAC)*(pat_tech_hta_15[[Annee Construction]:[Annee Construction]]=BL$215)*(pat_tech_hta_15[[dont_cpi_km]:[dont_cpi_km]]))</f>
        <v>0.09</v>
      </c>
      <c r="BM217" s="20" cm="1">
        <f t="array" ref="BM217">SUMPRODUCT((pat_tech_hta_15[[Client]:[Client]]=syndicat_etude)*(pat_tech_hta_15[[Annee]:[Annee]]=annee_CRAC)*(pat_tech_hta_15[[Annee Construction]:[Annee Construction]]=BM$215)*(pat_tech_hta_15[[dont_cpi_km]:[dont_cpi_km]]))</f>
        <v>0</v>
      </c>
      <c r="BN217" s="20" cm="1">
        <f t="array" ref="BN217">SUMPRODUCT((pat_tech_hta_15[[Client]:[Client]]=syndicat_etude)*(pat_tech_hta_15[[Annee]:[Annee]]=annee_CRAC)*(pat_tech_hta_15[[Annee Construction]:[Annee Construction]]=BN$215)*(pat_tech_hta_15[[dont_cpi_km]:[dont_cpi_km]]))</f>
        <v>0</v>
      </c>
      <c r="BO217" s="20" cm="1">
        <f t="array" ref="BO217">SUMPRODUCT((pat_tech_hta_15[[Client]:[Client]]=syndicat_etude)*(pat_tech_hta_15[[Annee]:[Annee]]=annee_CRAC)*(pat_tech_hta_15[[Annee Construction]:[Annee Construction]]=BO$215)*(pat_tech_hta_15[[dont_cpi_km]:[dont_cpi_km]]))</f>
        <v>0</v>
      </c>
      <c r="BP217" s="20" cm="1">
        <f t="array" ref="BP217">SUMPRODUCT((pat_tech_hta_15[[Client]:[Client]]=syndicat_etude)*(pat_tech_hta_15[[Annee]:[Annee]]=annee_CRAC)*(pat_tech_hta_15[[Annee Construction]:[Annee Construction]]=BP$215)*(pat_tech_hta_15[[dont_cpi_km]:[dont_cpi_km]]))</f>
        <v>0</v>
      </c>
      <c r="BQ217" s="20" cm="1">
        <f t="array" ref="BQ217">SUMPRODUCT((pat_tech_hta_15[[Client]:[Client]]=syndicat_etude)*(pat_tech_hta_15[[Annee]:[Annee]]=annee_CRAC)*(pat_tech_hta_15[[Annee Construction]:[Annee Construction]]=BQ$215)*(pat_tech_hta_15[[dont_cpi_km]:[dont_cpi_km]]))</f>
        <v>0</v>
      </c>
      <c r="BR217" s="20" cm="1">
        <f t="array" ref="BR217">SUMPRODUCT((pat_tech_hta_15[[Client]:[Client]]=syndicat_etude)*(pat_tech_hta_15[[Annee]:[Annee]]=annee_CRAC)*(pat_tech_hta_15[[Annee Construction]:[Annee Construction]]=BR$215)*(pat_tech_hta_15[[dont_cpi_km]:[dont_cpi_km]]))</f>
        <v>0</v>
      </c>
      <c r="BS217" s="20" cm="1">
        <f t="array" ref="BS217">SUMPRODUCT((pat_tech_hta_15[[Client]:[Client]]=syndicat_etude)*(pat_tech_hta_15[[Annee]:[Annee]]=annee_CRAC)*(pat_tech_hta_15[[Annee Construction]:[Annee Construction]]=BS$215)*(pat_tech_hta_15[[dont_cpi_km]:[dont_cpi_km]]))</f>
        <v>0</v>
      </c>
      <c r="BT217" s="20" cm="1">
        <f t="array" ref="BT217">SUMPRODUCT((pat_tech_hta_15[[Client]:[Client]]=syndicat_etude)*(pat_tech_hta_15[[Annee]:[Annee]]=annee_CRAC)*(pat_tech_hta_15[[Annee Construction]:[Annee Construction]]=BT$215)*(pat_tech_hta_15[[dont_cpi_km]:[dont_cpi_km]]))</f>
        <v>0</v>
      </c>
      <c r="BU217" s="20" cm="1">
        <f t="array" ref="BU217">SUMPRODUCT((pat_tech_hta_15[[Client]:[Client]]=syndicat_etude)*(pat_tech_hta_15[[Annee]:[Annee]]=annee_CRAC)*(pat_tech_hta_15[[Annee Construction]:[Annee Construction]]=BU$215)*(pat_tech_hta_15[[dont_cpi_km]:[dont_cpi_km]]))</f>
        <v>0</v>
      </c>
      <c r="BV217" s="20" cm="1">
        <f t="array" ref="BV217">SUMPRODUCT((pat_tech_hta_15[[Client]:[Client]]=syndicat_etude)*(pat_tech_hta_15[[Annee]:[Annee]]=annee_CRAC)*(pat_tech_hta_15[[Annee Construction]:[Annee Construction]]=BV$215)*(pat_tech_hta_15[[dont_cpi_km]:[dont_cpi_km]]))</f>
        <v>0</v>
      </c>
      <c r="BW217" s="20" cm="1">
        <f t="array" ref="BW217">SUMPRODUCT((pat_tech_hta_15[[Client]:[Client]]=syndicat_etude)*(pat_tech_hta_15[[Annee]:[Annee]]=annee_CRAC)*(pat_tech_hta_15[[Annee Construction]:[Annee Construction]]=BW$215)*(pat_tech_hta_15[[dont_cpi_km]:[dont_cpi_km]]))</f>
        <v>0</v>
      </c>
      <c r="BX217" s="20" cm="1">
        <f t="array" ref="BX217">SUMPRODUCT((pat_tech_hta_15[[Client]:[Client]]=syndicat_etude)*(pat_tech_hta_15[[Annee]:[Annee]]=annee_CRAC)*(pat_tech_hta_15[[Annee Construction]:[Annee Construction]]=BX$215)*(pat_tech_hta_15[[dont_cpi_km]:[dont_cpi_km]]))</f>
        <v>0</v>
      </c>
      <c r="BY217" s="20" cm="1">
        <f t="array" ref="BY217">SUMPRODUCT((pat_tech_hta_15[[Client]:[Client]]=syndicat_etude)*(pat_tech_hta_15[[Annee]:[Annee]]=annee_CRAC)*(pat_tech_hta_15[[Annee Construction]:[Annee Construction]]=BY$215)*(pat_tech_hta_15[[dont_cpi_km]:[dont_cpi_km]]))</f>
        <v>0</v>
      </c>
      <c r="BZ217" s="20" cm="1">
        <f t="array" ref="BZ217">SUMPRODUCT((pat_tech_hta_15[[Client]:[Client]]=syndicat_etude)*(pat_tech_hta_15[[Annee]:[Annee]]=annee_CRAC)*(pat_tech_hta_15[[Annee Construction]:[Annee Construction]]=BZ$215)*(pat_tech_hta_15[[dont_cpi_km]:[dont_cpi_km]]))</f>
        <v>0</v>
      </c>
      <c r="CA217" s="20" cm="1">
        <f t="array" ref="CA217">SUMPRODUCT((pat_tech_hta_15[[Client]:[Client]]=syndicat_etude)*(pat_tech_hta_15[[Annee]:[Annee]]=annee_CRAC)*(pat_tech_hta_15[[Annee Construction]:[Annee Construction]]=CA$215)*(pat_tech_hta_15[[dont_cpi_km]:[dont_cpi_km]]))</f>
        <v>0</v>
      </c>
      <c r="CB217" s="20" cm="1">
        <f t="array" ref="CB217">SUMPRODUCT((pat_tech_hta_15[[Client]:[Client]]=syndicat_etude)*(pat_tech_hta_15[[Annee]:[Annee]]=annee_CRAC)*(pat_tech_hta_15[[Annee Construction]:[Annee Construction]]=CB$215)*(pat_tech_hta_15[[dont_cpi_km]:[dont_cpi_km]]))</f>
        <v>0</v>
      </c>
      <c r="CC217" s="20" cm="1">
        <f t="array" ref="CC217">SUMPRODUCT((pat_tech_hta_15[[Client]:[Client]]=syndicat_etude)*(pat_tech_hta_15[[Annee]:[Annee]]=annee_CRAC)*(pat_tech_hta_15[[Annee Construction]:[Annee Construction]]=CC$215)*(pat_tech_hta_15[[dont_cpi_km]:[dont_cpi_km]]))</f>
        <v>0</v>
      </c>
      <c r="CD217" s="20" cm="1">
        <f t="array" ref="CD217">SUMPRODUCT((pat_tech_hta_15[[Client]:[Client]]=syndicat_etude)*(pat_tech_hta_15[[Annee]:[Annee]]=annee_CRAC)*(pat_tech_hta_15[[Annee Construction]:[Annee Construction]]=CD$215)*(pat_tech_hta_15[[dont_cpi_km]:[dont_cpi_km]]))</f>
        <v>0</v>
      </c>
      <c r="CE217" s="20" cm="1">
        <f t="array" ref="CE217">SUMPRODUCT((pat_tech_hta_15[[Client]:[Client]]=syndicat_etude)*(pat_tech_hta_15[[Annee]:[Annee]]=annee_CRAC)*(pat_tech_hta_15[[Annee Construction]:[Annee Construction]]=CE$215)*(pat_tech_hta_15[[dont_cpi_km]:[dont_cpi_km]]))</f>
        <v>0</v>
      </c>
      <c r="CF217" s="166" cm="1">
        <f t="array" ref="CF217">SUMPRODUCT((pat_tech_hta_15[[Client]:[Client]]=syndicat_etude)*(pat_tech_hta_15[[Annee]:[Annee]]=annee_CRAC)*(pat_tech_hta_15[[Annee Construction]:[Annee Construction]]=CF$215)*(pat_tech_hta_15[[dont_cpi_km]:[dont_cpi_km]]))</f>
        <v>0</v>
      </c>
    </row>
    <row r="218" spans="1:84" s="164" customFormat="1" ht="15" customHeight="1" x14ac:dyDescent="0.25">
      <c r="B218" s="288" t="s">
        <v>246</v>
      </c>
      <c r="C218" s="20">
        <f t="shared" ref="C218:AH218" si="3">C216-C217</f>
        <v>0</v>
      </c>
      <c r="D218" s="20">
        <f t="shared" si="3"/>
        <v>0</v>
      </c>
      <c r="E218" s="20">
        <f t="shared" si="3"/>
        <v>0</v>
      </c>
      <c r="F218" s="20">
        <f t="shared" si="3"/>
        <v>0</v>
      </c>
      <c r="G218" s="20">
        <f t="shared" si="3"/>
        <v>0</v>
      </c>
      <c r="H218" s="20">
        <f t="shared" si="3"/>
        <v>0</v>
      </c>
      <c r="I218" s="20">
        <f t="shared" si="3"/>
        <v>0</v>
      </c>
      <c r="J218" s="20">
        <f t="shared" si="3"/>
        <v>0</v>
      </c>
      <c r="K218" s="20">
        <f t="shared" si="3"/>
        <v>0</v>
      </c>
      <c r="L218" s="20">
        <f t="shared" si="3"/>
        <v>0</v>
      </c>
      <c r="M218" s="20">
        <f t="shared" si="3"/>
        <v>0</v>
      </c>
      <c r="N218" s="20">
        <f t="shared" si="3"/>
        <v>0</v>
      </c>
      <c r="O218" s="20">
        <f t="shared" si="3"/>
        <v>0</v>
      </c>
      <c r="P218" s="20">
        <f t="shared" si="3"/>
        <v>0</v>
      </c>
      <c r="Q218" s="20">
        <f t="shared" si="3"/>
        <v>1.629999999999999</v>
      </c>
      <c r="R218" s="20">
        <f t="shared" si="3"/>
        <v>8.0000000000000071E-2</v>
      </c>
      <c r="S218" s="20">
        <f t="shared" si="3"/>
        <v>0</v>
      </c>
      <c r="T218" s="20">
        <f t="shared" si="3"/>
        <v>0</v>
      </c>
      <c r="U218" s="20">
        <f t="shared" si="3"/>
        <v>0.10999999999999999</v>
      </c>
      <c r="V218" s="20">
        <f t="shared" si="3"/>
        <v>0.90999999999999992</v>
      </c>
      <c r="W218" s="20">
        <f t="shared" si="3"/>
        <v>1.7000000000000028</v>
      </c>
      <c r="X218" s="20">
        <f t="shared" si="3"/>
        <v>0.3899999999999999</v>
      </c>
      <c r="Y218" s="20">
        <f t="shared" si="3"/>
        <v>3.999999999999998E-2</v>
      </c>
      <c r="Z218" s="20">
        <f t="shared" si="3"/>
        <v>0</v>
      </c>
      <c r="AA218" s="20">
        <f t="shared" si="3"/>
        <v>0.18</v>
      </c>
      <c r="AB218" s="20">
        <f t="shared" si="3"/>
        <v>0</v>
      </c>
      <c r="AC218" s="20">
        <f t="shared" si="3"/>
        <v>0</v>
      </c>
      <c r="AD218" s="20">
        <f t="shared" si="3"/>
        <v>0</v>
      </c>
      <c r="AE218" s="20">
        <f t="shared" si="3"/>
        <v>0</v>
      </c>
      <c r="AF218" s="20">
        <f t="shared" si="3"/>
        <v>0.93999999999999972</v>
      </c>
      <c r="AG218" s="20">
        <f t="shared" si="3"/>
        <v>0</v>
      </c>
      <c r="AH218" s="20">
        <f t="shared" si="3"/>
        <v>0.85999999999999943</v>
      </c>
      <c r="AI218" s="20">
        <f t="shared" ref="AI218:BN218" si="4">AI216-AI217</f>
        <v>45.54</v>
      </c>
      <c r="AJ218" s="20">
        <f t="shared" si="4"/>
        <v>2.34</v>
      </c>
      <c r="AK218" s="20">
        <f t="shared" si="4"/>
        <v>9.31</v>
      </c>
      <c r="AL218" s="20">
        <f t="shared" si="4"/>
        <v>15.1</v>
      </c>
      <c r="AM218" s="20">
        <f t="shared" si="4"/>
        <v>14.830000000000002</v>
      </c>
      <c r="AN218" s="20">
        <f t="shared" si="4"/>
        <v>12.73</v>
      </c>
      <c r="AO218" s="20">
        <f t="shared" si="4"/>
        <v>17.860000000000003</v>
      </c>
      <c r="AP218" s="20">
        <f t="shared" si="4"/>
        <v>14.959999999999997</v>
      </c>
      <c r="AQ218" s="20">
        <f t="shared" si="4"/>
        <v>15.179999999999998</v>
      </c>
      <c r="AR218" s="20">
        <f t="shared" si="4"/>
        <v>15.520000000000001</v>
      </c>
      <c r="AS218" s="20">
        <f t="shared" si="4"/>
        <v>23.66</v>
      </c>
      <c r="AT218" s="20">
        <f t="shared" si="4"/>
        <v>18.62</v>
      </c>
      <c r="AU218" s="20">
        <f t="shared" si="4"/>
        <v>15.36</v>
      </c>
      <c r="AV218" s="20">
        <f t="shared" si="4"/>
        <v>17.239999999999998</v>
      </c>
      <c r="AW218" s="20">
        <f t="shared" si="4"/>
        <v>29.41</v>
      </c>
      <c r="AX218" s="20">
        <f t="shared" si="4"/>
        <v>46.98</v>
      </c>
      <c r="AY218" s="20">
        <f t="shared" si="4"/>
        <v>49.61</v>
      </c>
      <c r="AZ218" s="20">
        <f t="shared" si="4"/>
        <v>39.32</v>
      </c>
      <c r="BA218" s="20">
        <f t="shared" si="4"/>
        <v>88.81</v>
      </c>
      <c r="BB218" s="20">
        <f t="shared" si="4"/>
        <v>60.28</v>
      </c>
      <c r="BC218" s="20">
        <f t="shared" si="4"/>
        <v>51.26</v>
      </c>
      <c r="BD218" s="20">
        <f t="shared" si="4"/>
        <v>89.79</v>
      </c>
      <c r="BE218" s="20">
        <f t="shared" si="4"/>
        <v>82.449999999999989</v>
      </c>
      <c r="BF218" s="20">
        <f t="shared" si="4"/>
        <v>79.279999999999987</v>
      </c>
      <c r="BG218" s="20">
        <f t="shared" si="4"/>
        <v>110.69</v>
      </c>
      <c r="BH218" s="20">
        <f t="shared" si="4"/>
        <v>31.51</v>
      </c>
      <c r="BI218" s="20">
        <f t="shared" si="4"/>
        <v>38.15</v>
      </c>
      <c r="BJ218" s="20">
        <f t="shared" si="4"/>
        <v>55.87</v>
      </c>
      <c r="BK218" s="20">
        <f t="shared" si="4"/>
        <v>22.86</v>
      </c>
      <c r="BL218" s="20">
        <f t="shared" si="4"/>
        <v>42.169999999999995</v>
      </c>
      <c r="BM218" s="20">
        <f t="shared" si="4"/>
        <v>78.39</v>
      </c>
      <c r="BN218" s="20">
        <f t="shared" si="4"/>
        <v>92.06</v>
      </c>
      <c r="BO218" s="20">
        <f t="shared" ref="BO218:CF218" si="5">BO216-BO217</f>
        <v>106.5</v>
      </c>
      <c r="BP218" s="20">
        <f t="shared" si="5"/>
        <v>90.02</v>
      </c>
      <c r="BQ218" s="20">
        <f t="shared" si="5"/>
        <v>180.73</v>
      </c>
      <c r="BR218" s="20">
        <f t="shared" si="5"/>
        <v>38.22</v>
      </c>
      <c r="BS218" s="20">
        <f t="shared" si="5"/>
        <v>84.13</v>
      </c>
      <c r="BT218" s="20">
        <f t="shared" si="5"/>
        <v>109.74</v>
      </c>
      <c r="BU218" s="20">
        <f t="shared" si="5"/>
        <v>73.849999999999994</v>
      </c>
      <c r="BV218" s="20">
        <f t="shared" si="5"/>
        <v>91.45</v>
      </c>
      <c r="BW218" s="20">
        <f t="shared" si="5"/>
        <v>187.25</v>
      </c>
      <c r="BX218" s="20">
        <f t="shared" si="5"/>
        <v>34.380000000000003</v>
      </c>
      <c r="BY218" s="20">
        <f t="shared" si="5"/>
        <v>36.08</v>
      </c>
      <c r="BZ218" s="20">
        <f t="shared" si="5"/>
        <v>155.13999999999999</v>
      </c>
      <c r="CA218" s="20">
        <f t="shared" si="5"/>
        <v>38.56</v>
      </c>
      <c r="CB218" s="20">
        <f t="shared" si="5"/>
        <v>31.99</v>
      </c>
      <c r="CC218" s="20">
        <f t="shared" si="5"/>
        <v>0</v>
      </c>
      <c r="CD218" s="20">
        <f t="shared" si="5"/>
        <v>0</v>
      </c>
      <c r="CE218" s="20">
        <f t="shared" si="5"/>
        <v>0</v>
      </c>
      <c r="CF218" s="166">
        <f t="shared" si="5"/>
        <v>0</v>
      </c>
    </row>
    <row r="219" spans="1:84" ht="15" customHeight="1" x14ac:dyDescent="0.25">
      <c r="B219" s="126" t="s">
        <v>113</v>
      </c>
      <c r="C219" s="331" cm="1">
        <f t="array" ref="C219">SUMPRODUCT((pat_tech_hta_15[[Client]:[Client]]=syndicat_etude)*(pat_tech_hta_15[[Annee]:[Annee]]=annee_CRAC)*(pat_tech_hta_15[[Annee Construction]:[Annee Construction]]=C$215)*(pat_tech_hta_15[[aerien_nu_km]:[aerien_nu_km]]))</f>
        <v>0.48</v>
      </c>
      <c r="D219" s="331" cm="1">
        <f t="array" ref="D219">SUMPRODUCT((pat_tech_hta_15[[Client]:[Client]]=syndicat_etude)*(pat_tech_hta_15[[Annee]:[Annee]]=annee_CRAC)*(pat_tech_hta_15[[Annee Construction]:[Annee Construction]]=D$215)*(pat_tech_hta_15[[aerien_nu_km]:[aerien_nu_km]]))</f>
        <v>2.31</v>
      </c>
      <c r="E219" s="331" cm="1">
        <f t="array" ref="E219">SUMPRODUCT((pat_tech_hta_15[[Client]:[Client]]=syndicat_etude)*(pat_tech_hta_15[[Annee]:[Annee]]=annee_CRAC)*(pat_tech_hta_15[[Annee Construction]:[Annee Construction]]=E$215)*(pat_tech_hta_15[[aerien_nu_km]:[aerien_nu_km]]))</f>
        <v>1.78</v>
      </c>
      <c r="F219" s="331" cm="1">
        <f t="array" ref="F219">SUMPRODUCT((pat_tech_hta_15[[Client]:[Client]]=syndicat_etude)*(pat_tech_hta_15[[Annee]:[Annee]]=annee_CRAC)*(pat_tech_hta_15[[Annee Construction]:[Annee Construction]]=F$215)*(pat_tech_hta_15[[aerien_nu_km]:[aerien_nu_km]]))</f>
        <v>1.75</v>
      </c>
      <c r="G219" s="331" cm="1">
        <f t="array" ref="G219">SUMPRODUCT((pat_tech_hta_15[[Client]:[Client]]=syndicat_etude)*(pat_tech_hta_15[[Annee]:[Annee]]=annee_CRAC)*(pat_tech_hta_15[[Annee Construction]:[Annee Construction]]=G$215)*(pat_tech_hta_15[[aerien_nu_km]:[aerien_nu_km]]))</f>
        <v>4.47</v>
      </c>
      <c r="H219" s="331" cm="1">
        <f t="array" ref="H219">SUMPRODUCT((pat_tech_hta_15[[Client]:[Client]]=syndicat_etude)*(pat_tech_hta_15[[Annee]:[Annee]]=annee_CRAC)*(pat_tech_hta_15[[Annee Construction]:[Annee Construction]]=H$215)*(pat_tech_hta_15[[aerien_nu_km]:[aerien_nu_km]]))</f>
        <v>1.56</v>
      </c>
      <c r="I219" s="331" cm="1">
        <f t="array" ref="I219">SUMPRODUCT((pat_tech_hta_15[[Client]:[Client]]=syndicat_etude)*(pat_tech_hta_15[[Annee]:[Annee]]=annee_CRAC)*(pat_tech_hta_15[[Annee Construction]:[Annee Construction]]=I$215)*(pat_tech_hta_15[[aerien_nu_km]:[aerien_nu_km]]))</f>
        <v>0.98</v>
      </c>
      <c r="J219" s="331" cm="1">
        <f t="array" ref="J219">SUMPRODUCT((pat_tech_hta_15[[Client]:[Client]]=syndicat_etude)*(pat_tech_hta_15[[Annee]:[Annee]]=annee_CRAC)*(pat_tech_hta_15[[Annee Construction]:[Annee Construction]]=J$215)*(pat_tech_hta_15[[aerien_nu_km]:[aerien_nu_km]]))</f>
        <v>0.75</v>
      </c>
      <c r="K219" s="331" cm="1">
        <f t="array" ref="K219">SUMPRODUCT((pat_tech_hta_15[[Client]:[Client]]=syndicat_etude)*(pat_tech_hta_15[[Annee]:[Annee]]=annee_CRAC)*(pat_tech_hta_15[[Annee Construction]:[Annee Construction]]=K$215)*(pat_tech_hta_15[[aerien_nu_km]:[aerien_nu_km]]))</f>
        <v>0.27</v>
      </c>
      <c r="L219" s="331" cm="1">
        <f t="array" ref="L219">SUMPRODUCT((pat_tech_hta_15[[Client]:[Client]]=syndicat_etude)*(pat_tech_hta_15[[Annee]:[Annee]]=annee_CRAC)*(pat_tech_hta_15[[Annee Construction]:[Annee Construction]]=L$215)*(pat_tech_hta_15[[aerien_nu_km]:[aerien_nu_km]]))</f>
        <v>4.28</v>
      </c>
      <c r="M219" s="331" cm="1">
        <f t="array" ref="M219">SUMPRODUCT((pat_tech_hta_15[[Client]:[Client]]=syndicat_etude)*(pat_tech_hta_15[[Annee]:[Annee]]=annee_CRAC)*(pat_tech_hta_15[[Annee Construction]:[Annee Construction]]=M$215)*(pat_tech_hta_15[[aerien_nu_km]:[aerien_nu_km]]))</f>
        <v>7</v>
      </c>
      <c r="N219" s="331" cm="1">
        <f t="array" ref="N219">SUMPRODUCT((pat_tech_hta_15[[Client]:[Client]]=syndicat_etude)*(pat_tech_hta_15[[Annee]:[Annee]]=annee_CRAC)*(pat_tech_hta_15[[Annee Construction]:[Annee Construction]]=N$215)*(pat_tech_hta_15[[aerien_nu_km]:[aerien_nu_km]]))</f>
        <v>14.33</v>
      </c>
      <c r="O219" s="331" cm="1">
        <f t="array" ref="O219">SUMPRODUCT((pat_tech_hta_15[[Client]:[Client]]=syndicat_etude)*(pat_tech_hta_15[[Annee]:[Annee]]=annee_CRAC)*(pat_tech_hta_15[[Annee Construction]:[Annee Construction]]=O$215)*(pat_tech_hta_15[[aerien_nu_km]:[aerien_nu_km]]))</f>
        <v>3.4</v>
      </c>
      <c r="P219" s="331" cm="1">
        <f t="array" ref="P219">SUMPRODUCT((pat_tech_hta_15[[Client]:[Client]]=syndicat_etude)*(pat_tech_hta_15[[Annee]:[Annee]]=annee_CRAC)*(pat_tech_hta_15[[Annee Construction]:[Annee Construction]]=P$215)*(pat_tech_hta_15[[aerien_nu_km]:[aerien_nu_km]]))</f>
        <v>8.34</v>
      </c>
      <c r="Q219" s="331" cm="1">
        <f t="array" ref="Q219">SUMPRODUCT((pat_tech_hta_15[[Client]:[Client]]=syndicat_etude)*(pat_tech_hta_15[[Annee]:[Annee]]=annee_CRAC)*(pat_tech_hta_15[[Annee Construction]:[Annee Construction]]=Q$215)*(pat_tech_hta_15[[aerien_nu_km]:[aerien_nu_km]]))</f>
        <v>19.88</v>
      </c>
      <c r="R219" s="331" cm="1">
        <f t="array" ref="R219">SUMPRODUCT((pat_tech_hta_15[[Client]:[Client]]=syndicat_etude)*(pat_tech_hta_15[[Annee]:[Annee]]=annee_CRAC)*(pat_tech_hta_15[[Annee Construction]:[Annee Construction]]=R$215)*(pat_tech_hta_15[[aerien_nu_km]:[aerien_nu_km]]))</f>
        <v>17.93</v>
      </c>
      <c r="S219" s="331" cm="1">
        <f t="array" ref="S219">SUMPRODUCT((pat_tech_hta_15[[Client]:[Client]]=syndicat_etude)*(pat_tech_hta_15[[Annee]:[Annee]]=annee_CRAC)*(pat_tech_hta_15[[Annee Construction]:[Annee Construction]]=S$215)*(pat_tech_hta_15[[aerien_nu_km]:[aerien_nu_km]]))</f>
        <v>37.18</v>
      </c>
      <c r="T219" s="331" cm="1">
        <f t="array" ref="T219">SUMPRODUCT((pat_tech_hta_15[[Client]:[Client]]=syndicat_etude)*(pat_tech_hta_15[[Annee]:[Annee]]=annee_CRAC)*(pat_tech_hta_15[[Annee Construction]:[Annee Construction]]=T$215)*(pat_tech_hta_15[[aerien_nu_km]:[aerien_nu_km]]))</f>
        <v>41.4</v>
      </c>
      <c r="U219" s="331" cm="1">
        <f t="array" ref="U219">SUMPRODUCT((pat_tech_hta_15[[Client]:[Client]]=syndicat_etude)*(pat_tech_hta_15[[Annee]:[Annee]]=annee_CRAC)*(pat_tech_hta_15[[Annee Construction]:[Annee Construction]]=U$215)*(pat_tech_hta_15[[aerien_nu_km]:[aerien_nu_km]]))</f>
        <v>52.65</v>
      </c>
      <c r="V219" s="331" cm="1">
        <f t="array" ref="V219">SUMPRODUCT((pat_tech_hta_15[[Client]:[Client]]=syndicat_etude)*(pat_tech_hta_15[[Annee]:[Annee]]=annee_CRAC)*(pat_tech_hta_15[[Annee Construction]:[Annee Construction]]=V$215)*(pat_tech_hta_15[[aerien_nu_km]:[aerien_nu_km]]))</f>
        <v>68.39</v>
      </c>
      <c r="W219" s="331" cm="1">
        <f t="array" ref="W219">SUMPRODUCT((pat_tech_hta_15[[Client]:[Client]]=syndicat_etude)*(pat_tech_hta_15[[Annee]:[Annee]]=annee_CRAC)*(pat_tech_hta_15[[Annee Construction]:[Annee Construction]]=W$215)*(pat_tech_hta_15[[aerien_nu_km]:[aerien_nu_km]]))</f>
        <v>77.94</v>
      </c>
      <c r="X219" s="331" cm="1">
        <f t="array" ref="X219">SUMPRODUCT((pat_tech_hta_15[[Client]:[Client]]=syndicat_etude)*(pat_tech_hta_15[[Annee]:[Annee]]=annee_CRAC)*(pat_tech_hta_15[[Annee Construction]:[Annee Construction]]=X$215)*(pat_tech_hta_15[[aerien_nu_km]:[aerien_nu_km]]))</f>
        <v>79.39</v>
      </c>
      <c r="Y219" s="331" cm="1">
        <f t="array" ref="Y219">SUMPRODUCT((pat_tech_hta_15[[Client]:[Client]]=syndicat_etude)*(pat_tech_hta_15[[Annee]:[Annee]]=annee_CRAC)*(pat_tech_hta_15[[Annee Construction]:[Annee Construction]]=Y$215)*(pat_tech_hta_15[[aerien_nu_km]:[aerien_nu_km]]))</f>
        <v>47.85</v>
      </c>
      <c r="Z219" s="331" cm="1">
        <f t="array" ref="Z219">SUMPRODUCT((pat_tech_hta_15[[Client]:[Client]]=syndicat_etude)*(pat_tech_hta_15[[Annee]:[Annee]]=annee_CRAC)*(pat_tech_hta_15[[Annee Construction]:[Annee Construction]]=Z$215)*(pat_tech_hta_15[[aerien_nu_km]:[aerien_nu_km]]))</f>
        <v>46.83</v>
      </c>
      <c r="AA219" s="331" cm="1">
        <f t="array" ref="AA219">SUMPRODUCT((pat_tech_hta_15[[Client]:[Client]]=syndicat_etude)*(pat_tech_hta_15[[Annee]:[Annee]]=annee_CRAC)*(pat_tech_hta_15[[Annee Construction]:[Annee Construction]]=AA$215)*(pat_tech_hta_15[[aerien_nu_km]:[aerien_nu_km]]))</f>
        <v>60.58</v>
      </c>
      <c r="AB219" s="331" cm="1">
        <f t="array" ref="AB219">SUMPRODUCT((pat_tech_hta_15[[Client]:[Client]]=syndicat_etude)*(pat_tech_hta_15[[Annee]:[Annee]]=annee_CRAC)*(pat_tech_hta_15[[Annee Construction]:[Annee Construction]]=AB$215)*(pat_tech_hta_15[[aerien_nu_km]:[aerien_nu_km]]))</f>
        <v>47.91</v>
      </c>
      <c r="AC219" s="331" cm="1">
        <f t="array" ref="AC219">SUMPRODUCT((pat_tech_hta_15[[Client]:[Client]]=syndicat_etude)*(pat_tech_hta_15[[Annee]:[Annee]]=annee_CRAC)*(pat_tech_hta_15[[Annee Construction]:[Annee Construction]]=AC$215)*(pat_tech_hta_15[[aerien_nu_km]:[aerien_nu_km]]))</f>
        <v>42.42</v>
      </c>
      <c r="AD219" s="331" cm="1">
        <f t="array" ref="AD219">SUMPRODUCT((pat_tech_hta_15[[Client]:[Client]]=syndicat_etude)*(pat_tech_hta_15[[Annee]:[Annee]]=annee_CRAC)*(pat_tech_hta_15[[Annee Construction]:[Annee Construction]]=AD$215)*(pat_tech_hta_15[[aerien_nu_km]:[aerien_nu_km]]))</f>
        <v>64.95</v>
      </c>
      <c r="AE219" s="331" cm="1">
        <f t="array" ref="AE219">SUMPRODUCT((pat_tech_hta_15[[Client]:[Client]]=syndicat_etude)*(pat_tech_hta_15[[Annee]:[Annee]]=annee_CRAC)*(pat_tech_hta_15[[Annee Construction]:[Annee Construction]]=AE$215)*(pat_tech_hta_15[[aerien_nu_km]:[aerien_nu_km]]))</f>
        <v>51.13</v>
      </c>
      <c r="AF219" s="331" cm="1">
        <f t="array" ref="AF219">SUMPRODUCT((pat_tech_hta_15[[Client]:[Client]]=syndicat_etude)*(pat_tech_hta_15[[Annee]:[Annee]]=annee_CRAC)*(pat_tech_hta_15[[Annee Construction]:[Annee Construction]]=AF$215)*(pat_tech_hta_15[[aerien_nu_km]:[aerien_nu_km]]))</f>
        <v>32.1</v>
      </c>
      <c r="AG219" s="331" cm="1">
        <f t="array" ref="AG219">SUMPRODUCT((pat_tech_hta_15[[Client]:[Client]]=syndicat_etude)*(pat_tech_hta_15[[Annee]:[Annee]]=annee_CRAC)*(pat_tech_hta_15[[Annee Construction]:[Annee Construction]]=AG$215)*(pat_tech_hta_15[[aerien_nu_km]:[aerien_nu_km]]))</f>
        <v>34.65</v>
      </c>
      <c r="AH219" s="331" cm="1">
        <f t="array" ref="AH219">SUMPRODUCT((pat_tech_hta_15[[Client]:[Client]]=syndicat_etude)*(pat_tech_hta_15[[Annee]:[Annee]]=annee_CRAC)*(pat_tech_hta_15[[Annee Construction]:[Annee Construction]]=AH$215)*(pat_tech_hta_15[[aerien_nu_km]:[aerien_nu_km]]))</f>
        <v>25.13</v>
      </c>
      <c r="AI219" s="331" cm="1">
        <f t="array" ref="AI219">SUMPRODUCT((pat_tech_hta_15[[Client]:[Client]]=syndicat_etude)*(pat_tech_hta_15[[Annee]:[Annee]]=annee_CRAC)*(pat_tech_hta_15[[Annee Construction]:[Annee Construction]]=AI$215)*(pat_tech_hta_15[[aerien_nu_km]:[aerien_nu_km]]))</f>
        <v>43.28</v>
      </c>
      <c r="AJ219" s="331" cm="1">
        <f t="array" ref="AJ219">SUMPRODUCT((pat_tech_hta_15[[Client]:[Client]]=syndicat_etude)*(pat_tech_hta_15[[Annee]:[Annee]]=annee_CRAC)*(pat_tech_hta_15[[Annee Construction]:[Annee Construction]]=AJ$215)*(pat_tech_hta_15[[aerien_nu_km]:[aerien_nu_km]]))</f>
        <v>52.49</v>
      </c>
      <c r="AK219" s="331" cm="1">
        <f t="array" ref="AK219">SUMPRODUCT((pat_tech_hta_15[[Client]:[Client]]=syndicat_etude)*(pat_tech_hta_15[[Annee]:[Annee]]=annee_CRAC)*(pat_tech_hta_15[[Annee Construction]:[Annee Construction]]=AK$215)*(pat_tech_hta_15[[aerien_nu_km]:[aerien_nu_km]]))</f>
        <v>29.1</v>
      </c>
      <c r="AL219" s="331" cm="1">
        <f t="array" ref="AL219">SUMPRODUCT((pat_tech_hta_15[[Client]:[Client]]=syndicat_etude)*(pat_tech_hta_15[[Annee]:[Annee]]=annee_CRAC)*(pat_tech_hta_15[[Annee Construction]:[Annee Construction]]=AL$215)*(pat_tech_hta_15[[aerien_nu_km]:[aerien_nu_km]]))</f>
        <v>19.29</v>
      </c>
      <c r="AM219" s="331" cm="1">
        <f t="array" ref="AM219">SUMPRODUCT((pat_tech_hta_15[[Client]:[Client]]=syndicat_etude)*(pat_tech_hta_15[[Annee]:[Annee]]=annee_CRAC)*(pat_tech_hta_15[[Annee Construction]:[Annee Construction]]=AM$215)*(pat_tech_hta_15[[aerien_nu_km]:[aerien_nu_km]]))</f>
        <v>59.64</v>
      </c>
      <c r="AN219" s="331" cm="1">
        <f t="array" ref="AN219">SUMPRODUCT((pat_tech_hta_15[[Client]:[Client]]=syndicat_etude)*(pat_tech_hta_15[[Annee]:[Annee]]=annee_CRAC)*(pat_tech_hta_15[[Annee Construction]:[Annee Construction]]=AN$215)*(pat_tech_hta_15[[aerien_nu_km]:[aerien_nu_km]]))</f>
        <v>52.6</v>
      </c>
      <c r="AO219" s="331" cm="1">
        <f t="array" ref="AO219">SUMPRODUCT((pat_tech_hta_15[[Client]:[Client]]=syndicat_etude)*(pat_tech_hta_15[[Annee]:[Annee]]=annee_CRAC)*(pat_tech_hta_15[[Annee Construction]:[Annee Construction]]=AO$215)*(pat_tech_hta_15[[aerien_nu_km]:[aerien_nu_km]]))</f>
        <v>84.72</v>
      </c>
      <c r="AP219" s="331" cm="1">
        <f t="array" ref="AP219">SUMPRODUCT((pat_tech_hta_15[[Client]:[Client]]=syndicat_etude)*(pat_tech_hta_15[[Annee]:[Annee]]=annee_CRAC)*(pat_tech_hta_15[[Annee Construction]:[Annee Construction]]=AP$215)*(pat_tech_hta_15[[aerien_nu_km]:[aerien_nu_km]]))</f>
        <v>89.45</v>
      </c>
      <c r="AQ219" s="331" cm="1">
        <f t="array" ref="AQ219">SUMPRODUCT((pat_tech_hta_15[[Client]:[Client]]=syndicat_etude)*(pat_tech_hta_15[[Annee]:[Annee]]=annee_CRAC)*(pat_tech_hta_15[[Annee Construction]:[Annee Construction]]=AQ$215)*(pat_tech_hta_15[[aerien_nu_km]:[aerien_nu_km]]))</f>
        <v>60.55</v>
      </c>
      <c r="AR219" s="331" cm="1">
        <f t="array" ref="AR219">SUMPRODUCT((pat_tech_hta_15[[Client]:[Client]]=syndicat_etude)*(pat_tech_hta_15[[Annee]:[Annee]]=annee_CRAC)*(pat_tech_hta_15[[Annee Construction]:[Annee Construction]]=AR$215)*(pat_tech_hta_15[[aerien_nu_km]:[aerien_nu_km]]))</f>
        <v>98.23</v>
      </c>
      <c r="AS219" s="331" cm="1">
        <f t="array" ref="AS219">SUMPRODUCT((pat_tech_hta_15[[Client]:[Client]]=syndicat_etude)*(pat_tech_hta_15[[Annee]:[Annee]]=annee_CRAC)*(pat_tech_hta_15[[Annee Construction]:[Annee Construction]]=AS$215)*(pat_tech_hta_15[[aerien_nu_km]:[aerien_nu_km]]))</f>
        <v>168.88</v>
      </c>
      <c r="AT219" s="331" cm="1">
        <f t="array" ref="AT219">SUMPRODUCT((pat_tech_hta_15[[Client]:[Client]]=syndicat_etude)*(pat_tech_hta_15[[Annee]:[Annee]]=annee_CRAC)*(pat_tech_hta_15[[Annee Construction]:[Annee Construction]]=AT$215)*(pat_tech_hta_15[[aerien_nu_km]:[aerien_nu_km]]))</f>
        <v>134.46</v>
      </c>
      <c r="AU219" s="331" cm="1">
        <f t="array" ref="AU219">SUMPRODUCT((pat_tech_hta_15[[Client]:[Client]]=syndicat_etude)*(pat_tech_hta_15[[Annee]:[Annee]]=annee_CRAC)*(pat_tech_hta_15[[Annee Construction]:[Annee Construction]]=AU$215)*(pat_tech_hta_15[[aerien_nu_km]:[aerien_nu_km]]))</f>
        <v>97.83</v>
      </c>
      <c r="AV219" s="331" cm="1">
        <f t="array" ref="AV219">SUMPRODUCT((pat_tech_hta_15[[Client]:[Client]]=syndicat_etude)*(pat_tech_hta_15[[Annee]:[Annee]]=annee_CRAC)*(pat_tech_hta_15[[Annee Construction]:[Annee Construction]]=AV$215)*(pat_tech_hta_15[[aerien_nu_km]:[aerien_nu_km]]))</f>
        <v>108.36</v>
      </c>
      <c r="AW219" s="331" cm="1">
        <f t="array" ref="AW219">SUMPRODUCT((pat_tech_hta_15[[Client]:[Client]]=syndicat_etude)*(pat_tech_hta_15[[Annee]:[Annee]]=annee_CRAC)*(pat_tech_hta_15[[Annee Construction]:[Annee Construction]]=AW$215)*(pat_tech_hta_15[[aerien_nu_km]:[aerien_nu_km]]))</f>
        <v>104.15</v>
      </c>
      <c r="AX219" s="331" cm="1">
        <f t="array" ref="AX219">SUMPRODUCT((pat_tech_hta_15[[Client]:[Client]]=syndicat_etude)*(pat_tech_hta_15[[Annee]:[Annee]]=annee_CRAC)*(pat_tech_hta_15[[Annee Construction]:[Annee Construction]]=AX$215)*(pat_tech_hta_15[[aerien_nu_km]:[aerien_nu_km]]))</f>
        <v>38.03</v>
      </c>
      <c r="AY219" s="331" cm="1">
        <f t="array" ref="AY219">SUMPRODUCT((pat_tech_hta_15[[Client]:[Client]]=syndicat_etude)*(pat_tech_hta_15[[Annee]:[Annee]]=annee_CRAC)*(pat_tech_hta_15[[Annee Construction]:[Annee Construction]]=AY$215)*(pat_tech_hta_15[[aerien_nu_km]:[aerien_nu_km]]))</f>
        <v>17.739999999999998</v>
      </c>
      <c r="AZ219" s="331" cm="1">
        <f t="array" ref="AZ219">SUMPRODUCT((pat_tech_hta_15[[Client]:[Client]]=syndicat_etude)*(pat_tech_hta_15[[Annee]:[Annee]]=annee_CRAC)*(pat_tech_hta_15[[Annee Construction]:[Annee Construction]]=AZ$215)*(pat_tech_hta_15[[aerien_nu_km]:[aerien_nu_km]]))</f>
        <v>15.78</v>
      </c>
      <c r="BA219" s="331" cm="1">
        <f t="array" ref="BA219">SUMPRODUCT((pat_tech_hta_15[[Client]:[Client]]=syndicat_etude)*(pat_tech_hta_15[[Annee]:[Annee]]=annee_CRAC)*(pat_tech_hta_15[[Annee Construction]:[Annee Construction]]=BA$215)*(pat_tech_hta_15[[aerien_nu_km]:[aerien_nu_km]]))</f>
        <v>16.48</v>
      </c>
      <c r="BB219" s="331" cm="1">
        <f t="array" ref="BB219">SUMPRODUCT((pat_tech_hta_15[[Client]:[Client]]=syndicat_etude)*(pat_tech_hta_15[[Annee]:[Annee]]=annee_CRAC)*(pat_tech_hta_15[[Annee Construction]:[Annee Construction]]=BB$215)*(pat_tech_hta_15[[aerien_nu_km]:[aerien_nu_km]]))</f>
        <v>6.38</v>
      </c>
      <c r="BC219" s="331" cm="1">
        <f t="array" ref="BC219">SUMPRODUCT((pat_tech_hta_15[[Client]:[Client]]=syndicat_etude)*(pat_tech_hta_15[[Annee]:[Annee]]=annee_CRAC)*(pat_tech_hta_15[[Annee Construction]:[Annee Construction]]=BC$215)*(pat_tech_hta_15[[aerien_nu_km]:[aerien_nu_km]]))</f>
        <v>7.19</v>
      </c>
      <c r="BD219" s="331" cm="1">
        <f t="array" ref="BD219">SUMPRODUCT((pat_tech_hta_15[[Client]:[Client]]=syndicat_etude)*(pat_tech_hta_15[[Annee]:[Annee]]=annee_CRAC)*(pat_tech_hta_15[[Annee Construction]:[Annee Construction]]=BD$215)*(pat_tech_hta_15[[aerien_nu_km]:[aerien_nu_km]]))</f>
        <v>7.53</v>
      </c>
      <c r="BE219" s="331" cm="1">
        <f t="array" ref="BE219">SUMPRODUCT((pat_tech_hta_15[[Client]:[Client]]=syndicat_etude)*(pat_tech_hta_15[[Annee]:[Annee]]=annee_CRAC)*(pat_tech_hta_15[[Annee Construction]:[Annee Construction]]=BE$215)*(pat_tech_hta_15[[aerien_nu_km]:[aerien_nu_km]]))</f>
        <v>13.79</v>
      </c>
      <c r="BF219" s="331" cm="1">
        <f t="array" ref="BF219">SUMPRODUCT((pat_tech_hta_15[[Client]:[Client]]=syndicat_etude)*(pat_tech_hta_15[[Annee]:[Annee]]=annee_CRAC)*(pat_tech_hta_15[[Annee Construction]:[Annee Construction]]=BF$215)*(pat_tech_hta_15[[aerien_nu_km]:[aerien_nu_km]]))</f>
        <v>2.65</v>
      </c>
      <c r="BG219" s="331" cm="1">
        <f t="array" ref="BG219">SUMPRODUCT((pat_tech_hta_15[[Client]:[Client]]=syndicat_etude)*(pat_tech_hta_15[[Annee]:[Annee]]=annee_CRAC)*(pat_tech_hta_15[[Annee Construction]:[Annee Construction]]=BG$215)*(pat_tech_hta_15[[aerien_nu_km]:[aerien_nu_km]]))</f>
        <v>1.72</v>
      </c>
      <c r="BH219" s="331" cm="1">
        <f t="array" ref="BH219">SUMPRODUCT((pat_tech_hta_15[[Client]:[Client]]=syndicat_etude)*(pat_tech_hta_15[[Annee]:[Annee]]=annee_CRAC)*(pat_tech_hta_15[[Annee Construction]:[Annee Construction]]=BH$215)*(pat_tech_hta_15[[aerien_nu_km]:[aerien_nu_km]]))</f>
        <v>1.02</v>
      </c>
      <c r="BI219" s="331" cm="1">
        <f t="array" ref="BI219">SUMPRODUCT((pat_tech_hta_15[[Client]:[Client]]=syndicat_etude)*(pat_tech_hta_15[[Annee]:[Annee]]=annee_CRAC)*(pat_tech_hta_15[[Annee Construction]:[Annee Construction]]=BI$215)*(pat_tech_hta_15[[aerien_nu_km]:[aerien_nu_km]]))</f>
        <v>1.2</v>
      </c>
      <c r="BJ219" s="331" cm="1">
        <f t="array" ref="BJ219">SUMPRODUCT((pat_tech_hta_15[[Client]:[Client]]=syndicat_etude)*(pat_tech_hta_15[[Annee]:[Annee]]=annee_CRAC)*(pat_tech_hta_15[[Annee Construction]:[Annee Construction]]=BJ$215)*(pat_tech_hta_15[[aerien_nu_km]:[aerien_nu_km]]))</f>
        <v>2.35</v>
      </c>
      <c r="BK219" s="331" cm="1">
        <f t="array" ref="BK219">SUMPRODUCT((pat_tech_hta_15[[Client]:[Client]]=syndicat_etude)*(pat_tech_hta_15[[Annee]:[Annee]]=annee_CRAC)*(pat_tech_hta_15[[Annee Construction]:[Annee Construction]]=BK$215)*(pat_tech_hta_15[[aerien_nu_km]:[aerien_nu_km]]))</f>
        <v>1.54</v>
      </c>
      <c r="BL219" s="331" cm="1">
        <f t="array" ref="BL219">SUMPRODUCT((pat_tech_hta_15[[Client]:[Client]]=syndicat_etude)*(pat_tech_hta_15[[Annee]:[Annee]]=annee_CRAC)*(pat_tech_hta_15[[Annee Construction]:[Annee Construction]]=BL$215)*(pat_tech_hta_15[[aerien_nu_km]:[aerien_nu_km]]))</f>
        <v>1.27</v>
      </c>
      <c r="BM219" s="331" cm="1">
        <f t="array" ref="BM219">SUMPRODUCT((pat_tech_hta_15[[Client]:[Client]]=syndicat_etude)*(pat_tech_hta_15[[Annee]:[Annee]]=annee_CRAC)*(pat_tech_hta_15[[Annee Construction]:[Annee Construction]]=BM$215)*(pat_tech_hta_15[[aerien_nu_km]:[aerien_nu_km]]))</f>
        <v>1.78</v>
      </c>
      <c r="BN219" s="331" cm="1">
        <f t="array" ref="BN219">SUMPRODUCT((pat_tech_hta_15[[Client]:[Client]]=syndicat_etude)*(pat_tech_hta_15[[Annee]:[Annee]]=annee_CRAC)*(pat_tech_hta_15[[Annee Construction]:[Annee Construction]]=BN$215)*(pat_tech_hta_15[[aerien_nu_km]:[aerien_nu_km]]))</f>
        <v>0.15</v>
      </c>
      <c r="BO219" s="331" cm="1">
        <f t="array" ref="BO219">SUMPRODUCT((pat_tech_hta_15[[Client]:[Client]]=syndicat_etude)*(pat_tech_hta_15[[Annee]:[Annee]]=annee_CRAC)*(pat_tech_hta_15[[Annee Construction]:[Annee Construction]]=BO$215)*(pat_tech_hta_15[[aerien_nu_km]:[aerien_nu_km]]))</f>
        <v>0.87</v>
      </c>
      <c r="BP219" s="331" cm="1">
        <f t="array" ref="BP219">SUMPRODUCT((pat_tech_hta_15[[Client]:[Client]]=syndicat_etude)*(pat_tech_hta_15[[Annee]:[Annee]]=annee_CRAC)*(pat_tech_hta_15[[Annee Construction]:[Annee Construction]]=BP$215)*(pat_tech_hta_15[[aerien_nu_km]:[aerien_nu_km]]))</f>
        <v>0.27</v>
      </c>
      <c r="BQ219" s="331" cm="1">
        <f t="array" ref="BQ219">SUMPRODUCT((pat_tech_hta_15[[Client]:[Client]]=syndicat_etude)*(pat_tech_hta_15[[Annee]:[Annee]]=annee_CRAC)*(pat_tech_hta_15[[Annee Construction]:[Annee Construction]]=BQ$215)*(pat_tech_hta_15[[aerien_nu_km]:[aerien_nu_km]]))</f>
        <v>0.42</v>
      </c>
      <c r="BR219" s="331" cm="1">
        <f t="array" ref="BR219">SUMPRODUCT((pat_tech_hta_15[[Client]:[Client]]=syndicat_etude)*(pat_tech_hta_15[[Annee]:[Annee]]=annee_CRAC)*(pat_tech_hta_15[[Annee Construction]:[Annee Construction]]=BR$215)*(pat_tech_hta_15[[aerien_nu_km]:[aerien_nu_km]]))</f>
        <v>0.73</v>
      </c>
      <c r="BS219" s="331" cm="1">
        <f t="array" ref="BS219">SUMPRODUCT((pat_tech_hta_15[[Client]:[Client]]=syndicat_etude)*(pat_tech_hta_15[[Annee]:[Annee]]=annee_CRAC)*(pat_tech_hta_15[[Annee Construction]:[Annee Construction]]=BS$215)*(pat_tech_hta_15[[aerien_nu_km]:[aerien_nu_km]]))</f>
        <v>0.28000000000000003</v>
      </c>
      <c r="BT219" s="331" cm="1">
        <f t="array" ref="BT219">SUMPRODUCT((pat_tech_hta_15[[Client]:[Client]]=syndicat_etude)*(pat_tech_hta_15[[Annee]:[Annee]]=annee_CRAC)*(pat_tech_hta_15[[Annee Construction]:[Annee Construction]]=BT$215)*(pat_tech_hta_15[[aerien_nu_km]:[aerien_nu_km]]))</f>
        <v>0.92</v>
      </c>
      <c r="BU219" s="331" cm="1">
        <f t="array" ref="BU219">SUMPRODUCT((pat_tech_hta_15[[Client]:[Client]]=syndicat_etude)*(pat_tech_hta_15[[Annee]:[Annee]]=annee_CRAC)*(pat_tech_hta_15[[Annee Construction]:[Annee Construction]]=BU$215)*(pat_tech_hta_15[[aerien_nu_km]:[aerien_nu_km]]))</f>
        <v>0.35</v>
      </c>
      <c r="BV219" s="331" cm="1">
        <f t="array" ref="BV219">SUMPRODUCT((pat_tech_hta_15[[Client]:[Client]]=syndicat_etude)*(pat_tech_hta_15[[Annee]:[Annee]]=annee_CRAC)*(pat_tech_hta_15[[Annee Construction]:[Annee Construction]]=BV$215)*(pat_tech_hta_15[[aerien_nu_km]:[aerien_nu_km]]))</f>
        <v>0.23</v>
      </c>
      <c r="BW219" s="331" cm="1">
        <f t="array" ref="BW219">SUMPRODUCT((pat_tech_hta_15[[Client]:[Client]]=syndicat_etude)*(pat_tech_hta_15[[Annee]:[Annee]]=annee_CRAC)*(pat_tech_hta_15[[Annee Construction]:[Annee Construction]]=BW$215)*(pat_tech_hta_15[[aerien_nu_km]:[aerien_nu_km]]))</f>
        <v>2.19</v>
      </c>
      <c r="BX219" s="331" cm="1">
        <f t="array" ref="BX219">SUMPRODUCT((pat_tech_hta_15[[Client]:[Client]]=syndicat_etude)*(pat_tech_hta_15[[Annee]:[Annee]]=annee_CRAC)*(pat_tech_hta_15[[Annee Construction]:[Annee Construction]]=BX$215)*(pat_tech_hta_15[[aerien_nu_km]:[aerien_nu_km]]))</f>
        <v>0.25</v>
      </c>
      <c r="BY219" s="331" cm="1">
        <f t="array" ref="BY219">SUMPRODUCT((pat_tech_hta_15[[Client]:[Client]]=syndicat_etude)*(pat_tech_hta_15[[Annee]:[Annee]]=annee_CRAC)*(pat_tech_hta_15[[Annee Construction]:[Annee Construction]]=BY$215)*(pat_tech_hta_15[[aerien_nu_km]:[aerien_nu_km]]))</f>
        <v>0</v>
      </c>
      <c r="BZ219" s="331" cm="1">
        <f t="array" ref="BZ219">SUMPRODUCT((pat_tech_hta_15[[Client]:[Client]]=syndicat_etude)*(pat_tech_hta_15[[Annee]:[Annee]]=annee_CRAC)*(pat_tech_hta_15[[Annee Construction]:[Annee Construction]]=BZ$215)*(pat_tech_hta_15[[aerien_nu_km]:[aerien_nu_km]]))</f>
        <v>0</v>
      </c>
      <c r="CA219" s="331" cm="1">
        <f t="array" ref="CA219">SUMPRODUCT((pat_tech_hta_15[[Client]:[Client]]=syndicat_etude)*(pat_tech_hta_15[[Annee]:[Annee]]=annee_CRAC)*(pat_tech_hta_15[[Annee Construction]:[Annee Construction]]=CA$215)*(pat_tech_hta_15[[aerien_nu_km]:[aerien_nu_km]]))</f>
        <v>0.01</v>
      </c>
      <c r="CB219" s="331" cm="1">
        <f t="array" ref="CB219">SUMPRODUCT((pat_tech_hta_15[[Client]:[Client]]=syndicat_etude)*(pat_tech_hta_15[[Annee]:[Annee]]=annee_CRAC)*(pat_tech_hta_15[[Annee Construction]:[Annee Construction]]=CB$215)*(pat_tech_hta_15[[aerien_nu_km]:[aerien_nu_km]]))</f>
        <v>0</v>
      </c>
      <c r="CC219" s="331" cm="1">
        <f t="array" ref="CC219">SUMPRODUCT((pat_tech_hta_15[[Client]:[Client]]=syndicat_etude)*(pat_tech_hta_15[[Annee]:[Annee]]=annee_CRAC)*(pat_tech_hta_15[[Annee Construction]:[Annee Construction]]=CC$215)*(pat_tech_hta_15[[aerien_nu_km]:[aerien_nu_km]]))</f>
        <v>0</v>
      </c>
      <c r="CD219" s="331" cm="1">
        <f t="array" ref="CD219">SUMPRODUCT((pat_tech_hta_15[[Client]:[Client]]=syndicat_etude)*(pat_tech_hta_15[[Annee]:[Annee]]=annee_CRAC)*(pat_tech_hta_15[[Annee Construction]:[Annee Construction]]=CD$215)*(pat_tech_hta_15[[aerien_nu_km]:[aerien_nu_km]]))</f>
        <v>0</v>
      </c>
      <c r="CE219" s="331" cm="1">
        <f t="array" ref="CE219">SUMPRODUCT((pat_tech_hta_15[[Client]:[Client]]=syndicat_etude)*(pat_tech_hta_15[[Annee]:[Annee]]=annee_CRAC)*(pat_tech_hta_15[[Annee Construction]:[Annee Construction]]=CE$215)*(pat_tech_hta_15[[aerien_nu_km]:[aerien_nu_km]]))</f>
        <v>0</v>
      </c>
      <c r="CF219" s="535" cm="1">
        <f t="array" ref="CF219">SUMPRODUCT((pat_tech_hta_15[[Client]:[Client]]=syndicat_etude)*(pat_tech_hta_15[[Annee]:[Annee]]=annee_CRAC)*(pat_tech_hta_15[[Annee Construction]:[Annee Construction]]=CF$215)*(pat_tech_hta_15[[aerien_nu_km]:[aerien_nu_km]]))</f>
        <v>0</v>
      </c>
    </row>
    <row r="220" spans="1:84" s="164" customFormat="1" ht="15" customHeight="1" x14ac:dyDescent="0.25">
      <c r="B220" s="288" t="s">
        <v>247</v>
      </c>
      <c r="C220" s="20" cm="1">
        <f t="array" ref="C220">SUMPRODUCT((evolution_hta_par_typologie[[client]:[client]]=syndicat_etude)*(evolution_hta_par_typologie[[annee]:[annee]]=Exercice[[Exercice N]:[Exercice N]])*(evolution_hta_par_typologie[[annee_mes]:[annee_mes]]=C$215)*(evolution_hta_par_typologie[[lineaire_hta_aerien_nu_fs]:[lineaire_hta_aerien_nu_fs]]))</f>
        <v>0</v>
      </c>
      <c r="D220" s="20" cm="1">
        <f t="array" ref="D220">SUMPRODUCT((evolution_hta_par_typologie[[client]:[client]]=syndicat_etude)*(evolution_hta_par_typologie[[annee]:[annee]]=Exercice[[Exercice N]:[Exercice N]])*(evolution_hta_par_typologie[[annee_mes]:[annee_mes]]=D$215)*(evolution_hta_par_typologie[[lineaire_hta_aerien_nu_fs]:[lineaire_hta_aerien_nu_fs]]))</f>
        <v>0</v>
      </c>
      <c r="E220" s="20" cm="1">
        <f t="array" ref="E220">SUMPRODUCT((evolution_hta_par_typologie[[client]:[client]]=syndicat_etude)*(evolution_hta_par_typologie[[annee]:[annee]]=Exercice[[Exercice N]:[Exercice N]])*(evolution_hta_par_typologie[[annee_mes]:[annee_mes]]=E$215)*(evolution_hta_par_typologie[[lineaire_hta_aerien_nu_fs]:[lineaire_hta_aerien_nu_fs]]))</f>
        <v>0.13</v>
      </c>
      <c r="F220" s="20" cm="1">
        <f t="array" ref="F220">SUMPRODUCT((evolution_hta_par_typologie[[client]:[client]]=syndicat_etude)*(evolution_hta_par_typologie[[annee]:[annee]]=Exercice[[Exercice N]:[Exercice N]])*(evolution_hta_par_typologie[[annee_mes]:[annee_mes]]=F$215)*(evolution_hta_par_typologie[[lineaire_hta_aerien_nu_fs]:[lineaire_hta_aerien_nu_fs]]))</f>
        <v>0</v>
      </c>
      <c r="G220" s="20" cm="1">
        <f t="array" ref="G220">SUMPRODUCT((evolution_hta_par_typologie[[client]:[client]]=syndicat_etude)*(evolution_hta_par_typologie[[annee]:[annee]]=Exercice[[Exercice N]:[Exercice N]])*(evolution_hta_par_typologie[[annee_mes]:[annee_mes]]=G$215)*(evolution_hta_par_typologie[[lineaire_hta_aerien_nu_fs]:[lineaire_hta_aerien_nu_fs]]))</f>
        <v>0.3</v>
      </c>
      <c r="H220" s="20" cm="1">
        <f t="array" ref="H220">SUMPRODUCT((evolution_hta_par_typologie[[client]:[client]]=syndicat_etude)*(evolution_hta_par_typologie[[annee]:[annee]]=Exercice[[Exercice N]:[Exercice N]])*(evolution_hta_par_typologie[[annee_mes]:[annee_mes]]=H$215)*(evolution_hta_par_typologie[[lineaire_hta_aerien_nu_fs]:[lineaire_hta_aerien_nu_fs]]))</f>
        <v>0</v>
      </c>
      <c r="I220" s="20" cm="1">
        <f t="array" ref="I220">SUMPRODUCT((evolution_hta_par_typologie[[client]:[client]]=syndicat_etude)*(evolution_hta_par_typologie[[annee]:[annee]]=Exercice[[Exercice N]:[Exercice N]])*(evolution_hta_par_typologie[[annee_mes]:[annee_mes]]=I$215)*(evolution_hta_par_typologie[[lineaire_hta_aerien_nu_fs]:[lineaire_hta_aerien_nu_fs]]))</f>
        <v>0.66</v>
      </c>
      <c r="J220" s="20" cm="1">
        <f t="array" ref="J220">SUMPRODUCT((evolution_hta_par_typologie[[client]:[client]]=syndicat_etude)*(evolution_hta_par_typologie[[annee]:[annee]]=Exercice[[Exercice N]:[Exercice N]])*(evolution_hta_par_typologie[[annee_mes]:[annee_mes]]=J$215)*(evolution_hta_par_typologie[[lineaire_hta_aerien_nu_fs]:[lineaire_hta_aerien_nu_fs]]))</f>
        <v>0.67</v>
      </c>
      <c r="K220" s="20" cm="1">
        <f t="array" ref="K220">SUMPRODUCT((evolution_hta_par_typologie[[client]:[client]]=syndicat_etude)*(evolution_hta_par_typologie[[annee]:[annee]]=Exercice[[Exercice N]:[Exercice N]])*(evolution_hta_par_typologie[[annee_mes]:[annee_mes]]=K$215)*(evolution_hta_par_typologie[[lineaire_hta_aerien_nu_fs]:[lineaire_hta_aerien_nu_fs]]))</f>
        <v>0</v>
      </c>
      <c r="L220" s="20" cm="1">
        <f t="array" ref="L220">SUMPRODUCT((evolution_hta_par_typologie[[client]:[client]]=syndicat_etude)*(evolution_hta_par_typologie[[annee]:[annee]]=Exercice[[Exercice N]:[Exercice N]])*(evolution_hta_par_typologie[[annee_mes]:[annee_mes]]=L$215)*(evolution_hta_par_typologie[[lineaire_hta_aerien_nu_fs]:[lineaire_hta_aerien_nu_fs]]))</f>
        <v>0</v>
      </c>
      <c r="M220" s="20" cm="1">
        <f t="array" ref="M220">SUMPRODUCT((evolution_hta_par_typologie[[client]:[client]]=syndicat_etude)*(evolution_hta_par_typologie[[annee]:[annee]]=Exercice[[Exercice N]:[Exercice N]])*(evolution_hta_par_typologie[[annee_mes]:[annee_mes]]=M$215)*(evolution_hta_par_typologie[[lineaire_hta_aerien_nu_fs]:[lineaire_hta_aerien_nu_fs]]))</f>
        <v>3.11</v>
      </c>
      <c r="N220" s="20" cm="1">
        <f t="array" ref="N220">SUMPRODUCT((evolution_hta_par_typologie[[client]:[client]]=syndicat_etude)*(evolution_hta_par_typologie[[annee]:[annee]]=Exercice[[Exercice N]:[Exercice N]])*(evolution_hta_par_typologie[[annee_mes]:[annee_mes]]=N$215)*(evolution_hta_par_typologie[[lineaire_hta_aerien_nu_fs]:[lineaire_hta_aerien_nu_fs]]))</f>
        <v>0</v>
      </c>
      <c r="O220" s="20" cm="1">
        <f t="array" ref="O220">SUMPRODUCT((evolution_hta_par_typologie[[client]:[client]]=syndicat_etude)*(evolution_hta_par_typologie[[annee]:[annee]]=Exercice[[Exercice N]:[Exercice N]])*(evolution_hta_par_typologie[[annee_mes]:[annee_mes]]=O$215)*(evolution_hta_par_typologie[[lineaire_hta_aerien_nu_fs]:[lineaire_hta_aerien_nu_fs]]))</f>
        <v>0.17</v>
      </c>
      <c r="P220" s="20" cm="1">
        <f t="array" ref="P220">SUMPRODUCT((evolution_hta_par_typologie[[client]:[client]]=syndicat_etude)*(evolution_hta_par_typologie[[annee]:[annee]]=Exercice[[Exercice N]:[Exercice N]])*(evolution_hta_par_typologie[[annee_mes]:[annee_mes]]=P$215)*(evolution_hta_par_typologie[[lineaire_hta_aerien_nu_fs]:[lineaire_hta_aerien_nu_fs]]))</f>
        <v>0</v>
      </c>
      <c r="Q220" s="20" cm="1">
        <f t="array" ref="Q220">SUMPRODUCT((evolution_hta_par_typologie[[client]:[client]]=syndicat_etude)*(evolution_hta_par_typologie[[annee]:[annee]]=Exercice[[Exercice N]:[Exercice N]])*(evolution_hta_par_typologie[[annee_mes]:[annee_mes]]=Q$215)*(evolution_hta_par_typologie[[lineaire_hta_aerien_nu_fs]:[lineaire_hta_aerien_nu_fs]]))</f>
        <v>0</v>
      </c>
      <c r="R220" s="20" cm="1">
        <f t="array" ref="R220">SUMPRODUCT((evolution_hta_par_typologie[[client]:[client]]=syndicat_etude)*(evolution_hta_par_typologie[[annee]:[annee]]=Exercice[[Exercice N]:[Exercice N]])*(evolution_hta_par_typologie[[annee_mes]:[annee_mes]]=R$215)*(evolution_hta_par_typologie[[lineaire_hta_aerien_nu_fs]:[lineaire_hta_aerien_nu_fs]]))</f>
        <v>0</v>
      </c>
      <c r="S220" s="20" cm="1">
        <f t="array" ref="S220">SUMPRODUCT((evolution_hta_par_typologie[[client]:[client]]=syndicat_etude)*(evolution_hta_par_typologie[[annee]:[annee]]=Exercice[[Exercice N]:[Exercice N]])*(evolution_hta_par_typologie[[annee_mes]:[annee_mes]]=S$215)*(evolution_hta_par_typologie[[lineaire_hta_aerien_nu_fs]:[lineaire_hta_aerien_nu_fs]]))</f>
        <v>0.08</v>
      </c>
      <c r="T220" s="20" cm="1">
        <f t="array" ref="T220">SUMPRODUCT((evolution_hta_par_typologie[[client]:[client]]=syndicat_etude)*(evolution_hta_par_typologie[[annee]:[annee]]=Exercice[[Exercice N]:[Exercice N]])*(evolution_hta_par_typologie[[annee_mes]:[annee_mes]]=T$215)*(evolution_hta_par_typologie[[lineaire_hta_aerien_nu_fs]:[lineaire_hta_aerien_nu_fs]]))</f>
        <v>0.23</v>
      </c>
      <c r="U220" s="20" cm="1">
        <f t="array" ref="U220">SUMPRODUCT((evolution_hta_par_typologie[[client]:[client]]=syndicat_etude)*(evolution_hta_par_typologie[[annee]:[annee]]=Exercice[[Exercice N]:[Exercice N]])*(evolution_hta_par_typologie[[annee_mes]:[annee_mes]]=U$215)*(evolution_hta_par_typologie[[lineaire_hta_aerien_nu_fs]:[lineaire_hta_aerien_nu_fs]]))</f>
        <v>0.12</v>
      </c>
      <c r="V220" s="20" cm="1">
        <f t="array" ref="V220">SUMPRODUCT((evolution_hta_par_typologie[[client]:[client]]=syndicat_etude)*(evolution_hta_par_typologie[[annee]:[annee]]=Exercice[[Exercice N]:[Exercice N]])*(evolution_hta_par_typologie[[annee_mes]:[annee_mes]]=V$215)*(evolution_hta_par_typologie[[lineaire_hta_aerien_nu_fs]:[lineaire_hta_aerien_nu_fs]]))</f>
        <v>0.03</v>
      </c>
      <c r="W220" s="20" cm="1">
        <f t="array" ref="W220">SUMPRODUCT((evolution_hta_par_typologie[[client]:[client]]=syndicat_etude)*(evolution_hta_par_typologie[[annee]:[annee]]=Exercice[[Exercice N]:[Exercice N]])*(evolution_hta_par_typologie[[annee_mes]:[annee_mes]]=W$215)*(evolution_hta_par_typologie[[lineaire_hta_aerien_nu_fs]:[lineaire_hta_aerien_nu_fs]]))</f>
        <v>0</v>
      </c>
      <c r="X220" s="20" cm="1">
        <f t="array" ref="X220">SUMPRODUCT((evolution_hta_par_typologie[[client]:[client]]=syndicat_etude)*(evolution_hta_par_typologie[[annee]:[annee]]=Exercice[[Exercice N]:[Exercice N]])*(evolution_hta_par_typologie[[annee_mes]:[annee_mes]]=X$215)*(evolution_hta_par_typologie[[lineaire_hta_aerien_nu_fs]:[lineaire_hta_aerien_nu_fs]]))</f>
        <v>0.47</v>
      </c>
      <c r="Y220" s="20" cm="1">
        <f t="array" ref="Y220">SUMPRODUCT((evolution_hta_par_typologie[[client]:[client]]=syndicat_etude)*(evolution_hta_par_typologie[[annee]:[annee]]=Exercice[[Exercice N]:[Exercice N]])*(evolution_hta_par_typologie[[annee_mes]:[annee_mes]]=Y$215)*(evolution_hta_par_typologie[[lineaire_hta_aerien_nu_fs]:[lineaire_hta_aerien_nu_fs]]))</f>
        <v>7.0000000000000007E-2</v>
      </c>
      <c r="Z220" s="20" cm="1">
        <f t="array" ref="Z220">SUMPRODUCT((evolution_hta_par_typologie[[client]:[client]]=syndicat_etude)*(evolution_hta_par_typologie[[annee]:[annee]]=Exercice[[Exercice N]:[Exercice N]])*(evolution_hta_par_typologie[[annee_mes]:[annee_mes]]=Z$215)*(evolution_hta_par_typologie[[lineaire_hta_aerien_nu_fs]:[lineaire_hta_aerien_nu_fs]]))</f>
        <v>0</v>
      </c>
      <c r="AA220" s="20" cm="1">
        <f t="array" ref="AA220">SUMPRODUCT((evolution_hta_par_typologie[[client]:[client]]=syndicat_etude)*(evolution_hta_par_typologie[[annee]:[annee]]=Exercice[[Exercice N]:[Exercice N]])*(evolution_hta_par_typologie[[annee_mes]:[annee_mes]]=AA$215)*(evolution_hta_par_typologie[[lineaire_hta_aerien_nu_fs]:[lineaire_hta_aerien_nu_fs]]))</f>
        <v>0</v>
      </c>
      <c r="AB220" s="20" cm="1">
        <f t="array" ref="AB220">SUMPRODUCT((evolution_hta_par_typologie[[client]:[client]]=syndicat_etude)*(evolution_hta_par_typologie[[annee]:[annee]]=Exercice[[Exercice N]:[Exercice N]])*(evolution_hta_par_typologie[[annee_mes]:[annee_mes]]=AB$215)*(evolution_hta_par_typologie[[lineaire_hta_aerien_nu_fs]:[lineaire_hta_aerien_nu_fs]]))</f>
        <v>1.0900000000000001</v>
      </c>
      <c r="AC220" s="20" cm="1">
        <f t="array" ref="AC220">SUMPRODUCT((evolution_hta_par_typologie[[client]:[client]]=syndicat_etude)*(evolution_hta_par_typologie[[annee]:[annee]]=Exercice[[Exercice N]:[Exercice N]])*(evolution_hta_par_typologie[[annee_mes]:[annee_mes]]=AC$215)*(evolution_hta_par_typologie[[lineaire_hta_aerien_nu_fs]:[lineaire_hta_aerien_nu_fs]]))</f>
        <v>0.25</v>
      </c>
      <c r="AD220" s="20" cm="1">
        <f t="array" ref="AD220">SUMPRODUCT((evolution_hta_par_typologie[[client]:[client]]=syndicat_etude)*(evolution_hta_par_typologie[[annee]:[annee]]=Exercice[[Exercice N]:[Exercice N]])*(evolution_hta_par_typologie[[annee_mes]:[annee_mes]]=AD$215)*(evolution_hta_par_typologie[[lineaire_hta_aerien_nu_fs]:[lineaire_hta_aerien_nu_fs]]))</f>
        <v>0.45</v>
      </c>
      <c r="AE220" s="20" cm="1">
        <f t="array" ref="AE220">SUMPRODUCT((evolution_hta_par_typologie[[client]:[client]]=syndicat_etude)*(evolution_hta_par_typologie[[annee]:[annee]]=Exercice[[Exercice N]:[Exercice N]])*(evolution_hta_par_typologie[[annee_mes]:[annee_mes]]=AE$215)*(evolution_hta_par_typologie[[lineaire_hta_aerien_nu_fs]:[lineaire_hta_aerien_nu_fs]]))</f>
        <v>0</v>
      </c>
      <c r="AF220" s="20" cm="1">
        <f t="array" ref="AF220">SUMPRODUCT((evolution_hta_par_typologie[[client]:[client]]=syndicat_etude)*(evolution_hta_par_typologie[[annee]:[annee]]=Exercice[[Exercice N]:[Exercice N]])*(evolution_hta_par_typologie[[annee_mes]:[annee_mes]]=AF$215)*(evolution_hta_par_typologie[[lineaire_hta_aerien_nu_fs]:[lineaire_hta_aerien_nu_fs]]))</f>
        <v>0</v>
      </c>
      <c r="AG220" s="20" cm="1">
        <f t="array" ref="AG220">SUMPRODUCT((evolution_hta_par_typologie[[client]:[client]]=syndicat_etude)*(evolution_hta_par_typologie[[annee]:[annee]]=Exercice[[Exercice N]:[Exercice N]])*(evolution_hta_par_typologie[[annee_mes]:[annee_mes]]=AG$215)*(evolution_hta_par_typologie[[lineaire_hta_aerien_nu_fs]:[lineaire_hta_aerien_nu_fs]]))</f>
        <v>0</v>
      </c>
      <c r="AH220" s="20" cm="1">
        <f t="array" ref="AH220">SUMPRODUCT((evolution_hta_par_typologie[[client]:[client]]=syndicat_etude)*(evolution_hta_par_typologie[[annee]:[annee]]=Exercice[[Exercice N]:[Exercice N]])*(evolution_hta_par_typologie[[annee_mes]:[annee_mes]]=AH$215)*(evolution_hta_par_typologie[[lineaire_hta_aerien_nu_fs]:[lineaire_hta_aerien_nu_fs]]))</f>
        <v>0.01</v>
      </c>
      <c r="AI220" s="20" cm="1">
        <f t="array" ref="AI220">SUMPRODUCT((evolution_hta_par_typologie[[client]:[client]]=syndicat_etude)*(evolution_hta_par_typologie[[annee]:[annee]]=Exercice[[Exercice N]:[Exercice N]])*(evolution_hta_par_typologie[[annee_mes]:[annee_mes]]=AI$215)*(evolution_hta_par_typologie[[lineaire_hta_aerien_nu_fs]:[lineaire_hta_aerien_nu_fs]]))</f>
        <v>0</v>
      </c>
      <c r="AJ220" s="20" cm="1">
        <f t="array" ref="AJ220">SUMPRODUCT((evolution_hta_par_typologie[[client]:[client]]=syndicat_etude)*(evolution_hta_par_typologie[[annee]:[annee]]=Exercice[[Exercice N]:[Exercice N]])*(evolution_hta_par_typologie[[annee_mes]:[annee_mes]]=AJ$215)*(evolution_hta_par_typologie[[lineaire_hta_aerien_nu_fs]:[lineaire_hta_aerien_nu_fs]]))</f>
        <v>0.27</v>
      </c>
      <c r="AK220" s="20" cm="1">
        <f t="array" ref="AK220">SUMPRODUCT((evolution_hta_par_typologie[[client]:[client]]=syndicat_etude)*(evolution_hta_par_typologie[[annee]:[annee]]=Exercice[[Exercice N]:[Exercice N]])*(evolution_hta_par_typologie[[annee_mes]:[annee_mes]]=AK$215)*(evolution_hta_par_typologie[[lineaire_hta_aerien_nu_fs]:[lineaire_hta_aerien_nu_fs]]))</f>
        <v>0.43</v>
      </c>
      <c r="AL220" s="20" cm="1">
        <f t="array" ref="AL220">SUMPRODUCT((evolution_hta_par_typologie[[client]:[client]]=syndicat_etude)*(evolution_hta_par_typologie[[annee]:[annee]]=Exercice[[Exercice N]:[Exercice N]])*(evolution_hta_par_typologie[[annee_mes]:[annee_mes]]=AL$215)*(evolution_hta_par_typologie[[lineaire_hta_aerien_nu_fs]:[lineaire_hta_aerien_nu_fs]]))</f>
        <v>0</v>
      </c>
      <c r="AM220" s="20" cm="1">
        <f t="array" ref="AM220">SUMPRODUCT((evolution_hta_par_typologie[[client]:[client]]=syndicat_etude)*(evolution_hta_par_typologie[[annee]:[annee]]=Exercice[[Exercice N]:[Exercice N]])*(evolution_hta_par_typologie[[annee_mes]:[annee_mes]]=AM$215)*(evolution_hta_par_typologie[[lineaire_hta_aerien_nu_fs]:[lineaire_hta_aerien_nu_fs]]))</f>
        <v>0.28000000000000003</v>
      </c>
      <c r="AN220" s="20" cm="1">
        <f t="array" ref="AN220">SUMPRODUCT((evolution_hta_par_typologie[[client]:[client]]=syndicat_etude)*(evolution_hta_par_typologie[[annee]:[annee]]=Exercice[[Exercice N]:[Exercice N]])*(evolution_hta_par_typologie[[annee_mes]:[annee_mes]]=AN$215)*(evolution_hta_par_typologie[[lineaire_hta_aerien_nu_fs]:[lineaire_hta_aerien_nu_fs]]))</f>
        <v>0.49</v>
      </c>
      <c r="AO220" s="20" cm="1">
        <f t="array" ref="AO220">SUMPRODUCT((evolution_hta_par_typologie[[client]:[client]]=syndicat_etude)*(evolution_hta_par_typologie[[annee]:[annee]]=Exercice[[Exercice N]:[Exercice N]])*(evolution_hta_par_typologie[[annee_mes]:[annee_mes]]=AO$215)*(evolution_hta_par_typologie[[lineaire_hta_aerien_nu_fs]:[lineaire_hta_aerien_nu_fs]]))</f>
        <v>0.95</v>
      </c>
      <c r="AP220" s="20" cm="1">
        <f t="array" ref="AP220">SUMPRODUCT((evolution_hta_par_typologie[[client]:[client]]=syndicat_etude)*(evolution_hta_par_typologie[[annee]:[annee]]=Exercice[[Exercice N]:[Exercice N]])*(evolution_hta_par_typologie[[annee_mes]:[annee_mes]]=AP$215)*(evolution_hta_par_typologie[[lineaire_hta_aerien_nu_fs]:[lineaire_hta_aerien_nu_fs]]))</f>
        <v>0.42</v>
      </c>
      <c r="AQ220" s="20" cm="1">
        <f t="array" ref="AQ220">SUMPRODUCT((evolution_hta_par_typologie[[client]:[client]]=syndicat_etude)*(evolution_hta_par_typologie[[annee]:[annee]]=Exercice[[Exercice N]:[Exercice N]])*(evolution_hta_par_typologie[[annee_mes]:[annee_mes]]=AQ$215)*(evolution_hta_par_typologie[[lineaire_hta_aerien_nu_fs]:[lineaire_hta_aerien_nu_fs]]))</f>
        <v>0</v>
      </c>
      <c r="AR220" s="20" cm="1">
        <f t="array" ref="AR220">SUMPRODUCT((evolution_hta_par_typologie[[client]:[client]]=syndicat_etude)*(evolution_hta_par_typologie[[annee]:[annee]]=Exercice[[Exercice N]:[Exercice N]])*(evolution_hta_par_typologie[[annee_mes]:[annee_mes]]=AR$215)*(evolution_hta_par_typologie[[lineaire_hta_aerien_nu_fs]:[lineaire_hta_aerien_nu_fs]]))</f>
        <v>7.0000000000000007E-2</v>
      </c>
      <c r="AS220" s="20" cm="1">
        <f t="array" ref="AS220">SUMPRODUCT((evolution_hta_par_typologie[[client]:[client]]=syndicat_etude)*(evolution_hta_par_typologie[[annee]:[annee]]=Exercice[[Exercice N]:[Exercice N]])*(evolution_hta_par_typologie[[annee_mes]:[annee_mes]]=AS$215)*(evolution_hta_par_typologie[[lineaire_hta_aerien_nu_fs]:[lineaire_hta_aerien_nu_fs]]))</f>
        <v>0.02</v>
      </c>
      <c r="AT220" s="20" cm="1">
        <f t="array" ref="AT220">SUMPRODUCT((evolution_hta_par_typologie[[client]:[client]]=syndicat_etude)*(evolution_hta_par_typologie[[annee]:[annee]]=Exercice[[Exercice N]:[Exercice N]])*(evolution_hta_par_typologie[[annee_mes]:[annee_mes]]=AT$215)*(evolution_hta_par_typologie[[lineaire_hta_aerien_nu_fs]:[lineaire_hta_aerien_nu_fs]]))</f>
        <v>0.79</v>
      </c>
      <c r="AU220" s="20" cm="1">
        <f t="array" ref="AU220">SUMPRODUCT((evolution_hta_par_typologie[[client]:[client]]=syndicat_etude)*(evolution_hta_par_typologie[[annee]:[annee]]=Exercice[[Exercice N]:[Exercice N]])*(evolution_hta_par_typologie[[annee_mes]:[annee_mes]]=AU$215)*(evolution_hta_par_typologie[[lineaire_hta_aerien_nu_fs]:[lineaire_hta_aerien_nu_fs]]))</f>
        <v>1.26</v>
      </c>
      <c r="AV220" s="20" cm="1">
        <f t="array" ref="AV220">SUMPRODUCT((evolution_hta_par_typologie[[client]:[client]]=syndicat_etude)*(evolution_hta_par_typologie[[annee]:[annee]]=Exercice[[Exercice N]:[Exercice N]])*(evolution_hta_par_typologie[[annee_mes]:[annee_mes]]=AV$215)*(evolution_hta_par_typologie[[lineaire_hta_aerien_nu_fs]:[lineaire_hta_aerien_nu_fs]]))</f>
        <v>0</v>
      </c>
      <c r="AW220" s="20" cm="1">
        <f t="array" ref="AW220">SUMPRODUCT((evolution_hta_par_typologie[[client]:[client]]=syndicat_etude)*(evolution_hta_par_typologie[[annee]:[annee]]=Exercice[[Exercice N]:[Exercice N]])*(evolution_hta_par_typologie[[annee_mes]:[annee_mes]]=AW$215)*(evolution_hta_par_typologie[[lineaire_hta_aerien_nu_fs]:[lineaire_hta_aerien_nu_fs]]))</f>
        <v>2.3199999999999998</v>
      </c>
      <c r="AX220" s="20" cm="1">
        <f t="array" ref="AX220">SUMPRODUCT((evolution_hta_par_typologie[[client]:[client]]=syndicat_etude)*(evolution_hta_par_typologie[[annee]:[annee]]=Exercice[[Exercice N]:[Exercice N]])*(evolution_hta_par_typologie[[annee_mes]:[annee_mes]]=AX$215)*(evolution_hta_par_typologie[[lineaire_hta_aerien_nu_fs]:[lineaire_hta_aerien_nu_fs]]))</f>
        <v>0</v>
      </c>
      <c r="AY220" s="20" cm="1">
        <f t="array" ref="AY220">SUMPRODUCT((evolution_hta_par_typologie[[client]:[client]]=syndicat_etude)*(evolution_hta_par_typologie[[annee]:[annee]]=Exercice[[Exercice N]:[Exercice N]])*(evolution_hta_par_typologie[[annee_mes]:[annee_mes]]=AY$215)*(evolution_hta_par_typologie[[lineaire_hta_aerien_nu_fs]:[lineaire_hta_aerien_nu_fs]]))</f>
        <v>0</v>
      </c>
      <c r="AZ220" s="20" cm="1">
        <f t="array" ref="AZ220">SUMPRODUCT((evolution_hta_par_typologie[[client]:[client]]=syndicat_etude)*(evolution_hta_par_typologie[[annee]:[annee]]=Exercice[[Exercice N]:[Exercice N]])*(evolution_hta_par_typologie[[annee_mes]:[annee_mes]]=AZ$215)*(evolution_hta_par_typologie[[lineaire_hta_aerien_nu_fs]:[lineaire_hta_aerien_nu_fs]]))</f>
        <v>0</v>
      </c>
      <c r="BA220" s="20" cm="1">
        <f t="array" ref="BA220">SUMPRODUCT((evolution_hta_par_typologie[[client]:[client]]=syndicat_etude)*(evolution_hta_par_typologie[[annee]:[annee]]=Exercice[[Exercice N]:[Exercice N]])*(evolution_hta_par_typologie[[annee_mes]:[annee_mes]]=BA$215)*(evolution_hta_par_typologie[[lineaire_hta_aerien_nu_fs]:[lineaire_hta_aerien_nu_fs]]))</f>
        <v>0</v>
      </c>
      <c r="BB220" s="20" cm="1">
        <f t="array" ref="BB220">SUMPRODUCT((evolution_hta_par_typologie[[client]:[client]]=syndicat_etude)*(evolution_hta_par_typologie[[annee]:[annee]]=Exercice[[Exercice N]:[Exercice N]])*(evolution_hta_par_typologie[[annee_mes]:[annee_mes]]=BB$215)*(evolution_hta_par_typologie[[lineaire_hta_aerien_nu_fs]:[lineaire_hta_aerien_nu_fs]]))</f>
        <v>0</v>
      </c>
      <c r="BC220" s="20" cm="1">
        <f t="array" ref="BC220">SUMPRODUCT((evolution_hta_par_typologie[[client]:[client]]=syndicat_etude)*(evolution_hta_par_typologie[[annee]:[annee]]=Exercice[[Exercice N]:[Exercice N]])*(evolution_hta_par_typologie[[annee_mes]:[annee_mes]]=BC$215)*(evolution_hta_par_typologie[[lineaire_hta_aerien_nu_fs]:[lineaire_hta_aerien_nu_fs]]))</f>
        <v>0</v>
      </c>
      <c r="BD220" s="20" cm="1">
        <f t="array" ref="BD220">SUMPRODUCT((evolution_hta_par_typologie[[client]:[client]]=syndicat_etude)*(evolution_hta_par_typologie[[annee]:[annee]]=Exercice[[Exercice N]:[Exercice N]])*(evolution_hta_par_typologie[[annee_mes]:[annee_mes]]=BD$215)*(evolution_hta_par_typologie[[lineaire_hta_aerien_nu_fs]:[lineaire_hta_aerien_nu_fs]]))</f>
        <v>0</v>
      </c>
      <c r="BE220" s="20" cm="1">
        <f t="array" ref="BE220">SUMPRODUCT((evolution_hta_par_typologie[[client]:[client]]=syndicat_etude)*(evolution_hta_par_typologie[[annee]:[annee]]=Exercice[[Exercice N]:[Exercice N]])*(evolution_hta_par_typologie[[annee_mes]:[annee_mes]]=BE$215)*(evolution_hta_par_typologie[[lineaire_hta_aerien_nu_fs]:[lineaire_hta_aerien_nu_fs]]))</f>
        <v>0</v>
      </c>
      <c r="BF220" s="20" cm="1">
        <f t="array" ref="BF220">SUMPRODUCT((evolution_hta_par_typologie[[client]:[client]]=syndicat_etude)*(evolution_hta_par_typologie[[annee]:[annee]]=Exercice[[Exercice N]:[Exercice N]])*(evolution_hta_par_typologie[[annee_mes]:[annee_mes]]=BF$215)*(evolution_hta_par_typologie[[lineaire_hta_aerien_nu_fs]:[lineaire_hta_aerien_nu_fs]]))</f>
        <v>0</v>
      </c>
      <c r="BG220" s="20" cm="1">
        <f t="array" ref="BG220">SUMPRODUCT((evolution_hta_par_typologie[[client]:[client]]=syndicat_etude)*(evolution_hta_par_typologie[[annee]:[annee]]=Exercice[[Exercice N]:[Exercice N]])*(evolution_hta_par_typologie[[annee_mes]:[annee_mes]]=BG$215)*(evolution_hta_par_typologie[[lineaire_hta_aerien_nu_fs]:[lineaire_hta_aerien_nu_fs]]))</f>
        <v>0</v>
      </c>
      <c r="BH220" s="20" cm="1">
        <f t="array" ref="BH220">SUMPRODUCT((evolution_hta_par_typologie[[client]:[client]]=syndicat_etude)*(evolution_hta_par_typologie[[annee]:[annee]]=Exercice[[Exercice N]:[Exercice N]])*(evolution_hta_par_typologie[[annee_mes]:[annee_mes]]=BH$215)*(evolution_hta_par_typologie[[lineaire_hta_aerien_nu_fs]:[lineaire_hta_aerien_nu_fs]]))</f>
        <v>0</v>
      </c>
      <c r="BI220" s="20" cm="1">
        <f t="array" ref="BI220">SUMPRODUCT((evolution_hta_par_typologie[[client]:[client]]=syndicat_etude)*(evolution_hta_par_typologie[[annee]:[annee]]=Exercice[[Exercice N]:[Exercice N]])*(evolution_hta_par_typologie[[annee_mes]:[annee_mes]]=BI$215)*(evolution_hta_par_typologie[[lineaire_hta_aerien_nu_fs]:[lineaire_hta_aerien_nu_fs]]))</f>
        <v>0</v>
      </c>
      <c r="BJ220" s="20" cm="1">
        <f t="array" ref="BJ220">SUMPRODUCT((evolution_hta_par_typologie[[client]:[client]]=syndicat_etude)*(evolution_hta_par_typologie[[annee]:[annee]]=Exercice[[Exercice N]:[Exercice N]])*(evolution_hta_par_typologie[[annee_mes]:[annee_mes]]=BJ$215)*(evolution_hta_par_typologie[[lineaire_hta_aerien_nu_fs]:[lineaire_hta_aerien_nu_fs]]))</f>
        <v>0</v>
      </c>
      <c r="BK220" s="20" cm="1">
        <f t="array" ref="BK220">SUMPRODUCT((evolution_hta_par_typologie[[client]:[client]]=syndicat_etude)*(evolution_hta_par_typologie[[annee]:[annee]]=Exercice[[Exercice N]:[Exercice N]])*(evolution_hta_par_typologie[[annee_mes]:[annee_mes]]=BK$215)*(evolution_hta_par_typologie[[lineaire_hta_aerien_nu_fs]:[lineaire_hta_aerien_nu_fs]]))</f>
        <v>0</v>
      </c>
      <c r="BL220" s="20" cm="1">
        <f t="array" ref="BL220">SUMPRODUCT((evolution_hta_par_typologie[[client]:[client]]=syndicat_etude)*(evolution_hta_par_typologie[[annee]:[annee]]=Exercice[[Exercice N]:[Exercice N]])*(evolution_hta_par_typologie[[annee_mes]:[annee_mes]]=BL$215)*(evolution_hta_par_typologie[[lineaire_hta_aerien_nu_fs]:[lineaire_hta_aerien_nu_fs]]))</f>
        <v>0</v>
      </c>
      <c r="BM220" s="20" cm="1">
        <f t="array" ref="BM220">SUMPRODUCT((evolution_hta_par_typologie[[client]:[client]]=syndicat_etude)*(evolution_hta_par_typologie[[annee]:[annee]]=Exercice[[Exercice N]:[Exercice N]])*(evolution_hta_par_typologie[[annee_mes]:[annee_mes]]=BM$215)*(evolution_hta_par_typologie[[lineaire_hta_aerien_nu_fs]:[lineaire_hta_aerien_nu_fs]]))</f>
        <v>0</v>
      </c>
      <c r="BN220" s="20" cm="1">
        <f t="array" ref="BN220">SUMPRODUCT((evolution_hta_par_typologie[[client]:[client]]=syndicat_etude)*(evolution_hta_par_typologie[[annee]:[annee]]=Exercice[[Exercice N]:[Exercice N]])*(evolution_hta_par_typologie[[annee_mes]:[annee_mes]]=BN$215)*(evolution_hta_par_typologie[[lineaire_hta_aerien_nu_fs]:[lineaire_hta_aerien_nu_fs]]))</f>
        <v>0</v>
      </c>
      <c r="BO220" s="20" cm="1">
        <f t="array" ref="BO220">SUMPRODUCT((evolution_hta_par_typologie[[client]:[client]]=syndicat_etude)*(evolution_hta_par_typologie[[annee]:[annee]]=Exercice[[Exercice N]:[Exercice N]])*(evolution_hta_par_typologie[[annee_mes]:[annee_mes]]=BO$215)*(evolution_hta_par_typologie[[lineaire_hta_aerien_nu_fs]:[lineaire_hta_aerien_nu_fs]]))</f>
        <v>0</v>
      </c>
      <c r="BP220" s="20" cm="1">
        <f t="array" ref="BP220">SUMPRODUCT((evolution_hta_par_typologie[[client]:[client]]=syndicat_etude)*(evolution_hta_par_typologie[[annee]:[annee]]=Exercice[[Exercice N]:[Exercice N]])*(evolution_hta_par_typologie[[annee_mes]:[annee_mes]]=BP$215)*(evolution_hta_par_typologie[[lineaire_hta_aerien_nu_fs]:[lineaire_hta_aerien_nu_fs]]))</f>
        <v>0</v>
      </c>
      <c r="BQ220" s="20" cm="1">
        <f t="array" ref="BQ220">SUMPRODUCT((evolution_hta_par_typologie[[client]:[client]]=syndicat_etude)*(evolution_hta_par_typologie[[annee]:[annee]]=Exercice[[Exercice N]:[Exercice N]])*(evolution_hta_par_typologie[[annee_mes]:[annee_mes]]=BQ$215)*(evolution_hta_par_typologie[[lineaire_hta_aerien_nu_fs]:[lineaire_hta_aerien_nu_fs]]))</f>
        <v>0</v>
      </c>
      <c r="BR220" s="20" cm="1">
        <f t="array" ref="BR220">SUMPRODUCT((evolution_hta_par_typologie[[client]:[client]]=syndicat_etude)*(evolution_hta_par_typologie[[annee]:[annee]]=Exercice[[Exercice N]:[Exercice N]])*(evolution_hta_par_typologie[[annee_mes]:[annee_mes]]=BR$215)*(evolution_hta_par_typologie[[lineaire_hta_aerien_nu_fs]:[lineaire_hta_aerien_nu_fs]]))</f>
        <v>0</v>
      </c>
      <c r="BS220" s="20" cm="1">
        <f t="array" ref="BS220">SUMPRODUCT((evolution_hta_par_typologie[[client]:[client]]=syndicat_etude)*(evolution_hta_par_typologie[[annee]:[annee]]=Exercice[[Exercice N]:[Exercice N]])*(evolution_hta_par_typologie[[annee_mes]:[annee_mes]]=BS$215)*(evolution_hta_par_typologie[[lineaire_hta_aerien_nu_fs]:[lineaire_hta_aerien_nu_fs]]))</f>
        <v>0</v>
      </c>
      <c r="BT220" s="20" cm="1">
        <f t="array" ref="BT220">SUMPRODUCT((evolution_hta_par_typologie[[client]:[client]]=syndicat_etude)*(evolution_hta_par_typologie[[annee]:[annee]]=Exercice[[Exercice N]:[Exercice N]])*(evolution_hta_par_typologie[[annee_mes]:[annee_mes]]=BT$215)*(evolution_hta_par_typologie[[lineaire_hta_aerien_nu_fs]:[lineaire_hta_aerien_nu_fs]]))</f>
        <v>0</v>
      </c>
      <c r="BU220" s="20" cm="1">
        <f t="array" ref="BU220">SUMPRODUCT((evolution_hta_par_typologie[[client]:[client]]=syndicat_etude)*(evolution_hta_par_typologie[[annee]:[annee]]=Exercice[[Exercice N]:[Exercice N]])*(evolution_hta_par_typologie[[annee_mes]:[annee_mes]]=BU$215)*(evolution_hta_par_typologie[[lineaire_hta_aerien_nu_fs]:[lineaire_hta_aerien_nu_fs]]))</f>
        <v>0</v>
      </c>
      <c r="BV220" s="20" cm="1">
        <f t="array" ref="BV220">SUMPRODUCT((evolution_hta_par_typologie[[client]:[client]]=syndicat_etude)*(evolution_hta_par_typologie[[annee]:[annee]]=Exercice[[Exercice N]:[Exercice N]])*(evolution_hta_par_typologie[[annee_mes]:[annee_mes]]=BV$215)*(evolution_hta_par_typologie[[lineaire_hta_aerien_nu_fs]:[lineaire_hta_aerien_nu_fs]]))</f>
        <v>0</v>
      </c>
      <c r="BW220" s="20" cm="1">
        <f t="array" ref="BW220">SUMPRODUCT((evolution_hta_par_typologie[[client]:[client]]=syndicat_etude)*(evolution_hta_par_typologie[[annee]:[annee]]=Exercice[[Exercice N]:[Exercice N]])*(evolution_hta_par_typologie[[annee_mes]:[annee_mes]]=BW$215)*(evolution_hta_par_typologie[[lineaire_hta_aerien_nu_fs]:[lineaire_hta_aerien_nu_fs]]))</f>
        <v>0</v>
      </c>
      <c r="BX220" s="20" cm="1">
        <f t="array" ref="BX220">SUMPRODUCT((evolution_hta_par_typologie[[client]:[client]]=syndicat_etude)*(evolution_hta_par_typologie[[annee]:[annee]]=Exercice[[Exercice N]:[Exercice N]])*(evolution_hta_par_typologie[[annee_mes]:[annee_mes]]=BX$215)*(evolution_hta_par_typologie[[lineaire_hta_aerien_nu_fs]:[lineaire_hta_aerien_nu_fs]]))</f>
        <v>0</v>
      </c>
      <c r="BY220" s="20" cm="1">
        <f t="array" ref="BY220">SUMPRODUCT((evolution_hta_par_typologie[[client]:[client]]=syndicat_etude)*(evolution_hta_par_typologie[[annee]:[annee]]=Exercice[[Exercice N]:[Exercice N]])*(evolution_hta_par_typologie[[annee_mes]:[annee_mes]]=BY$215)*(evolution_hta_par_typologie[[lineaire_hta_aerien_nu_fs]:[lineaire_hta_aerien_nu_fs]]))</f>
        <v>0</v>
      </c>
      <c r="BZ220" s="20" cm="1">
        <f t="array" ref="BZ220">SUMPRODUCT((evolution_hta_par_typologie[[client]:[client]]=syndicat_etude)*(evolution_hta_par_typologie[[annee]:[annee]]=Exercice[[Exercice N]:[Exercice N]])*(evolution_hta_par_typologie[[annee_mes]:[annee_mes]]=BZ$215)*(evolution_hta_par_typologie[[lineaire_hta_aerien_nu_fs]:[lineaire_hta_aerien_nu_fs]]))</f>
        <v>0</v>
      </c>
      <c r="CA220" s="20" cm="1">
        <f t="array" ref="CA220">SUMPRODUCT((evolution_hta_par_typologie[[client]:[client]]=syndicat_etude)*(evolution_hta_par_typologie[[annee]:[annee]]=Exercice[[Exercice N]:[Exercice N]])*(evolution_hta_par_typologie[[annee_mes]:[annee_mes]]=CA$215)*(evolution_hta_par_typologie[[lineaire_hta_aerien_nu_fs]:[lineaire_hta_aerien_nu_fs]]))</f>
        <v>0</v>
      </c>
      <c r="CB220" s="20" cm="1">
        <f t="array" ref="CB220">SUMPRODUCT((evolution_hta_par_typologie[[client]:[client]]=syndicat_etude)*(evolution_hta_par_typologie[[annee]:[annee]]=Exercice[[Exercice N]:[Exercice N]])*(evolution_hta_par_typologie[[annee_mes]:[annee_mes]]=CB$215)*(evolution_hta_par_typologie[[lineaire_hta_aerien_nu_fs]:[lineaire_hta_aerien_nu_fs]]))</f>
        <v>0</v>
      </c>
      <c r="CC220" s="20" cm="1">
        <f t="array" ref="CC220">SUMPRODUCT((evolution_hta_par_typologie[[client]:[client]]=syndicat_etude)*(evolution_hta_par_typologie[[annee]:[annee]]=Exercice[[Exercice N]:[Exercice N]])*(evolution_hta_par_typologie[[annee_mes]:[annee_mes]]=CC$215)*(evolution_hta_par_typologie[[lineaire_hta_aerien_nu_fs]:[lineaire_hta_aerien_nu_fs]]))</f>
        <v>0</v>
      </c>
      <c r="CD220" s="20" cm="1">
        <f t="array" ref="CD220">SUMPRODUCT((evolution_hta_par_typologie[[client]:[client]]=syndicat_etude)*(evolution_hta_par_typologie[[annee]:[annee]]=Exercice[[Exercice N]:[Exercice N]])*(evolution_hta_par_typologie[[annee_mes]:[annee_mes]]=CD$215)*(evolution_hta_par_typologie[[lineaire_hta_aerien_nu_fs]:[lineaire_hta_aerien_nu_fs]]))</f>
        <v>0</v>
      </c>
      <c r="CE220" s="20" cm="1">
        <f t="array" ref="CE220">SUMPRODUCT((evolution_hta_par_typologie[[client]:[client]]=syndicat_etude)*(evolution_hta_par_typologie[[annee]:[annee]]=Exercice[[Exercice N]:[Exercice N]])*(evolution_hta_par_typologie[[annee_mes]:[annee_mes]]=CE$215)*(evolution_hta_par_typologie[[lineaire_hta_aerien_nu_fs]:[lineaire_hta_aerien_nu_fs]]))</f>
        <v>0</v>
      </c>
      <c r="CF220" s="166" cm="1">
        <f t="array" ref="CF220">SUMPRODUCT((evolution_hta_par_typologie[[client]:[client]]=syndicat_etude)*(evolution_hta_par_typologie[[annee]:[annee]]=Exercice[[Exercice N]:[Exercice N]])*(evolution_hta_par_typologie[[annee_mes]:[annee_mes]]=CF$215)*(evolution_hta_par_typologie[[lineaire_hta_aerien_nu_fs]:[lineaire_hta_aerien_nu_fs]]))</f>
        <v>0</v>
      </c>
    </row>
    <row r="221" spans="1:84" s="164" customFormat="1" ht="15" customHeight="1" x14ac:dyDescent="0.25">
      <c r="B221" s="288" t="s">
        <v>248</v>
      </c>
      <c r="C221" s="20" cm="1">
        <f t="array" ref="C221">SUMPRODUCT((evolution_hta_par_typologie[[client]:[client]]=syndicat_etude)*(evolution_hta_par_typologie[[annee]:[annee]]=Exercice[[Exercice N]:[Exercice N]])*(evolution_hta_par_typologie[[annee_mes]:[annee_mes]]=C$215)*(evolution_hta_par_typologie[[lineaire_hta_nu_HFS]:[lineaire_hta_nu_HFS]]))</f>
        <v>0.48</v>
      </c>
      <c r="D221" s="20" cm="1">
        <f t="array" ref="D221">SUMPRODUCT((evolution_hta_par_typologie[[client]:[client]]=syndicat_etude)*(evolution_hta_par_typologie[[annee]:[annee]]=Exercice[[Exercice N]:[Exercice N]])*(evolution_hta_par_typologie[[annee_mes]:[annee_mes]]=D$215)*(evolution_hta_par_typologie[[lineaire_hta_nu_HFS]:[lineaire_hta_nu_HFS]]))</f>
        <v>2.31</v>
      </c>
      <c r="E221" s="20" cm="1">
        <f t="array" ref="E221">SUMPRODUCT((evolution_hta_par_typologie[[client]:[client]]=syndicat_etude)*(evolution_hta_par_typologie[[annee]:[annee]]=Exercice[[Exercice N]:[Exercice N]])*(evolution_hta_par_typologie[[annee_mes]:[annee_mes]]=E$215)*(evolution_hta_par_typologie[[lineaire_hta_nu_HFS]:[lineaire_hta_nu_HFS]]))</f>
        <v>1.65</v>
      </c>
      <c r="F221" s="20" cm="1">
        <f t="array" ref="F221">SUMPRODUCT((evolution_hta_par_typologie[[client]:[client]]=syndicat_etude)*(evolution_hta_par_typologie[[annee]:[annee]]=Exercice[[Exercice N]:[Exercice N]])*(evolution_hta_par_typologie[[annee_mes]:[annee_mes]]=F$215)*(evolution_hta_par_typologie[[lineaire_hta_nu_HFS]:[lineaire_hta_nu_HFS]]))</f>
        <v>1.75</v>
      </c>
      <c r="G221" s="20" cm="1">
        <f t="array" ref="G221">SUMPRODUCT((evolution_hta_par_typologie[[client]:[client]]=syndicat_etude)*(evolution_hta_par_typologie[[annee]:[annee]]=Exercice[[Exercice N]:[Exercice N]])*(evolution_hta_par_typologie[[annee_mes]:[annee_mes]]=G$215)*(evolution_hta_par_typologie[[lineaire_hta_nu_HFS]:[lineaire_hta_nu_HFS]]))</f>
        <v>4.17</v>
      </c>
      <c r="H221" s="20" cm="1">
        <f t="array" ref="H221">SUMPRODUCT((evolution_hta_par_typologie[[client]:[client]]=syndicat_etude)*(evolution_hta_par_typologie[[annee]:[annee]]=Exercice[[Exercice N]:[Exercice N]])*(evolution_hta_par_typologie[[annee_mes]:[annee_mes]]=H$215)*(evolution_hta_par_typologie[[lineaire_hta_nu_HFS]:[lineaire_hta_nu_HFS]]))</f>
        <v>1.56</v>
      </c>
      <c r="I221" s="20" cm="1">
        <f t="array" ref="I221">SUMPRODUCT((evolution_hta_par_typologie[[client]:[client]]=syndicat_etude)*(evolution_hta_par_typologie[[annee]:[annee]]=Exercice[[Exercice N]:[Exercice N]])*(evolution_hta_par_typologie[[annee_mes]:[annee_mes]]=I$215)*(evolution_hta_par_typologie[[lineaire_hta_nu_HFS]:[lineaire_hta_nu_HFS]]))</f>
        <v>0.32</v>
      </c>
      <c r="J221" s="20" cm="1">
        <f t="array" ref="J221">SUMPRODUCT((evolution_hta_par_typologie[[client]:[client]]=syndicat_etude)*(evolution_hta_par_typologie[[annee]:[annee]]=Exercice[[Exercice N]:[Exercice N]])*(evolution_hta_par_typologie[[annee_mes]:[annee_mes]]=J$215)*(evolution_hta_par_typologie[[lineaire_hta_nu_HFS]:[lineaire_hta_nu_HFS]]))</f>
        <v>0.09</v>
      </c>
      <c r="K221" s="20" cm="1">
        <f t="array" ref="K221">SUMPRODUCT((evolution_hta_par_typologie[[client]:[client]]=syndicat_etude)*(evolution_hta_par_typologie[[annee]:[annee]]=Exercice[[Exercice N]:[Exercice N]])*(evolution_hta_par_typologie[[annee_mes]:[annee_mes]]=K$215)*(evolution_hta_par_typologie[[lineaire_hta_nu_HFS]:[lineaire_hta_nu_HFS]]))</f>
        <v>0.27</v>
      </c>
      <c r="L221" s="20" cm="1">
        <f t="array" ref="L221">SUMPRODUCT((evolution_hta_par_typologie[[client]:[client]]=syndicat_etude)*(evolution_hta_par_typologie[[annee]:[annee]]=Exercice[[Exercice N]:[Exercice N]])*(evolution_hta_par_typologie[[annee_mes]:[annee_mes]]=L$215)*(evolution_hta_par_typologie[[lineaire_hta_nu_HFS]:[lineaire_hta_nu_HFS]]))</f>
        <v>4.28</v>
      </c>
      <c r="M221" s="20" cm="1">
        <f t="array" ref="M221">SUMPRODUCT((evolution_hta_par_typologie[[client]:[client]]=syndicat_etude)*(evolution_hta_par_typologie[[annee]:[annee]]=Exercice[[Exercice N]:[Exercice N]])*(evolution_hta_par_typologie[[annee_mes]:[annee_mes]]=M$215)*(evolution_hta_par_typologie[[lineaire_hta_nu_HFS]:[lineaire_hta_nu_HFS]]))</f>
        <v>3.89</v>
      </c>
      <c r="N221" s="20" cm="1">
        <f t="array" ref="N221">SUMPRODUCT((evolution_hta_par_typologie[[client]:[client]]=syndicat_etude)*(evolution_hta_par_typologie[[annee]:[annee]]=Exercice[[Exercice N]:[Exercice N]])*(evolution_hta_par_typologie[[annee_mes]:[annee_mes]]=N$215)*(evolution_hta_par_typologie[[lineaire_hta_nu_HFS]:[lineaire_hta_nu_HFS]]))</f>
        <v>14.33</v>
      </c>
      <c r="O221" s="20" cm="1">
        <f t="array" ref="O221">SUMPRODUCT((evolution_hta_par_typologie[[client]:[client]]=syndicat_etude)*(evolution_hta_par_typologie[[annee]:[annee]]=Exercice[[Exercice N]:[Exercice N]])*(evolution_hta_par_typologie[[annee_mes]:[annee_mes]]=O$215)*(evolution_hta_par_typologie[[lineaire_hta_nu_HFS]:[lineaire_hta_nu_HFS]]))</f>
        <v>3.22</v>
      </c>
      <c r="P221" s="20" cm="1">
        <f t="array" ref="P221">SUMPRODUCT((evolution_hta_par_typologie[[client]:[client]]=syndicat_etude)*(evolution_hta_par_typologie[[annee]:[annee]]=Exercice[[Exercice N]:[Exercice N]])*(evolution_hta_par_typologie[[annee_mes]:[annee_mes]]=P$215)*(evolution_hta_par_typologie[[lineaire_hta_nu_HFS]:[lineaire_hta_nu_HFS]]))</f>
        <v>8.34</v>
      </c>
      <c r="Q221" s="20" cm="1">
        <f t="array" ref="Q221">SUMPRODUCT((evolution_hta_par_typologie[[client]:[client]]=syndicat_etude)*(evolution_hta_par_typologie[[annee]:[annee]]=Exercice[[Exercice N]:[Exercice N]])*(evolution_hta_par_typologie[[annee_mes]:[annee_mes]]=Q$215)*(evolution_hta_par_typologie[[lineaire_hta_nu_HFS]:[lineaire_hta_nu_HFS]]))</f>
        <v>19.88</v>
      </c>
      <c r="R221" s="20" cm="1">
        <f t="array" ref="R221">SUMPRODUCT((evolution_hta_par_typologie[[client]:[client]]=syndicat_etude)*(evolution_hta_par_typologie[[annee]:[annee]]=Exercice[[Exercice N]:[Exercice N]])*(evolution_hta_par_typologie[[annee_mes]:[annee_mes]]=R$215)*(evolution_hta_par_typologie[[lineaire_hta_nu_HFS]:[lineaire_hta_nu_HFS]]))</f>
        <v>17.93</v>
      </c>
      <c r="S221" s="20" cm="1">
        <f t="array" ref="S221">SUMPRODUCT((evolution_hta_par_typologie[[client]:[client]]=syndicat_etude)*(evolution_hta_par_typologie[[annee]:[annee]]=Exercice[[Exercice N]:[Exercice N]])*(evolution_hta_par_typologie[[annee_mes]:[annee_mes]]=S$215)*(evolution_hta_par_typologie[[lineaire_hta_nu_HFS]:[lineaire_hta_nu_HFS]]))</f>
        <v>37.1</v>
      </c>
      <c r="T221" s="20" cm="1">
        <f t="array" ref="T221">SUMPRODUCT((evolution_hta_par_typologie[[client]:[client]]=syndicat_etude)*(evolution_hta_par_typologie[[annee]:[annee]]=Exercice[[Exercice N]:[Exercice N]])*(evolution_hta_par_typologie[[annee_mes]:[annee_mes]]=T$215)*(evolution_hta_par_typologie[[lineaire_hta_nu_HFS]:[lineaire_hta_nu_HFS]]))</f>
        <v>41.16</v>
      </c>
      <c r="U221" s="20" cm="1">
        <f t="array" ref="U221">SUMPRODUCT((evolution_hta_par_typologie[[client]:[client]]=syndicat_etude)*(evolution_hta_par_typologie[[annee]:[annee]]=Exercice[[Exercice N]:[Exercice N]])*(evolution_hta_par_typologie[[annee_mes]:[annee_mes]]=U$215)*(evolution_hta_par_typologie[[lineaire_hta_nu_HFS]:[lineaire_hta_nu_HFS]]))</f>
        <v>52.53</v>
      </c>
      <c r="V221" s="20" cm="1">
        <f t="array" ref="V221">SUMPRODUCT((evolution_hta_par_typologie[[client]:[client]]=syndicat_etude)*(evolution_hta_par_typologie[[annee]:[annee]]=Exercice[[Exercice N]:[Exercice N]])*(evolution_hta_par_typologie[[annee_mes]:[annee_mes]]=V$215)*(evolution_hta_par_typologie[[lineaire_hta_nu_HFS]:[lineaire_hta_nu_HFS]]))</f>
        <v>68.36</v>
      </c>
      <c r="W221" s="20" cm="1">
        <f t="array" ref="W221">SUMPRODUCT((evolution_hta_par_typologie[[client]:[client]]=syndicat_etude)*(evolution_hta_par_typologie[[annee]:[annee]]=Exercice[[Exercice N]:[Exercice N]])*(evolution_hta_par_typologie[[annee_mes]:[annee_mes]]=W$215)*(evolution_hta_par_typologie[[lineaire_hta_nu_HFS]:[lineaire_hta_nu_HFS]]))</f>
        <v>77.94</v>
      </c>
      <c r="X221" s="20" cm="1">
        <f t="array" ref="X221">SUMPRODUCT((evolution_hta_par_typologie[[client]:[client]]=syndicat_etude)*(evolution_hta_par_typologie[[annee]:[annee]]=Exercice[[Exercice N]:[Exercice N]])*(evolution_hta_par_typologie[[annee_mes]:[annee_mes]]=X$215)*(evolution_hta_par_typologie[[lineaire_hta_nu_HFS]:[lineaire_hta_nu_HFS]]))</f>
        <v>78.92</v>
      </c>
      <c r="Y221" s="20" cm="1">
        <f t="array" ref="Y221">SUMPRODUCT((evolution_hta_par_typologie[[client]:[client]]=syndicat_etude)*(evolution_hta_par_typologie[[annee]:[annee]]=Exercice[[Exercice N]:[Exercice N]])*(evolution_hta_par_typologie[[annee_mes]:[annee_mes]]=Y$215)*(evolution_hta_par_typologie[[lineaire_hta_nu_HFS]:[lineaire_hta_nu_HFS]]))</f>
        <v>47.78</v>
      </c>
      <c r="Z221" s="20" cm="1">
        <f t="array" ref="Z221">SUMPRODUCT((evolution_hta_par_typologie[[client]:[client]]=syndicat_etude)*(evolution_hta_par_typologie[[annee]:[annee]]=Exercice[[Exercice N]:[Exercice N]])*(evolution_hta_par_typologie[[annee_mes]:[annee_mes]]=Z$215)*(evolution_hta_par_typologie[[lineaire_hta_nu_HFS]:[lineaire_hta_nu_HFS]]))</f>
        <v>46.83</v>
      </c>
      <c r="AA221" s="20" cm="1">
        <f t="array" ref="AA221">SUMPRODUCT((evolution_hta_par_typologie[[client]:[client]]=syndicat_etude)*(evolution_hta_par_typologie[[annee]:[annee]]=Exercice[[Exercice N]:[Exercice N]])*(evolution_hta_par_typologie[[annee_mes]:[annee_mes]]=AA$215)*(evolution_hta_par_typologie[[lineaire_hta_nu_HFS]:[lineaire_hta_nu_HFS]]))</f>
        <v>60.58</v>
      </c>
      <c r="AB221" s="20" cm="1">
        <f t="array" ref="AB221">SUMPRODUCT((evolution_hta_par_typologie[[client]:[client]]=syndicat_etude)*(evolution_hta_par_typologie[[annee]:[annee]]=Exercice[[Exercice N]:[Exercice N]])*(evolution_hta_par_typologie[[annee_mes]:[annee_mes]]=AB$215)*(evolution_hta_par_typologie[[lineaire_hta_nu_HFS]:[lineaire_hta_nu_HFS]]))</f>
        <v>46.82</v>
      </c>
      <c r="AC221" s="20" cm="1">
        <f t="array" ref="AC221">SUMPRODUCT((evolution_hta_par_typologie[[client]:[client]]=syndicat_etude)*(evolution_hta_par_typologie[[annee]:[annee]]=Exercice[[Exercice N]:[Exercice N]])*(evolution_hta_par_typologie[[annee_mes]:[annee_mes]]=AC$215)*(evolution_hta_par_typologie[[lineaire_hta_nu_HFS]:[lineaire_hta_nu_HFS]]))</f>
        <v>42.17</v>
      </c>
      <c r="AD221" s="20" cm="1">
        <f t="array" ref="AD221">SUMPRODUCT((evolution_hta_par_typologie[[client]:[client]]=syndicat_etude)*(evolution_hta_par_typologie[[annee]:[annee]]=Exercice[[Exercice N]:[Exercice N]])*(evolution_hta_par_typologie[[annee_mes]:[annee_mes]]=AD$215)*(evolution_hta_par_typologie[[lineaire_hta_nu_HFS]:[lineaire_hta_nu_HFS]]))</f>
        <v>64.510000000000005</v>
      </c>
      <c r="AE221" s="20" cm="1">
        <f t="array" ref="AE221">SUMPRODUCT((evolution_hta_par_typologie[[client]:[client]]=syndicat_etude)*(evolution_hta_par_typologie[[annee]:[annee]]=Exercice[[Exercice N]:[Exercice N]])*(evolution_hta_par_typologie[[annee_mes]:[annee_mes]]=AE$215)*(evolution_hta_par_typologie[[lineaire_hta_nu_HFS]:[lineaire_hta_nu_HFS]]))</f>
        <v>51.13</v>
      </c>
      <c r="AF221" s="20" cm="1">
        <f t="array" ref="AF221">SUMPRODUCT((evolution_hta_par_typologie[[client]:[client]]=syndicat_etude)*(evolution_hta_par_typologie[[annee]:[annee]]=Exercice[[Exercice N]:[Exercice N]])*(evolution_hta_par_typologie[[annee_mes]:[annee_mes]]=AF$215)*(evolution_hta_par_typologie[[lineaire_hta_nu_HFS]:[lineaire_hta_nu_HFS]]))</f>
        <v>32.1</v>
      </c>
      <c r="AG221" s="20" cm="1">
        <f t="array" ref="AG221">SUMPRODUCT((evolution_hta_par_typologie[[client]:[client]]=syndicat_etude)*(evolution_hta_par_typologie[[annee]:[annee]]=Exercice[[Exercice N]:[Exercice N]])*(evolution_hta_par_typologie[[annee_mes]:[annee_mes]]=AG$215)*(evolution_hta_par_typologie[[lineaire_hta_nu_HFS]:[lineaire_hta_nu_HFS]]))</f>
        <v>34.65</v>
      </c>
      <c r="AH221" s="20" cm="1">
        <f t="array" ref="AH221">SUMPRODUCT((evolution_hta_par_typologie[[client]:[client]]=syndicat_etude)*(evolution_hta_par_typologie[[annee]:[annee]]=Exercice[[Exercice N]:[Exercice N]])*(evolution_hta_par_typologie[[annee_mes]:[annee_mes]]=AH$215)*(evolution_hta_par_typologie[[lineaire_hta_nu_HFS]:[lineaire_hta_nu_HFS]]))</f>
        <v>25.12</v>
      </c>
      <c r="AI221" s="20" cm="1">
        <f t="array" ref="AI221">SUMPRODUCT((evolution_hta_par_typologie[[client]:[client]]=syndicat_etude)*(evolution_hta_par_typologie[[annee]:[annee]]=Exercice[[Exercice N]:[Exercice N]])*(evolution_hta_par_typologie[[annee_mes]:[annee_mes]]=AI$215)*(evolution_hta_par_typologie[[lineaire_hta_nu_HFS]:[lineaire_hta_nu_HFS]]))</f>
        <v>43.28</v>
      </c>
      <c r="AJ221" s="20" cm="1">
        <f t="array" ref="AJ221">SUMPRODUCT((evolution_hta_par_typologie[[client]:[client]]=syndicat_etude)*(evolution_hta_par_typologie[[annee]:[annee]]=Exercice[[Exercice N]:[Exercice N]])*(evolution_hta_par_typologie[[annee_mes]:[annee_mes]]=AJ$215)*(evolution_hta_par_typologie[[lineaire_hta_nu_HFS]:[lineaire_hta_nu_HFS]]))</f>
        <v>52.23</v>
      </c>
      <c r="AK221" s="20" cm="1">
        <f t="array" ref="AK221">SUMPRODUCT((evolution_hta_par_typologie[[client]:[client]]=syndicat_etude)*(evolution_hta_par_typologie[[annee]:[annee]]=Exercice[[Exercice N]:[Exercice N]])*(evolution_hta_par_typologie[[annee_mes]:[annee_mes]]=AK$215)*(evolution_hta_par_typologie[[lineaire_hta_nu_HFS]:[lineaire_hta_nu_HFS]]))</f>
        <v>28.67</v>
      </c>
      <c r="AL221" s="20" cm="1">
        <f t="array" ref="AL221">SUMPRODUCT((evolution_hta_par_typologie[[client]:[client]]=syndicat_etude)*(evolution_hta_par_typologie[[annee]:[annee]]=Exercice[[Exercice N]:[Exercice N]])*(evolution_hta_par_typologie[[annee_mes]:[annee_mes]]=AL$215)*(evolution_hta_par_typologie[[lineaire_hta_nu_HFS]:[lineaire_hta_nu_HFS]]))</f>
        <v>19.29</v>
      </c>
      <c r="AM221" s="20" cm="1">
        <f t="array" ref="AM221">SUMPRODUCT((evolution_hta_par_typologie[[client]:[client]]=syndicat_etude)*(evolution_hta_par_typologie[[annee]:[annee]]=Exercice[[Exercice N]:[Exercice N]])*(evolution_hta_par_typologie[[annee_mes]:[annee_mes]]=AM$215)*(evolution_hta_par_typologie[[lineaire_hta_nu_HFS]:[lineaire_hta_nu_HFS]]))</f>
        <v>59.36</v>
      </c>
      <c r="AN221" s="20" cm="1">
        <f t="array" ref="AN221">SUMPRODUCT((evolution_hta_par_typologie[[client]:[client]]=syndicat_etude)*(evolution_hta_par_typologie[[annee]:[annee]]=Exercice[[Exercice N]:[Exercice N]])*(evolution_hta_par_typologie[[annee_mes]:[annee_mes]]=AN$215)*(evolution_hta_par_typologie[[lineaire_hta_nu_HFS]:[lineaire_hta_nu_HFS]]))</f>
        <v>52.11</v>
      </c>
      <c r="AO221" s="20" cm="1">
        <f t="array" ref="AO221">SUMPRODUCT((evolution_hta_par_typologie[[client]:[client]]=syndicat_etude)*(evolution_hta_par_typologie[[annee]:[annee]]=Exercice[[Exercice N]:[Exercice N]])*(evolution_hta_par_typologie[[annee_mes]:[annee_mes]]=AO$215)*(evolution_hta_par_typologie[[lineaire_hta_nu_HFS]:[lineaire_hta_nu_HFS]]))</f>
        <v>83.77</v>
      </c>
      <c r="AP221" s="20" cm="1">
        <f t="array" ref="AP221">SUMPRODUCT((evolution_hta_par_typologie[[client]:[client]]=syndicat_etude)*(evolution_hta_par_typologie[[annee]:[annee]]=Exercice[[Exercice N]:[Exercice N]])*(evolution_hta_par_typologie[[annee_mes]:[annee_mes]]=AP$215)*(evolution_hta_par_typologie[[lineaire_hta_nu_HFS]:[lineaire_hta_nu_HFS]]))</f>
        <v>89.03</v>
      </c>
      <c r="AQ221" s="20" cm="1">
        <f t="array" ref="AQ221">SUMPRODUCT((evolution_hta_par_typologie[[client]:[client]]=syndicat_etude)*(evolution_hta_par_typologie[[annee]:[annee]]=Exercice[[Exercice N]:[Exercice N]])*(evolution_hta_par_typologie[[annee_mes]:[annee_mes]]=AQ$215)*(evolution_hta_par_typologie[[lineaire_hta_nu_HFS]:[lineaire_hta_nu_HFS]]))</f>
        <v>60.55</v>
      </c>
      <c r="AR221" s="20" cm="1">
        <f t="array" ref="AR221">SUMPRODUCT((evolution_hta_par_typologie[[client]:[client]]=syndicat_etude)*(evolution_hta_par_typologie[[annee]:[annee]]=Exercice[[Exercice N]:[Exercice N]])*(evolution_hta_par_typologie[[annee_mes]:[annee_mes]]=AR$215)*(evolution_hta_par_typologie[[lineaire_hta_nu_HFS]:[lineaire_hta_nu_HFS]]))</f>
        <v>98.16</v>
      </c>
      <c r="AS221" s="20" cm="1">
        <f t="array" ref="AS221">SUMPRODUCT((evolution_hta_par_typologie[[client]:[client]]=syndicat_etude)*(evolution_hta_par_typologie[[annee]:[annee]]=Exercice[[Exercice N]:[Exercice N]])*(evolution_hta_par_typologie[[annee_mes]:[annee_mes]]=AS$215)*(evolution_hta_par_typologie[[lineaire_hta_nu_HFS]:[lineaire_hta_nu_HFS]]))</f>
        <v>168.86</v>
      </c>
      <c r="AT221" s="20" cm="1">
        <f t="array" ref="AT221">SUMPRODUCT((evolution_hta_par_typologie[[client]:[client]]=syndicat_etude)*(evolution_hta_par_typologie[[annee]:[annee]]=Exercice[[Exercice N]:[Exercice N]])*(evolution_hta_par_typologie[[annee_mes]:[annee_mes]]=AT$215)*(evolution_hta_par_typologie[[lineaire_hta_nu_HFS]:[lineaire_hta_nu_HFS]]))</f>
        <v>133.66999999999999</v>
      </c>
      <c r="AU221" s="20" cm="1">
        <f t="array" ref="AU221">SUMPRODUCT((evolution_hta_par_typologie[[client]:[client]]=syndicat_etude)*(evolution_hta_par_typologie[[annee]:[annee]]=Exercice[[Exercice N]:[Exercice N]])*(evolution_hta_par_typologie[[annee_mes]:[annee_mes]]=AU$215)*(evolution_hta_par_typologie[[lineaire_hta_nu_HFS]:[lineaire_hta_nu_HFS]]))</f>
        <v>96.57</v>
      </c>
      <c r="AV221" s="20" cm="1">
        <f t="array" ref="AV221">SUMPRODUCT((evolution_hta_par_typologie[[client]:[client]]=syndicat_etude)*(evolution_hta_par_typologie[[annee]:[annee]]=Exercice[[Exercice N]:[Exercice N]])*(evolution_hta_par_typologie[[annee_mes]:[annee_mes]]=AV$215)*(evolution_hta_par_typologie[[lineaire_hta_nu_HFS]:[lineaire_hta_nu_HFS]]))</f>
        <v>108.36</v>
      </c>
      <c r="AW221" s="20" cm="1">
        <f t="array" ref="AW221">SUMPRODUCT((evolution_hta_par_typologie[[client]:[client]]=syndicat_etude)*(evolution_hta_par_typologie[[annee]:[annee]]=Exercice[[Exercice N]:[Exercice N]])*(evolution_hta_par_typologie[[annee_mes]:[annee_mes]]=AW$215)*(evolution_hta_par_typologie[[lineaire_hta_nu_HFS]:[lineaire_hta_nu_HFS]]))</f>
        <v>101.83</v>
      </c>
      <c r="AX221" s="20" cm="1">
        <f t="array" ref="AX221">SUMPRODUCT((evolution_hta_par_typologie[[client]:[client]]=syndicat_etude)*(evolution_hta_par_typologie[[annee]:[annee]]=Exercice[[Exercice N]:[Exercice N]])*(evolution_hta_par_typologie[[annee_mes]:[annee_mes]]=AX$215)*(evolution_hta_par_typologie[[lineaire_hta_nu_HFS]:[lineaire_hta_nu_HFS]]))</f>
        <v>38.03</v>
      </c>
      <c r="AY221" s="20" cm="1">
        <f t="array" ref="AY221">SUMPRODUCT((evolution_hta_par_typologie[[client]:[client]]=syndicat_etude)*(evolution_hta_par_typologie[[annee]:[annee]]=Exercice[[Exercice N]:[Exercice N]])*(evolution_hta_par_typologie[[annee_mes]:[annee_mes]]=AY$215)*(evolution_hta_par_typologie[[lineaire_hta_nu_HFS]:[lineaire_hta_nu_HFS]]))</f>
        <v>17.739999999999998</v>
      </c>
      <c r="AZ221" s="20" cm="1">
        <f t="array" ref="AZ221">SUMPRODUCT((evolution_hta_par_typologie[[client]:[client]]=syndicat_etude)*(evolution_hta_par_typologie[[annee]:[annee]]=Exercice[[Exercice N]:[Exercice N]])*(evolution_hta_par_typologie[[annee_mes]:[annee_mes]]=AZ$215)*(evolution_hta_par_typologie[[lineaire_hta_nu_HFS]:[lineaire_hta_nu_HFS]]))</f>
        <v>15.78</v>
      </c>
      <c r="BA221" s="20" cm="1">
        <f t="array" ref="BA221">SUMPRODUCT((evolution_hta_par_typologie[[client]:[client]]=syndicat_etude)*(evolution_hta_par_typologie[[annee]:[annee]]=Exercice[[Exercice N]:[Exercice N]])*(evolution_hta_par_typologie[[annee_mes]:[annee_mes]]=BA$215)*(evolution_hta_par_typologie[[lineaire_hta_nu_HFS]:[lineaire_hta_nu_HFS]]))</f>
        <v>16.48</v>
      </c>
      <c r="BB221" s="20" cm="1">
        <f t="array" ref="BB221">SUMPRODUCT((evolution_hta_par_typologie[[client]:[client]]=syndicat_etude)*(evolution_hta_par_typologie[[annee]:[annee]]=Exercice[[Exercice N]:[Exercice N]])*(evolution_hta_par_typologie[[annee_mes]:[annee_mes]]=BB$215)*(evolution_hta_par_typologie[[lineaire_hta_nu_HFS]:[lineaire_hta_nu_HFS]]))</f>
        <v>6.38</v>
      </c>
      <c r="BC221" s="20" cm="1">
        <f t="array" ref="BC221">SUMPRODUCT((evolution_hta_par_typologie[[client]:[client]]=syndicat_etude)*(evolution_hta_par_typologie[[annee]:[annee]]=Exercice[[Exercice N]:[Exercice N]])*(evolution_hta_par_typologie[[annee_mes]:[annee_mes]]=BC$215)*(evolution_hta_par_typologie[[lineaire_hta_nu_HFS]:[lineaire_hta_nu_HFS]]))</f>
        <v>7.19</v>
      </c>
      <c r="BD221" s="20" cm="1">
        <f t="array" ref="BD221">SUMPRODUCT((evolution_hta_par_typologie[[client]:[client]]=syndicat_etude)*(evolution_hta_par_typologie[[annee]:[annee]]=Exercice[[Exercice N]:[Exercice N]])*(evolution_hta_par_typologie[[annee_mes]:[annee_mes]]=BD$215)*(evolution_hta_par_typologie[[lineaire_hta_nu_HFS]:[lineaire_hta_nu_HFS]]))</f>
        <v>7.53</v>
      </c>
      <c r="BE221" s="20" cm="1">
        <f t="array" ref="BE221">SUMPRODUCT((evolution_hta_par_typologie[[client]:[client]]=syndicat_etude)*(evolution_hta_par_typologie[[annee]:[annee]]=Exercice[[Exercice N]:[Exercice N]])*(evolution_hta_par_typologie[[annee_mes]:[annee_mes]]=BE$215)*(evolution_hta_par_typologie[[lineaire_hta_nu_HFS]:[lineaire_hta_nu_HFS]]))</f>
        <v>13.79</v>
      </c>
      <c r="BF221" s="20" cm="1">
        <f t="array" ref="BF221">SUMPRODUCT((evolution_hta_par_typologie[[client]:[client]]=syndicat_etude)*(evolution_hta_par_typologie[[annee]:[annee]]=Exercice[[Exercice N]:[Exercice N]])*(evolution_hta_par_typologie[[annee_mes]:[annee_mes]]=BF$215)*(evolution_hta_par_typologie[[lineaire_hta_nu_HFS]:[lineaire_hta_nu_HFS]]))</f>
        <v>2.65</v>
      </c>
      <c r="BG221" s="20" cm="1">
        <f t="array" ref="BG221">SUMPRODUCT((evolution_hta_par_typologie[[client]:[client]]=syndicat_etude)*(evolution_hta_par_typologie[[annee]:[annee]]=Exercice[[Exercice N]:[Exercice N]])*(evolution_hta_par_typologie[[annee_mes]:[annee_mes]]=BG$215)*(evolution_hta_par_typologie[[lineaire_hta_nu_HFS]:[lineaire_hta_nu_HFS]]))</f>
        <v>1.72</v>
      </c>
      <c r="BH221" s="20" cm="1">
        <f t="array" ref="BH221">SUMPRODUCT((evolution_hta_par_typologie[[client]:[client]]=syndicat_etude)*(evolution_hta_par_typologie[[annee]:[annee]]=Exercice[[Exercice N]:[Exercice N]])*(evolution_hta_par_typologie[[annee_mes]:[annee_mes]]=BH$215)*(evolution_hta_par_typologie[[lineaire_hta_nu_HFS]:[lineaire_hta_nu_HFS]]))</f>
        <v>1.02</v>
      </c>
      <c r="BI221" s="20" cm="1">
        <f t="array" ref="BI221">SUMPRODUCT((evolution_hta_par_typologie[[client]:[client]]=syndicat_etude)*(evolution_hta_par_typologie[[annee]:[annee]]=Exercice[[Exercice N]:[Exercice N]])*(evolution_hta_par_typologie[[annee_mes]:[annee_mes]]=BI$215)*(evolution_hta_par_typologie[[lineaire_hta_nu_HFS]:[lineaire_hta_nu_HFS]]))</f>
        <v>1.2</v>
      </c>
      <c r="BJ221" s="20" cm="1">
        <f t="array" ref="BJ221">SUMPRODUCT((evolution_hta_par_typologie[[client]:[client]]=syndicat_etude)*(evolution_hta_par_typologie[[annee]:[annee]]=Exercice[[Exercice N]:[Exercice N]])*(evolution_hta_par_typologie[[annee_mes]:[annee_mes]]=BJ$215)*(evolution_hta_par_typologie[[lineaire_hta_nu_HFS]:[lineaire_hta_nu_HFS]]))</f>
        <v>2.35</v>
      </c>
      <c r="BK221" s="20" cm="1">
        <f t="array" ref="BK221">SUMPRODUCT((evolution_hta_par_typologie[[client]:[client]]=syndicat_etude)*(evolution_hta_par_typologie[[annee]:[annee]]=Exercice[[Exercice N]:[Exercice N]])*(evolution_hta_par_typologie[[annee_mes]:[annee_mes]]=BK$215)*(evolution_hta_par_typologie[[lineaire_hta_nu_HFS]:[lineaire_hta_nu_HFS]]))</f>
        <v>1.54</v>
      </c>
      <c r="BL221" s="20" cm="1">
        <f t="array" ref="BL221">SUMPRODUCT((evolution_hta_par_typologie[[client]:[client]]=syndicat_etude)*(evolution_hta_par_typologie[[annee]:[annee]]=Exercice[[Exercice N]:[Exercice N]])*(evolution_hta_par_typologie[[annee_mes]:[annee_mes]]=BL$215)*(evolution_hta_par_typologie[[lineaire_hta_nu_HFS]:[lineaire_hta_nu_HFS]]))</f>
        <v>1.27</v>
      </c>
      <c r="BM221" s="20" cm="1">
        <f t="array" ref="BM221">SUMPRODUCT((evolution_hta_par_typologie[[client]:[client]]=syndicat_etude)*(evolution_hta_par_typologie[[annee]:[annee]]=Exercice[[Exercice N]:[Exercice N]])*(evolution_hta_par_typologie[[annee_mes]:[annee_mes]]=BM$215)*(evolution_hta_par_typologie[[lineaire_hta_nu_HFS]:[lineaire_hta_nu_HFS]]))</f>
        <v>1.78</v>
      </c>
      <c r="BN221" s="20" cm="1">
        <f t="array" ref="BN221">SUMPRODUCT((evolution_hta_par_typologie[[client]:[client]]=syndicat_etude)*(evolution_hta_par_typologie[[annee]:[annee]]=Exercice[[Exercice N]:[Exercice N]])*(evolution_hta_par_typologie[[annee_mes]:[annee_mes]]=BN$215)*(evolution_hta_par_typologie[[lineaire_hta_nu_HFS]:[lineaire_hta_nu_HFS]]))</f>
        <v>0.15</v>
      </c>
      <c r="BO221" s="20" cm="1">
        <f t="array" ref="BO221">SUMPRODUCT((evolution_hta_par_typologie[[client]:[client]]=syndicat_etude)*(evolution_hta_par_typologie[[annee]:[annee]]=Exercice[[Exercice N]:[Exercice N]])*(evolution_hta_par_typologie[[annee_mes]:[annee_mes]]=BO$215)*(evolution_hta_par_typologie[[lineaire_hta_nu_HFS]:[lineaire_hta_nu_HFS]]))</f>
        <v>0.87</v>
      </c>
      <c r="BP221" s="20" cm="1">
        <f t="array" ref="BP221">SUMPRODUCT((evolution_hta_par_typologie[[client]:[client]]=syndicat_etude)*(evolution_hta_par_typologie[[annee]:[annee]]=Exercice[[Exercice N]:[Exercice N]])*(evolution_hta_par_typologie[[annee_mes]:[annee_mes]]=BP$215)*(evolution_hta_par_typologie[[lineaire_hta_nu_HFS]:[lineaire_hta_nu_HFS]]))</f>
        <v>0.27</v>
      </c>
      <c r="BQ221" s="20" cm="1">
        <f t="array" ref="BQ221">SUMPRODUCT((evolution_hta_par_typologie[[client]:[client]]=syndicat_etude)*(evolution_hta_par_typologie[[annee]:[annee]]=Exercice[[Exercice N]:[Exercice N]])*(evolution_hta_par_typologie[[annee_mes]:[annee_mes]]=BQ$215)*(evolution_hta_par_typologie[[lineaire_hta_nu_HFS]:[lineaire_hta_nu_HFS]]))</f>
        <v>0.42</v>
      </c>
      <c r="BR221" s="20" cm="1">
        <f t="array" ref="BR221">SUMPRODUCT((evolution_hta_par_typologie[[client]:[client]]=syndicat_etude)*(evolution_hta_par_typologie[[annee]:[annee]]=Exercice[[Exercice N]:[Exercice N]])*(evolution_hta_par_typologie[[annee_mes]:[annee_mes]]=BR$215)*(evolution_hta_par_typologie[[lineaire_hta_nu_HFS]:[lineaire_hta_nu_HFS]]))</f>
        <v>0.73</v>
      </c>
      <c r="BS221" s="20" cm="1">
        <f t="array" ref="BS221">SUMPRODUCT((evolution_hta_par_typologie[[client]:[client]]=syndicat_etude)*(evolution_hta_par_typologie[[annee]:[annee]]=Exercice[[Exercice N]:[Exercice N]])*(evolution_hta_par_typologie[[annee_mes]:[annee_mes]]=BS$215)*(evolution_hta_par_typologie[[lineaire_hta_nu_HFS]:[lineaire_hta_nu_HFS]]))</f>
        <v>0.28000000000000003</v>
      </c>
      <c r="BT221" s="20" cm="1">
        <f t="array" ref="BT221">SUMPRODUCT((evolution_hta_par_typologie[[client]:[client]]=syndicat_etude)*(evolution_hta_par_typologie[[annee]:[annee]]=Exercice[[Exercice N]:[Exercice N]])*(evolution_hta_par_typologie[[annee_mes]:[annee_mes]]=BT$215)*(evolution_hta_par_typologie[[lineaire_hta_nu_HFS]:[lineaire_hta_nu_HFS]]))</f>
        <v>0.92</v>
      </c>
      <c r="BU221" s="20" cm="1">
        <f t="array" ref="BU221">SUMPRODUCT((evolution_hta_par_typologie[[client]:[client]]=syndicat_etude)*(evolution_hta_par_typologie[[annee]:[annee]]=Exercice[[Exercice N]:[Exercice N]])*(evolution_hta_par_typologie[[annee_mes]:[annee_mes]]=BU$215)*(evolution_hta_par_typologie[[lineaire_hta_nu_HFS]:[lineaire_hta_nu_HFS]]))</f>
        <v>0.35</v>
      </c>
      <c r="BV221" s="20" cm="1">
        <f t="array" ref="BV221">SUMPRODUCT((evolution_hta_par_typologie[[client]:[client]]=syndicat_etude)*(evolution_hta_par_typologie[[annee]:[annee]]=Exercice[[Exercice N]:[Exercice N]])*(evolution_hta_par_typologie[[annee_mes]:[annee_mes]]=BV$215)*(evolution_hta_par_typologie[[lineaire_hta_nu_HFS]:[lineaire_hta_nu_HFS]]))</f>
        <v>0.23</v>
      </c>
      <c r="BW221" s="20" cm="1">
        <f t="array" ref="BW221">SUMPRODUCT((evolution_hta_par_typologie[[client]:[client]]=syndicat_etude)*(evolution_hta_par_typologie[[annee]:[annee]]=Exercice[[Exercice N]:[Exercice N]])*(evolution_hta_par_typologie[[annee_mes]:[annee_mes]]=BW$215)*(evolution_hta_par_typologie[[lineaire_hta_nu_HFS]:[lineaire_hta_nu_HFS]]))</f>
        <v>2.19</v>
      </c>
      <c r="BX221" s="20" cm="1">
        <f t="array" ref="BX221">SUMPRODUCT((evolution_hta_par_typologie[[client]:[client]]=syndicat_etude)*(evolution_hta_par_typologie[[annee]:[annee]]=Exercice[[Exercice N]:[Exercice N]])*(evolution_hta_par_typologie[[annee_mes]:[annee_mes]]=BX$215)*(evolution_hta_par_typologie[[lineaire_hta_nu_HFS]:[lineaire_hta_nu_HFS]]))</f>
        <v>0.25</v>
      </c>
      <c r="BY221" s="20" cm="1">
        <f t="array" ref="BY221">SUMPRODUCT((evolution_hta_par_typologie[[client]:[client]]=syndicat_etude)*(evolution_hta_par_typologie[[annee]:[annee]]=Exercice[[Exercice N]:[Exercice N]])*(evolution_hta_par_typologie[[annee_mes]:[annee_mes]]=BY$215)*(evolution_hta_par_typologie[[lineaire_hta_nu_HFS]:[lineaire_hta_nu_HFS]]))</f>
        <v>0</v>
      </c>
      <c r="BZ221" s="20" cm="1">
        <f t="array" ref="BZ221">SUMPRODUCT((evolution_hta_par_typologie[[client]:[client]]=syndicat_etude)*(evolution_hta_par_typologie[[annee]:[annee]]=Exercice[[Exercice N]:[Exercice N]])*(evolution_hta_par_typologie[[annee_mes]:[annee_mes]]=BZ$215)*(evolution_hta_par_typologie[[lineaire_hta_nu_HFS]:[lineaire_hta_nu_HFS]]))</f>
        <v>0</v>
      </c>
      <c r="CA221" s="20" cm="1">
        <f t="array" ref="CA221">SUMPRODUCT((evolution_hta_par_typologie[[client]:[client]]=syndicat_etude)*(evolution_hta_par_typologie[[annee]:[annee]]=Exercice[[Exercice N]:[Exercice N]])*(evolution_hta_par_typologie[[annee_mes]:[annee_mes]]=CA$215)*(evolution_hta_par_typologie[[lineaire_hta_nu_HFS]:[lineaire_hta_nu_HFS]]))</f>
        <v>0.01</v>
      </c>
      <c r="CB221" s="20" cm="1">
        <f t="array" ref="CB221">SUMPRODUCT((evolution_hta_par_typologie[[client]:[client]]=syndicat_etude)*(evolution_hta_par_typologie[[annee]:[annee]]=Exercice[[Exercice N]:[Exercice N]])*(evolution_hta_par_typologie[[annee_mes]:[annee_mes]]=CB$215)*(evolution_hta_par_typologie[[lineaire_hta_nu_HFS]:[lineaire_hta_nu_HFS]]))</f>
        <v>0</v>
      </c>
      <c r="CC221" s="20" cm="1">
        <f t="array" ref="CC221">SUMPRODUCT((evolution_hta_par_typologie[[client]:[client]]=syndicat_etude)*(evolution_hta_par_typologie[[annee]:[annee]]=Exercice[[Exercice N]:[Exercice N]])*(evolution_hta_par_typologie[[annee_mes]:[annee_mes]]=CC$215)*(evolution_hta_par_typologie[[lineaire_hta_nu_HFS]:[lineaire_hta_nu_HFS]]))</f>
        <v>0</v>
      </c>
      <c r="CD221" s="20" cm="1">
        <f t="array" ref="CD221">SUMPRODUCT((evolution_hta_par_typologie[[client]:[client]]=syndicat_etude)*(evolution_hta_par_typologie[[annee]:[annee]]=Exercice[[Exercice N]:[Exercice N]])*(evolution_hta_par_typologie[[annee_mes]:[annee_mes]]=CD$215)*(evolution_hta_par_typologie[[lineaire_hta_nu_HFS]:[lineaire_hta_nu_HFS]]))</f>
        <v>0</v>
      </c>
      <c r="CE221" s="20" cm="1">
        <f t="array" ref="CE221">SUMPRODUCT((evolution_hta_par_typologie[[client]:[client]]=syndicat_etude)*(evolution_hta_par_typologie[[annee]:[annee]]=Exercice[[Exercice N]:[Exercice N]])*(evolution_hta_par_typologie[[annee_mes]:[annee_mes]]=CE$215)*(evolution_hta_par_typologie[[lineaire_hta_nu_HFS]:[lineaire_hta_nu_HFS]]))</f>
        <v>0</v>
      </c>
      <c r="CF221" s="166" cm="1">
        <f t="array" ref="CF221">SUMPRODUCT((evolution_hta_par_typologie[[client]:[client]]=syndicat_etude)*(evolution_hta_par_typologie[[annee]:[annee]]=Exercice[[Exercice N]:[Exercice N]])*(evolution_hta_par_typologie[[annee_mes]:[annee_mes]]=CF$215)*(evolution_hta_par_typologie[[lineaire_hta_nu_HFS]:[lineaire_hta_nu_HFS]]))</f>
        <v>0</v>
      </c>
    </row>
    <row r="222" spans="1:84" ht="15" customHeight="1" x14ac:dyDescent="0.25">
      <c r="B222" s="127" t="s">
        <v>114</v>
      </c>
      <c r="C222" s="571" cm="1">
        <f t="array" ref="C222">SUMPRODUCT((pat_tech_hta_15[[Client]:[Client]]=syndicat_etude)*(pat_tech_hta_15[[Annee]:[Annee]]=annee_CRAC)*(pat_tech_hta_15[[Annee Construction]:[Annee Construction]]=C$215)*(pat_tech_hta_15[[torsade_km]:[torsade_km]]))</f>
        <v>0</v>
      </c>
      <c r="D222" s="571" cm="1">
        <f t="array" ref="D222">SUMPRODUCT((pat_tech_hta_15[[Client]:[Client]]=syndicat_etude)*(pat_tech_hta_15[[Annee]:[Annee]]=annee_CRAC)*(pat_tech_hta_15[[Annee Construction]:[Annee Construction]]=D$215)*(pat_tech_hta_15[[torsade_km]:[torsade_km]]))</f>
        <v>0</v>
      </c>
      <c r="E222" s="571" cm="1">
        <f t="array" ref="E222">SUMPRODUCT((pat_tech_hta_15[[Client]:[Client]]=syndicat_etude)*(pat_tech_hta_15[[Annee]:[Annee]]=annee_CRAC)*(pat_tech_hta_15[[Annee Construction]:[Annee Construction]]=E$215)*(pat_tech_hta_15[[torsade_km]:[torsade_km]]))</f>
        <v>0</v>
      </c>
      <c r="F222" s="571" cm="1">
        <f t="array" ref="F222">SUMPRODUCT((pat_tech_hta_15[[Client]:[Client]]=syndicat_etude)*(pat_tech_hta_15[[Annee]:[Annee]]=annee_CRAC)*(pat_tech_hta_15[[Annee Construction]:[Annee Construction]]=F$215)*(pat_tech_hta_15[[torsade_km]:[torsade_km]]))</f>
        <v>0</v>
      </c>
      <c r="G222" s="571" cm="1">
        <f t="array" ref="G222">SUMPRODUCT((pat_tech_hta_15[[Client]:[Client]]=syndicat_etude)*(pat_tech_hta_15[[Annee]:[Annee]]=annee_CRAC)*(pat_tech_hta_15[[Annee Construction]:[Annee Construction]]=G$215)*(pat_tech_hta_15[[torsade_km]:[torsade_km]]))</f>
        <v>0</v>
      </c>
      <c r="H222" s="571" cm="1">
        <f t="array" ref="H222">SUMPRODUCT((pat_tech_hta_15[[Client]:[Client]]=syndicat_etude)*(pat_tech_hta_15[[Annee]:[Annee]]=annee_CRAC)*(pat_tech_hta_15[[Annee Construction]:[Annee Construction]]=H$215)*(pat_tech_hta_15[[torsade_km]:[torsade_km]]))</f>
        <v>0</v>
      </c>
      <c r="I222" s="571" cm="1">
        <f t="array" ref="I222">SUMPRODUCT((pat_tech_hta_15[[Client]:[Client]]=syndicat_etude)*(pat_tech_hta_15[[Annee]:[Annee]]=annee_CRAC)*(pat_tech_hta_15[[Annee Construction]:[Annee Construction]]=I$215)*(pat_tech_hta_15[[torsade_km]:[torsade_km]]))</f>
        <v>0</v>
      </c>
      <c r="J222" s="571" cm="1">
        <f t="array" ref="J222">SUMPRODUCT((pat_tech_hta_15[[Client]:[Client]]=syndicat_etude)*(pat_tech_hta_15[[Annee]:[Annee]]=annee_CRAC)*(pat_tech_hta_15[[Annee Construction]:[Annee Construction]]=J$215)*(pat_tech_hta_15[[torsade_km]:[torsade_km]]))</f>
        <v>0</v>
      </c>
      <c r="K222" s="571" cm="1">
        <f t="array" ref="K222">SUMPRODUCT((pat_tech_hta_15[[Client]:[Client]]=syndicat_etude)*(pat_tech_hta_15[[Annee]:[Annee]]=annee_CRAC)*(pat_tech_hta_15[[Annee Construction]:[Annee Construction]]=K$215)*(pat_tech_hta_15[[torsade_km]:[torsade_km]]))</f>
        <v>0</v>
      </c>
      <c r="L222" s="571" cm="1">
        <f t="array" ref="L222">SUMPRODUCT((pat_tech_hta_15[[Client]:[Client]]=syndicat_etude)*(pat_tech_hta_15[[Annee]:[Annee]]=annee_CRAC)*(pat_tech_hta_15[[Annee Construction]:[Annee Construction]]=L$215)*(pat_tech_hta_15[[torsade_km]:[torsade_km]]))</f>
        <v>0</v>
      </c>
      <c r="M222" s="571" cm="1">
        <f t="array" ref="M222">SUMPRODUCT((pat_tech_hta_15[[Client]:[Client]]=syndicat_etude)*(pat_tech_hta_15[[Annee]:[Annee]]=annee_CRAC)*(pat_tech_hta_15[[Annee Construction]:[Annee Construction]]=M$215)*(pat_tech_hta_15[[torsade_km]:[torsade_km]]))</f>
        <v>0</v>
      </c>
      <c r="N222" s="571" cm="1">
        <f t="array" ref="N222">SUMPRODUCT((pat_tech_hta_15[[Client]:[Client]]=syndicat_etude)*(pat_tech_hta_15[[Annee]:[Annee]]=annee_CRAC)*(pat_tech_hta_15[[Annee Construction]:[Annee Construction]]=N$215)*(pat_tech_hta_15[[torsade_km]:[torsade_km]]))</f>
        <v>0</v>
      </c>
      <c r="O222" s="571" cm="1">
        <f t="array" ref="O222">SUMPRODUCT((pat_tech_hta_15[[Client]:[Client]]=syndicat_etude)*(pat_tech_hta_15[[Annee]:[Annee]]=annee_CRAC)*(pat_tech_hta_15[[Annee Construction]:[Annee Construction]]=O$215)*(pat_tech_hta_15[[torsade_km]:[torsade_km]]))</f>
        <v>0</v>
      </c>
      <c r="P222" s="571" cm="1">
        <f t="array" ref="P222">SUMPRODUCT((pat_tech_hta_15[[Client]:[Client]]=syndicat_etude)*(pat_tech_hta_15[[Annee]:[Annee]]=annee_CRAC)*(pat_tech_hta_15[[Annee Construction]:[Annee Construction]]=P$215)*(pat_tech_hta_15[[torsade_km]:[torsade_km]]))</f>
        <v>0</v>
      </c>
      <c r="Q222" s="571" cm="1">
        <f t="array" ref="Q222">SUMPRODUCT((pat_tech_hta_15[[Client]:[Client]]=syndicat_etude)*(pat_tech_hta_15[[Annee]:[Annee]]=annee_CRAC)*(pat_tech_hta_15[[Annee Construction]:[Annee Construction]]=Q$215)*(pat_tech_hta_15[[torsade_km]:[torsade_km]]))</f>
        <v>0</v>
      </c>
      <c r="R222" s="571" cm="1">
        <f t="array" ref="R222">SUMPRODUCT((pat_tech_hta_15[[Client]:[Client]]=syndicat_etude)*(pat_tech_hta_15[[Annee]:[Annee]]=annee_CRAC)*(pat_tech_hta_15[[Annee Construction]:[Annee Construction]]=R$215)*(pat_tech_hta_15[[torsade_km]:[torsade_km]]))</f>
        <v>0</v>
      </c>
      <c r="S222" s="571" cm="1">
        <f t="array" ref="S222">SUMPRODUCT((pat_tech_hta_15[[Client]:[Client]]=syndicat_etude)*(pat_tech_hta_15[[Annee]:[Annee]]=annee_CRAC)*(pat_tech_hta_15[[Annee Construction]:[Annee Construction]]=S$215)*(pat_tech_hta_15[[torsade_km]:[torsade_km]]))</f>
        <v>0</v>
      </c>
      <c r="T222" s="571" cm="1">
        <f t="array" ref="T222">SUMPRODUCT((pat_tech_hta_15[[Client]:[Client]]=syndicat_etude)*(pat_tech_hta_15[[Annee]:[Annee]]=annee_CRAC)*(pat_tech_hta_15[[Annee Construction]:[Annee Construction]]=T$215)*(pat_tech_hta_15[[torsade_km]:[torsade_km]]))</f>
        <v>0</v>
      </c>
      <c r="U222" s="571" cm="1">
        <f t="array" ref="U222">SUMPRODUCT((pat_tech_hta_15[[Client]:[Client]]=syndicat_etude)*(pat_tech_hta_15[[Annee]:[Annee]]=annee_CRAC)*(pat_tech_hta_15[[Annee Construction]:[Annee Construction]]=U$215)*(pat_tech_hta_15[[torsade_km]:[torsade_km]]))</f>
        <v>0.25</v>
      </c>
      <c r="V222" s="571" cm="1">
        <f t="array" ref="V222">SUMPRODUCT((pat_tech_hta_15[[Client]:[Client]]=syndicat_etude)*(pat_tech_hta_15[[Annee]:[Annee]]=annee_CRAC)*(pat_tech_hta_15[[Annee Construction]:[Annee Construction]]=V$215)*(pat_tech_hta_15[[torsade_km]:[torsade_km]]))</f>
        <v>0</v>
      </c>
      <c r="W222" s="571" cm="1">
        <f t="array" ref="W222">SUMPRODUCT((pat_tech_hta_15[[Client]:[Client]]=syndicat_etude)*(pat_tech_hta_15[[Annee]:[Annee]]=annee_CRAC)*(pat_tech_hta_15[[Annee Construction]:[Annee Construction]]=W$215)*(pat_tech_hta_15[[torsade_km]:[torsade_km]]))</f>
        <v>0</v>
      </c>
      <c r="X222" s="571" cm="1">
        <f t="array" ref="X222">SUMPRODUCT((pat_tech_hta_15[[Client]:[Client]]=syndicat_etude)*(pat_tech_hta_15[[Annee]:[Annee]]=annee_CRAC)*(pat_tech_hta_15[[Annee Construction]:[Annee Construction]]=X$215)*(pat_tech_hta_15[[torsade_km]:[torsade_km]]))</f>
        <v>0</v>
      </c>
      <c r="Y222" s="571" cm="1">
        <f t="array" ref="Y222">SUMPRODUCT((pat_tech_hta_15[[Client]:[Client]]=syndicat_etude)*(pat_tech_hta_15[[Annee]:[Annee]]=annee_CRAC)*(pat_tech_hta_15[[Annee Construction]:[Annee Construction]]=Y$215)*(pat_tech_hta_15[[torsade_km]:[torsade_km]]))</f>
        <v>0</v>
      </c>
      <c r="Z222" s="571" cm="1">
        <f t="array" ref="Z222">SUMPRODUCT((pat_tech_hta_15[[Client]:[Client]]=syndicat_etude)*(pat_tech_hta_15[[Annee]:[Annee]]=annee_CRAC)*(pat_tech_hta_15[[Annee Construction]:[Annee Construction]]=Z$215)*(pat_tech_hta_15[[torsade_km]:[torsade_km]]))</f>
        <v>0</v>
      </c>
      <c r="AA222" s="571" cm="1">
        <f t="array" ref="AA222">SUMPRODUCT((pat_tech_hta_15[[Client]:[Client]]=syndicat_etude)*(pat_tech_hta_15[[Annee]:[Annee]]=annee_CRAC)*(pat_tech_hta_15[[Annee Construction]:[Annee Construction]]=AA$215)*(pat_tech_hta_15[[torsade_km]:[torsade_km]]))</f>
        <v>0</v>
      </c>
      <c r="AB222" s="571" cm="1">
        <f t="array" ref="AB222">SUMPRODUCT((pat_tech_hta_15[[Client]:[Client]]=syndicat_etude)*(pat_tech_hta_15[[Annee]:[Annee]]=annee_CRAC)*(pat_tech_hta_15[[Annee Construction]:[Annee Construction]]=AB$215)*(pat_tech_hta_15[[torsade_km]:[torsade_km]]))</f>
        <v>0</v>
      </c>
      <c r="AC222" s="571" cm="1">
        <f t="array" ref="AC222">SUMPRODUCT((pat_tech_hta_15[[Client]:[Client]]=syndicat_etude)*(pat_tech_hta_15[[Annee]:[Annee]]=annee_CRAC)*(pat_tech_hta_15[[Annee Construction]:[Annee Construction]]=AC$215)*(pat_tech_hta_15[[torsade_km]:[torsade_km]]))</f>
        <v>0</v>
      </c>
      <c r="AD222" s="571" cm="1">
        <f t="array" ref="AD222">SUMPRODUCT((pat_tech_hta_15[[Client]:[Client]]=syndicat_etude)*(pat_tech_hta_15[[Annee]:[Annee]]=annee_CRAC)*(pat_tech_hta_15[[Annee Construction]:[Annee Construction]]=AD$215)*(pat_tech_hta_15[[torsade_km]:[torsade_km]]))</f>
        <v>0</v>
      </c>
      <c r="AE222" s="571" cm="1">
        <f t="array" ref="AE222">SUMPRODUCT((pat_tech_hta_15[[Client]:[Client]]=syndicat_etude)*(pat_tech_hta_15[[Annee]:[Annee]]=annee_CRAC)*(pat_tech_hta_15[[Annee Construction]:[Annee Construction]]=AE$215)*(pat_tech_hta_15[[torsade_km]:[torsade_km]]))</f>
        <v>0</v>
      </c>
      <c r="AF222" s="571" cm="1">
        <f t="array" ref="AF222">SUMPRODUCT((pat_tech_hta_15[[Client]:[Client]]=syndicat_etude)*(pat_tech_hta_15[[Annee]:[Annee]]=annee_CRAC)*(pat_tech_hta_15[[Annee Construction]:[Annee Construction]]=AF$215)*(pat_tech_hta_15[[torsade_km]:[torsade_km]]))</f>
        <v>0</v>
      </c>
      <c r="AG222" s="571" cm="1">
        <f t="array" ref="AG222">SUMPRODUCT((pat_tech_hta_15[[Client]:[Client]]=syndicat_etude)*(pat_tech_hta_15[[Annee]:[Annee]]=annee_CRAC)*(pat_tech_hta_15[[Annee Construction]:[Annee Construction]]=AG$215)*(pat_tech_hta_15[[torsade_km]:[torsade_km]]))</f>
        <v>0</v>
      </c>
      <c r="AH222" s="571" cm="1">
        <f t="array" ref="AH222">SUMPRODUCT((pat_tech_hta_15[[Client]:[Client]]=syndicat_etude)*(pat_tech_hta_15[[Annee]:[Annee]]=annee_CRAC)*(pat_tech_hta_15[[Annee Construction]:[Annee Construction]]=AH$215)*(pat_tech_hta_15[[torsade_km]:[torsade_km]]))</f>
        <v>0</v>
      </c>
      <c r="AI222" s="571" cm="1">
        <f t="array" ref="AI222">SUMPRODUCT((pat_tech_hta_15[[Client]:[Client]]=syndicat_etude)*(pat_tech_hta_15[[Annee]:[Annee]]=annee_CRAC)*(pat_tech_hta_15[[Annee Construction]:[Annee Construction]]=AI$215)*(pat_tech_hta_15[[torsade_km]:[torsade_km]]))</f>
        <v>1.3</v>
      </c>
      <c r="AJ222" s="571" cm="1">
        <f t="array" ref="AJ222">SUMPRODUCT((pat_tech_hta_15[[Client]:[Client]]=syndicat_etude)*(pat_tech_hta_15[[Annee]:[Annee]]=annee_CRAC)*(pat_tech_hta_15[[Annee Construction]:[Annee Construction]]=AJ$215)*(pat_tech_hta_15[[torsade_km]:[torsade_km]]))</f>
        <v>0</v>
      </c>
      <c r="AK222" s="571" cm="1">
        <f t="array" ref="AK222">SUMPRODUCT((pat_tech_hta_15[[Client]:[Client]]=syndicat_etude)*(pat_tech_hta_15[[Annee]:[Annee]]=annee_CRAC)*(pat_tech_hta_15[[Annee Construction]:[Annee Construction]]=AK$215)*(pat_tech_hta_15[[torsade_km]:[torsade_km]]))</f>
        <v>0</v>
      </c>
      <c r="AL222" s="571" cm="1">
        <f t="array" ref="AL222">SUMPRODUCT((pat_tech_hta_15[[Client]:[Client]]=syndicat_etude)*(pat_tech_hta_15[[Annee]:[Annee]]=annee_CRAC)*(pat_tech_hta_15[[Annee Construction]:[Annee Construction]]=AL$215)*(pat_tech_hta_15[[torsade_km]:[torsade_km]]))</f>
        <v>0</v>
      </c>
      <c r="AM222" s="571" cm="1">
        <f t="array" ref="AM222">SUMPRODUCT((pat_tech_hta_15[[Client]:[Client]]=syndicat_etude)*(pat_tech_hta_15[[Annee]:[Annee]]=annee_CRAC)*(pat_tech_hta_15[[Annee Construction]:[Annee Construction]]=AM$215)*(pat_tech_hta_15[[torsade_km]:[torsade_km]]))</f>
        <v>0</v>
      </c>
      <c r="AN222" s="571" cm="1">
        <f t="array" ref="AN222">SUMPRODUCT((pat_tech_hta_15[[Client]:[Client]]=syndicat_etude)*(pat_tech_hta_15[[Annee]:[Annee]]=annee_CRAC)*(pat_tech_hta_15[[Annee Construction]:[Annee Construction]]=AN$215)*(pat_tech_hta_15[[torsade_km]:[torsade_km]]))</f>
        <v>0</v>
      </c>
      <c r="AO222" s="571" cm="1">
        <f t="array" ref="AO222">SUMPRODUCT((pat_tech_hta_15[[Client]:[Client]]=syndicat_etude)*(pat_tech_hta_15[[Annee]:[Annee]]=annee_CRAC)*(pat_tech_hta_15[[Annee Construction]:[Annee Construction]]=AO$215)*(pat_tech_hta_15[[torsade_km]:[torsade_km]]))</f>
        <v>0</v>
      </c>
      <c r="AP222" s="571" cm="1">
        <f t="array" ref="AP222">SUMPRODUCT((pat_tech_hta_15[[Client]:[Client]]=syndicat_etude)*(pat_tech_hta_15[[Annee]:[Annee]]=annee_CRAC)*(pat_tech_hta_15[[Annee Construction]:[Annee Construction]]=AP$215)*(pat_tech_hta_15[[torsade_km]:[torsade_km]]))</f>
        <v>0</v>
      </c>
      <c r="AQ222" s="571" cm="1">
        <f t="array" ref="AQ222">SUMPRODUCT((pat_tech_hta_15[[Client]:[Client]]=syndicat_etude)*(pat_tech_hta_15[[Annee]:[Annee]]=annee_CRAC)*(pat_tech_hta_15[[Annee Construction]:[Annee Construction]]=AQ$215)*(pat_tech_hta_15[[torsade_km]:[torsade_km]]))</f>
        <v>0</v>
      </c>
      <c r="AR222" s="571" cm="1">
        <f t="array" ref="AR222">SUMPRODUCT((pat_tech_hta_15[[Client]:[Client]]=syndicat_etude)*(pat_tech_hta_15[[Annee]:[Annee]]=annee_CRAC)*(pat_tech_hta_15[[Annee Construction]:[Annee Construction]]=AR$215)*(pat_tech_hta_15[[torsade_km]:[torsade_km]]))</f>
        <v>1.28</v>
      </c>
      <c r="AS222" s="571" cm="1">
        <f t="array" ref="AS222">SUMPRODUCT((pat_tech_hta_15[[Client]:[Client]]=syndicat_etude)*(pat_tech_hta_15[[Annee]:[Annee]]=annee_CRAC)*(pat_tech_hta_15[[Annee Construction]:[Annee Construction]]=AS$215)*(pat_tech_hta_15[[torsade_km]:[torsade_km]]))</f>
        <v>0.83</v>
      </c>
      <c r="AT222" s="571" cm="1">
        <f t="array" ref="AT222">SUMPRODUCT((pat_tech_hta_15[[Client]:[Client]]=syndicat_etude)*(pat_tech_hta_15[[Annee]:[Annee]]=annee_CRAC)*(pat_tech_hta_15[[Annee Construction]:[Annee Construction]]=AT$215)*(pat_tech_hta_15[[torsade_km]:[torsade_km]]))</f>
        <v>0.96</v>
      </c>
      <c r="AU222" s="571" cm="1">
        <f t="array" ref="AU222">SUMPRODUCT((pat_tech_hta_15[[Client]:[Client]]=syndicat_etude)*(pat_tech_hta_15[[Annee]:[Annee]]=annee_CRAC)*(pat_tech_hta_15[[Annee Construction]:[Annee Construction]]=AU$215)*(pat_tech_hta_15[[torsade_km]:[torsade_km]]))</f>
        <v>0</v>
      </c>
      <c r="AV222" s="571" cm="1">
        <f t="array" ref="AV222">SUMPRODUCT((pat_tech_hta_15[[Client]:[Client]]=syndicat_etude)*(pat_tech_hta_15[[Annee]:[Annee]]=annee_CRAC)*(pat_tech_hta_15[[Annee Construction]:[Annee Construction]]=AV$215)*(pat_tech_hta_15[[torsade_km]:[torsade_km]]))</f>
        <v>0</v>
      </c>
      <c r="AW222" s="571" cm="1">
        <f t="array" ref="AW222">SUMPRODUCT((pat_tech_hta_15[[Client]:[Client]]=syndicat_etude)*(pat_tech_hta_15[[Annee]:[Annee]]=annee_CRAC)*(pat_tech_hta_15[[Annee Construction]:[Annee Construction]]=AW$215)*(pat_tech_hta_15[[torsade_km]:[torsade_km]]))</f>
        <v>0</v>
      </c>
      <c r="AX222" s="571" cm="1">
        <f t="array" ref="AX222">SUMPRODUCT((pat_tech_hta_15[[Client]:[Client]]=syndicat_etude)*(pat_tech_hta_15[[Annee]:[Annee]]=annee_CRAC)*(pat_tech_hta_15[[Annee Construction]:[Annee Construction]]=AX$215)*(pat_tech_hta_15[[torsade_km]:[torsade_km]]))</f>
        <v>0</v>
      </c>
      <c r="AY222" s="571" cm="1">
        <f t="array" ref="AY222">SUMPRODUCT((pat_tech_hta_15[[Client]:[Client]]=syndicat_etude)*(pat_tech_hta_15[[Annee]:[Annee]]=annee_CRAC)*(pat_tech_hta_15[[Annee Construction]:[Annee Construction]]=AY$215)*(pat_tech_hta_15[[torsade_km]:[torsade_km]]))</f>
        <v>0</v>
      </c>
      <c r="AZ222" s="571" cm="1">
        <f t="array" ref="AZ222">SUMPRODUCT((pat_tech_hta_15[[Client]:[Client]]=syndicat_etude)*(pat_tech_hta_15[[Annee]:[Annee]]=annee_CRAC)*(pat_tech_hta_15[[Annee Construction]:[Annee Construction]]=AZ$215)*(pat_tech_hta_15[[torsade_km]:[torsade_km]]))</f>
        <v>0</v>
      </c>
      <c r="BA222" s="571" cm="1">
        <f t="array" ref="BA222">SUMPRODUCT((pat_tech_hta_15[[Client]:[Client]]=syndicat_etude)*(pat_tech_hta_15[[Annee]:[Annee]]=annee_CRAC)*(pat_tech_hta_15[[Annee Construction]:[Annee Construction]]=BA$215)*(pat_tech_hta_15[[torsade_km]:[torsade_km]]))</f>
        <v>0</v>
      </c>
      <c r="BB222" s="571" cm="1">
        <f t="array" ref="BB222">SUMPRODUCT((pat_tech_hta_15[[Client]:[Client]]=syndicat_etude)*(pat_tech_hta_15[[Annee]:[Annee]]=annee_CRAC)*(pat_tech_hta_15[[Annee Construction]:[Annee Construction]]=BB$215)*(pat_tech_hta_15[[torsade_km]:[torsade_km]]))</f>
        <v>0</v>
      </c>
      <c r="BC222" s="571" cm="1">
        <f t="array" ref="BC222">SUMPRODUCT((pat_tech_hta_15[[Client]:[Client]]=syndicat_etude)*(pat_tech_hta_15[[Annee]:[Annee]]=annee_CRAC)*(pat_tech_hta_15[[Annee Construction]:[Annee Construction]]=BC$215)*(pat_tech_hta_15[[torsade_km]:[torsade_km]]))</f>
        <v>0</v>
      </c>
      <c r="BD222" s="571" cm="1">
        <f t="array" ref="BD222">SUMPRODUCT((pat_tech_hta_15[[Client]:[Client]]=syndicat_etude)*(pat_tech_hta_15[[Annee]:[Annee]]=annee_CRAC)*(pat_tech_hta_15[[Annee Construction]:[Annee Construction]]=BD$215)*(pat_tech_hta_15[[torsade_km]:[torsade_km]]))</f>
        <v>0.46</v>
      </c>
      <c r="BE222" s="571" cm="1">
        <f t="array" ref="BE222">SUMPRODUCT((pat_tech_hta_15[[Client]:[Client]]=syndicat_etude)*(pat_tech_hta_15[[Annee]:[Annee]]=annee_CRAC)*(pat_tech_hta_15[[Annee Construction]:[Annee Construction]]=BE$215)*(pat_tech_hta_15[[torsade_km]:[torsade_km]]))</f>
        <v>0.32</v>
      </c>
      <c r="BF222" s="571" cm="1">
        <f t="array" ref="BF222">SUMPRODUCT((pat_tech_hta_15[[Client]:[Client]]=syndicat_etude)*(pat_tech_hta_15[[Annee]:[Annee]]=annee_CRAC)*(pat_tech_hta_15[[Annee Construction]:[Annee Construction]]=BF$215)*(pat_tech_hta_15[[torsade_km]:[torsade_km]]))</f>
        <v>0</v>
      </c>
      <c r="BG222" s="571" cm="1">
        <f t="array" ref="BG222">SUMPRODUCT((pat_tech_hta_15[[Client]:[Client]]=syndicat_etude)*(pat_tech_hta_15[[Annee]:[Annee]]=annee_CRAC)*(pat_tech_hta_15[[Annee Construction]:[Annee Construction]]=BG$215)*(pat_tech_hta_15[[torsade_km]:[torsade_km]]))</f>
        <v>0</v>
      </c>
      <c r="BH222" s="571" cm="1">
        <f t="array" ref="BH222">SUMPRODUCT((pat_tech_hta_15[[Client]:[Client]]=syndicat_etude)*(pat_tech_hta_15[[Annee]:[Annee]]=annee_CRAC)*(pat_tech_hta_15[[Annee Construction]:[Annee Construction]]=BH$215)*(pat_tech_hta_15[[torsade_km]:[torsade_km]]))</f>
        <v>0</v>
      </c>
      <c r="BI222" s="571" cm="1">
        <f t="array" ref="BI222">SUMPRODUCT((pat_tech_hta_15[[Client]:[Client]]=syndicat_etude)*(pat_tech_hta_15[[Annee]:[Annee]]=annee_CRAC)*(pat_tech_hta_15[[Annee Construction]:[Annee Construction]]=BI$215)*(pat_tech_hta_15[[torsade_km]:[torsade_km]]))</f>
        <v>0</v>
      </c>
      <c r="BJ222" s="571" cm="1">
        <f t="array" ref="BJ222">SUMPRODUCT((pat_tech_hta_15[[Client]:[Client]]=syndicat_etude)*(pat_tech_hta_15[[Annee]:[Annee]]=annee_CRAC)*(pat_tech_hta_15[[Annee Construction]:[Annee Construction]]=BJ$215)*(pat_tech_hta_15[[torsade_km]:[torsade_km]]))</f>
        <v>0</v>
      </c>
      <c r="BK222" s="571" cm="1">
        <f t="array" ref="BK222">SUMPRODUCT((pat_tech_hta_15[[Client]:[Client]]=syndicat_etude)*(pat_tech_hta_15[[Annee]:[Annee]]=annee_CRAC)*(pat_tech_hta_15[[Annee Construction]:[Annee Construction]]=BK$215)*(pat_tech_hta_15[[torsade_km]:[torsade_km]]))</f>
        <v>0</v>
      </c>
      <c r="BL222" s="571" cm="1">
        <f t="array" ref="BL222">SUMPRODUCT((pat_tech_hta_15[[Client]:[Client]]=syndicat_etude)*(pat_tech_hta_15[[Annee]:[Annee]]=annee_CRAC)*(pat_tech_hta_15[[Annee Construction]:[Annee Construction]]=BL$215)*(pat_tech_hta_15[[torsade_km]:[torsade_km]]))</f>
        <v>0</v>
      </c>
      <c r="BM222" s="571" cm="1">
        <f t="array" ref="BM222">SUMPRODUCT((pat_tech_hta_15[[Client]:[Client]]=syndicat_etude)*(pat_tech_hta_15[[Annee]:[Annee]]=annee_CRAC)*(pat_tech_hta_15[[Annee Construction]:[Annee Construction]]=BM$215)*(pat_tech_hta_15[[torsade_km]:[torsade_km]]))</f>
        <v>0</v>
      </c>
      <c r="BN222" s="571" cm="1">
        <f t="array" ref="BN222">SUMPRODUCT((pat_tech_hta_15[[Client]:[Client]]=syndicat_etude)*(pat_tech_hta_15[[Annee]:[Annee]]=annee_CRAC)*(pat_tech_hta_15[[Annee Construction]:[Annee Construction]]=BN$215)*(pat_tech_hta_15[[torsade_km]:[torsade_km]]))</f>
        <v>0</v>
      </c>
      <c r="BO222" s="571" cm="1">
        <f t="array" ref="BO222">SUMPRODUCT((pat_tech_hta_15[[Client]:[Client]]=syndicat_etude)*(pat_tech_hta_15[[Annee]:[Annee]]=annee_CRAC)*(pat_tech_hta_15[[Annee Construction]:[Annee Construction]]=BO$215)*(pat_tech_hta_15[[torsade_km]:[torsade_km]]))</f>
        <v>0</v>
      </c>
      <c r="BP222" s="571" cm="1">
        <f t="array" ref="BP222">SUMPRODUCT((pat_tech_hta_15[[Client]:[Client]]=syndicat_etude)*(pat_tech_hta_15[[Annee]:[Annee]]=annee_CRAC)*(pat_tech_hta_15[[Annee Construction]:[Annee Construction]]=BP$215)*(pat_tech_hta_15[[torsade_km]:[torsade_km]]))</f>
        <v>0</v>
      </c>
      <c r="BQ222" s="571" cm="1">
        <f t="array" ref="BQ222">SUMPRODUCT((pat_tech_hta_15[[Client]:[Client]]=syndicat_etude)*(pat_tech_hta_15[[Annee]:[Annee]]=annee_CRAC)*(pat_tech_hta_15[[Annee Construction]:[Annee Construction]]=BQ$215)*(pat_tech_hta_15[[torsade_km]:[torsade_km]]))</f>
        <v>0</v>
      </c>
      <c r="BR222" s="571" cm="1">
        <f t="array" ref="BR222">SUMPRODUCT((pat_tech_hta_15[[Client]:[Client]]=syndicat_etude)*(pat_tech_hta_15[[Annee]:[Annee]]=annee_CRAC)*(pat_tech_hta_15[[Annee Construction]:[Annee Construction]]=BR$215)*(pat_tech_hta_15[[torsade_km]:[torsade_km]]))</f>
        <v>0</v>
      </c>
      <c r="BS222" s="571" cm="1">
        <f t="array" ref="BS222">SUMPRODUCT((pat_tech_hta_15[[Client]:[Client]]=syndicat_etude)*(pat_tech_hta_15[[Annee]:[Annee]]=annee_CRAC)*(pat_tech_hta_15[[Annee Construction]:[Annee Construction]]=BS$215)*(pat_tech_hta_15[[torsade_km]:[torsade_km]]))</f>
        <v>0</v>
      </c>
      <c r="BT222" s="571" cm="1">
        <f t="array" ref="BT222">SUMPRODUCT((pat_tech_hta_15[[Client]:[Client]]=syndicat_etude)*(pat_tech_hta_15[[Annee]:[Annee]]=annee_CRAC)*(pat_tech_hta_15[[Annee Construction]:[Annee Construction]]=BT$215)*(pat_tech_hta_15[[torsade_km]:[torsade_km]]))</f>
        <v>0</v>
      </c>
      <c r="BU222" s="571" cm="1">
        <f t="array" ref="BU222">SUMPRODUCT((pat_tech_hta_15[[Client]:[Client]]=syndicat_etude)*(pat_tech_hta_15[[Annee]:[Annee]]=annee_CRAC)*(pat_tech_hta_15[[Annee Construction]:[Annee Construction]]=BU$215)*(pat_tech_hta_15[[torsade_km]:[torsade_km]]))</f>
        <v>0</v>
      </c>
      <c r="BV222" s="571" cm="1">
        <f t="array" ref="BV222">SUMPRODUCT((pat_tech_hta_15[[Client]:[Client]]=syndicat_etude)*(pat_tech_hta_15[[Annee]:[Annee]]=annee_CRAC)*(pat_tech_hta_15[[Annee Construction]:[Annee Construction]]=BV$215)*(pat_tech_hta_15[[torsade_km]:[torsade_km]]))</f>
        <v>0</v>
      </c>
      <c r="BW222" s="571" cm="1">
        <f t="array" ref="BW222">SUMPRODUCT((pat_tech_hta_15[[Client]:[Client]]=syndicat_etude)*(pat_tech_hta_15[[Annee]:[Annee]]=annee_CRAC)*(pat_tech_hta_15[[Annee Construction]:[Annee Construction]]=BW$215)*(pat_tech_hta_15[[torsade_km]:[torsade_km]]))</f>
        <v>0</v>
      </c>
      <c r="BX222" s="571" cm="1">
        <f t="array" ref="BX222">SUMPRODUCT((pat_tech_hta_15[[Client]:[Client]]=syndicat_etude)*(pat_tech_hta_15[[Annee]:[Annee]]=annee_CRAC)*(pat_tech_hta_15[[Annee Construction]:[Annee Construction]]=BX$215)*(pat_tech_hta_15[[torsade_km]:[torsade_km]]))</f>
        <v>0</v>
      </c>
      <c r="BY222" s="571" cm="1">
        <f t="array" ref="BY222">SUMPRODUCT((pat_tech_hta_15[[Client]:[Client]]=syndicat_etude)*(pat_tech_hta_15[[Annee]:[Annee]]=annee_CRAC)*(pat_tech_hta_15[[Annee Construction]:[Annee Construction]]=BY$215)*(pat_tech_hta_15[[torsade_km]:[torsade_km]]))</f>
        <v>0</v>
      </c>
      <c r="BZ222" s="571" cm="1">
        <f t="array" ref="BZ222">SUMPRODUCT((pat_tech_hta_15[[Client]:[Client]]=syndicat_etude)*(pat_tech_hta_15[[Annee]:[Annee]]=annee_CRAC)*(pat_tech_hta_15[[Annee Construction]:[Annee Construction]]=BZ$215)*(pat_tech_hta_15[[torsade_km]:[torsade_km]]))</f>
        <v>0</v>
      </c>
      <c r="CA222" s="571" cm="1">
        <f t="array" ref="CA222">SUMPRODUCT((pat_tech_hta_15[[Client]:[Client]]=syndicat_etude)*(pat_tech_hta_15[[Annee]:[Annee]]=annee_CRAC)*(pat_tech_hta_15[[Annee Construction]:[Annee Construction]]=CA$215)*(pat_tech_hta_15[[torsade_km]:[torsade_km]]))</f>
        <v>0</v>
      </c>
      <c r="CB222" s="571" cm="1">
        <f t="array" ref="CB222">SUMPRODUCT((pat_tech_hta_15[[Client]:[Client]]=syndicat_etude)*(pat_tech_hta_15[[Annee]:[Annee]]=annee_CRAC)*(pat_tech_hta_15[[Annee Construction]:[Annee Construction]]=CB$215)*(pat_tech_hta_15[[torsade_km]:[torsade_km]]))</f>
        <v>0</v>
      </c>
      <c r="CC222" s="571" cm="1">
        <f t="array" ref="CC222">SUMPRODUCT((pat_tech_hta_15[[Client]:[Client]]=syndicat_etude)*(pat_tech_hta_15[[Annee]:[Annee]]=annee_CRAC)*(pat_tech_hta_15[[Annee Construction]:[Annee Construction]]=CC$215)*(pat_tech_hta_15[[torsade_km]:[torsade_km]]))</f>
        <v>0</v>
      </c>
      <c r="CD222" s="571" cm="1">
        <f t="array" ref="CD222">SUMPRODUCT((pat_tech_hta_15[[Client]:[Client]]=syndicat_etude)*(pat_tech_hta_15[[Annee]:[Annee]]=annee_CRAC)*(pat_tech_hta_15[[Annee Construction]:[Annee Construction]]=CD$215)*(pat_tech_hta_15[[torsade_km]:[torsade_km]]))</f>
        <v>0</v>
      </c>
      <c r="CE222" s="571" cm="1">
        <f t="array" ref="CE222">SUMPRODUCT((pat_tech_hta_15[[Client]:[Client]]=syndicat_etude)*(pat_tech_hta_15[[Annee]:[Annee]]=annee_CRAC)*(pat_tech_hta_15[[Annee Construction]:[Annee Construction]]=CE$215)*(pat_tech_hta_15[[torsade_km]:[torsade_km]]))</f>
        <v>0</v>
      </c>
      <c r="CF222" s="572" cm="1">
        <f t="array" ref="CF222">SUMPRODUCT((pat_tech_hta_15[[Client]:[Client]]=syndicat_etude)*(pat_tech_hta_15[[Annee]:[Annee]]=annee_CRAC)*(pat_tech_hta_15[[Annee Construction]:[Annee Construction]]=CF$215)*(pat_tech_hta_15[[torsade_km]:[torsade_km]]))</f>
        <v>0</v>
      </c>
    </row>
    <row r="223" spans="1:84" ht="15" customHeight="1" x14ac:dyDescent="0.25">
      <c r="B223" s="23"/>
      <c r="C223" s="7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</row>
    <row r="224" spans="1:84" ht="15" customHeight="1" x14ac:dyDescent="0.25">
      <c r="B224" s="23"/>
      <c r="C224" s="7"/>
      <c r="D224" s="7"/>
      <c r="E224" s="7"/>
      <c r="F224" s="7"/>
      <c r="G224" s="7"/>
      <c r="H224" s="7"/>
    </row>
    <row r="225" spans="1:8" ht="30" customHeight="1" x14ac:dyDescent="0.25">
      <c r="A225" s="97" t="s">
        <v>249</v>
      </c>
    </row>
    <row r="226" spans="1:8" ht="15" customHeight="1" x14ac:dyDescent="0.25">
      <c r="A226" s="97"/>
    </row>
    <row r="227" spans="1:8" ht="15" customHeight="1" x14ac:dyDescent="0.25">
      <c r="A227" s="479" t="s">
        <v>250</v>
      </c>
      <c r="D227" s="479" t="s">
        <v>251</v>
      </c>
    </row>
    <row r="228" spans="1:8" ht="15" customHeight="1" x14ac:dyDescent="0.25">
      <c r="A228" s="97"/>
    </row>
    <row r="229" spans="1:8" ht="15" customHeight="1" x14ac:dyDescent="0.25">
      <c r="A229" s="97"/>
    </row>
    <row r="230" spans="1:8" ht="15" customHeight="1" x14ac:dyDescent="0.25">
      <c r="A230" s="97"/>
    </row>
    <row r="231" spans="1:8" ht="15" customHeight="1" x14ac:dyDescent="0.25">
      <c r="A231" s="97"/>
    </row>
    <row r="232" spans="1:8" ht="15" customHeight="1" x14ac:dyDescent="0.25">
      <c r="A232" s="97"/>
    </row>
    <row r="233" spans="1:8" ht="15" customHeight="1" x14ac:dyDescent="0.25">
      <c r="A233" s="97"/>
    </row>
    <row r="234" spans="1:8" ht="15" customHeight="1" x14ac:dyDescent="0.25">
      <c r="A234" s="97"/>
    </row>
    <row r="235" spans="1:8" ht="15" customHeight="1" x14ac:dyDescent="0.25">
      <c r="A235" s="97"/>
    </row>
    <row r="236" spans="1:8" ht="15" customHeight="1" x14ac:dyDescent="0.25">
      <c r="A236" s="97"/>
    </row>
    <row r="237" spans="1:8" ht="15" customHeight="1" x14ac:dyDescent="0.25">
      <c r="A237" s="97"/>
    </row>
    <row r="238" spans="1:8" ht="15" customHeight="1" x14ac:dyDescent="0.25">
      <c r="A238" s="97"/>
    </row>
    <row r="239" spans="1:8" ht="15" customHeight="1" x14ac:dyDescent="0.25">
      <c r="A239" s="97"/>
    </row>
    <row r="240" spans="1:8" ht="30" customHeight="1" x14ac:dyDescent="0.25">
      <c r="A240" s="102" t="s">
        <v>252</v>
      </c>
      <c r="B240" s="66" t="s">
        <v>253</v>
      </c>
      <c r="C240" s="67" cm="1">
        <f t="array" ref="C240">Exercice[Exercice N-4]</f>
        <v>2019</v>
      </c>
      <c r="D240" s="67" cm="1">
        <f t="array" ref="D240">Exercice[Exercice N-3]</f>
        <v>2020</v>
      </c>
      <c r="E240" s="67" cm="1">
        <f t="array" ref="E240">Exercice[Exercice N-2]</f>
        <v>2021</v>
      </c>
      <c r="F240" s="67" cm="1">
        <f t="array" ref="F240">Exercice[Exercice N-1]</f>
        <v>2022</v>
      </c>
      <c r="G240" s="67" cm="1">
        <f t="array" ref="G240">Exercice[Exercice N]</f>
        <v>2023</v>
      </c>
      <c r="H240" s="68" t="str" cm="1">
        <f t="array" ref="H240">"% "&amp;Exercice[Exercice N]</f>
        <v>% 2023</v>
      </c>
    </row>
    <row r="241" spans="1:9" ht="15" customHeight="1" x14ac:dyDescent="0.25">
      <c r="B241" s="255" t="s">
        <v>254</v>
      </c>
      <c r="C241" s="256" cm="1">
        <f t="array" ref="C241">SUMPRODUCT((pat_tech_poste_01[[client]:[client]]=syndicat_etude)*(pat_tech_poste_01[[annee]:[annee]]=C$240)*(pat_tech_poste_01[[total]:[total]]))</f>
        <v>4016</v>
      </c>
      <c r="D241" s="256" cm="1">
        <f t="array" ref="D241">SUMPRODUCT((pat_tech_poste_01[[client]:[client]]=syndicat_etude)*(pat_tech_poste_01[[annee]:[annee]]=D$240)*(pat_tech_poste_01[[total]:[total]]))</f>
        <v>4032</v>
      </c>
      <c r="E241" s="256" cm="1">
        <f t="array" ref="E241">SUMPRODUCT((pat_tech_poste_01[[client]:[client]]=syndicat_etude)*(pat_tech_poste_01[[annee]:[annee]]=E$240)*(pat_tech_poste_01[[total]:[total]]))</f>
        <v>4059</v>
      </c>
      <c r="F241" s="256" cm="1">
        <f t="array" ref="F241">SUMPRODUCT((pat_tech_poste_01[[client]:[client]]=syndicat_etude)*(pat_tech_poste_01[[annee]:[annee]]=F$240)*(pat_tech_poste_01[[total]:[total]]))</f>
        <v>4089</v>
      </c>
      <c r="G241" s="256" cm="1">
        <f t="array" ref="G241">SUMPRODUCT((pat_tech_poste_01[[client]:[client]]=syndicat_etude)*(pat_tech_poste_01[[annee]:[annee]]=G$240)*(pat_tech_poste_01[[total]:[total]]))</f>
        <v>4137</v>
      </c>
      <c r="H241" s="120"/>
    </row>
    <row r="242" spans="1:9" ht="15" customHeight="1" x14ac:dyDescent="0.25">
      <c r="B242" s="287" t="s">
        <v>255</v>
      </c>
      <c r="C242" s="11" cm="1">
        <f t="array" ref="C242">SUMPRODUCT((pat_tech_poste_01[[client]:[client]]=syndicat_etude)*(pat_tech_poste_01[[annee]:[annee]]=C$240)*(pat_tech_poste_01[[nbr_poste_poteau]:[nbr_poste_poteau]]))</f>
        <v>1345</v>
      </c>
      <c r="D242" s="11" cm="1">
        <f t="array" ref="D242">SUMPRODUCT((pat_tech_poste_01[[client]:[client]]=syndicat_etude)*(pat_tech_poste_01[[annee]:[annee]]=D$240)*(pat_tech_poste_01[[nbr_poste_poteau]:[nbr_poste_poteau]]))</f>
        <v>1339</v>
      </c>
      <c r="E242" s="11" cm="1">
        <f t="array" ref="E242">SUMPRODUCT((pat_tech_poste_01[[client]:[client]]=syndicat_etude)*(pat_tech_poste_01[[annee]:[annee]]=E$240)*(pat_tech_poste_01[[nbr_poste_poteau]:[nbr_poste_poteau]]))</f>
        <v>1340</v>
      </c>
      <c r="F242" s="11" cm="1">
        <f t="array" ref="F242">SUMPRODUCT((pat_tech_poste_01[[client]:[client]]=syndicat_etude)*(pat_tech_poste_01[[annee]:[annee]]=F$240)*(pat_tech_poste_01[[nbr_poste_poteau]:[nbr_poste_poteau]]))</f>
        <v>1327</v>
      </c>
      <c r="G242" s="11" cm="1">
        <f t="array" ref="G242">SUMPRODUCT((pat_tech_poste_01[[client]:[client]]=syndicat_etude)*(pat_tech_poste_01[[annee]:[annee]]=G$240)*(pat_tech_poste_01[[nbr_poste_poteau]:[nbr_poste_poteau]]))</f>
        <v>1314</v>
      </c>
      <c r="H242" s="120">
        <f>IFERROR(G242/$G$241,"")</f>
        <v>0.31762146482958664</v>
      </c>
    </row>
    <row r="243" spans="1:9" ht="15" customHeight="1" x14ac:dyDescent="0.25">
      <c r="B243" s="287" t="s">
        <v>256</v>
      </c>
      <c r="C243" s="11" cm="1">
        <f t="array" ref="C243">SUMPRODUCT((pat_tech_poste_01[[client]:[client]]=syndicat_etude)*(pat_tech_poste_01[[annee]:[annee]]=C$240)*(pat_tech_poste_01[[nbr_poste_maconne]:[nbr_poste_maconne]]))</f>
        <v>455</v>
      </c>
      <c r="D243" s="11" cm="1">
        <f t="array" ref="D243">SUMPRODUCT((pat_tech_poste_01[[client]:[client]]=syndicat_etude)*(pat_tech_poste_01[[annee]:[annee]]=D$240)*(pat_tech_poste_01[[nbr_poste_maconne]:[nbr_poste_maconne]]))</f>
        <v>455</v>
      </c>
      <c r="E243" s="11" cm="1">
        <f t="array" ref="E243">SUMPRODUCT((pat_tech_poste_01[[client]:[client]]=syndicat_etude)*(pat_tech_poste_01[[annee]:[annee]]=E$240)*(pat_tech_poste_01[[nbr_poste_maconne]:[nbr_poste_maconne]]))</f>
        <v>456</v>
      </c>
      <c r="F243" s="11" cm="1">
        <f t="array" ref="F243">SUMPRODUCT((pat_tech_poste_01[[client]:[client]]=syndicat_etude)*(pat_tech_poste_01[[annee]:[annee]]=F$240)*(pat_tech_poste_01[[nbr_poste_maconne]:[nbr_poste_maconne]]))</f>
        <v>455</v>
      </c>
      <c r="G243" s="11" cm="1">
        <f t="array" ref="G243">SUMPRODUCT((pat_tech_poste_01[[client]:[client]]=syndicat_etude)*(pat_tech_poste_01[[annee]:[annee]]=G$240)*(pat_tech_poste_01[[nbr_poste_maconne]:[nbr_poste_maconne]]))</f>
        <v>456</v>
      </c>
      <c r="H243" s="120">
        <f>IFERROR(G243/$G$241,"")</f>
        <v>0.11022480058013052</v>
      </c>
    </row>
    <row r="244" spans="1:9" ht="15" customHeight="1" x14ac:dyDescent="0.25">
      <c r="B244" s="287" t="s">
        <v>257</v>
      </c>
      <c r="C244" s="11" cm="1">
        <f t="array" ref="C244">SUMPRODUCT((pat_tech_poste_01[[client]:[client]]=syndicat_etude)*(pat_tech_poste_01[[annee]:[annee]]=C$240)*(pat_tech_poste_01[[nbr_poste_prefabrique]:[nbr_poste_prefabrique]]))</f>
        <v>1681</v>
      </c>
      <c r="D244" s="11" cm="1">
        <f t="array" ref="D244">SUMPRODUCT((pat_tech_poste_01[[client]:[client]]=syndicat_etude)*(pat_tech_poste_01[[annee]:[annee]]=D$240)*(pat_tech_poste_01[[nbr_poste_prefabrique]:[nbr_poste_prefabrique]]))</f>
        <v>1706</v>
      </c>
      <c r="E244" s="11" cm="1">
        <f t="array" ref="E244">SUMPRODUCT((pat_tech_poste_01[[client]:[client]]=syndicat_etude)*(pat_tech_poste_01[[annee]:[annee]]=E$240)*(pat_tech_poste_01[[nbr_poste_prefabrique]:[nbr_poste_prefabrique]]))</f>
        <v>1732</v>
      </c>
      <c r="F244" s="11" cm="1">
        <f t="array" ref="F244">SUMPRODUCT((pat_tech_poste_01[[client]:[client]]=syndicat_etude)*(pat_tech_poste_01[[annee]:[annee]]=F$240)*(pat_tech_poste_01[[nbr_poste_prefabrique]:[nbr_poste_prefabrique]]))</f>
        <v>1778</v>
      </c>
      <c r="G244" s="11" cm="1">
        <f t="array" ref="G244">SUMPRODUCT((pat_tech_poste_01[[client]:[client]]=syndicat_etude)*(pat_tech_poste_01[[annee]:[annee]]=G$240)*(pat_tech_poste_01[[nbr_poste_prefabrique]:[nbr_poste_prefabrique]]))</f>
        <v>1838</v>
      </c>
      <c r="H244" s="120">
        <f>IFERROR(G244/$G$241,"")</f>
        <v>0.44428329707517522</v>
      </c>
    </row>
    <row r="245" spans="1:9" ht="15" customHeight="1" x14ac:dyDescent="0.25">
      <c r="B245" s="340" t="s">
        <v>258</v>
      </c>
      <c r="C245" s="94" cm="1">
        <f t="array" ref="C245">SUMPRODUCT((pat_tech_poste_01[[client]:[client]]=syndicat_etude)*(pat_tech_poste_01[[annee]:[annee]]=C$240)*(pat_tech_poste_01[[nbr_poste_autre]:[nbr_poste_autre]]))</f>
        <v>0</v>
      </c>
      <c r="D245" s="94" cm="1">
        <f t="array" ref="D245">SUMPRODUCT((pat_tech_poste_01[[client]:[client]]=syndicat_etude)*(pat_tech_poste_01[[annee]:[annee]]=D$240)*(pat_tech_poste_01[[nbr_poste_autre]:[nbr_poste_autre]]))</f>
        <v>0</v>
      </c>
      <c r="E245" s="94" cm="1">
        <f t="array" ref="E245">SUMPRODUCT((pat_tech_poste_01[[client]:[client]]=syndicat_etude)*(pat_tech_poste_01[[annee]:[annee]]=E$240)*(pat_tech_poste_01[[nbr_poste_autre]:[nbr_poste_autre]]))</f>
        <v>0</v>
      </c>
      <c r="F245" s="94" cm="1">
        <f t="array" ref="F245">SUMPRODUCT((pat_tech_poste_01[[client]:[client]]=syndicat_etude)*(pat_tech_poste_01[[annee]:[annee]]=F$240)*(pat_tech_poste_01[[nbr_poste_autre]:[nbr_poste_autre]]))</f>
        <v>0</v>
      </c>
      <c r="G245" s="94" cm="1">
        <f t="array" ref="G245">SUMPRODUCT((pat_tech_poste_01[[client]:[client]]=syndicat_etude)*(pat_tech_poste_01[[annee]:[annee]]=G$240)*(pat_tech_poste_01[[nbr_poste_autre]:[nbr_poste_autre]]))</f>
        <v>0</v>
      </c>
      <c r="H245" s="133">
        <f>IFERROR(G245/$G$241,"")</f>
        <v>0</v>
      </c>
    </row>
    <row r="247" spans="1:9" ht="30" customHeight="1" x14ac:dyDescent="0.2">
      <c r="A247" s="26" t="s">
        <v>252</v>
      </c>
      <c r="B247" s="66" t="s">
        <v>259</v>
      </c>
      <c r="C247" s="67" cm="1">
        <f t="array" ref="C247">Exercice[Exercice N-4]</f>
        <v>2019</v>
      </c>
      <c r="D247" s="67" cm="1">
        <f t="array" ref="D247">Exercice[Exercice N-3]</f>
        <v>2020</v>
      </c>
      <c r="E247" s="67" cm="1">
        <f t="array" ref="E247">Exercice[Exercice N-2]</f>
        <v>2021</v>
      </c>
      <c r="F247" s="67" cm="1">
        <f t="array" ref="F247">Exercice[Exercice N-1]</f>
        <v>2022</v>
      </c>
      <c r="G247" s="67" cm="1">
        <f t="array" ref="G247">Exercice[Exercice N]</f>
        <v>2023</v>
      </c>
      <c r="H247" s="68" t="str" cm="1">
        <f t="array" ref="H247">"% "&amp;Exercice[Exercice N]</f>
        <v>% 2023</v>
      </c>
    </row>
    <row r="248" spans="1:9" ht="15" customHeight="1" x14ac:dyDescent="0.25">
      <c r="B248" s="255" t="s">
        <v>254</v>
      </c>
      <c r="C248" s="256" cm="1">
        <f t="array" ref="C248">SUMPRODUCT((pat_tech_poste_01[[client]:[client]]=syndicat_etude)*(pat_tech_poste_01[[annee]:[annee]]=C$240)*(pat_tech_poste_01[[total]:[total]]))</f>
        <v>4016</v>
      </c>
      <c r="D248" s="256" cm="1">
        <f t="array" ref="D248">SUMPRODUCT((pat_tech_poste_01[[client]:[client]]=syndicat_etude)*(pat_tech_poste_01[[annee]:[annee]]=D$240)*(pat_tech_poste_01[[total]:[total]]))</f>
        <v>4032</v>
      </c>
      <c r="E248" s="256" cm="1">
        <f t="array" ref="E248">SUMPRODUCT((pat_tech_poste_01[[client]:[client]]=syndicat_etude)*(pat_tech_poste_01[[annee]:[annee]]=E$240)*(pat_tech_poste_01[[total]:[total]]))</f>
        <v>4059</v>
      </c>
      <c r="F248" s="256" cm="1">
        <f t="array" ref="F248">SUMPRODUCT((pat_tech_poste_01[[client]:[client]]=syndicat_etude)*(pat_tech_poste_01[[annee]:[annee]]=F$240)*(pat_tech_poste_01[[total]:[total]]))</f>
        <v>4089</v>
      </c>
      <c r="G248" s="256" cm="1">
        <f t="array" ref="G248">SUMPRODUCT((pat_tech_poste_01[[client]:[client]]=syndicat_etude)*(pat_tech_poste_01[[annee]:[annee]]=G$240)*(pat_tech_poste_01[[total]:[total]]))</f>
        <v>4137</v>
      </c>
      <c r="H248" s="257"/>
    </row>
    <row r="249" spans="1:9" ht="15" customHeight="1" x14ac:dyDescent="0.25">
      <c r="B249" s="287" t="s">
        <v>261</v>
      </c>
      <c r="C249" s="640" cm="1">
        <f t="array" ref="C249">SUMPRODUCT((pat_tech_poste_01[[client]:[client]]=syndicat_etude)*(pat_tech_poste_01[[annee]:[annee]]=C$240)*(pat_tech_poste_01[[distr_publique]:[distr_publique]]))</f>
        <v>4008</v>
      </c>
      <c r="D249" s="640" cm="1">
        <f t="array" ref="D249">SUMPRODUCT((pat_tech_poste_01[[client]:[client]]=syndicat_etude)*(pat_tech_poste_01[[annee]:[annee]]=D$240)*(pat_tech_poste_01[[distr_publique]:[distr_publique]]))</f>
        <v>4031</v>
      </c>
      <c r="E249" s="640" cm="1">
        <f t="array" ref="E249">SUMPRODUCT((pat_tech_poste_01[[client]:[client]]=syndicat_etude)*(pat_tech_poste_01[[annee]:[annee]]=E$240)*(pat_tech_poste_01[[distr_publique]:[distr_publique]]))</f>
        <v>4058</v>
      </c>
      <c r="F249" s="640" cm="1">
        <f t="array" ref="F249">SUMPRODUCT((pat_tech_poste_01[[client]:[client]]=syndicat_etude)*(pat_tech_poste_01[[annee]:[annee]]=F$240)*(pat_tech_poste_01[[distr_publique]:[distr_publique]]))</f>
        <v>4088</v>
      </c>
      <c r="G249" s="640" cm="1">
        <f t="array" ref="G249">SUMPRODUCT((pat_tech_poste_01[[client]:[client]]=syndicat_etude)*(pat_tech_poste_01[[annee]:[annee]]=G$240)*(pat_tech_poste_01[[distr_publique]:[distr_publique]]))</f>
        <v>4136</v>
      </c>
      <c r="H249" s="120">
        <f>IFERROR(G249/$G$248,"")</f>
        <v>0.99975827894609626</v>
      </c>
      <c r="I249" s="65" t="s">
        <v>262</v>
      </c>
    </row>
    <row r="250" spans="1:9" ht="15" customHeight="1" x14ac:dyDescent="0.25">
      <c r="B250" s="287" t="s">
        <v>263</v>
      </c>
      <c r="C250" s="640" cm="1">
        <f t="array" ref="C250">SUMPRODUCT((pat_tech_poste_01[[client]:[client]]=syndicat_etude)*(pat_tech_poste_01[[annee]:[annee]]=C$240)*(pat_tech_poste_01[[distr_publique_prod]:[distr_publique_prod]]))</f>
        <v>7</v>
      </c>
      <c r="D250" s="640" cm="1">
        <f t="array" ref="D250">SUMPRODUCT((pat_tech_poste_01[[client]:[client]]=syndicat_etude)*(pat_tech_poste_01[[annee]:[annee]]=D$240)*(pat_tech_poste_01[[distr_publique_prod]:[distr_publique_prod]]))</f>
        <v>0</v>
      </c>
      <c r="E250" s="640" cm="1">
        <f t="array" ref="E250">SUMPRODUCT((pat_tech_poste_01[[client]:[client]]=syndicat_etude)*(pat_tech_poste_01[[annee]:[annee]]=E$240)*(pat_tech_poste_01[[distr_publique_prod]:[distr_publique_prod]]))</f>
        <v>0</v>
      </c>
      <c r="F250" s="640" cm="1">
        <f t="array" ref="F250">SUMPRODUCT((pat_tech_poste_01[[client]:[client]]=syndicat_etude)*(pat_tech_poste_01[[annee]:[annee]]=F$240)*(pat_tech_poste_01[[distr_publique_prod]:[distr_publique_prod]]))</f>
        <v>0</v>
      </c>
      <c r="G250" s="640" cm="1">
        <f t="array" ref="G250">SUMPRODUCT((pat_tech_poste_01[[client]:[client]]=syndicat_etude)*(pat_tech_poste_01[[annee]:[annee]]=G$240)*(pat_tech_poste_01[[distr_publique_prod]:[distr_publique_prod]]))</f>
        <v>0</v>
      </c>
      <c r="H250" s="120">
        <f>IFERROR(G250/$G$248,"")</f>
        <v>0</v>
      </c>
      <c r="I250" s="65" t="s">
        <v>264</v>
      </c>
    </row>
    <row r="251" spans="1:9" ht="15" customHeight="1" x14ac:dyDescent="0.25">
      <c r="B251" s="287" t="s">
        <v>265</v>
      </c>
      <c r="C251" s="640" cm="1">
        <f t="array" ref="C251">SUMPRODUCT((pat_tech_poste_01[[client]:[client]]=syndicat_etude)*(pat_tech_poste_01[[annee]:[annee]]=C$240)*(pat_tech_poste_01[[mixte]:[mixte]]))</f>
        <v>1</v>
      </c>
      <c r="D251" s="640" cm="1">
        <f t="array" ref="D251">SUMPRODUCT((pat_tech_poste_01[[client]:[client]]=syndicat_etude)*(pat_tech_poste_01[[annee]:[annee]]=D$240)*(pat_tech_poste_01[[mixte]:[mixte]]))</f>
        <v>1</v>
      </c>
      <c r="E251" s="640" cm="1">
        <f t="array" ref="E251">SUMPRODUCT((pat_tech_poste_01[[client]:[client]]=syndicat_etude)*(pat_tech_poste_01[[annee]:[annee]]=E$240)*(pat_tech_poste_01[[mixte]:[mixte]]))</f>
        <v>1</v>
      </c>
      <c r="F251" s="640" cm="1">
        <f t="array" ref="F251">SUMPRODUCT((pat_tech_poste_01[[client]:[client]]=syndicat_etude)*(pat_tech_poste_01[[annee]:[annee]]=F$240)*(pat_tech_poste_01[[mixte]:[mixte]]))</f>
        <v>1</v>
      </c>
      <c r="G251" s="640" cm="1">
        <f t="array" ref="G251">SUMPRODUCT((pat_tech_poste_01[[client]:[client]]=syndicat_etude)*(pat_tech_poste_01[[annee]:[annee]]=G$240)*(pat_tech_poste_01[[mixte]:[mixte]]))</f>
        <v>1</v>
      </c>
      <c r="H251" s="120">
        <f>IFERROR(G251/$G$248,"")</f>
        <v>2.4172105390379503E-4</v>
      </c>
      <c r="I251" s="65" t="s">
        <v>266</v>
      </c>
    </row>
    <row r="252" spans="1:9" ht="15" customHeight="1" x14ac:dyDescent="0.25">
      <c r="B252" s="287" t="s">
        <v>267</v>
      </c>
      <c r="C252" s="640" cm="1">
        <f t="array" ref="C252">SUMPRODUCT((pat_tech_poste_01[[client]:[client]]=syndicat_etude)*(pat_tech_poste_01[[annee]:[annee]]=C$240)*(pat_tech_poste_01[[mixte_prod]:[mixte_prod]]))</f>
        <v>0</v>
      </c>
      <c r="D252" s="640" cm="1">
        <f t="array" ref="D252">SUMPRODUCT((pat_tech_poste_01[[client]:[client]]=syndicat_etude)*(pat_tech_poste_01[[annee]:[annee]]=D$240)*(pat_tech_poste_01[[mixte_prod]:[mixte_prod]]))</f>
        <v>0</v>
      </c>
      <c r="E252" s="640" cm="1">
        <f t="array" ref="E252">SUMPRODUCT((pat_tech_poste_01[[client]:[client]]=syndicat_etude)*(pat_tech_poste_01[[annee]:[annee]]=E$240)*(pat_tech_poste_01[[mixte_prod]:[mixte_prod]]))</f>
        <v>0</v>
      </c>
      <c r="F252" s="640" cm="1">
        <f t="array" ref="F252">SUMPRODUCT((pat_tech_poste_01[[client]:[client]]=syndicat_etude)*(pat_tech_poste_01[[annee]:[annee]]=F$240)*(pat_tech_poste_01[[mixte_prod]:[mixte_prod]]))</f>
        <v>0</v>
      </c>
      <c r="G252" s="640" cm="1">
        <f t="array" ref="G252">SUMPRODUCT((pat_tech_poste_01[[client]:[client]]=syndicat_etude)*(pat_tech_poste_01[[annee]:[annee]]=G$240)*(pat_tech_poste_01[[mixte_prod]:[mixte_prod]]))</f>
        <v>0</v>
      </c>
      <c r="H252" s="120">
        <f>IFERROR(G252/$G$248,"")</f>
        <v>0</v>
      </c>
      <c r="I252" s="65" t="s">
        <v>268</v>
      </c>
    </row>
    <row r="253" spans="1:9" ht="15" customHeight="1" x14ac:dyDescent="0.25">
      <c r="B253" s="127" t="s">
        <v>269</v>
      </c>
      <c r="C253" s="641" cm="1">
        <f t="array" ref="C253">SUMPRODUCT((pat_tech_poste_01[[client]:[client]]=syndicat_etude)*(pat_tech_poste_01[[annee]:[annee]]=C$240)*(pat_tech_poste_01[[nbr_usagers]:[nbr_usagers]]))</f>
        <v>176242</v>
      </c>
      <c r="D253" s="641" cm="1">
        <f t="array" ref="D253">SUMPRODUCT((pat_tech_poste_01[[client]:[client]]=syndicat_etude)*(pat_tech_poste_01[[annee]:[annee]]=D$240)*(pat_tech_poste_01[[nbr_usagers]:[nbr_usagers]]))</f>
        <v>177288</v>
      </c>
      <c r="E253" s="641" cm="1">
        <f t="array" ref="E253">SUMPRODUCT((pat_tech_poste_01[[client]:[client]]=syndicat_etude)*(pat_tech_poste_01[[annee]:[annee]]=E$240)*(pat_tech_poste_01[[nbr_usagers]:[nbr_usagers]]))</f>
        <v>178881</v>
      </c>
      <c r="F253" s="641" cm="1">
        <f t="array" ref="F253">SUMPRODUCT((pat_tech_poste_01[[client]:[client]]=syndicat_etude)*(pat_tech_poste_01[[annee]:[annee]]=F$240)*(pat_tech_poste_01[[nbr_usagers]:[nbr_usagers]]))</f>
        <v>179880</v>
      </c>
      <c r="G253" s="641" cm="1">
        <f t="array" ref="G253">SUMPRODUCT((pat_tech_poste_01[[client]:[client]]=syndicat_etude)*(pat_tech_poste_01[[annee]:[annee]]=G$240)*(pat_tech_poste_01[[nbr_usagers]:[nbr_usagers]]))</f>
        <v>181232</v>
      </c>
      <c r="H253" s="133"/>
      <c r="I253" s="65" t="s">
        <v>270</v>
      </c>
    </row>
    <row r="255" spans="1:9" ht="30" customHeight="1" x14ac:dyDescent="0.25">
      <c r="A255" s="479" t="s">
        <v>271</v>
      </c>
      <c r="B255" s="66" t="s">
        <v>272</v>
      </c>
      <c r="C255" s="67" cm="1">
        <f t="array" ref="C255">Exercice[Exercice N-4]</f>
        <v>2019</v>
      </c>
      <c r="D255" s="67" cm="1">
        <f t="array" ref="D255">Exercice[Exercice N-3]</f>
        <v>2020</v>
      </c>
      <c r="E255" s="67" cm="1">
        <f t="array" ref="E255">Exercice[Exercice N-2]</f>
        <v>2021</v>
      </c>
      <c r="F255" s="67" cm="1">
        <f t="array" ref="F255">Exercice[Exercice N-1]</f>
        <v>2022</v>
      </c>
      <c r="G255" s="67" cm="1">
        <f t="array" ref="G255">Exercice[Exercice N]</f>
        <v>2023</v>
      </c>
      <c r="H255" s="68" t="s">
        <v>273</v>
      </c>
    </row>
    <row r="256" spans="1:9" ht="15" customHeight="1" x14ac:dyDescent="0.25">
      <c r="A256" s="25" t="s">
        <v>154</v>
      </c>
      <c r="B256" s="111" t="s">
        <v>274</v>
      </c>
      <c r="C256" s="11" cm="1">
        <f t="array" ref="C256">SUMPRODUCT((pat_tech_hta_14[[client]:[client]]=syndicat_etude)*(pat_tech_hta_14[[annee]:[annee]]=Exercice[[Exercice N-4]:[Exercice N-4]])*(pat_tech_hta_14[[Catégorie de tension]:[Catégorie de tension]]="20 KV")*(pat_tech_hta_14[[nbr_poste_hta]:[nbr_poste_hta]]))</f>
        <v>3870</v>
      </c>
      <c r="D256" s="11" cm="1">
        <f t="array" ref="D256">SUMPRODUCT((pat_tech_hta_14[[client]:[client]]=syndicat_etude)*(pat_tech_hta_14[[annee]:[annee]]=Exercice[[Exercice N-3]:[Exercice N-3]])*(pat_tech_hta_14[[Catégorie de tension]:[Catégorie de tension]]="20 KV")*(pat_tech_hta_14[[nbr_poste_hta]:[nbr_poste_hta]]))</f>
        <v>3882</v>
      </c>
      <c r="E256" s="11" cm="1">
        <f t="array" ref="E256">SUMPRODUCT((pat_tech_hta_14[[client]:[client]]=syndicat_etude)*(pat_tech_hta_14[[annee]:[annee]]=Exercice[[Exercice N-2]:[Exercice N-2]])*(pat_tech_hta_14[[Catégorie de tension]:[Catégorie de tension]]="20 KV")*(pat_tech_hta_14[[nbr_poste_hta]:[nbr_poste_hta]]))</f>
        <v>3905</v>
      </c>
      <c r="F256" s="11" cm="1">
        <f t="array" ref="F256">SUMPRODUCT((pat_tech_hta_14[[client]:[client]]=syndicat_etude)*(pat_tech_hta_14[[annee]:[annee]]=Exercice[[Exercice N-1]:[Exercice N-1]])*(pat_tech_hta_14[[Catégorie de tension]:[Catégorie de tension]]="20 KV")*(pat_tech_hta_14[[nbr_poste_hta]:[nbr_poste_hta]]))</f>
        <v>3938</v>
      </c>
      <c r="G256" s="11" cm="1">
        <f t="array" ref="G256">SUMPRODUCT((pat_tech_hta_14[[client]:[client]]=syndicat_etude)*(pat_tech_hta_14[[annee]:[annee]]=Exercice[[Exercice N]:[Exercice N]])*(pat_tech_hta_14[[Catégorie de tension]:[Catégorie de tension]]="20 KV")*(pat_tech_hta_14[[nbr_poste_hta]:[nbr_poste_hta]]))</f>
        <v>3495</v>
      </c>
      <c r="H256" s="120">
        <f>G256/F256-1</f>
        <v>-0.11249365159979685</v>
      </c>
    </row>
    <row r="257" spans="1:11" ht="15" customHeight="1" x14ac:dyDescent="0.25">
      <c r="B257" s="111" t="s">
        <v>275</v>
      </c>
      <c r="C257" s="11" cm="1">
        <f t="array" ref="C257">SUMPRODUCT((pat_tech_hta_14[[client]:[client]]=syndicat_etude)*(pat_tech_hta_14[[annee]:[annee]]=Exercice[[Exercice N-4]:[Exercice N-4]])*(pat_tech_hta_14[[Catégorie de tension]:[Catégorie de tension]]="15 KV")*(pat_tech_hta_14[[nbr_poste_hta]:[nbr_poste_hta]]))</f>
        <v>136</v>
      </c>
      <c r="D257" s="11" cm="1">
        <f t="array" ref="D257">SUMPRODUCT((pat_tech_hta_14[[client]:[client]]=syndicat_etude)*(pat_tech_hta_14[[annee]:[annee]]=Exercice[[Exercice N-3]:[Exercice N-3]])*(pat_tech_hta_14[[Catégorie de tension]:[Catégorie de tension]]="15 KV")*(pat_tech_hta_14[[nbr_poste_hta]:[nbr_poste_hta]]))</f>
        <v>141</v>
      </c>
      <c r="E257" s="11" cm="1">
        <f t="array" ref="E257">SUMPRODUCT((pat_tech_hta_14[[client]:[client]]=syndicat_etude)*(pat_tech_hta_14[[annee]:[annee]]=Exercice[[Exercice N-2]:[Exercice N-2]])*(pat_tech_hta_14[[Catégorie de tension]:[Catégorie de tension]]="15 KV")*(pat_tech_hta_14[[nbr_poste_hta]:[nbr_poste_hta]]))</f>
        <v>140</v>
      </c>
      <c r="F257" s="11" cm="1">
        <f t="array" ref="F257">SUMPRODUCT((pat_tech_hta_14[[client]:[client]]=syndicat_etude)*(pat_tech_hta_14[[annee]:[annee]]=Exercice[[Exercice N-1]:[Exercice N-1]])*(pat_tech_hta_14[[Catégorie de tension]:[Catégorie de tension]]="15 KV")*(pat_tech_hta_14[[nbr_poste_hta]:[nbr_poste_hta]]))</f>
        <v>140</v>
      </c>
      <c r="G257" s="11" cm="1">
        <f t="array" ref="G257">SUMPRODUCT((pat_tech_hta_14[[client]:[client]]=syndicat_etude)*(pat_tech_hta_14[[annee]:[annee]]=Exercice[[Exercice N]:[Exercice N]])*(pat_tech_hta_14[[Catégorie de tension]:[Catégorie de tension]]="15 KV")*(pat_tech_hta_14[[nbr_poste_hta]:[nbr_poste_hta]]))</f>
        <v>619</v>
      </c>
      <c r="H257" s="120">
        <f>G257/F257-1</f>
        <v>3.4214285714285717</v>
      </c>
    </row>
    <row r="258" spans="1:11" ht="15" customHeight="1" x14ac:dyDescent="0.25">
      <c r="B258" s="284" t="s">
        <v>276</v>
      </c>
      <c r="C258" s="94" cm="1">
        <f t="array" ref="C258">SUMPRODUCT((pat_tech_hta_14[[client]:[client]]=syndicat_etude)*(pat_tech_hta_14[[annee]:[annee]]=Exercice[[Exercice N-4]:[Exercice N-4]])*(pat_tech_hta_14[[Catégorie de tension]:[Catégorie de tension]]="Autre")*(pat_tech_hta_14[[nbr_poste_hta]:[nbr_poste_hta]]))</f>
        <v>23</v>
      </c>
      <c r="D258" s="94" cm="1">
        <f t="array" ref="D258">SUMPRODUCT((pat_tech_hta_14[[client]:[client]]=syndicat_etude)*(pat_tech_hta_14[[annee]:[annee]]=Exercice[[Exercice N-3]:[Exercice N-3]])*(pat_tech_hta_14[[Catégorie de tension]:[Catégorie de tension]]="Autre")*(pat_tech_hta_14[[nbr_poste_hta]:[nbr_poste_hta]]))</f>
        <v>22</v>
      </c>
      <c r="E258" s="94" cm="1">
        <f t="array" ref="E258">SUMPRODUCT((pat_tech_hta_14[[client]:[client]]=syndicat_etude)*(pat_tech_hta_14[[annee]:[annee]]=Exercice[[Exercice N-2]:[Exercice N-2]])*(pat_tech_hta_14[[Catégorie de tension]:[Catégorie de tension]]="Autre")*(pat_tech_hta_14[[nbr_poste_hta]:[nbr_poste_hta]]))</f>
        <v>22</v>
      </c>
      <c r="F258" s="94" cm="1">
        <f t="array" ref="F258">SUMPRODUCT((pat_tech_hta_14[[client]:[client]]=syndicat_etude)*(pat_tech_hta_14[[annee]:[annee]]=Exercice[[Exercice N-1]:[Exercice N-1]])*(pat_tech_hta_14[[Catégorie de tension]:[Catégorie de tension]]="Autre")*(pat_tech_hta_14[[nbr_poste_hta]:[nbr_poste_hta]]))</f>
        <v>21</v>
      </c>
      <c r="G258" s="94" cm="1">
        <f t="array" ref="G258">SUMPRODUCT((pat_tech_hta_14[[client]:[client]]=syndicat_etude)*(pat_tech_hta_14[[annee]:[annee]]=Exercice[[Exercice N]:[Exercice N]])*(pat_tech_hta_14[[Catégorie de tension]:[Catégorie de tension]]="Autre")*(pat_tech_hta_14[[nbr_poste_hta]:[nbr_poste_hta]]))</f>
        <v>30</v>
      </c>
      <c r="H258" s="133">
        <f>G258/F258-1</f>
        <v>0.4285714285714286</v>
      </c>
    </row>
    <row r="259" spans="1:11" ht="15" customHeight="1" x14ac:dyDescent="0.25">
      <c r="B259" s="23"/>
      <c r="C259" s="11"/>
      <c r="D259" s="11"/>
      <c r="E259" s="11"/>
      <c r="F259" s="11"/>
      <c r="G259" s="11"/>
      <c r="H259" s="11"/>
      <c r="I259" s="11"/>
      <c r="J259" s="11"/>
      <c r="K259" s="11"/>
    </row>
    <row r="260" spans="1:11" ht="30" customHeight="1" x14ac:dyDescent="0.25">
      <c r="A260" s="479" t="s">
        <v>277</v>
      </c>
      <c r="B260" s="71" t="s">
        <v>278</v>
      </c>
      <c r="C260" s="96" cm="1">
        <f t="array" ref="C260">Exercice[Exercice N-4]</f>
        <v>2019</v>
      </c>
      <c r="D260" s="72" cm="1">
        <f t="array" ref="D260">Exercice[Exercice N-3]</f>
        <v>2020</v>
      </c>
      <c r="E260" s="72" cm="1">
        <f t="array" ref="E260">Exercice[Exercice N-2]</f>
        <v>2021</v>
      </c>
      <c r="F260" s="72" cm="1">
        <f t="array" ref="F260">Exercice[Exercice N-1]</f>
        <v>2022</v>
      </c>
      <c r="G260" s="72" cm="1">
        <f t="array" ref="G260">Exercice[Exercice N]</f>
        <v>2023</v>
      </c>
      <c r="H260" s="68" t="str" cm="1">
        <f t="array" ref="H260">"% "&amp;Exercice[Exercice N]</f>
        <v>% 2023</v>
      </c>
    </row>
    <row r="261" spans="1:11" ht="15" customHeight="1" x14ac:dyDescent="0.25">
      <c r="A261" s="25" t="s">
        <v>279</v>
      </c>
      <c r="B261" s="255" t="s">
        <v>280</v>
      </c>
      <c r="C261" s="256" cm="1">
        <f t="array" ref="C261">SUMPRODUCT((pat_tech_poste_05[[client]:[client]]=syndicat_etude)*(pat_tech_poste_05[[annee]:[annee]]=C$260)*(pat_tech_poste_05[construit_total]))</f>
        <v>37</v>
      </c>
      <c r="D261" s="256" cm="1">
        <f t="array" ref="D261">SUMPRODUCT((pat_tech_poste_05[[client]:[client]]=syndicat_etude)*(pat_tech_poste_05[[annee]:[annee]]=D$260)*(pat_tech_poste_05[construit_total]))</f>
        <v>29</v>
      </c>
      <c r="E261" s="256" cm="1">
        <f t="array" ref="E261">SUMPRODUCT((pat_tech_poste_05[[client]:[client]]=syndicat_etude)*(pat_tech_poste_05[[annee]:[annee]]=E$260)*(pat_tech_poste_05[construit_total]))</f>
        <v>34</v>
      </c>
      <c r="F261" s="256" cm="1">
        <f t="array" ref="F261">SUMPRODUCT((pat_tech_poste_05[[client]:[client]]=syndicat_etude)*(pat_tech_poste_05[[annee]:[annee]]=F$260)*(pat_tech_poste_05[construit_total]))</f>
        <v>40</v>
      </c>
      <c r="G261" s="256" cm="1">
        <f t="array" ref="G261">SUMPRODUCT((pat_tech_poste_05[[client]:[client]]=syndicat_etude)*(pat_tech_poste_05[[annee]:[annee]]=G$260)*(pat_tech_poste_05[construit_total]))</f>
        <v>63</v>
      </c>
      <c r="H261" s="257"/>
    </row>
    <row r="262" spans="1:11" ht="15" customHeight="1" x14ac:dyDescent="0.25">
      <c r="B262" s="51" t="s">
        <v>281</v>
      </c>
      <c r="C262" s="15" cm="1">
        <f t="array" ref="C262">SUMPRODUCT((pat_tech_poste_05[[client]:[client]]=syndicat_etude)*(pat_tech_poste_05[[annee]:[annee]]=C$260)*(pat_tech_poste_05[construit_poste_poteau]))</f>
        <v>4</v>
      </c>
      <c r="D262" s="15" cm="1">
        <f t="array" ref="D262">SUMPRODUCT((pat_tech_poste_05[[client]:[client]]=syndicat_etude)*(pat_tech_poste_05[[annee]:[annee]]=D$260)*(pat_tech_poste_05[construit_poste_poteau]))</f>
        <v>5</v>
      </c>
      <c r="E262" s="15" cm="1">
        <f t="array" ref="E262">SUMPRODUCT((pat_tech_poste_05[[client]:[client]]=syndicat_etude)*(pat_tech_poste_05[[annee]:[annee]]=E$260)*(pat_tech_poste_05[construit_poste_poteau]))</f>
        <v>11</v>
      </c>
      <c r="F262" s="15" cm="1">
        <f t="array" ref="F262">SUMPRODUCT((pat_tech_poste_05[[client]:[client]]=syndicat_etude)*(pat_tech_poste_05[[annee]:[annee]]=F$260)*(pat_tech_poste_05[construit_poste_poteau]))</f>
        <v>3</v>
      </c>
      <c r="G262" s="15" cm="1">
        <f t="array" ref="G262">SUMPRODUCT((pat_tech_poste_05[[client]:[client]]=syndicat_etude)*(pat_tech_poste_05[[annee]:[annee]]=G$260)*(pat_tech_poste_05[construit_poste_poteau]))</f>
        <v>0</v>
      </c>
      <c r="H262" s="120">
        <f>IFERROR(G262/$G$261,"")</f>
        <v>0</v>
      </c>
    </row>
    <row r="263" spans="1:11" ht="15" customHeight="1" x14ac:dyDescent="0.25">
      <c r="B263" s="51" t="s">
        <v>282</v>
      </c>
      <c r="C263" s="15" cm="1">
        <f t="array" ref="C263">SUMPRODUCT((pat_tech_poste_05[[client]:[client]]=syndicat_etude)*(pat_tech_poste_05[[annee]:[annee]]=C$260)*(pat_tech_poste_05[construi_poste_maconne]))</f>
        <v>0</v>
      </c>
      <c r="D263" s="15" cm="1">
        <f t="array" ref="D263">SUMPRODUCT((pat_tech_poste_05[[client]:[client]]=syndicat_etude)*(pat_tech_poste_05[[annee]:[annee]]=D$260)*(pat_tech_poste_05[construi_poste_maconne]))</f>
        <v>0</v>
      </c>
      <c r="E263" s="15" cm="1">
        <f t="array" ref="E263">SUMPRODUCT((pat_tech_poste_05[[client]:[client]]=syndicat_etude)*(pat_tech_poste_05[[annee]:[annee]]=E$260)*(pat_tech_poste_05[construi_poste_maconne]))</f>
        <v>0</v>
      </c>
      <c r="F263" s="15" cm="1">
        <f t="array" ref="F263">SUMPRODUCT((pat_tech_poste_05[[client]:[client]]=syndicat_etude)*(pat_tech_poste_05[[annee]:[annee]]=F$260)*(pat_tech_poste_05[construi_poste_maconne]))</f>
        <v>0</v>
      </c>
      <c r="G263" s="15" cm="1">
        <f t="array" ref="G263">SUMPRODUCT((pat_tech_poste_05[[client]:[client]]=syndicat_etude)*(pat_tech_poste_05[[annee]:[annee]]=G$260)*(pat_tech_poste_05[construi_poste_maconne]))</f>
        <v>2</v>
      </c>
      <c r="H263" s="120">
        <f>IFERROR(G263/$G$261,"")</f>
        <v>3.1746031746031744E-2</v>
      </c>
    </row>
    <row r="264" spans="1:11" ht="15" customHeight="1" x14ac:dyDescent="0.25">
      <c r="B264" s="51" t="s">
        <v>283</v>
      </c>
      <c r="C264" s="15" cm="1">
        <f t="array" ref="C264">SUMPRODUCT((pat_tech_poste_05[[client]:[client]]=syndicat_etude)*(pat_tech_poste_05[[annee]:[annee]]=C$260)*(pat_tech_poste_05[construi_poste_prefabrique]))</f>
        <v>32</v>
      </c>
      <c r="D264" s="15" cm="1">
        <f t="array" ref="D264">SUMPRODUCT((pat_tech_poste_05[[client]:[client]]=syndicat_etude)*(pat_tech_poste_05[[annee]:[annee]]=D$260)*(pat_tech_poste_05[construi_poste_prefabrique]))</f>
        <v>24</v>
      </c>
      <c r="E264" s="15" cm="1">
        <f t="array" ref="E264">SUMPRODUCT((pat_tech_poste_05[[client]:[client]]=syndicat_etude)*(pat_tech_poste_05[[annee]:[annee]]=E$260)*(pat_tech_poste_05[construi_poste_prefabrique]))</f>
        <v>23</v>
      </c>
      <c r="F264" s="15" cm="1">
        <f t="array" ref="F264">SUMPRODUCT((pat_tech_poste_05[[client]:[client]]=syndicat_etude)*(pat_tech_poste_05[[annee]:[annee]]=F$260)*(pat_tech_poste_05[construi_poste_prefabrique]))</f>
        <v>37</v>
      </c>
      <c r="G264" s="15" cm="1">
        <f t="array" ref="G264">SUMPRODUCT((pat_tech_poste_05[[client]:[client]]=syndicat_etude)*(pat_tech_poste_05[[annee]:[annee]]=G$260)*(pat_tech_poste_05[construi_poste_prefabrique]))</f>
        <v>61</v>
      </c>
      <c r="H264" s="120">
        <f>IFERROR(G264/$G$261,"")</f>
        <v>0.96825396825396826</v>
      </c>
    </row>
    <row r="265" spans="1:11" ht="15" customHeight="1" x14ac:dyDescent="0.25">
      <c r="A265" s="28" t="s">
        <v>260</v>
      </c>
      <c r="B265" s="127" t="s">
        <v>284</v>
      </c>
      <c r="C265" s="642" cm="1">
        <f t="array" ref="C265">SUMPRODUCT((pat_tech_poste_05[[client]:[client]]=syndicat_etude)*(pat_tech_poste_05[[annee]:[annee]]=C$260)*(pat_tech_poste_05[construit_total]))</f>
        <v>37</v>
      </c>
      <c r="D265" s="642" cm="1">
        <f t="array" ref="D265">SUMPRODUCT((pat_tech_poste_05[[client]:[client]]=syndicat_etude)*(pat_tech_poste_05[[annee]:[annee]]=D$260)*(pat_tech_poste_05[construit_total]))</f>
        <v>29</v>
      </c>
      <c r="E265" s="642" cm="1">
        <f t="array" ref="E265">SUMPRODUCT((pat_tech_poste_05[[client]:[client]]=syndicat_etude)*(pat_tech_poste_05[[annee]:[annee]]=E$260)*(pat_tech_poste_05[modif_puissance]))</f>
        <v>36</v>
      </c>
      <c r="F265" s="642" cm="1">
        <f t="array" ref="F265">SUMPRODUCT((pat_tech_poste_05[[client]:[client]]=syndicat_etude)*(pat_tech_poste_05[[annee]:[annee]]=F$260)*(pat_tech_poste_05[modif_puissance]))</f>
        <v>28</v>
      </c>
      <c r="G265" s="642" cm="1">
        <f t="array" ref="G265">SUMPRODUCT((pat_tech_poste_05[[client]:[client]]=syndicat_etude)*(pat_tech_poste_05[[annee]:[annee]]=G$260)*(pat_tech_poste_05[modif_puissance]))</f>
        <v>38</v>
      </c>
      <c r="H265" s="643">
        <f>IFERROR(G265/F265-1,"-")</f>
        <v>0.35714285714285721</v>
      </c>
      <c r="I265" s="65" t="s">
        <v>285</v>
      </c>
    </row>
    <row r="267" spans="1:11" ht="30" customHeight="1" x14ac:dyDescent="0.25">
      <c r="A267" s="479" t="s">
        <v>286</v>
      </c>
      <c r="B267" s="66" t="s">
        <v>287</v>
      </c>
      <c r="C267" s="67" cm="1">
        <f t="array" ref="C267">Exercice[Exercice N-4]</f>
        <v>2019</v>
      </c>
      <c r="D267" s="67" cm="1">
        <f t="array" ref="D267">Exercice[Exercice N-3]</f>
        <v>2020</v>
      </c>
      <c r="E267" s="67" cm="1">
        <f t="array" ref="E267">Exercice[Exercice N-2]</f>
        <v>2021</v>
      </c>
      <c r="F267" s="67" cm="1">
        <f t="array" ref="F267">Exercice[Exercice N-1]</f>
        <v>2022</v>
      </c>
      <c r="G267" s="69" cm="1">
        <f t="array" ref="G267">Exercice[Exercice N]</f>
        <v>2023</v>
      </c>
    </row>
    <row r="268" spans="1:11" ht="15" customHeight="1" x14ac:dyDescent="0.25">
      <c r="A268" s="25" t="s">
        <v>288</v>
      </c>
      <c r="B268" s="255" t="s">
        <v>289</v>
      </c>
      <c r="C268" s="644">
        <f>C$253</f>
        <v>176242</v>
      </c>
      <c r="D268" s="644">
        <f>D$253</f>
        <v>177288</v>
      </c>
      <c r="E268" s="644">
        <f>E$253</f>
        <v>178881</v>
      </c>
      <c r="F268" s="644">
        <f>F$253</f>
        <v>179880</v>
      </c>
      <c r="G268" s="645">
        <f>G$253</f>
        <v>181232</v>
      </c>
      <c r="H268" s="65"/>
    </row>
    <row r="269" spans="1:11" ht="15" customHeight="1" x14ac:dyDescent="0.25">
      <c r="B269" s="127" t="s">
        <v>290</v>
      </c>
      <c r="C269" s="646" cm="1">
        <f t="array" ref="C269">SUMPRODUCT((pat_tech_poste_07[[client]:[client]]=syndicat_etude)*(pat_tech_poste_07[[annee]:[annee]]=C$267)*(pat_tech_poste_07[nbr_prod]))</f>
        <v>0</v>
      </c>
      <c r="D269" s="646" cm="1">
        <f t="array" ref="D269">SUMPRODUCT((pat_tech_poste_07[[client]:[client]]=syndicat_etude)*(pat_tech_poste_07[[annee]:[annee]]=D$267)*(pat_tech_poste_07[nbr_prod]))</f>
        <v>0</v>
      </c>
      <c r="E269" s="646" cm="1">
        <f t="array" ref="E269">SUMPRODUCT((pat_tech_poste_07[[client]:[client]]=syndicat_etude)*(pat_tech_poste_07[[annee]:[annee]]=E$267)*(pat_tech_poste_07[nbr_prod]))</f>
        <v>0</v>
      </c>
      <c r="F269" s="646" cm="1">
        <f t="array" ref="F269">SUMPRODUCT((pat_tech_poste_07[[client]:[client]]=syndicat_etude)*(pat_tech_poste_07[[annee]:[annee]]=F$267)*(pat_tech_poste_07[nbr_prod]))</f>
        <v>2461</v>
      </c>
      <c r="G269" s="647" cm="1">
        <f t="array" ref="G269">SUMPRODUCT((pat_tech_poste_07[[client]:[client]]=syndicat_etude)*(pat_tech_poste_07[[annee]:[annee]]=G$267)*(pat_tech_poste_07[nbr_prod]))</f>
        <v>3310</v>
      </c>
      <c r="H269" s="65" t="s">
        <v>291</v>
      </c>
    </row>
    <row r="270" spans="1:11" ht="15" customHeight="1" x14ac:dyDescent="0.25">
      <c r="B270" s="126" t="s">
        <v>292</v>
      </c>
      <c r="C270" s="648" cm="1">
        <f t="array" ref="C270">SUMPRODUCT((pat_tech_poste_07[[client]:[client]]=syndicat_etude)*(pat_tech_poste_07[[annee]:[annee]]=C$267)*(pat_tech_poste_07[nbr_poste_relie]))</f>
        <v>0</v>
      </c>
      <c r="D270" s="648" cm="1">
        <f t="array" ref="D270">SUMPRODUCT((pat_tech_poste_07[[client]:[client]]=syndicat_etude)*(pat_tech_poste_07[[annee]:[annee]]=D$267)*(pat_tech_poste_07[nbr_poste_relie]))</f>
        <v>0</v>
      </c>
      <c r="E270" s="648" cm="1">
        <f t="array" ref="E270">SUMPRODUCT((pat_tech_poste_07[[client]:[client]]=syndicat_etude)*(pat_tech_poste_07[[annee]:[annee]]=E$267)*(pat_tech_poste_07[nbr_poste_relie]))</f>
        <v>0</v>
      </c>
      <c r="F270" s="648" cm="1">
        <f t="array" ref="F270">SUMPRODUCT((pat_tech_poste_07[[client]:[client]]=syndicat_etude)*(pat_tech_poste_07[[annee]:[annee]]=F$267)*(pat_tech_poste_07[nbr_poste_relie]))</f>
        <v>1413</v>
      </c>
      <c r="G270" s="649" cm="1">
        <f t="array" ref="G270">SUMPRODUCT((pat_tech_poste_07[[client]:[client]]=syndicat_etude)*(pat_tech_poste_07[[annee]:[annee]]=G$267)*(pat_tech_poste_07[nbr_poste_relie]))</f>
        <v>1696</v>
      </c>
      <c r="H270" s="65" t="s">
        <v>293</v>
      </c>
    </row>
    <row r="271" spans="1:11" ht="15" customHeight="1" x14ac:dyDescent="0.25">
      <c r="B271" s="650" t="s">
        <v>294</v>
      </c>
      <c r="C271" s="640" cm="1">
        <f t="array" ref="C271">SUMPRODUCT((pat_tech_poste_07[[client]:[client]]=syndicat_etude)*(pat_tech_poste_07[[annee]:[annee]]=C$267)*(pat_tech_poste_07[pv]))</f>
        <v>1</v>
      </c>
      <c r="D271" s="640" cm="1">
        <f t="array" ref="D271">SUMPRODUCT((pat_tech_poste_07[[client]:[client]]=syndicat_etude)*(pat_tech_poste_07[[annee]:[annee]]=D$267)*(pat_tech_poste_07[pv]))</f>
        <v>21</v>
      </c>
      <c r="E271" s="640" cm="1">
        <f t="array" ref="E271">SUMPRODUCT((pat_tech_poste_07[[client]:[client]]=syndicat_etude)*(pat_tech_poste_07[[annee]:[annee]]=E$267)*(pat_tech_poste_07[pv]))</f>
        <v>1270</v>
      </c>
      <c r="F271" s="640" cm="1">
        <f t="array" ref="F271">SUMPRODUCT((pat_tech_poste_07[[client]:[client]]=syndicat_etude)*(pat_tech_poste_07[[annee]:[annee]]=F$267)*(pat_tech_poste_07[pv]))</f>
        <v>0</v>
      </c>
      <c r="G271" s="651" cm="1">
        <f t="array" ref="G271">SUMPRODUCT((pat_tech_poste_07[[client]:[client]]=syndicat_etude)*(pat_tech_poste_07[[annee]:[annee]]=G$267)*(pat_tech_poste_07[pv]))</f>
        <v>1692</v>
      </c>
      <c r="H271" s="65" t="s">
        <v>295</v>
      </c>
    </row>
    <row r="272" spans="1:11" ht="15" customHeight="1" x14ac:dyDescent="0.25">
      <c r="B272" s="288" t="s">
        <v>296</v>
      </c>
      <c r="C272" s="640" cm="1">
        <f t="array" ref="C272">SUMPRODUCT((pat_tech_poste_07[[client]:[client]]=syndicat_etude)*(pat_tech_poste_07[[annee]:[annee]]=C$267)*(pat_tech_poste_07[pv_hta]))</f>
        <v>1</v>
      </c>
      <c r="D272" s="640" cm="1">
        <f t="array" ref="D272">SUMPRODUCT((pat_tech_poste_07[[client]:[client]]=syndicat_etude)*(pat_tech_poste_07[[annee]:[annee]]=D$267)*(pat_tech_poste_07[pv_hta]))</f>
        <v>0</v>
      </c>
      <c r="E272" s="640" cm="1">
        <f t="array" ref="E272">SUMPRODUCT((pat_tech_poste_07[[client]:[client]]=syndicat_etude)*(pat_tech_poste_07[[annee]:[annee]]=E$267)*(pat_tech_poste_07[pv_hta]))</f>
        <v>2</v>
      </c>
      <c r="F272" s="640" cm="1">
        <f t="array" ref="F272">SUMPRODUCT((pat_tech_poste_07[[client]:[client]]=syndicat_etude)*(pat_tech_poste_07[[annee]:[annee]]=F$267)*(pat_tech_poste_07[pv_hta]))</f>
        <v>0</v>
      </c>
      <c r="G272" s="651" cm="1">
        <f t="array" ref="G272">SUMPRODUCT((pat_tech_poste_07[[client]:[client]]=syndicat_etude)*(pat_tech_poste_07[[annee]:[annee]]=G$267)*(pat_tech_poste_07[pv_hta]))</f>
        <v>2</v>
      </c>
      <c r="H272" s="65" t="s">
        <v>297</v>
      </c>
    </row>
    <row r="273" spans="1:8" ht="15" customHeight="1" x14ac:dyDescent="0.25">
      <c r="B273" s="288" t="s">
        <v>298</v>
      </c>
      <c r="C273" s="640" cm="1">
        <f t="array" ref="C273">SUMPRODUCT((pat_tech_poste_07[[client]:[client]]=syndicat_etude)*(pat_tech_poste_07[[annee]:[annee]]=C$267)*(pat_tech_poste_07[pv_bt]))</f>
        <v>0</v>
      </c>
      <c r="D273" s="640" cm="1">
        <f t="array" ref="D273">SUMPRODUCT((pat_tech_poste_07[[client]:[client]]=syndicat_etude)*(pat_tech_poste_07[[annee]:[annee]]=D$267)*(pat_tech_poste_07[pv_bt]))</f>
        <v>21</v>
      </c>
      <c r="E273" s="640" cm="1">
        <f t="array" ref="E273">SUMPRODUCT((pat_tech_poste_07[[client]:[client]]=syndicat_etude)*(pat_tech_poste_07[[annee]:[annee]]=E$267)*(pat_tech_poste_07[pv_bt]))</f>
        <v>1268</v>
      </c>
      <c r="F273" s="640" cm="1">
        <f t="array" ref="F273">SUMPRODUCT((pat_tech_poste_07[[client]:[client]]=syndicat_etude)*(pat_tech_poste_07[[annee]:[annee]]=F$267)*(pat_tech_poste_07[pv_bt]))</f>
        <v>0</v>
      </c>
      <c r="G273" s="651" cm="1">
        <f t="array" ref="G273">SUMPRODUCT((pat_tech_poste_07[[client]:[client]]=syndicat_etude)*(pat_tech_poste_07[[annee]:[annee]]=G$267)*(pat_tech_poste_07[pv_bt]))</f>
        <v>1690</v>
      </c>
      <c r="H273" s="65" t="s">
        <v>299</v>
      </c>
    </row>
    <row r="274" spans="1:8" ht="15" customHeight="1" x14ac:dyDescent="0.25">
      <c r="B274" s="650" t="s">
        <v>300</v>
      </c>
      <c r="C274" s="640" cm="1">
        <f t="array" ref="C274">SUMPRODUCT((pat_tech_poste_07[[client]:[client]]=syndicat_etude)*(pat_tech_poste_07[[annee]:[annee]]=C$267)*(pat_tech_poste_07[eolien]))</f>
        <v>77</v>
      </c>
      <c r="D274" s="640" cm="1">
        <f t="array" ref="D274">SUMPRODUCT((pat_tech_poste_07[[client]:[client]]=syndicat_etude)*(pat_tech_poste_07[[annee]:[annee]]=D$267)*(pat_tech_poste_07[eolien]))</f>
        <v>78</v>
      </c>
      <c r="E274" s="640" cm="1">
        <f t="array" ref="E274">SUMPRODUCT((pat_tech_poste_07[[client]:[client]]=syndicat_etude)*(pat_tech_poste_07[[annee]:[annee]]=E$267)*(pat_tech_poste_07[eolien]))</f>
        <v>78</v>
      </c>
      <c r="F274" s="640" cm="1">
        <f t="array" ref="F274">SUMPRODUCT((pat_tech_poste_07[[client]:[client]]=syndicat_etude)*(pat_tech_poste_07[[annee]:[annee]]=F$267)*(pat_tech_poste_07[eolien]))</f>
        <v>0</v>
      </c>
      <c r="G274" s="651" cm="1">
        <f t="array" ref="G274">SUMPRODUCT((pat_tech_poste_07[[client]:[client]]=syndicat_etude)*(pat_tech_poste_07[[annee]:[annee]]=G$267)*(pat_tech_poste_07[eolien]))</f>
        <v>97</v>
      </c>
      <c r="H274" s="65" t="s">
        <v>295</v>
      </c>
    </row>
    <row r="275" spans="1:8" ht="15" customHeight="1" x14ac:dyDescent="0.25">
      <c r="B275" s="288" t="s">
        <v>296</v>
      </c>
      <c r="C275" s="640" cm="1">
        <f t="array" ref="C275">SUMPRODUCT((pat_tech_poste_07[[client]:[client]]=syndicat_etude)*(pat_tech_poste_07[[annee]:[annee]]=C$267)*(pat_tech_poste_07[eolien_hta]))</f>
        <v>77</v>
      </c>
      <c r="D275" s="640" cm="1">
        <f t="array" ref="D275">SUMPRODUCT((pat_tech_poste_07[[client]:[client]]=syndicat_etude)*(pat_tech_poste_07[[annee]:[annee]]=D$267)*(pat_tech_poste_07[eolien_hta]))</f>
        <v>77</v>
      </c>
      <c r="E275" s="640" cm="1">
        <f t="array" ref="E275">SUMPRODUCT((pat_tech_poste_07[[client]:[client]]=syndicat_etude)*(pat_tech_poste_07[[annee]:[annee]]=E$267)*(pat_tech_poste_07[eolien_hta]))</f>
        <v>77</v>
      </c>
      <c r="F275" s="640" cm="1">
        <f t="array" ref="F275">SUMPRODUCT((pat_tech_poste_07[[client]:[client]]=syndicat_etude)*(pat_tech_poste_07[[annee]:[annee]]=F$267)*(pat_tech_poste_07[eolien_hta]))</f>
        <v>0</v>
      </c>
      <c r="G275" s="651" cm="1">
        <f t="array" ref="G275">SUMPRODUCT((pat_tech_poste_07[[client]:[client]]=syndicat_etude)*(pat_tech_poste_07[[annee]:[annee]]=G$267)*(pat_tech_poste_07[eolien_hta]))</f>
        <v>96</v>
      </c>
      <c r="H275" s="65" t="s">
        <v>301</v>
      </c>
    </row>
    <row r="276" spans="1:8" ht="15" customHeight="1" x14ac:dyDescent="0.25">
      <c r="B276" s="288" t="s">
        <v>298</v>
      </c>
      <c r="C276" s="640" cm="1">
        <f t="array" ref="C276">SUMPRODUCT((pat_tech_poste_07[[client]:[client]]=syndicat_etude)*(pat_tech_poste_07[[annee]:[annee]]=C$267)*(pat_tech_poste_07[eolien_bt]))</f>
        <v>0</v>
      </c>
      <c r="D276" s="640" cm="1">
        <f t="array" ref="D276">SUMPRODUCT((pat_tech_poste_07[[client]:[client]]=syndicat_etude)*(pat_tech_poste_07[[annee]:[annee]]=D$267)*(pat_tech_poste_07[eolien_bt]))</f>
        <v>1</v>
      </c>
      <c r="E276" s="640" cm="1">
        <f t="array" ref="E276">SUMPRODUCT((pat_tech_poste_07[[client]:[client]]=syndicat_etude)*(pat_tech_poste_07[[annee]:[annee]]=E$267)*(pat_tech_poste_07[eolien_bt]))</f>
        <v>1</v>
      </c>
      <c r="F276" s="640" cm="1">
        <f t="array" ref="F276">SUMPRODUCT((pat_tech_poste_07[[client]:[client]]=syndicat_etude)*(pat_tech_poste_07[[annee]:[annee]]=F$267)*(pat_tech_poste_07[eolien_bt]))</f>
        <v>0</v>
      </c>
      <c r="G276" s="651" cm="1">
        <f t="array" ref="G276">SUMPRODUCT((pat_tech_poste_07[[client]:[client]]=syndicat_etude)*(pat_tech_poste_07[[annee]:[annee]]=G$267)*(pat_tech_poste_07[eolien_bt]))</f>
        <v>1</v>
      </c>
      <c r="H276" s="65" t="s">
        <v>302</v>
      </c>
    </row>
    <row r="277" spans="1:8" ht="15" customHeight="1" x14ac:dyDescent="0.25">
      <c r="B277" s="650" t="s">
        <v>303</v>
      </c>
      <c r="C277" s="640" cm="1">
        <f t="array" ref="C277">SUMPRODUCT((pat_tech_poste_07[[client]:[client]]=syndicat_etude)*(pat_tech_poste_07[[annee]:[annee]]=C$267)*(pat_tech_poste_07[hydraulique]))</f>
        <v>12</v>
      </c>
      <c r="D277" s="640" cm="1">
        <f t="array" ref="D277">SUMPRODUCT((pat_tech_poste_07[[client]:[client]]=syndicat_etude)*(pat_tech_poste_07[[annee]:[annee]]=D$267)*(pat_tech_poste_07[hydraulique]))</f>
        <v>16</v>
      </c>
      <c r="E277" s="652" cm="1">
        <f t="array" ref="E277">SUMPRODUCT((pat_tech_poste_07[[client]:[client]]=syndicat_etude)*(pat_tech_poste_07[[annee]:[annee]]=E$267)*(pat_tech_poste_07[hydraulique]))</f>
        <v>17</v>
      </c>
      <c r="F277" s="640" cm="1">
        <f t="array" ref="F277">SUMPRODUCT((pat_tech_poste_07[[client]:[client]]=syndicat_etude)*(pat_tech_poste_07[[annee]:[annee]]=F$267)*(pat_tech_poste_07[hydraulique]))</f>
        <v>0</v>
      </c>
      <c r="G277" s="651" cm="1">
        <f t="array" ref="G277">SUMPRODUCT((pat_tech_poste_07[[client]:[client]]=syndicat_etude)*(pat_tech_poste_07[[annee]:[annee]]=G$267)*(pat_tech_poste_07[hydraulique]))</f>
        <v>17</v>
      </c>
      <c r="H277" s="65" t="s">
        <v>304</v>
      </c>
    </row>
    <row r="278" spans="1:8" ht="15" customHeight="1" x14ac:dyDescent="0.25">
      <c r="B278" s="653" t="s">
        <v>305</v>
      </c>
      <c r="C278" s="654" cm="1">
        <f t="array" ref="C278">SUMPRODUCT((pat_tech_poste_07[[client]:[client]]=syndicat_etude)*(pat_tech_poste_07[[annee]:[annee]]=C$267)*(pat_tech_poste_07[autres]))</f>
        <v>1</v>
      </c>
      <c r="D278" s="654" cm="1">
        <f t="array" ref="D278">SUMPRODUCT((pat_tech_poste_07[[client]:[client]]=syndicat_etude)*(pat_tech_poste_07[[annee]:[annee]]=D$267)*(pat_tech_poste_07[autres]))</f>
        <v>0</v>
      </c>
      <c r="E278" s="654" cm="1">
        <f t="array" ref="E278">SUMPRODUCT((pat_tech_poste_07[[client]:[client]]=syndicat_etude)*(pat_tech_poste_07[[annee]:[annee]]=E$267)*(pat_tech_poste_07[autres]))</f>
        <v>17</v>
      </c>
      <c r="F278" s="654" cm="1">
        <f t="array" ref="F278">SUMPRODUCT((pat_tech_poste_07[[client]:[client]]=syndicat_etude)*(pat_tech_poste_07[[annee]:[annee]]=F$267)*(pat_tech_poste_07[autres]))</f>
        <v>0</v>
      </c>
      <c r="G278" s="655" cm="1">
        <f t="array" ref="G278">SUMPRODUCT((pat_tech_poste_07[[client]:[client]]=syndicat_etude)*(pat_tech_poste_07[[annee]:[annee]]=G$267)*(pat_tech_poste_07[autres]))</f>
        <v>21</v>
      </c>
      <c r="H278" s="65" t="s">
        <v>306</v>
      </c>
    </row>
    <row r="280" spans="1:8" ht="30" customHeight="1" x14ac:dyDescent="0.25">
      <c r="B280" s="66" t="s">
        <v>307</v>
      </c>
      <c r="C280" s="67" cm="1">
        <f t="array" ref="C280">Exercice[Exercice N-4]</f>
        <v>2019</v>
      </c>
      <c r="D280" s="67" cm="1">
        <f t="array" ref="D280">Exercice[Exercice N-3]</f>
        <v>2020</v>
      </c>
      <c r="E280" s="67" cm="1">
        <f t="array" ref="E280">Exercice[Exercice N-2]</f>
        <v>2021</v>
      </c>
      <c r="F280" s="67" cm="1">
        <f t="array" ref="F280">Exercice[Exercice N-1]</f>
        <v>2022</v>
      </c>
      <c r="G280" s="69" cm="1">
        <f t="array" ref="G280">Exercice[Exercice N]</f>
        <v>2023</v>
      </c>
    </row>
    <row r="281" spans="1:8" ht="15" customHeight="1" x14ac:dyDescent="0.25">
      <c r="B281" s="142" t="s">
        <v>308</v>
      </c>
      <c r="C281" s="143" cm="1">
        <f t="array" ref="C281">SUMPRODUCT((pat_tech_poste_02[[client]:[client]]=syndicat_etude)*(pat_tech_poste_02[[annee]:[annee]]=C$280)*(pat_tech_poste_02[round]))</f>
        <v>5.6300000000000003E-2</v>
      </c>
      <c r="D281" s="143" cm="1">
        <f t="array" ref="D281">SUMPRODUCT((pat_tech_poste_02[[client]:[client]]=syndicat_etude)*(pat_tech_poste_02[[annee]:[annee]]=D$280)*(pat_tech_poste_02[round]))</f>
        <v>5.5800000000000002E-2</v>
      </c>
      <c r="E281" s="143" cm="1">
        <f t="array" ref="E281">SUMPRODUCT((pat_tech_poste_02[[client]:[client]]=syndicat_etude)*(pat_tech_poste_02[[annee]:[annee]]=E$280)*(pat_tech_poste_02[round]))</f>
        <v>5.5399999999999998E-2</v>
      </c>
      <c r="F281" s="143" cm="1">
        <f t="array" ref="F281">SUMPRODUCT((pat_tech_poste_02[[client]:[client]]=syndicat_etude)*(pat_tech_poste_02[[annee]:[annee]]=F$280)*(pat_tech_poste_02[round]))</f>
        <v>5.4800000000000001E-2</v>
      </c>
      <c r="G281" s="144" cm="1">
        <f t="array" ref="G281">SUMPRODUCT((pat_tech_poste_02[[client]:[client]]=syndicat_etude)*(pat_tech_poste_02[[annee]:[annee]]=G$280)*(pat_tech_poste_02[round]))</f>
        <v>5.3900000000000003E-2</v>
      </c>
    </row>
    <row r="283" spans="1:8" ht="30" customHeight="1" x14ac:dyDescent="0.25">
      <c r="A283" s="479" t="s">
        <v>309</v>
      </c>
      <c r="B283" s="66" t="s">
        <v>310</v>
      </c>
      <c r="C283" s="67" cm="1">
        <f t="array" ref="C283">Exercice[Exercice N-4]</f>
        <v>2019</v>
      </c>
      <c r="D283" s="67" cm="1">
        <f t="array" ref="D283">Exercice[Exercice N-3]</f>
        <v>2020</v>
      </c>
      <c r="E283" s="67" cm="1">
        <f t="array" ref="E283">Exercice[Exercice N-2]</f>
        <v>2021</v>
      </c>
      <c r="F283" s="67" cm="1">
        <f t="array" ref="F283">Exercice[Exercice N-1]</f>
        <v>2022</v>
      </c>
      <c r="G283" s="69" cm="1">
        <f t="array" ref="G283">Exercice[Exercice N]</f>
        <v>2023</v>
      </c>
    </row>
    <row r="284" spans="1:8" ht="15" customHeight="1" x14ac:dyDescent="0.25">
      <c r="A284" s="25" t="s">
        <v>311</v>
      </c>
      <c r="B284" s="126" t="s">
        <v>312</v>
      </c>
      <c r="C284" s="134" cm="1">
        <f t="array" ref="C284">SUMPRODUCT((pat_tech_poste_02[[client]:[client]]=syndicat_etude)*(pat_tech_poste_02[[annee]:[annee]]=C$280)*(pat_tech_poste_02[nbr_cabines_hautes]))</f>
        <v>226</v>
      </c>
      <c r="D284" s="134" cm="1">
        <f t="array" ref="D284">SUMPRODUCT((pat_tech_poste_02[[client]:[client]]=syndicat_etude)*(pat_tech_poste_02[[annee]:[annee]]=D$280)*(pat_tech_poste_02[nbr_cabines_hautes]))</f>
        <v>225</v>
      </c>
      <c r="E284" s="134" cm="1">
        <f t="array" ref="E284">SUMPRODUCT((pat_tech_poste_02[[client]:[client]]=syndicat_etude)*(pat_tech_poste_02[[annee]:[annee]]=E$280)*(pat_tech_poste_02[nbr_cabines_hautes]))</f>
        <v>225</v>
      </c>
      <c r="F284" s="134" cm="1">
        <f t="array" ref="F284">SUMPRODUCT((pat_tech_poste_02[[client]:[client]]=syndicat_etude)*(pat_tech_poste_02[[annee]:[annee]]=F$280)*(pat_tech_poste_02[nbr_cabines_hautes]))</f>
        <v>224</v>
      </c>
      <c r="G284" s="148" cm="1">
        <f t="array" ref="G284">SUMPRODUCT((pat_tech_poste_02[[client]:[client]]=syndicat_etude)*(pat_tech_poste_02[[annee]:[annee]]=G$280)*(pat_tech_poste_02[nbr_cabines_hautes]))</f>
        <v>223</v>
      </c>
    </row>
    <row r="285" spans="1:8" ht="15" customHeight="1" x14ac:dyDescent="0.25">
      <c r="B285" s="77" t="s">
        <v>308</v>
      </c>
      <c r="C285" s="113" cm="1">
        <f t="array" ref="C285">SUMPRODUCT((pat_tech_poste_02[[client]:[client]]=syndicat_etude)*(pat_tech_poste_02[[annee]:[annee]]=C$280)*(pat_tech_poste_02[round]))</f>
        <v>5.6300000000000003E-2</v>
      </c>
      <c r="D285" s="113" cm="1">
        <f t="array" ref="D285">SUMPRODUCT((pat_tech_poste_02[[client]:[client]]=syndicat_etude)*(pat_tech_poste_02[[annee]:[annee]]=D$280)*(pat_tech_poste_02[round]))</f>
        <v>5.5800000000000002E-2</v>
      </c>
      <c r="E285" s="113" cm="1">
        <f t="array" ref="E285">SUMPRODUCT((pat_tech_poste_02[[client]:[client]]=syndicat_etude)*(pat_tech_poste_02[[annee]:[annee]]=E$280)*(pat_tech_poste_02[round]))</f>
        <v>5.5399999999999998E-2</v>
      </c>
      <c r="F285" s="113" cm="1">
        <f t="array" ref="F285">SUMPRODUCT((pat_tech_poste_02[[client]:[client]]=syndicat_etude)*(pat_tech_poste_02[[annee]:[annee]]=F$280)*(pat_tech_poste_02[round]))</f>
        <v>5.4800000000000001E-2</v>
      </c>
      <c r="G285" s="559" cm="1">
        <f t="array" ref="G285">SUMPRODUCT((pat_tech_poste_02[[client]:[client]]=syndicat_etude)*(pat_tech_poste_02[[annee]:[annee]]=G$280)*(pat_tech_poste_02[round]))</f>
        <v>5.3900000000000003E-2</v>
      </c>
    </row>
    <row r="286" spans="1:8" ht="15" customHeight="1" x14ac:dyDescent="0.25">
      <c r="A286" s="25" t="s">
        <v>313</v>
      </c>
      <c r="B286" s="255" t="s">
        <v>314</v>
      </c>
      <c r="C286" s="256" cm="1">
        <f t="array" ref="C286">SUMPRODUCT((pat_tech_poste_03[[client]:[client]]=syndicat_etude)*(pat_tech_poste_03[[annee]:[annee]]=C$283)*(pat_tech_poste_03[nbr_postes_sup_40ans]))</f>
        <v>547872</v>
      </c>
      <c r="D286" s="256" cm="1">
        <f t="array" ref="D286">SUMPRODUCT((pat_tech_poste_03[[client]:[client]]=syndicat_etude)*(pat_tech_poste_03[[annee]:[annee]]=D$283)*(pat_tech_poste_03[nbr_postes_sup_40ans]))</f>
        <v>584598</v>
      </c>
      <c r="E286" s="256" cm="1">
        <f t="array" ref="E286">SUMPRODUCT((pat_tech_poste_03[[client]:[client]]=syndicat_etude)*(pat_tech_poste_03[[annee]:[annee]]=E$283)*(pat_tech_poste_03[nbr_postes_sup_40ans]))</f>
        <v>630168</v>
      </c>
      <c r="F286" s="256" cm="1">
        <f t="array" ref="F286">SUMPRODUCT((pat_tech_poste_03[[client]:[client]]=syndicat_etude)*(pat_tech_poste_03[[annee]:[annee]]=F$283)*(pat_tech_poste_03[nbr_postes_sup_40ans]))</f>
        <v>577498</v>
      </c>
      <c r="G286" s="208" cm="1">
        <f t="array" ref="G286">SUMPRODUCT((pat_tech_poste_03[[client]:[client]]=syndicat_etude)*(pat_tech_poste_03[[annee]:[annee]]=G$283)*(pat_tech_poste_03[nbr_postes_sup_40ans]))</f>
        <v>568629</v>
      </c>
    </row>
    <row r="287" spans="1:8" ht="15" customHeight="1" x14ac:dyDescent="0.25">
      <c r="B287" s="287" t="s">
        <v>315</v>
      </c>
      <c r="C287" s="11" cm="1">
        <f t="array" ref="C287">SUMPRODUCT((pat_tech_poste_03[[client]:[client]]=syndicat_etude)*(pat_tech_poste_03[[annee]:[annee]]=C$283)*(pat_tech_poste_03[nbr_postes_h61_sup_40ans]))</f>
        <v>275692</v>
      </c>
      <c r="D287" s="11" cm="1">
        <f t="array" ref="D287">SUMPRODUCT((pat_tech_poste_03[[client]:[client]]=syndicat_etude)*(pat_tech_poste_03[[annee]:[annee]]=D$283)*(pat_tech_poste_03[nbr_postes_h61_sup_40ans]))</f>
        <v>292299</v>
      </c>
      <c r="E287" s="11" cm="1">
        <f t="array" ref="E287">SUMPRODUCT((pat_tech_poste_03[[client]:[client]]=syndicat_etude)*(pat_tech_poste_03[[annee]:[annee]]=E$283)*(pat_tech_poste_03[nbr_postes_h61_sup_40ans]))</f>
        <v>311850</v>
      </c>
      <c r="F287" s="11" cm="1">
        <f t="array" ref="F287">SUMPRODUCT((pat_tech_poste_03[[client]:[client]]=syndicat_etude)*(pat_tech_poste_03[[annee]:[annee]]=F$283)*(pat_tech_poste_03[nbr_postes_h61_sup_40ans]))</f>
        <v>278998</v>
      </c>
      <c r="G287" s="93" cm="1">
        <f t="array" ref="G287">SUMPRODUCT((pat_tech_poste_03[[client]:[client]]=syndicat_etude)*(pat_tech_poste_03[[annee]:[annee]]=G$283)*(pat_tech_poste_03[nbr_postes_h61_sup_40ans]))</f>
        <v>269739</v>
      </c>
    </row>
    <row r="288" spans="1:8" ht="15" customHeight="1" x14ac:dyDescent="0.25">
      <c r="B288" s="287" t="s">
        <v>316</v>
      </c>
      <c r="C288" s="11" cm="1">
        <f t="array" ref="C288">SUMPRODUCT((pat_tech_poste_03[[client]:[client]]=syndicat_etude)*(pat_tech_poste_03[[annee]:[annee]]=C$283)*(pat_tech_poste_03[nbr_postes_immeuble_sup_40ans]))</f>
        <v>36876</v>
      </c>
      <c r="D288" s="11" cm="1">
        <f t="array" ref="D288">SUMPRODUCT((pat_tech_poste_03[[client]:[client]]=syndicat_etude)*(pat_tech_poste_03[[annee]:[annee]]=D$283)*(pat_tech_poste_03[nbr_postes_immeuble_sup_40ans]))</f>
        <v>38614</v>
      </c>
      <c r="E288" s="11" cm="1">
        <f t="array" ref="E288">SUMPRODUCT((pat_tech_poste_03[[client]:[client]]=syndicat_etude)*(pat_tech_poste_03[[annee]:[annee]]=E$283)*(pat_tech_poste_03[nbr_postes_immeuble_sup_40ans]))</f>
        <v>41118</v>
      </c>
      <c r="F288" s="11" cm="1">
        <f t="array" ref="F288">SUMPRODUCT((pat_tech_poste_03[[client]:[client]]=syndicat_etude)*(pat_tech_poste_03[[annee]:[annee]]=F$283)*(pat_tech_poste_03[nbr_postes_immeuble_sup_40ans]))</f>
        <v>37014</v>
      </c>
      <c r="G288" s="93" cm="1">
        <f t="array" ref="G288">SUMPRODUCT((pat_tech_poste_03[[client]:[client]]=syndicat_etude)*(pat_tech_poste_03[[annee]:[annee]]=G$283)*(pat_tech_poste_03[nbr_postes_immeuble_sup_40ans]))</f>
        <v>37638</v>
      </c>
    </row>
    <row r="289" spans="1:8" ht="15" customHeight="1" x14ac:dyDescent="0.25">
      <c r="B289" s="287" t="s">
        <v>317</v>
      </c>
      <c r="C289" s="11" cm="1">
        <f t="array" ref="C289">SUMPRODUCT((pat_tech_poste_03[[client]:[client]]=syndicat_etude)*(pat_tech_poste_03[[annee]:[annee]]=C$283)*(pat_tech_poste_03[nbr_postes_cabines_hautes_sup_40ans]))</f>
        <v>96580</v>
      </c>
      <c r="D289" s="11" cm="1">
        <f t="array" ref="D289">SUMPRODUCT((pat_tech_poste_03[[client]:[client]]=syndicat_etude)*(pat_tech_poste_03[[annee]:[annee]]=D$283)*(pat_tech_poste_03[nbr_postes_cabines_hautes_sup_40ans]))</f>
        <v>98331</v>
      </c>
      <c r="E289" s="11" cm="1">
        <f t="array" ref="E289">SUMPRODUCT((pat_tech_poste_03[[client]:[client]]=syndicat_etude)*(pat_tech_poste_03[[annee]:[annee]]=E$283)*(pat_tech_poste_03[nbr_postes_cabines_hautes_sup_40ans]))</f>
        <v>101178</v>
      </c>
      <c r="F289" s="11" cm="1">
        <f t="array" ref="F289">SUMPRODUCT((pat_tech_poste_03[[client]:[client]]=syndicat_etude)*(pat_tech_poste_03[[annee]:[annee]]=F$283)*(pat_tech_poste_03[nbr_postes_cabines_hautes_sup_40ans]))</f>
        <v>86764</v>
      </c>
      <c r="G289" s="93" cm="1">
        <f t="array" ref="G289">SUMPRODUCT((pat_tech_poste_03[[client]:[client]]=syndicat_etude)*(pat_tech_poste_03[[annee]:[annee]]=G$283)*(pat_tech_poste_03[nbr_postes_cabines_hautes_sup_40ans]))</f>
        <v>80442</v>
      </c>
    </row>
    <row r="290" spans="1:8" ht="15" customHeight="1" x14ac:dyDescent="0.25">
      <c r="B290" s="287" t="s">
        <v>318</v>
      </c>
      <c r="C290" s="11" cm="1">
        <f t="array" ref="C290">SUMPRODUCT((pat_tech_poste_03[[client]:[client]]=syndicat_etude)*(pat_tech_poste_03[[annee]:[annee]]=C$283)*(pat_tech_poste_03[nbr_postes_cabines_basses_sup_40ans]))</f>
        <v>0</v>
      </c>
      <c r="D290" s="11" cm="1">
        <f t="array" ref="D290">SUMPRODUCT((pat_tech_poste_03[[client]:[client]]=syndicat_etude)*(pat_tech_poste_03[[annee]:[annee]]=D$283)*(pat_tech_poste_03[nbr_postes_cabines_basses_sup_40ans]))</f>
        <v>0</v>
      </c>
      <c r="E290" s="11" cm="1">
        <f t="array" ref="E290">SUMPRODUCT((pat_tech_poste_03[[client]:[client]]=syndicat_etude)*(pat_tech_poste_03[[annee]:[annee]]=E$283)*(pat_tech_poste_03[nbr_postes_cabines_basses_sup_40ans]))</f>
        <v>0</v>
      </c>
      <c r="F290" s="11" cm="1">
        <f t="array" ref="F290">SUMPRODUCT((pat_tech_poste_03[[client]:[client]]=syndicat_etude)*(pat_tech_poste_03[[annee]:[annee]]=F$283)*(pat_tech_poste_03[nbr_postes_cabines_basses_sup_40ans]))</f>
        <v>0</v>
      </c>
      <c r="G290" s="93" cm="1">
        <f t="array" ref="G290">SUMPRODUCT((pat_tech_poste_03[[client]:[client]]=syndicat_etude)*(pat_tech_poste_03[[annee]:[annee]]=G$283)*(pat_tech_poste_03[nbr_postes_cabines_basses_sup_40ans]))</f>
        <v>0</v>
      </c>
    </row>
    <row r="291" spans="1:8" ht="15" customHeight="1" x14ac:dyDescent="0.25">
      <c r="B291" s="301" t="s">
        <v>319</v>
      </c>
      <c r="C291" s="560" cm="1">
        <f t="array" ref="C291">SUMPRODUCT((pat_tech_poste_03[[client]:[client]]=syndicat_etude)*(pat_tech_poste_03[[annee]:[annee]]=C$283)*(pat_tech_poste_03[round]))</f>
        <v>0.31080000000000002</v>
      </c>
      <c r="D291" s="560" cm="1">
        <f t="array" ref="D291">SUMPRODUCT((pat_tech_poste_03[[client]:[client]]=syndicat_etude)*(pat_tech_poste_03[[annee]:[annee]]=D$283)*(pat_tech_poste_03[round]))</f>
        <v>0.32290000000000002</v>
      </c>
      <c r="E291" s="560" cm="1">
        <f t="array" ref="E291">SUMPRODUCT((pat_tech_poste_03[[client]:[client]]=syndicat_etude)*(pat_tech_poste_03[[annee]:[annee]]=E$283)*(pat_tech_poste_03[round]))</f>
        <v>0.33600000000000002</v>
      </c>
      <c r="F291" s="560" cm="1">
        <f t="array" ref="F291">SUMPRODUCT((pat_tech_poste_03[[client]:[client]]=syndicat_etude)*(pat_tech_poste_03[[annee]:[annee]]=F$283)*(pat_tech_poste_03[round]))</f>
        <v>0.35489999999999999</v>
      </c>
      <c r="G291" s="561" cm="1">
        <f t="array" ref="G291">SUMPRODUCT((pat_tech_poste_03[[client]:[client]]=syndicat_etude)*(pat_tech_poste_03[[annee]:[annee]]=G$283)*(pat_tech_poste_03[round]))</f>
        <v>0.3725</v>
      </c>
    </row>
    <row r="292" spans="1:8" ht="15" customHeight="1" x14ac:dyDescent="0.25">
      <c r="A292" s="28"/>
      <c r="B292" s="672" t="s">
        <v>320</v>
      </c>
      <c r="C292" s="673" cm="1">
        <f t="array" ref="C292">SUMPRODUCT((pat_tech_poste_03[[client]:[client]]=syndicat_etude)*(pat_tech_poste_03[[annee]:[annee]]=C$283)*(pat_tech_poste_03[taux_poste_sup_40ans_nat]))</f>
        <v>0.28492709714069303</v>
      </c>
      <c r="D292" s="673" cm="1">
        <f t="array" ref="D292">SUMPRODUCT((pat_tech_poste_03[[client]:[client]]=syndicat_etude)*(pat_tech_poste_03[[annee]:[annee]]=D$283)*(pat_tech_poste_03[taux_poste_sup_40ans_nat]))</f>
        <v>0.30976624244068773</v>
      </c>
      <c r="E292" s="673" cm="1">
        <f t="array" ref="E292">SUMPRODUCT((pat_tech_poste_03[[client]:[client]]=syndicat_etude)*(pat_tech_poste_03[[annee]:[annee]]=E$283)*(pat_tech_poste_03[taux_poste_sup_40ans_nat]))</f>
        <v>0.32209178135718319</v>
      </c>
      <c r="F292" s="673" cm="1">
        <f t="array" ref="F292">SUMPRODUCT((pat_tech_poste_03[[client]:[client]]=syndicat_etude)*(pat_tech_poste_03[[annee]:[annee]]=F$283)*(pat_tech_poste_03[taux_poste_sup_40ans_nat]))</f>
        <v>0.33193911706120827</v>
      </c>
      <c r="G292" s="674" cm="1">
        <f t="array" ref="G292">SUMPRODUCT((pat_tech_poste_03[[client]:[client]]=syndicat_etude)*(pat_tech_poste_03[[annee]:[annee]]=G$283)*(pat_tech_poste_03[taux_poste_sup_40ans_nat]))</f>
        <v>0.35073388751912044</v>
      </c>
      <c r="H292" s="65" t="s">
        <v>135</v>
      </c>
    </row>
    <row r="293" spans="1:8" ht="15" customHeight="1" x14ac:dyDescent="0.25">
      <c r="B293" s="50" t="s">
        <v>321</v>
      </c>
      <c r="C293" s="11" cm="1">
        <f t="array" ref="C293">SUMPRODUCT((pat_tech_poste_03[[client]:[client]]=syndicat_etude)*(pat_tech_poste_03[[annee]:[annee]]=C$283)*(pat_tech_poste_03[nbr_postes_cabines_basses_sup_50ans]))</f>
        <v>154089</v>
      </c>
      <c r="D293" s="11" cm="1">
        <f t="array" ref="D293">SUMPRODUCT((pat_tech_poste_03[[client]:[client]]=syndicat_etude)*(pat_tech_poste_03[[annee]:[annee]]=D$283)*(pat_tech_poste_03[nbr_postes_cabines_basses_sup_50ans]))</f>
        <v>180049</v>
      </c>
      <c r="E293" s="11" cm="1">
        <f t="array" ref="E293">SUMPRODUCT((pat_tech_poste_03[[client]:[client]]=syndicat_etude)*(pat_tech_poste_03[[annee]:[annee]]=E$283)*(pat_tech_poste_03[nbr_postes_cabines_basses_sup_50ans]))</f>
        <v>211596</v>
      </c>
      <c r="F293" s="11" cm="1">
        <f t="array" ref="F293">SUMPRODUCT((pat_tech_poste_03[[client]:[client]]=syndicat_etude)*(pat_tech_poste_03[[annee]:[annee]]=F$283)*(pat_tech_poste_03[nbr_postes_cabines_basses_sup_50ans]))</f>
        <v>212930</v>
      </c>
      <c r="G293" s="93" cm="1">
        <f t="array" ref="G293">SUMPRODUCT((pat_tech_poste_03[[client]:[client]]=syndicat_etude)*(pat_tech_poste_03[[annee]:[annee]]=G$283)*(pat_tech_poste_03[nbr_postes_cabines_basses_sup_50ans]))</f>
        <v>231732</v>
      </c>
    </row>
    <row r="294" spans="1:8" ht="15" customHeight="1" x14ac:dyDescent="0.25">
      <c r="B294" s="53" t="s">
        <v>322</v>
      </c>
      <c r="C294" s="94" cm="1">
        <f t="array" ref="C294">SUMPRODUCT((pat_tech_poste_03[[client]:[client]]=syndicat_etude)*(pat_tech_poste_03[[annee]:[annee]]=C$283)*(pat_tech_poste_03[nbr_postes_cabines_basses_sup_60ans]))</f>
        <v>19316</v>
      </c>
      <c r="D294" s="94" cm="1">
        <f t="array" ref="D294">SUMPRODUCT((pat_tech_poste_03[[client]:[client]]=syndicat_etude)*(pat_tech_poste_03[[annee]:[annee]]=D$283)*(pat_tech_poste_03[nbr_postes_cabines_basses_sup_60ans]))</f>
        <v>22899</v>
      </c>
      <c r="E294" s="94" cm="1">
        <f t="array" ref="E294">SUMPRODUCT((pat_tech_poste_03[[client]:[client]]=syndicat_etude)*(pat_tech_poste_03[[annee]:[annee]]=E$283)*(pat_tech_poste_03[nbr_postes_cabines_basses_sup_60ans]))</f>
        <v>29106</v>
      </c>
      <c r="F294" s="94" cm="1">
        <f t="array" ref="F294">SUMPRODUCT((pat_tech_poste_03[[client]:[client]]=syndicat_etude)*(pat_tech_poste_03[[annee]:[annee]]=F$283)*(pat_tech_poste_03[nbr_postes_cabines_basses_sup_60ans]))</f>
        <v>30646</v>
      </c>
      <c r="G294" s="95" cm="1">
        <f t="array" ref="G294">SUMPRODUCT((pat_tech_poste_03[[client]:[client]]=syndicat_etude)*(pat_tech_poste_03[[annee]:[annee]]=G$283)*(pat_tech_poste_03[nbr_postes_cabines_basses_sup_60ans]))</f>
        <v>34317</v>
      </c>
    </row>
    <row r="296" spans="1:8" ht="40.15" customHeight="1" x14ac:dyDescent="0.25">
      <c r="A296" s="25" t="s">
        <v>323</v>
      </c>
      <c r="B296" s="66" t="s">
        <v>324</v>
      </c>
      <c r="C296" s="74" t="s">
        <v>325</v>
      </c>
      <c r="D296" s="74" t="s">
        <v>326</v>
      </c>
      <c r="E296" s="74" t="s">
        <v>327</v>
      </c>
      <c r="F296" s="75" t="s">
        <v>328</v>
      </c>
    </row>
    <row r="297" spans="1:8" ht="15" customHeight="1" x14ac:dyDescent="0.25">
      <c r="B297" s="50" t="s">
        <v>329</v>
      </c>
      <c r="C297" s="11" cm="1">
        <f t="array" ref="C297">SUMPRODUCT((pat_tech_poste_04[[client]:[client]]=syndicat_etude)*(pat_tech_poste_04[[annee]:[annee]]=annee_CRAC)*(pat_tech_poste_04[[type_poste]:[type_poste]]=$B297)*(pat_tech_poste_04[nbr_postes]))</f>
        <v>1311</v>
      </c>
      <c r="D297" s="7" cm="1">
        <f t="array" ref="D297">SUMPRODUCT((pat_tech_poste_04[[client]:[client]]=syndicat_etude)*(pat_tech_poste_04[[annee]:[annee]]=annee_CRAC)*(pat_tech_poste_04[[type_poste]:[type_poste]]=$B297)*(pat_tech_poste_04[age_moyen]))</f>
        <v>40.299999999999997</v>
      </c>
      <c r="E297" s="11" cm="1">
        <f t="array" ref="E297">SUMPRODUCT((pat_tech_poste_04[[client]:[client]]=syndicat_etude)*(pat_tech_poste_04[[annee]:[annee]]=annee_CRAC)*(pat_tech_poste_04[[type_poste]:[type_poste]]=$B297)*(pat_tech_poste_04[nbr_sup_40ans_hors_1946]))</f>
        <v>729</v>
      </c>
      <c r="F297" s="93" cm="1">
        <f t="array" ref="F297">SUMPRODUCT((pat_tech_poste_04[[client]:[client]]=syndicat_etude)*(pat_tech_poste_04[[annee]:[annee]]=annee_CRAC)*(pat_tech_poste_04[[type_poste]:[type_poste]]=$B297)*(pat_tech_poste_04[nbr_sup_40ans_1946]))</f>
        <v>2</v>
      </c>
    </row>
    <row r="298" spans="1:8" ht="15" customHeight="1" x14ac:dyDescent="0.25">
      <c r="B298" s="50" t="s">
        <v>330</v>
      </c>
      <c r="C298" s="11" cm="1">
        <f t="array" ref="C298">SUMPRODUCT((pat_tech_poste_04[[client]:[client]]=syndicat_etude)*(pat_tech_poste_04[[annee]:[annee]]=annee_CRAC)*(pat_tech_poste_04[[type_poste]:[type_poste]]=$B298)*(pat_tech_poste_04[nbr_postes]))</f>
        <v>1103</v>
      </c>
      <c r="D298" s="7" cm="1">
        <f t="array" ref="D298">SUMPRODUCT((pat_tech_poste_04[[client]:[client]]=syndicat_etude)*(pat_tech_poste_04[[annee]:[annee]]=annee_CRAC)*(pat_tech_poste_04[[type_poste]:[type_poste]]=$B298)*(pat_tech_poste_04[age_moyen]))</f>
        <v>23.2</v>
      </c>
      <c r="E298" s="11" cm="1">
        <f t="array" ref="E298">SUMPRODUCT((pat_tech_poste_04[[client]:[client]]=syndicat_etude)*(pat_tech_poste_04[[annee]:[annee]]=annee_CRAC)*(pat_tech_poste_04[[type_poste]:[type_poste]]=$B298)*(pat_tech_poste_04[nbr_sup_40ans_hors_1946]))</f>
        <v>72</v>
      </c>
      <c r="F298" s="93" cm="1">
        <f t="array" ref="F298">SUMPRODUCT((pat_tech_poste_04[[client]:[client]]=syndicat_etude)*(pat_tech_poste_04[[annee]:[annee]]=annee_CRAC)*(pat_tech_poste_04[[type_poste]:[type_poste]]=$B298)*(pat_tech_poste_04[nbr_sup_40ans_1946]))</f>
        <v>1</v>
      </c>
    </row>
    <row r="299" spans="1:8" ht="15" customHeight="1" x14ac:dyDescent="0.25">
      <c r="B299" s="50" t="s">
        <v>331</v>
      </c>
      <c r="C299" s="11" cm="1">
        <f t="array" ref="C299">SUMPRODUCT((pat_tech_poste_04[[client]:[client]]=syndicat_etude)*(pat_tech_poste_04[[annee]:[annee]]=annee_CRAC)*(pat_tech_poste_04[[type_poste]:[type_poste]]=$B299)*(pat_tech_poste_04[nbr_postes]))</f>
        <v>230</v>
      </c>
      <c r="D299" s="7" cm="1">
        <f t="array" ref="D299">SUMPRODUCT((pat_tech_poste_04[[client]:[client]]=syndicat_etude)*(pat_tech_poste_04[[annee]:[annee]]=annee_CRAC)*(pat_tech_poste_04[[type_poste]:[type_poste]]=$B299)*(pat_tech_poste_04[age_moyen]))</f>
        <v>38.700000000000003</v>
      </c>
      <c r="E299" s="11" cm="1">
        <f t="array" ref="E299">SUMPRODUCT((pat_tech_poste_04[[client]:[client]]=syndicat_etude)*(pat_tech_poste_04[[annee]:[annee]]=annee_CRAC)*(pat_tech_poste_04[[type_poste]:[type_poste]]=$B299)*(pat_tech_poste_04[nbr_sup_40ans_hors_1946]))</f>
        <v>102</v>
      </c>
      <c r="F299" s="93" cm="1">
        <f t="array" ref="F299">SUMPRODUCT((pat_tech_poste_04[[client]:[client]]=syndicat_etude)*(pat_tech_poste_04[[annee]:[annee]]=annee_CRAC)*(pat_tech_poste_04[[type_poste]:[type_poste]]=$B299)*(pat_tech_poste_04[nbr_sup_40ans_1946]))</f>
        <v>0</v>
      </c>
    </row>
    <row r="300" spans="1:8" ht="15" customHeight="1" x14ac:dyDescent="0.25">
      <c r="B300" s="50" t="s">
        <v>332</v>
      </c>
      <c r="C300" s="11" cm="1">
        <f t="array" ref="C300">SUMPRODUCT((pat_tech_poste_04[[client]:[client]]=syndicat_etude)*(pat_tech_poste_04[[annee]:[annee]]=annee_CRAC)*(pat_tech_poste_04[[type_poste]:[type_poste]]=$B300)*(pat_tech_poste_04[nbr_postes]))</f>
        <v>520</v>
      </c>
      <c r="D300" s="7" cm="1">
        <f t="array" ref="D300">SUMPRODUCT((pat_tech_poste_04[[client]:[client]]=syndicat_etude)*(pat_tech_poste_04[[annee]:[annee]]=annee_CRAC)*(pat_tech_poste_04[[type_poste]:[type_poste]]=$B300)*(pat_tech_poste_04[age_moyen]))</f>
        <v>42.1</v>
      </c>
      <c r="E300" s="11" cm="1">
        <f t="array" ref="E300">SUMPRODUCT((pat_tech_poste_04[[client]:[client]]=syndicat_etude)*(pat_tech_poste_04[[annee]:[annee]]=annee_CRAC)*(pat_tech_poste_04[[type_poste]:[type_poste]]=$B300)*(pat_tech_poste_04[nbr_sup_40ans_hors_1946]))</f>
        <v>329</v>
      </c>
      <c r="F300" s="93" cm="1">
        <f t="array" ref="F300">SUMPRODUCT((pat_tech_poste_04[[client]:[client]]=syndicat_etude)*(pat_tech_poste_04[[annee]:[annee]]=annee_CRAC)*(pat_tech_poste_04[[type_poste]:[type_poste]]=$B300)*(pat_tech_poste_04[nbr_sup_40ans_1946]))</f>
        <v>1</v>
      </c>
    </row>
    <row r="301" spans="1:8" ht="15" customHeight="1" x14ac:dyDescent="0.25">
      <c r="B301" s="50" t="s">
        <v>333</v>
      </c>
      <c r="C301" s="11" cm="1">
        <f t="array" ref="C301">SUMPRODUCT((pat_tech_poste_04[[client]:[client]]=syndicat_etude)*(pat_tech_poste_04[[annee]:[annee]]=annee_CRAC)*(pat_tech_poste_04[[type_poste]:[type_poste]]=$B301)*(pat_tech_poste_04[nbr_postes]))</f>
        <v>200</v>
      </c>
      <c r="D301" s="7" cm="1">
        <f t="array" ref="D301">SUMPRODUCT((pat_tech_poste_04[[client]:[client]]=syndicat_etude)*(pat_tech_poste_04[[annee]:[annee]]=annee_CRAC)*(pat_tech_poste_04[[type_poste]:[type_poste]]=$B301)*(pat_tech_poste_04[age_moyen]))</f>
        <v>35.200000000000003</v>
      </c>
      <c r="E301" s="11" cm="1">
        <f t="array" ref="E301">SUMPRODUCT((pat_tech_poste_04[[client]:[client]]=syndicat_etude)*(pat_tech_poste_04[[annee]:[annee]]=annee_CRAC)*(pat_tech_poste_04[[type_poste]:[type_poste]]=$B301)*(pat_tech_poste_04[nbr_sup_40ans_hors_1946]))</f>
        <v>57</v>
      </c>
      <c r="F301" s="93" cm="1">
        <f t="array" ref="F301">SUMPRODUCT((pat_tech_poste_04[[client]:[client]]=syndicat_etude)*(pat_tech_poste_04[[annee]:[annee]]=annee_CRAC)*(pat_tech_poste_04[[type_poste]:[type_poste]]=$B301)*(pat_tech_poste_04[nbr_sup_40ans_1946]))</f>
        <v>0</v>
      </c>
    </row>
    <row r="302" spans="1:8" ht="15" customHeight="1" x14ac:dyDescent="0.25">
      <c r="B302" s="50" t="s">
        <v>334</v>
      </c>
      <c r="C302" s="11" cm="1">
        <f t="array" ref="C302">SUMPRODUCT((pat_tech_poste_04[[client]:[client]]=syndicat_etude)*(pat_tech_poste_04[[annee]:[annee]]=annee_CRAC)*(pat_tech_poste_04[[type_poste]:[type_poste]]=$B302)*(pat_tech_poste_04[nbr_postes]))</f>
        <v>208</v>
      </c>
      <c r="D302" s="7" cm="1">
        <f t="array" ref="D302">SUMPRODUCT((pat_tech_poste_04[[client]:[client]]=syndicat_etude)*(pat_tech_poste_04[[annee]:[annee]]=annee_CRAC)*(pat_tech_poste_04[[type_poste]:[type_poste]]=$B302)*(pat_tech_poste_04[age_moyen]))</f>
        <v>10.3</v>
      </c>
      <c r="E302" s="11" cm="1">
        <f t="array" ref="E302">SUMPRODUCT((pat_tech_poste_04[[client]:[client]]=syndicat_etude)*(pat_tech_poste_04[[annee]:[annee]]=annee_CRAC)*(pat_tech_poste_04[[type_poste]:[type_poste]]=$B302)*(pat_tech_poste_04[nbr_sup_40ans_hors_1946]))</f>
        <v>4</v>
      </c>
      <c r="F302" s="93" cm="1">
        <f t="array" ref="F302">SUMPRODUCT((pat_tech_poste_04[[client]:[client]]=syndicat_etude)*(pat_tech_poste_04[[annee]:[annee]]=annee_CRAC)*(pat_tech_poste_04[[type_poste]:[type_poste]]=$B302)*(pat_tech_poste_04[nbr_sup_40ans_1946]))</f>
        <v>0</v>
      </c>
    </row>
    <row r="303" spans="1:8" ht="15" customHeight="1" x14ac:dyDescent="0.25">
      <c r="B303" s="50" t="s">
        <v>335</v>
      </c>
      <c r="C303" s="11" cm="1">
        <f t="array" ref="C303">SUMPRODUCT((pat_tech_poste_04[[client]:[client]]=syndicat_etude)*(pat_tech_poste_04[[annee]:[annee]]=annee_CRAC)*(pat_tech_poste_04[[type_poste]:[type_poste]]=$B303)*(pat_tech_poste_04[nbr_postes]))</f>
        <v>98</v>
      </c>
      <c r="D303" s="7" cm="1">
        <f t="array" ref="D303">SUMPRODUCT((pat_tech_poste_04[[client]:[client]]=syndicat_etude)*(pat_tech_poste_04[[annee]:[annee]]=annee_CRAC)*(pat_tech_poste_04[[type_poste]:[type_poste]]=$B303)*(pat_tech_poste_04[age_moyen]))</f>
        <v>33.799999999999997</v>
      </c>
      <c r="E303" s="11" cm="1">
        <f t="array" ref="E303">SUMPRODUCT((pat_tech_poste_04[[client]:[client]]=syndicat_etude)*(pat_tech_poste_04[[annee]:[annee]]=annee_CRAC)*(pat_tech_poste_04[[type_poste]:[type_poste]]=$B303)*(pat_tech_poste_04[nbr_sup_40ans_hors_1946]))</f>
        <v>14</v>
      </c>
      <c r="F303" s="93" cm="1">
        <f t="array" ref="F303">SUMPRODUCT((pat_tech_poste_04[[client]:[client]]=syndicat_etude)*(pat_tech_poste_04[[annee]:[annee]]=annee_CRAC)*(pat_tech_poste_04[[type_poste]:[type_poste]]=$B303)*(pat_tech_poste_04[nbr_sup_40ans_1946]))</f>
        <v>0</v>
      </c>
    </row>
    <row r="304" spans="1:8" ht="15" customHeight="1" x14ac:dyDescent="0.25">
      <c r="B304" s="50" t="s">
        <v>336</v>
      </c>
      <c r="C304" s="11" cm="1">
        <f t="array" ref="C304">SUMPRODUCT((pat_tech_poste_04[[client]:[client]]=syndicat_etude)*(pat_tech_poste_04[[annee]:[annee]]=annee_CRAC)*(pat_tech_poste_04[[type_poste]:[type_poste]]=$B304)*(pat_tech_poste_04[nbr_postes]))</f>
        <v>61</v>
      </c>
      <c r="D304" s="7" cm="1">
        <f t="array" ref="D304">SUMPRODUCT((pat_tech_poste_04[[client]:[client]]=syndicat_etude)*(pat_tech_poste_04[[annee]:[annee]]=annee_CRAC)*(pat_tech_poste_04[[type_poste]:[type_poste]]=$B304)*(pat_tech_poste_04[age_moyen]))</f>
        <v>22.9</v>
      </c>
      <c r="E304" s="11" cm="1">
        <f t="array" ref="E304">SUMPRODUCT((pat_tech_poste_04[[client]:[client]]=syndicat_etude)*(pat_tech_poste_04[[annee]:[annee]]=annee_CRAC)*(pat_tech_poste_04[[type_poste]:[type_poste]]=$B304)*(pat_tech_poste_04[nbr_sup_40ans_hors_1946]))</f>
        <v>0</v>
      </c>
      <c r="F304" s="93" cm="1">
        <f t="array" ref="F304">SUMPRODUCT((pat_tech_poste_04[[client]:[client]]=syndicat_etude)*(pat_tech_poste_04[[annee]:[annee]]=annee_CRAC)*(pat_tech_poste_04[[type_poste]:[type_poste]]=$B304)*(pat_tech_poste_04[nbr_sup_40ans_1946]))</f>
        <v>0</v>
      </c>
    </row>
    <row r="305" spans="1:12" ht="15" customHeight="1" x14ac:dyDescent="0.25">
      <c r="B305" s="50" t="s">
        <v>337</v>
      </c>
      <c r="C305" s="11" cm="1">
        <f t="array" ref="C305">SUMPRODUCT((pat_tech_poste_04[[client]:[client]]=syndicat_etude)*(pat_tech_poste_04[[annee]:[annee]]=annee_CRAC)*(pat_tech_poste_04[[type_poste]:[type_poste]]=$B305)*(pat_tech_poste_04[nbr_postes]))</f>
        <v>118</v>
      </c>
      <c r="D305" s="7" cm="1">
        <f t="array" ref="D305">SUMPRODUCT((pat_tech_poste_04[[client]:[client]]=syndicat_etude)*(pat_tech_poste_04[[annee]:[annee]]=annee_CRAC)*(pat_tech_poste_04[[type_poste]:[type_poste]]=$B305)*(pat_tech_poste_04[age_moyen]))</f>
        <v>9.1999999999999993</v>
      </c>
      <c r="E305" s="11" cm="1">
        <f t="array" ref="E305">SUMPRODUCT((pat_tech_poste_04[[client]:[client]]=syndicat_etude)*(pat_tech_poste_04[[annee]:[annee]]=annee_CRAC)*(pat_tech_poste_04[[type_poste]:[type_poste]]=$B305)*(pat_tech_poste_04[nbr_sup_40ans_hors_1946]))</f>
        <v>4</v>
      </c>
      <c r="F305" s="93" cm="1">
        <f t="array" ref="F305">SUMPRODUCT((pat_tech_poste_04[[client]:[client]]=syndicat_etude)*(pat_tech_poste_04[[annee]:[annee]]=annee_CRAC)*(pat_tech_poste_04[[type_poste]:[type_poste]]=$B305)*(pat_tech_poste_04[nbr_sup_40ans_1946]))</f>
        <v>0</v>
      </c>
    </row>
    <row r="306" spans="1:12" ht="15" customHeight="1" x14ac:dyDescent="0.25">
      <c r="B306" s="50" t="s">
        <v>338</v>
      </c>
      <c r="C306" s="11" cm="1">
        <f t="array" ref="C306">SUMPRODUCT((pat_tech_poste_04[[client]:[client]]=syndicat_etude)*(pat_tech_poste_04[[annee]:[annee]]=annee_CRAC)*(pat_tech_poste_04[[type_poste]:[type_poste]]=$B306)*(pat_tech_poste_04[nbr_postes]))</f>
        <v>223</v>
      </c>
      <c r="D306" s="7" cm="1">
        <f t="array" ref="D306">SUMPRODUCT((pat_tech_poste_04[[client]:[client]]=syndicat_etude)*(pat_tech_poste_04[[annee]:[annee]]=annee_CRAC)*(pat_tech_poste_04[[type_poste]:[type_poste]]=$B306)*(pat_tech_poste_04[age_moyen]))</f>
        <v>53.1</v>
      </c>
      <c r="E306" s="11" cm="1">
        <f t="array" ref="E306">SUMPRODUCT((pat_tech_poste_04[[client]:[client]]=syndicat_etude)*(pat_tech_poste_04[[annee]:[annee]]=annee_CRAC)*(pat_tech_poste_04[[type_poste]:[type_poste]]=$B306)*(pat_tech_poste_04[nbr_sup_40ans_hors_1946]))</f>
        <v>215</v>
      </c>
      <c r="F306" s="93" cm="1">
        <f t="array" ref="F306">SUMPRODUCT((pat_tech_poste_04[[client]:[client]]=syndicat_etude)*(pat_tech_poste_04[[annee]:[annee]]=annee_CRAC)*(pat_tech_poste_04[[type_poste]:[type_poste]]=$B306)*(pat_tech_poste_04[nbr_sup_40ans_1946]))</f>
        <v>3</v>
      </c>
    </row>
    <row r="307" spans="1:12" ht="15" customHeight="1" x14ac:dyDescent="0.25">
      <c r="B307" s="50" t="s">
        <v>339</v>
      </c>
      <c r="C307" s="11" cm="1">
        <f t="array" ref="C307">SUMPRODUCT((pat_tech_poste_04[[client]:[client]]=syndicat_etude)*(pat_tech_poste_04[[annee]:[annee]]=annee_CRAC)*(pat_tech_poste_04[[type_poste]:[type_poste]]=$B307)*(pat_tech_poste_04[nbr_postes]))</f>
        <v>3</v>
      </c>
      <c r="D307" s="7" cm="1">
        <f t="array" ref="D307">SUMPRODUCT((pat_tech_poste_04[[client]:[client]]=syndicat_etude)*(pat_tech_poste_04[[annee]:[annee]]=annee_CRAC)*(pat_tech_poste_04[[type_poste]:[type_poste]]=$B307)*(pat_tech_poste_04[age_moyen]))</f>
        <v>50</v>
      </c>
      <c r="E307" s="11" cm="1">
        <f t="array" ref="E307">SUMPRODUCT((pat_tech_poste_04[[client]:[client]]=syndicat_etude)*(pat_tech_poste_04[[annee]:[annee]]=annee_CRAC)*(pat_tech_poste_04[[type_poste]:[type_poste]]=$B307)*(pat_tech_poste_04[nbr_sup_40ans_hors_1946]))</f>
        <v>3</v>
      </c>
      <c r="F307" s="93" cm="1">
        <f t="array" ref="F307">SUMPRODUCT((pat_tech_poste_04[[client]:[client]]=syndicat_etude)*(pat_tech_poste_04[[annee]:[annee]]=annee_CRAC)*(pat_tech_poste_04[[type_poste]:[type_poste]]=$B307)*(pat_tech_poste_04[nbr_sup_40ans_1946]))</f>
        <v>0</v>
      </c>
    </row>
    <row r="308" spans="1:12" ht="15" customHeight="1" x14ac:dyDescent="0.25">
      <c r="B308" s="50" t="s">
        <v>340</v>
      </c>
      <c r="C308" s="11" cm="1">
        <f t="array" ref="C308">SUMPRODUCT((pat_tech_poste_04[[client]:[client]]=syndicat_etude)*(pat_tech_poste_04[[annee]:[annee]]=annee_CRAC)*(pat_tech_poste_04[[type_poste]:[type_poste]]=$B308)*(pat_tech_poste_04[nbr_postes]))</f>
        <v>50</v>
      </c>
      <c r="D308" s="7" cm="1">
        <f t="array" ref="D308">SUMPRODUCT((pat_tech_poste_04[[client]:[client]]=syndicat_etude)*(pat_tech_poste_04[[annee]:[annee]]=annee_CRAC)*(pat_tech_poste_04[[type_poste]:[type_poste]]=$B308)*(pat_tech_poste_04[age_moyen]))</f>
        <v>3.3</v>
      </c>
      <c r="E308" s="11" cm="1">
        <f t="array" ref="E308">SUMPRODUCT((pat_tech_poste_04[[client]:[client]]=syndicat_etude)*(pat_tech_poste_04[[annee]:[annee]]=annee_CRAC)*(pat_tech_poste_04[[type_poste]:[type_poste]]=$B308)*(pat_tech_poste_04[nbr_sup_40ans_hors_1946]))</f>
        <v>0</v>
      </c>
      <c r="F308" s="93" cm="1">
        <f t="array" ref="F308">SUMPRODUCT((pat_tech_poste_04[[client]:[client]]=syndicat_etude)*(pat_tech_poste_04[[annee]:[annee]]=annee_CRAC)*(pat_tech_poste_04[[type_poste]:[type_poste]]=$B308)*(pat_tech_poste_04[nbr_sup_40ans_1946]))</f>
        <v>0</v>
      </c>
    </row>
    <row r="309" spans="1:12" ht="15" customHeight="1" x14ac:dyDescent="0.25">
      <c r="B309" s="50" t="s">
        <v>341</v>
      </c>
      <c r="C309" s="11" cm="1">
        <f t="array" ref="C309">SUMPRODUCT((pat_tech_poste_04[[client]:[client]]=syndicat_etude)*(pat_tech_poste_04[[annee]:[annee]]=annee_CRAC)*(pat_tech_poste_04[[type_poste]:[type_poste]]=$B309)*(pat_tech_poste_04[nbr_postes]))</f>
        <v>3</v>
      </c>
      <c r="D309" s="7" cm="1">
        <f t="array" ref="D309">SUMPRODUCT((pat_tech_poste_04[[client]:[client]]=syndicat_etude)*(pat_tech_poste_04[[annee]:[annee]]=annee_CRAC)*(pat_tech_poste_04[[type_poste]:[type_poste]]=$B309)*(pat_tech_poste_04[age_moyen]))</f>
        <v>36.299999999999997</v>
      </c>
      <c r="E309" s="11" cm="1">
        <f t="array" ref="E309">SUMPRODUCT((pat_tech_poste_04[[client]:[client]]=syndicat_etude)*(pat_tech_poste_04[[annee]:[annee]]=annee_CRAC)*(pat_tech_poste_04[[type_poste]:[type_poste]]=$B309)*(pat_tech_poste_04[nbr_sup_40ans_hors_1946]))</f>
        <v>2</v>
      </c>
      <c r="F309" s="93" cm="1">
        <f t="array" ref="F309">SUMPRODUCT((pat_tech_poste_04[[client]:[client]]=syndicat_etude)*(pat_tech_poste_04[[annee]:[annee]]=annee_CRAC)*(pat_tech_poste_04[[type_poste]:[type_poste]]=$B309)*(pat_tech_poste_04[nbr_sup_40ans_1946]))</f>
        <v>0</v>
      </c>
    </row>
    <row r="310" spans="1:12" ht="15" customHeight="1" x14ac:dyDescent="0.25">
      <c r="B310" s="50" t="s">
        <v>342</v>
      </c>
      <c r="C310" s="11" cm="1">
        <f t="array" ref="C310">SUMPRODUCT((pat_tech_poste_04[[client]:[client]]=syndicat_etude)*(pat_tech_poste_04[[annee]:[annee]]=annee_CRAC)*(pat_tech_poste_04[[type_poste]:[type_poste]]=$B310)*(pat_tech_poste_04[nbr_postes]))</f>
        <v>0</v>
      </c>
      <c r="D310" s="7" cm="1">
        <f t="array" ref="D310">SUMPRODUCT((pat_tech_poste_04[[client]:[client]]=syndicat_etude)*(pat_tech_poste_04[[annee]:[annee]]=annee_CRAC)*(pat_tech_poste_04[[type_poste]:[type_poste]]=$B310)*(pat_tech_poste_04[age_moyen]))</f>
        <v>0</v>
      </c>
      <c r="E310" s="11" cm="1">
        <f t="array" ref="E310">SUMPRODUCT((pat_tech_poste_04[[client]:[client]]=syndicat_etude)*(pat_tech_poste_04[[annee]:[annee]]=annee_CRAC)*(pat_tech_poste_04[[type_poste]:[type_poste]]=$B310)*(pat_tech_poste_04[nbr_sup_40ans_hors_1946]))</f>
        <v>0</v>
      </c>
      <c r="F310" s="93" cm="1">
        <f t="array" ref="F310">SUMPRODUCT((pat_tech_poste_04[[client]:[client]]=syndicat_etude)*(pat_tech_poste_04[[annee]:[annee]]=annee_CRAC)*(pat_tech_poste_04[[type_poste]:[type_poste]]=$B310)*(pat_tech_poste_04[nbr_sup_40ans_1946]))</f>
        <v>0</v>
      </c>
    </row>
    <row r="311" spans="1:12" ht="15" customHeight="1" x14ac:dyDescent="0.25">
      <c r="B311" s="50" t="s">
        <v>343</v>
      </c>
      <c r="C311" s="11" cm="1">
        <f t="array" ref="C311">SUMPRODUCT((pat_tech_poste_04[[client]:[client]]=syndicat_etude)*(pat_tech_poste_04[[annee]:[annee]]=annee_CRAC)*(pat_tech_poste_04[[type_poste]:[type_poste]]=$B311)*(pat_tech_poste_04[nbr_postes]))</f>
        <v>9</v>
      </c>
      <c r="D311" s="7" cm="1">
        <f t="array" ref="D311">SUMPRODUCT((pat_tech_poste_04[[client]:[client]]=syndicat_etude)*(pat_tech_poste_04[[annee]:[annee]]=annee_CRAC)*(pat_tech_poste_04[[type_poste]:[type_poste]]=$B311)*(pat_tech_poste_04[age_moyen]))</f>
        <v>38.700000000000003</v>
      </c>
      <c r="E311" s="11" cm="1">
        <f t="array" ref="E311">SUMPRODUCT((pat_tech_poste_04[[client]:[client]]=syndicat_etude)*(pat_tech_poste_04[[annee]:[annee]]=annee_CRAC)*(pat_tech_poste_04[[type_poste]:[type_poste]]=$B311)*(pat_tech_poste_04[nbr_sup_40ans_hors_1946]))</f>
        <v>3</v>
      </c>
      <c r="F311" s="93" cm="1">
        <f t="array" ref="F311">SUMPRODUCT((pat_tech_poste_04[[client]:[client]]=syndicat_etude)*(pat_tech_poste_04[[annee]:[annee]]=annee_CRAC)*(pat_tech_poste_04[[type_poste]:[type_poste]]=$B311)*(pat_tech_poste_04[nbr_sup_40ans_1946]))</f>
        <v>0</v>
      </c>
    </row>
    <row r="312" spans="1:12" ht="15" customHeight="1" x14ac:dyDescent="0.25">
      <c r="B312" s="50" t="s">
        <v>344</v>
      </c>
      <c r="C312" s="11" cm="1">
        <f t="array" ref="C312">SUMPRODUCT((pat_tech_poste_04[[client]:[client]]=syndicat_etude)*(pat_tech_poste_04[[annee]:[annee]]=annee_CRAC)*(pat_tech_poste_04[[type_poste]:[type_poste]]=$B312)*(pat_tech_poste_04[nbr_postes]))</f>
        <v>0</v>
      </c>
      <c r="D312" s="7" cm="1">
        <f t="array" ref="D312">SUMPRODUCT((pat_tech_poste_04[[client]:[client]]=syndicat_etude)*(pat_tech_poste_04[[annee]:[annee]]=annee_CRAC)*(pat_tech_poste_04[[type_poste]:[type_poste]]=$B312)*(pat_tech_poste_04[age_moyen]))</f>
        <v>0</v>
      </c>
      <c r="E312" s="11" cm="1">
        <f t="array" ref="E312">SUMPRODUCT((pat_tech_poste_04[[client]:[client]]=syndicat_etude)*(pat_tech_poste_04[[annee]:[annee]]=annee_CRAC)*(pat_tech_poste_04[[type_poste]:[type_poste]]=$B312)*(pat_tech_poste_04[nbr_sup_40ans_hors_1946]))</f>
        <v>0</v>
      </c>
      <c r="F312" s="93" cm="1">
        <f t="array" ref="F312">SUMPRODUCT((pat_tech_poste_04[[client]:[client]]=syndicat_etude)*(pat_tech_poste_04[[annee]:[annee]]=annee_CRAC)*(pat_tech_poste_04[[type_poste]:[type_poste]]=$B312)*(pat_tech_poste_04[nbr_sup_40ans_1946]))</f>
        <v>0</v>
      </c>
    </row>
    <row r="313" spans="1:12" ht="15" customHeight="1" x14ac:dyDescent="0.25">
      <c r="B313" s="50" t="s">
        <v>345</v>
      </c>
      <c r="C313" s="11" cm="1">
        <f t="array" ref="C313">SUMPRODUCT((pat_tech_poste_04[[client]:[client]]=syndicat_etude)*(pat_tech_poste_04[[annee]:[annee]]=annee_CRAC)*(pat_tech_poste_04[[type_poste]:[type_poste]]=$B313)*(pat_tech_poste_04[nbr_postes]))</f>
        <v>0</v>
      </c>
      <c r="D313" s="7" cm="1">
        <f t="array" ref="D313">SUMPRODUCT((pat_tech_poste_04[[client]:[client]]=syndicat_etude)*(pat_tech_poste_04[[annee]:[annee]]=annee_CRAC)*(pat_tech_poste_04[[type_poste]:[type_poste]]=$B313)*(pat_tech_poste_04[age_moyen]))</f>
        <v>0</v>
      </c>
      <c r="E313" s="11" cm="1">
        <f t="array" ref="E313">SUMPRODUCT((pat_tech_poste_04[[client]:[client]]=syndicat_etude)*(pat_tech_poste_04[[annee]:[annee]]=annee_CRAC)*(pat_tech_poste_04[[type_poste]:[type_poste]]=$B313)*(pat_tech_poste_04[nbr_sup_40ans_hors_1946]))</f>
        <v>0</v>
      </c>
      <c r="F313" s="93" cm="1">
        <f t="array" ref="F313">SUMPRODUCT((pat_tech_poste_04[[client]:[client]]=syndicat_etude)*(pat_tech_poste_04[[annee]:[annee]]=annee_CRAC)*(pat_tech_poste_04[[type_poste]:[type_poste]]=$B313)*(pat_tech_poste_04[nbr_sup_40ans_1946]))</f>
        <v>0</v>
      </c>
    </row>
    <row r="314" spans="1:12" ht="15" customHeight="1" x14ac:dyDescent="0.25">
      <c r="B314" s="50" t="s">
        <v>346</v>
      </c>
      <c r="C314" s="11" cm="1">
        <f t="array" ref="C314">SUMPRODUCT((pat_tech_poste_04[[client]:[client]]=syndicat_etude)*(pat_tech_poste_04[[annee]:[annee]]=annee_CRAC)*(pat_tech_poste_04[[type_poste]:[type_poste]]=$B314)*(pat_tech_poste_04[nbr_postes]))</f>
        <v>0</v>
      </c>
      <c r="D314" s="7" cm="1">
        <f t="array" ref="D314">SUMPRODUCT((pat_tech_poste_04[[client]:[client]]=syndicat_etude)*(pat_tech_poste_04[[annee]:[annee]]=annee_CRAC)*(pat_tech_poste_04[[type_poste]:[type_poste]]=$B314)*(pat_tech_poste_04[age_moyen]))</f>
        <v>0</v>
      </c>
      <c r="E314" s="11" cm="1">
        <f t="array" ref="E314">SUMPRODUCT((pat_tech_poste_04[[client]:[client]]=syndicat_etude)*(pat_tech_poste_04[[annee]:[annee]]=annee_CRAC)*(pat_tech_poste_04[[type_poste]:[type_poste]]=$B314)*(pat_tech_poste_04[nbr_sup_40ans_hors_1946]))</f>
        <v>0</v>
      </c>
      <c r="F314" s="93" cm="1">
        <f t="array" ref="F314">SUMPRODUCT((pat_tech_poste_04[[client]:[client]]=syndicat_etude)*(pat_tech_poste_04[[annee]:[annee]]=annee_CRAC)*(pat_tech_poste_04[[type_poste]:[type_poste]]=$B314)*(pat_tech_poste_04[nbr_sup_40ans_1946]))</f>
        <v>0</v>
      </c>
    </row>
    <row r="315" spans="1:12" ht="15" customHeight="1" x14ac:dyDescent="0.25">
      <c r="B315" s="131" t="s">
        <v>182</v>
      </c>
      <c r="C315" s="141" cm="1">
        <f t="array" ref="C315">SUMPRODUCT((pat_tech_poste_04[[client]:[client]]=syndicat_etude)*(pat_tech_poste_04[[annee]:[annee]]=annee_CRAC)*(pat_tech_poste_04[[type_poste]:[type_poste]]=$B315)*(pat_tech_poste_04[nbr_postes]))</f>
        <v>4137</v>
      </c>
      <c r="D315" s="132" cm="1">
        <f t="array" ref="D315">SUMPRODUCT((pat_tech_poste_04[[client]:[client]]=syndicat_etude)*(pat_tech_poste_04[[annee]:[annee]]=annee_CRAC)*(pat_tech_poste_04[[type_poste]:[type_poste]]=$B315)*(pat_tech_poste_04[age_moyen]))</f>
        <v>33.1</v>
      </c>
      <c r="E315" s="141">
        <f>SUM(E297:E314)</f>
        <v>1534</v>
      </c>
      <c r="F315" s="146">
        <f>SUM(F297:F314)</f>
        <v>7</v>
      </c>
    </row>
    <row r="317" spans="1:12" ht="30" customHeight="1" x14ac:dyDescent="0.25">
      <c r="A317" s="548" t="s">
        <v>347</v>
      </c>
      <c r="B317" s="54" t="s">
        <v>348</v>
      </c>
      <c r="C317" s="763" cm="1">
        <f t="array" ref="C317">Exercice[Exercice N-4]</f>
        <v>2019</v>
      </c>
      <c r="D317" s="763"/>
      <c r="E317" s="764" cm="1">
        <f t="array" ref="E317">Exercice[Exercice N-3]</f>
        <v>2020</v>
      </c>
      <c r="F317" s="764"/>
      <c r="G317" s="764" cm="1">
        <f t="array" ref="G317">Exercice[Exercice N-2]</f>
        <v>2021</v>
      </c>
      <c r="H317" s="764"/>
      <c r="I317" s="764" cm="1">
        <f t="array" ref="I317">Exercice[Exercice N-1]</f>
        <v>2022</v>
      </c>
      <c r="J317" s="764"/>
      <c r="K317" s="764" cm="1">
        <f t="array" ref="K317">Exercice[Exercice N]</f>
        <v>2023</v>
      </c>
      <c r="L317" s="765"/>
    </row>
    <row r="318" spans="1:12" ht="15" customHeight="1" x14ac:dyDescent="0.25">
      <c r="B318" s="61" t="s">
        <v>349</v>
      </c>
      <c r="C318" s="761" cm="1">
        <f t="array" ref="C318">SUMPRODUCT((pat_tech_poste_06[[client]:[client]]=syndicat_etude)*(pat_tech_poste_06[[annee]:[annee]]=Exercice[[Exercice N-4]:[Exercice N-4]])*(pat_tech_poste_06[nbr_total]))</f>
        <v>4016</v>
      </c>
      <c r="D318" s="761"/>
      <c r="E318" s="761" cm="1">
        <f t="array" ref="E318">SUMPRODUCT((pat_tech_poste_06[[client]:[client]]=syndicat_etude)*(pat_tech_poste_06[[annee]:[annee]]=Exercice[[Exercice N-3]:[Exercice N-3]])*(pat_tech_poste_06[nbr_total]))</f>
        <v>4032</v>
      </c>
      <c r="F318" s="761"/>
      <c r="G318" s="761" cm="1">
        <f t="array" ref="G318">SUMPRODUCT((pat_tech_poste_06[[client]:[client]]=syndicat_etude)*(pat_tech_poste_06[[annee]:[annee]]=Exercice[[Exercice N-2]:[Exercice N-2]])*(pat_tech_poste_06[nbr_total]))</f>
        <v>4059</v>
      </c>
      <c r="H318" s="761"/>
      <c r="I318" s="761" cm="1">
        <f t="array" ref="I318">SUMPRODUCT((pat_tech_poste_06[[client]:[client]]=syndicat_etude)*(pat_tech_poste_06[[annee]:[annee]]=Exercice[[Exercice N-1]:[Exercice N-1]])*(pat_tech_poste_06[nbr_total]))</f>
        <v>4089</v>
      </c>
      <c r="J318" s="761"/>
      <c r="K318" s="761" cm="1">
        <f t="array" ref="K318">SUMPRODUCT((pat_tech_poste_06[[client]:[client]]=syndicat_etude)*(pat_tech_poste_06[[annee]:[annee]]=Exercice[[Exercice N]:[Exercice N]])*(pat_tech_poste_06[nbr_total]))</f>
        <v>4137</v>
      </c>
      <c r="L318" s="762"/>
    </row>
    <row r="319" spans="1:12" ht="15" customHeight="1" x14ac:dyDescent="0.25">
      <c r="B319" s="53" t="s">
        <v>350</v>
      </c>
      <c r="C319" s="759" cm="1">
        <f t="array" ref="C319">SUMPRODUCT((pat_tech_poste_06[[client]:[client]]=syndicat_etude)*(pat_tech_poste_06[[annee]:[annee]]=Exercice[[Exercice N-4]:[Exercice N-4]])*(pat_tech_poste_06[age_moyen]))</f>
        <v>30.7</v>
      </c>
      <c r="D319" s="759"/>
      <c r="E319" s="759" cm="1">
        <f t="array" ref="E319">SUMPRODUCT((pat_tech_poste_06[[client]:[client]]=syndicat_etude)*(pat_tech_poste_06[[annee]:[annee]]=Exercice[[Exercice N-3]:[Exercice N-3]])*(pat_tech_poste_06[age_moyen]))</f>
        <v>31.4</v>
      </c>
      <c r="F319" s="759"/>
      <c r="G319" s="759" cm="1">
        <f t="array" ref="G319">SUMPRODUCT((pat_tech_poste_06[[client]:[client]]=syndicat_etude)*(pat_tech_poste_06[[annee]:[annee]]=Exercice[[Exercice N-2]:[Exercice N-2]])*(pat_tech_poste_06[age_moyen]))</f>
        <v>32.1</v>
      </c>
      <c r="H319" s="759"/>
      <c r="I319" s="759" cm="1">
        <f t="array" ref="I319">SUMPRODUCT((pat_tech_poste_06[[client]:[client]]=syndicat_etude)*(pat_tech_poste_06[[annee]:[annee]]=Exercice[[Exercice N-1]:[Exercice N-1]])*(pat_tech_poste_06[age_moyen]))</f>
        <v>32.700000000000003</v>
      </c>
      <c r="J319" s="759"/>
      <c r="K319" s="759" cm="1">
        <f t="array" ref="K319">SUMPRODUCT((pat_tech_poste_06[[client]:[client]]=syndicat_etude)*(pat_tech_poste_06[[annee]:[annee]]=Exercice[[Exercice N]:[Exercice N]])*(pat_tech_poste_06[age_moyen]))</f>
        <v>33.1</v>
      </c>
      <c r="L319" s="760"/>
    </row>
    <row r="320" spans="1:12" ht="15" customHeight="1" x14ac:dyDescent="0.25">
      <c r="B320" s="50" t="s">
        <v>229</v>
      </c>
      <c r="C320" s="114" cm="1">
        <f t="array" ref="C320">SUMPRODUCT((pat_tech_poste_06[[client]:[client]]=syndicat_etude)*(pat_tech_poste_06[[annee]:[annee]]=Exercice[[Exercice N-4]:[Exercice N-4]])*(pat_tech_poste_06[nbr_inf_10_ans]))</f>
        <v>482</v>
      </c>
      <c r="D320" s="135" cm="1">
        <f t="array" ref="D320">SUMPRODUCT((pat_tech_poste_06[[client]:[client]]=syndicat_etude)*(pat_tech_poste_06[[annee]:[annee]]=Exercice[[Exercice N-4]:[Exercice N-4]])*(pat_tech_poste_06[pourcent_nbr_inf_10_ans]))</f>
        <v>0.12</v>
      </c>
      <c r="E320" s="118" cm="1">
        <f t="array" ref="E320">SUMPRODUCT((pat_tech_poste_06[[client]:[client]]=syndicat_etude)*(pat_tech_poste_06[[annee]:[annee]]=Exercice[[Exercice N-3]:[Exercice N-3]])*(pat_tech_poste_06[nbr_inf_10_ans]))</f>
        <v>478</v>
      </c>
      <c r="F320" s="147" cm="1">
        <f t="array" ref="F320">SUMPRODUCT((pat_tech_poste_06[[client]:[client]]=syndicat_etude)*(pat_tech_poste_06[[annee]:[annee]]=Exercice[[Exercice N-3]:[Exercice N-3]])*(pat_tech_poste_06[pourcent_nbr_inf_10_ans]))</f>
        <v>0.1186</v>
      </c>
      <c r="G320" s="118" cm="1">
        <f t="array" ref="G320">SUMPRODUCT((pat_tech_poste_06[[client]:[client]]=syndicat_etude)*(pat_tech_poste_06[[annee]:[annee]]=Exercice[[Exercice N-2]:[Exercice N-2]])*(pat_tech_poste_06[nbr_inf_10_ans]))</f>
        <v>453</v>
      </c>
      <c r="H320" s="147" cm="1">
        <f t="array" ref="H320">SUMPRODUCT((pat_tech_poste_06[[client]:[client]]=syndicat_etude)*(pat_tech_poste_06[[annee]:[annee]]=Exercice[[Exercice N-2]:[Exercice N-2]])*(pat_tech_poste_06[pourcent_nbr_inf_10_ans]))</f>
        <v>0.1116</v>
      </c>
      <c r="I320" s="118" cm="1">
        <f t="array" ref="I320">SUMPRODUCT((pat_tech_poste_06[[client]:[client]]=syndicat_etude)*(pat_tech_poste_06[[annee]:[annee]]=Exercice[[Exercice N-1]:[Exercice N-1]])*(pat_tech_poste_06[nbr_inf_10_ans]))</f>
        <v>423</v>
      </c>
      <c r="J320" s="147" cm="1">
        <f t="array" ref="J320">SUMPRODUCT((pat_tech_poste_06[[client]:[client]]=syndicat_etude)*(pat_tech_poste_06[[annee]:[annee]]=Exercice[[Exercice N-1]:[Exercice N-1]])*(pat_tech_poste_06[pourcent_nbr_inf_10_ans]))</f>
        <v>0.10340000000000001</v>
      </c>
      <c r="K320" s="114" cm="1">
        <f t="array" ref="K320">SUMPRODUCT((pat_tech_poste_06[[client]:[client]]=syndicat_etude)*(pat_tech_poste_06[[annee]:[annee]]=Exercice[[Exercice N]:[Exercice N]])*(pat_tech_poste_06[nbr_inf_10_ans]))</f>
        <v>441</v>
      </c>
      <c r="L320" s="137" cm="1">
        <f t="array" ref="L320">SUMPRODUCT((pat_tech_poste_06[[client]:[client]]=syndicat_etude)*(pat_tech_poste_06[[annee]:[annee]]=Exercice[[Exercice N]:[Exercice N]])*(pat_tech_poste_06[pourcent_nbr_inf_10_ans]))</f>
        <v>0.1066</v>
      </c>
    </row>
    <row r="321" spans="1:13" ht="15" customHeight="1" x14ac:dyDescent="0.25">
      <c r="B321" s="50" t="s">
        <v>230</v>
      </c>
      <c r="C321" s="114" cm="1">
        <f t="array" ref="C321">SUMPRODUCT((pat_tech_poste_06[[client]:[client]]=syndicat_etude)*(pat_tech_poste_06[[annee]:[annee]]=Exercice[[Exercice N-4]:[Exercice N-4]])*(pat_tech_poste_06[nbr_btw_10_20_ans]))</f>
        <v>492</v>
      </c>
      <c r="D321" s="135" cm="1">
        <f t="array" ref="D321">SUMPRODUCT((pat_tech_poste_06[[client]:[client]]=syndicat_etude)*(pat_tech_poste_06[[annee]:[annee]]=Exercice[[Exercice N-4]:[Exercice N-4]])*(pat_tech_poste_06[pourcent_nbr_btw_10_20_ans]))</f>
        <v>0.1225</v>
      </c>
      <c r="E321" s="116" cm="1">
        <f t="array" ref="E321">SUMPRODUCT((pat_tech_poste_06[[client]:[client]]=syndicat_etude)*(pat_tech_poste_06[[annee]:[annee]]=Exercice[[Exercice N-3]:[Exercice N-3]])*(pat_tech_poste_06[nbr_btw_10_20_ans]))</f>
        <v>444</v>
      </c>
      <c r="F321" s="137" cm="1">
        <f t="array" ref="F321">SUMPRODUCT((pat_tech_poste_06[[client]:[client]]=syndicat_etude)*(pat_tech_poste_06[[annee]:[annee]]=Exercice[[Exercice N-3]:[Exercice N-3]])*(pat_tech_poste_06[pourcent_nbr_btw_10_20_ans]))</f>
        <v>0.1101</v>
      </c>
      <c r="G321" s="116" cm="1">
        <f t="array" ref="G321">SUMPRODUCT((pat_tech_poste_06[[client]:[client]]=syndicat_etude)*(pat_tech_poste_06[[annee]:[annee]]=Exercice[[Exercice N-2]:[Exercice N-2]])*(pat_tech_poste_06[nbr_btw_10_20_ans]))</f>
        <v>442</v>
      </c>
      <c r="H321" s="137" cm="1">
        <f t="array" ref="H321">SUMPRODUCT((pat_tech_poste_06[[client]:[client]]=syndicat_etude)*(pat_tech_poste_06[[annee]:[annee]]=Exercice[[Exercice N-2]:[Exercice N-2]])*(pat_tech_poste_06[pourcent_nbr_btw_10_20_ans]))</f>
        <v>0.1089</v>
      </c>
      <c r="I321" s="116" cm="1">
        <f t="array" ref="I321">SUMPRODUCT((pat_tech_poste_06[[client]:[client]]=syndicat_etude)*(pat_tech_poste_06[[annee]:[annee]]=Exercice[[Exercice N-1]:[Exercice N-1]])*(pat_tech_poste_06[nbr_btw_10_20_ans]))</f>
        <v>457</v>
      </c>
      <c r="J321" s="137" cm="1">
        <f t="array" ref="J321">SUMPRODUCT((pat_tech_poste_06[[client]:[client]]=syndicat_etude)*(pat_tech_poste_06[[annee]:[annee]]=Exercice[[Exercice N-1]:[Exercice N-1]])*(pat_tech_poste_06[pourcent_nbr_btw_10_20_ans]))</f>
        <v>0.1118</v>
      </c>
      <c r="K321" s="114" cm="1">
        <f t="array" ref="K321">SUMPRODUCT((pat_tech_poste_06[[client]:[client]]=syndicat_etude)*(pat_tech_poste_06[[annee]:[annee]]=Exercice[[Exercice N]:[Exercice N]])*(pat_tech_poste_06[nbr_btw_10_20_ans]))</f>
        <v>464</v>
      </c>
      <c r="L321" s="137" cm="1">
        <f t="array" ref="L321">SUMPRODUCT((pat_tech_poste_06[[client]:[client]]=syndicat_etude)*(pat_tech_poste_06[[annee]:[annee]]=Exercice[[Exercice N]:[Exercice N]])*(pat_tech_poste_06[pourcent_nbr_btw_10_20_ans]))</f>
        <v>0.11219999999999999</v>
      </c>
    </row>
    <row r="322" spans="1:13" ht="15" customHeight="1" x14ac:dyDescent="0.25">
      <c r="B322" s="50" t="s">
        <v>231</v>
      </c>
      <c r="C322" s="114" cm="1">
        <f t="array" ref="C322">SUMPRODUCT((pat_tech_poste_06[[client]:[client]]=syndicat_etude)*(pat_tech_poste_06[[annee]:[annee]]=Exercice[[Exercice N-4]:[Exercice N-4]])*(pat_tech_poste_06[nbr_btw_20_30_ans]))</f>
        <v>808</v>
      </c>
      <c r="D322" s="135" cm="1">
        <f t="array" ref="D322">SUMPRODUCT((pat_tech_poste_06[[client]:[client]]=syndicat_etude)*(pat_tech_poste_06[[annee]:[annee]]=Exercice[[Exercice N-4]:[Exercice N-4]])*(pat_tech_poste_06[pourcent_nbr_btw_20_30_ans]))</f>
        <v>0.20119999999999999</v>
      </c>
      <c r="E322" s="116" cm="1">
        <f t="array" ref="E322">SUMPRODUCT((pat_tech_poste_06[[client]:[client]]=syndicat_etude)*(pat_tech_poste_06[[annee]:[annee]]=Exercice[[Exercice N-3]:[Exercice N-3]])*(pat_tech_poste_06[nbr_btw_20_30_ans]))</f>
        <v>798</v>
      </c>
      <c r="F322" s="137" cm="1">
        <f t="array" ref="F322">SUMPRODUCT((pat_tech_poste_06[[client]:[client]]=syndicat_etude)*(pat_tech_poste_06[[annee]:[annee]]=Exercice[[Exercice N-3]:[Exercice N-3]])*(pat_tech_poste_06[pourcent_nbr_btw_20_30_ans]))</f>
        <v>0.19789999999999999</v>
      </c>
      <c r="G322" s="116" cm="1">
        <f t="array" ref="G322">SUMPRODUCT((pat_tech_poste_06[[client]:[client]]=syndicat_etude)*(pat_tech_poste_06[[annee]:[annee]]=Exercice[[Exercice N-2]:[Exercice N-2]])*(pat_tech_poste_06[nbr_btw_20_30_ans]))</f>
        <v>757</v>
      </c>
      <c r="H322" s="137" cm="1">
        <f t="array" ref="H322">SUMPRODUCT((pat_tech_poste_06[[client]:[client]]=syndicat_etude)*(pat_tech_poste_06[[annee]:[annee]]=Exercice[[Exercice N-2]:[Exercice N-2]])*(pat_tech_poste_06[pourcent_nbr_btw_20_30_ans]))</f>
        <v>0.1865</v>
      </c>
      <c r="I322" s="116" cm="1">
        <f t="array" ref="I322">SUMPRODUCT((pat_tech_poste_06[[client]:[client]]=syndicat_etude)*(pat_tech_poste_06[[annee]:[annee]]=Exercice[[Exercice N-1]:[Exercice N-1]])*(pat_tech_poste_06[nbr_btw_20_30_ans]))</f>
        <v>736</v>
      </c>
      <c r="J322" s="137" cm="1">
        <f t="array" ref="J322">SUMPRODUCT((pat_tech_poste_06[[client]:[client]]=syndicat_etude)*(pat_tech_poste_06[[annee]:[annee]]=Exercice[[Exercice N-1]:[Exercice N-1]])*(pat_tech_poste_06[pourcent_nbr_btw_20_30_ans]))</f>
        <v>0.18</v>
      </c>
      <c r="K322" s="114" cm="1">
        <f t="array" ref="K322">SUMPRODUCT((pat_tech_poste_06[[client]:[client]]=syndicat_etude)*(pat_tech_poste_06[[annee]:[annee]]=Exercice[[Exercice N]:[Exercice N]])*(pat_tech_poste_06[nbr_btw_20_30_ans]))</f>
        <v>702</v>
      </c>
      <c r="L322" s="137" cm="1">
        <f t="array" ref="L322">SUMPRODUCT((pat_tech_poste_06[[client]:[client]]=syndicat_etude)*(pat_tech_poste_06[[annee]:[annee]]=Exercice[[Exercice N]:[Exercice N]])*(pat_tech_poste_06[pourcent_nbr_btw_20_30_ans]))</f>
        <v>0.16969999999999999</v>
      </c>
    </row>
    <row r="323" spans="1:13" ht="15" customHeight="1" x14ac:dyDescent="0.25">
      <c r="B323" s="50" t="s">
        <v>232</v>
      </c>
      <c r="C323" s="114" cm="1">
        <f t="array" ref="C323">SUMPRODUCT((pat_tech_poste_06[[client]:[client]]=syndicat_etude)*(pat_tech_poste_06[[annee]:[annee]]=Exercice[[Exercice N-4]:[Exercice N-4]])*(pat_tech_poste_06[nbr_btw_30_40_ans]))</f>
        <v>986</v>
      </c>
      <c r="D323" s="135" cm="1">
        <f t="array" ref="D323">SUMPRODUCT((pat_tech_poste_06[[client]:[client]]=syndicat_etude)*(pat_tech_poste_06[[annee]:[annee]]=Exercice[[Exercice N-4]:[Exercice N-4]])*(pat_tech_poste_06[pourcent_nbr_btw_30_40_ans]))</f>
        <v>0.2455</v>
      </c>
      <c r="E323" s="116" cm="1">
        <f t="array" ref="E323">SUMPRODUCT((pat_tech_poste_06[[client]:[client]]=syndicat_etude)*(pat_tech_poste_06[[annee]:[annee]]=Exercice[[Exercice N-3]:[Exercice N-3]])*(pat_tech_poste_06[nbr_btw_30_40_ans]))</f>
        <v>1010</v>
      </c>
      <c r="F323" s="137" cm="1">
        <f t="array" ref="F323">SUMPRODUCT((pat_tech_poste_06[[client]:[client]]=syndicat_etude)*(pat_tech_poste_06[[annee]:[annee]]=Exercice[[Exercice N-3]:[Exercice N-3]])*(pat_tech_poste_06[pourcent_nbr_btw_30_40_ans]))</f>
        <v>0.2505</v>
      </c>
      <c r="G323" s="116" cm="1">
        <f t="array" ref="G323">SUMPRODUCT((pat_tech_poste_06[[client]:[client]]=syndicat_etude)*(pat_tech_poste_06[[annee]:[annee]]=Exercice[[Exercice N-2]:[Exercice N-2]])*(pat_tech_poste_06[nbr_btw_30_40_ans]))</f>
        <v>1043</v>
      </c>
      <c r="H323" s="137" cm="1">
        <f t="array" ref="H323">SUMPRODUCT((pat_tech_poste_06[[client]:[client]]=syndicat_etude)*(pat_tech_poste_06[[annee]:[annee]]=Exercice[[Exercice N-2]:[Exercice N-2]])*(pat_tech_poste_06[pourcent_nbr_btw_30_40_ans]))</f>
        <v>0.25700000000000001</v>
      </c>
      <c r="I323" s="116" cm="1">
        <f t="array" ref="I323">SUMPRODUCT((pat_tech_poste_06[[client]:[client]]=syndicat_etude)*(pat_tech_poste_06[[annee]:[annee]]=Exercice[[Exercice N-1]:[Exercice N-1]])*(pat_tech_poste_06[nbr_btw_30_40_ans]))</f>
        <v>1022</v>
      </c>
      <c r="J323" s="137" cm="1">
        <f t="array" ref="J323">SUMPRODUCT((pat_tech_poste_06[[client]:[client]]=syndicat_etude)*(pat_tech_poste_06[[annee]:[annee]]=Exercice[[Exercice N-1]:[Exercice N-1]])*(pat_tech_poste_06[pourcent_nbr_btw_30_40_ans]))</f>
        <v>0.24990000000000001</v>
      </c>
      <c r="K323" s="114" cm="1">
        <f t="array" ref="K323">SUMPRODUCT((pat_tech_poste_06[[client]:[client]]=syndicat_etude)*(pat_tech_poste_06[[annee]:[annee]]=Exercice[[Exercice N]:[Exercice N]])*(pat_tech_poste_06[nbr_btw_30_40_ans]))</f>
        <v>989</v>
      </c>
      <c r="L323" s="137" cm="1">
        <f t="array" ref="L323">SUMPRODUCT((pat_tech_poste_06[[client]:[client]]=syndicat_etude)*(pat_tech_poste_06[[annee]:[annee]]=Exercice[[Exercice N]:[Exercice N]])*(pat_tech_poste_06[pourcent_nbr_btw_30_40_ans]))</f>
        <v>0.23910000000000001</v>
      </c>
    </row>
    <row r="324" spans="1:13" ht="15" customHeight="1" x14ac:dyDescent="0.25">
      <c r="B324" s="50" t="s">
        <v>233</v>
      </c>
      <c r="C324" s="114" cm="1">
        <f t="array" ref="C324">SUMPRODUCT((pat_tech_poste_06[[client]:[client]]=syndicat_etude)*(pat_tech_poste_06[[annee]:[annee]]=Exercice[[Exercice N-4]:[Exercice N-4]])*(pat_tech_poste_06[nbr_btw_40_50_ans]))</f>
        <v>846</v>
      </c>
      <c r="D324" s="135" cm="1">
        <f t="array" ref="D324">SUMPRODUCT((pat_tech_poste_06[[client]:[client]]=syndicat_etude)*(pat_tech_poste_06[[annee]:[annee]]=Exercice[[Exercice N-4]:[Exercice N-4]])*(pat_tech_poste_06[pourcent_nbr_btw_40_50_ans]))</f>
        <v>0.2107</v>
      </c>
      <c r="E324" s="116" cm="1">
        <f t="array" ref="E324">SUMPRODUCT((pat_tech_poste_06[[client]:[client]]=syndicat_etude)*(pat_tech_poste_06[[annee]:[annee]]=Exercice[[Exercice N-3]:[Exercice N-3]])*(pat_tech_poste_06[nbr_btw_40_50_ans]))</f>
        <v>844</v>
      </c>
      <c r="F324" s="137" cm="1">
        <f t="array" ref="F324">SUMPRODUCT((pat_tech_poste_06[[client]:[client]]=syndicat_etude)*(pat_tech_poste_06[[annee]:[annee]]=Exercice[[Exercice N-3]:[Exercice N-3]])*(pat_tech_poste_06[pourcent_nbr_btw_40_50_ans]))</f>
        <v>0.20930000000000001</v>
      </c>
      <c r="G324" s="116" cm="1">
        <f t="array" ref="G324">SUMPRODUCT((pat_tech_poste_06[[client]:[client]]=syndicat_etude)*(pat_tech_poste_06[[annee]:[annee]]=Exercice[[Exercice N-2]:[Exercice N-2]])*(pat_tech_poste_06[nbr_btw_40_50_ans]))</f>
        <v>822</v>
      </c>
      <c r="H324" s="137" cm="1">
        <f t="array" ref="H324">SUMPRODUCT((pat_tech_poste_06[[client]:[client]]=syndicat_etude)*(pat_tech_poste_06[[annee]:[annee]]=Exercice[[Exercice N-2]:[Exercice N-2]])*(pat_tech_poste_06[pourcent_nbr_btw_40_50_ans]))</f>
        <v>0.20250000000000001</v>
      </c>
      <c r="I324" s="116" cm="1">
        <f t="array" ref="I324">SUMPRODUCT((pat_tech_poste_06[[client]:[client]]=syndicat_etude)*(pat_tech_poste_06[[annee]:[annee]]=Exercice[[Exercice N-1]:[Exercice N-1]])*(pat_tech_poste_06[nbr_btw_40_50_ans]))</f>
        <v>818</v>
      </c>
      <c r="J324" s="137" cm="1">
        <f t="array" ref="J324">SUMPRODUCT((pat_tech_poste_06[[client]:[client]]=syndicat_etude)*(pat_tech_poste_06[[annee]:[annee]]=Exercice[[Exercice N-1]:[Exercice N-1]])*(pat_tech_poste_06[pourcent_nbr_btw_40_50_ans]))</f>
        <v>0.2</v>
      </c>
      <c r="K324" s="114" cm="1">
        <f t="array" ref="K324">SUMPRODUCT((pat_tech_poste_06[[client]:[client]]=syndicat_etude)*(pat_tech_poste_06[[annee]:[annee]]=Exercice[[Exercice N]:[Exercice N]])*(pat_tech_poste_06[nbr_btw_40_50_ans]))</f>
        <v>804</v>
      </c>
      <c r="L324" s="137" cm="1">
        <f t="array" ref="L324">SUMPRODUCT((pat_tech_poste_06[[client]:[client]]=syndicat_etude)*(pat_tech_poste_06[[annee]:[annee]]=Exercice[[Exercice N]:[Exercice N]])*(pat_tech_poste_06[pourcent_nbr_btw_40_50_ans]))</f>
        <v>0.1943</v>
      </c>
    </row>
    <row r="325" spans="1:13" ht="15" customHeight="1" x14ac:dyDescent="0.25">
      <c r="B325" s="50" t="s">
        <v>234</v>
      </c>
      <c r="C325" s="114" cm="1">
        <f t="array" ref="C325">SUMPRODUCT((pat_tech_poste_06[[client]:[client]]=syndicat_etude)*(pat_tech_poste_06[[annee]:[annee]]=Exercice[[Exercice N-4]:[Exercice N-4]])*(pat_tech_poste_06[nbr_btw_50_60_ans]))</f>
        <v>351</v>
      </c>
      <c r="D325" s="135" cm="1">
        <f t="array" ref="D325">SUMPRODUCT((pat_tech_poste_06[[client]:[client]]=syndicat_etude)*(pat_tech_poste_06[[annee]:[annee]]=Exercice[[Exercice N-4]:[Exercice N-4]])*(pat_tech_poste_06[pourcent_nbr_btw_50_60_ans]))</f>
        <v>8.7400000000000005E-2</v>
      </c>
      <c r="E325" s="116" cm="1">
        <f t="array" ref="E325">SUMPRODUCT((pat_tech_poste_06[[client]:[client]]=syndicat_etude)*(pat_tech_poste_06[[annee]:[annee]]=Exercice[[Exercice N-3]:[Exercice N-3]])*(pat_tech_poste_06[nbr_btw_50_60_ans]))</f>
        <v>395</v>
      </c>
      <c r="F325" s="137" cm="1">
        <f t="array" ref="F325">SUMPRODUCT((pat_tech_poste_06[[client]:[client]]=syndicat_etude)*(pat_tech_poste_06[[annee]:[annee]]=Exercice[[Exercice N-3]:[Exercice N-3]])*(pat_tech_poste_06[pourcent_nbr_btw_50_60_ans]))</f>
        <v>9.8000000000000004E-2</v>
      </c>
      <c r="G325" s="116" cm="1">
        <f t="array" ref="G325">SUMPRODUCT((pat_tech_poste_06[[client]:[client]]=syndicat_etude)*(pat_tech_poste_06[[annee]:[annee]]=Exercice[[Exercice N-2]:[Exercice N-2]])*(pat_tech_poste_06[nbr_btw_50_60_ans]))</f>
        <v>465</v>
      </c>
      <c r="H325" s="137" cm="1">
        <f t="array" ref="H325">SUMPRODUCT((pat_tech_poste_06[[client]:[client]]=syndicat_etude)*(pat_tech_poste_06[[annee]:[annee]]=Exercice[[Exercice N-2]:[Exercice N-2]])*(pat_tech_poste_06[pourcent_nbr_btw_50_60_ans]))</f>
        <v>0.11459999999999999</v>
      </c>
      <c r="I325" s="116" cm="1">
        <f t="array" ref="I325">SUMPRODUCT((pat_tech_poste_06[[client]:[client]]=syndicat_etude)*(pat_tech_poste_06[[annee]:[annee]]=Exercice[[Exercice N-1]:[Exercice N-1]])*(pat_tech_poste_06[nbr_btw_50_60_ans]))</f>
        <v>539</v>
      </c>
      <c r="J325" s="137" cm="1">
        <f t="array" ref="J325">SUMPRODUCT((pat_tech_poste_06[[client]:[client]]=syndicat_etude)*(pat_tech_poste_06[[annee]:[annee]]=Exercice[[Exercice N-1]:[Exercice N-1]])*(pat_tech_poste_06[pourcent_nbr_btw_50_60_ans]))</f>
        <v>0.1318</v>
      </c>
      <c r="K325" s="114" cm="1">
        <f t="array" ref="K325">SUMPRODUCT((pat_tech_poste_06[[client]:[client]]=syndicat_etude)*(pat_tech_poste_06[[annee]:[annee]]=Exercice[[Exercice N]:[Exercice N]])*(pat_tech_poste_06[nbr_btw_50_60_ans]))</f>
        <v>634</v>
      </c>
      <c r="L325" s="137" cm="1">
        <f t="array" ref="L325">SUMPRODUCT((pat_tech_poste_06[[client]:[client]]=syndicat_etude)*(pat_tech_poste_06[[annee]:[annee]]=Exercice[[Exercice N]:[Exercice N]])*(pat_tech_poste_06[pourcent_nbr_btw_50_60_ans]))</f>
        <v>0.15329999999999999</v>
      </c>
    </row>
    <row r="326" spans="1:13" ht="15" customHeight="1" x14ac:dyDescent="0.25">
      <c r="B326" s="53" t="s">
        <v>235</v>
      </c>
      <c r="C326" s="115" cm="1">
        <f t="array" ref="C326">SUMPRODUCT((pat_tech_poste_06[[client]:[client]]=syndicat_etude)*(pat_tech_poste_06[[annee]:[annee]]=Exercice[[Exercice N-4]:[Exercice N-4]])*(pat_tech_poste_06[nbr_sup_60_ans]))</f>
        <v>51</v>
      </c>
      <c r="D326" s="136" cm="1">
        <f t="array" ref="D326">SUMPRODUCT((pat_tech_poste_06[[client]:[client]]=syndicat_etude)*(pat_tech_poste_06[[annee]:[annee]]=Exercice[[Exercice N-4]:[Exercice N-4]])*(pat_tech_poste_06[pourcent_sup_60_ans]))</f>
        <v>1.2699999999999999E-2</v>
      </c>
      <c r="E326" s="117" cm="1">
        <f t="array" ref="E326">SUMPRODUCT((pat_tech_poste_06[[client]:[client]]=syndicat_etude)*(pat_tech_poste_06[[annee]:[annee]]=Exercice[[Exercice N-3]:[Exercice N-3]])*(pat_tech_poste_06[nbr_sup_60_ans]))</f>
        <v>63</v>
      </c>
      <c r="F326" s="138" cm="1">
        <f t="array" ref="F326">SUMPRODUCT((pat_tech_poste_06[[client]:[client]]=syndicat_etude)*(pat_tech_poste_06[[annee]:[annee]]=Exercice[[Exercice N-3]:[Exercice N-3]])*(pat_tech_poste_06[pourcent_sup_60_ans]))</f>
        <v>1.5599999999999999E-2</v>
      </c>
      <c r="G326" s="117" cm="1">
        <f t="array" ref="G326">SUMPRODUCT((pat_tech_poste_06[[client]:[client]]=syndicat_etude)*(pat_tech_poste_06[[annee]:[annee]]=Exercice[[Exercice N-2]:[Exercice N-2]])*(pat_tech_poste_06[nbr_sup_60_ans]))</f>
        <v>77</v>
      </c>
      <c r="H326" s="138" cm="1">
        <f t="array" ref="H326">SUMPRODUCT((pat_tech_poste_06[[client]:[client]]=syndicat_etude)*(pat_tech_poste_06[[annee]:[annee]]=Exercice[[Exercice N-2]:[Exercice N-2]])*(pat_tech_poste_06[pourcent_sup_60_ans]))</f>
        <v>1.9E-2</v>
      </c>
      <c r="I326" s="117" cm="1">
        <f t="array" ref="I326">SUMPRODUCT((pat_tech_poste_06[[client]:[client]]=syndicat_etude)*(pat_tech_poste_06[[annee]:[annee]]=Exercice[[Exercice N-1]:[Exercice N-1]])*(pat_tech_poste_06[nbr_sup_60_ans]))</f>
        <v>94</v>
      </c>
      <c r="J326" s="138" cm="1">
        <f t="array" ref="J326">SUMPRODUCT((pat_tech_poste_06[[client]:[client]]=syndicat_etude)*(pat_tech_poste_06[[annee]:[annee]]=Exercice[[Exercice N-1]:[Exercice N-1]])*(pat_tech_poste_06[pourcent_sup_60_ans]))</f>
        <v>2.3E-2</v>
      </c>
      <c r="K326" s="115" cm="1">
        <f t="array" ref="K326">SUMPRODUCT((pat_tech_poste_06[[client]:[client]]=syndicat_etude)*(pat_tech_poste_06[[annee]:[annee]]=Exercice[[Exercice N]:[Exercice N]])*(pat_tech_poste_06[nbr_sup_60_ans]))</f>
        <v>103</v>
      </c>
      <c r="L326" s="138" cm="1">
        <f t="array" ref="L326">SUMPRODUCT((pat_tech_poste_06[[client]:[client]]=syndicat_etude)*(pat_tech_poste_06[[annee]:[annee]]=Exercice[[Exercice N]:[Exercice N]])*(pat_tech_poste_06[pourcent_sup_60_ans]))</f>
        <v>2.4899999999999999E-2</v>
      </c>
    </row>
    <row r="327" spans="1:13" ht="15" customHeight="1" x14ac:dyDescent="0.25">
      <c r="B327" s="658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</row>
    <row r="328" spans="1:13" ht="30" customHeight="1" x14ac:dyDescent="0.25">
      <c r="A328" s="479" t="s">
        <v>351</v>
      </c>
      <c r="B328" s="66" t="s">
        <v>352</v>
      </c>
      <c r="C328" s="67" cm="1">
        <f t="array" ref="C328">Exercice[Exercice N-4]</f>
        <v>2019</v>
      </c>
      <c r="D328" s="67" cm="1">
        <f t="array" ref="D328">Exercice[Exercice N-3]</f>
        <v>2020</v>
      </c>
      <c r="E328" s="67" cm="1">
        <f t="array" ref="E328">Exercice[Exercice N-2]</f>
        <v>2021</v>
      </c>
      <c r="F328" s="67" cm="1">
        <f t="array" ref="F328">Exercice[Exercice N-1]</f>
        <v>2022</v>
      </c>
      <c r="G328" s="69" cm="1">
        <f t="array" ref="G328">Exercice[Exercice N]</f>
        <v>2023</v>
      </c>
      <c r="H328" s="68" t="s">
        <v>273</v>
      </c>
    </row>
    <row r="329" spans="1:13" ht="15" customHeight="1" x14ac:dyDescent="0.25">
      <c r="A329" s="25" t="s">
        <v>353</v>
      </c>
      <c r="B329" s="255" t="s">
        <v>354</v>
      </c>
      <c r="C329" s="656" cm="1">
        <f t="array" ref="C329">SUMPRODUCT((pat_tech_transfo_03[[client]:[client]]=syndicat_etude)*(pat_tech_transfo_03[[annee]:[annee]]=Exercice[[Exercice N-4]:[Exercice N-4]])*(pat_tech_transfo_03[total]))</f>
        <v>4029</v>
      </c>
      <c r="D329" s="656" cm="1">
        <f t="array" ref="D329">SUMPRODUCT((pat_tech_transfo_03[[client]:[client]]=syndicat_etude)*(pat_tech_transfo_03[[annee]:[annee]]=Exercice[[Exercice N-3]:[Exercice N-3]])*(pat_tech_transfo_03[total]))</f>
        <v>4045</v>
      </c>
      <c r="E329" s="656" cm="1">
        <f t="array" ref="E329">SUMPRODUCT((pat_tech_transfo_03[[client]:[client]]=syndicat_etude)*(pat_tech_transfo_03[[annee]:[annee]]=Exercice[[Exercice N-2]:[Exercice N-2]])*(pat_tech_transfo_03[total]))</f>
        <v>4067</v>
      </c>
      <c r="F329" s="656" cm="1">
        <f t="array" ref="F329">SUMPRODUCT((pat_tech_transfo_03[[client]:[client]]=syndicat_etude)*(pat_tech_transfo_03[[annee]:[annee]]=Exercice[[Exercice N-1]:[Exercice N-1]])*(pat_tech_transfo_03[total]))</f>
        <v>4099</v>
      </c>
      <c r="G329" s="656" cm="1">
        <f t="array" ref="G329">SUMPRODUCT((pat_tech_transfo_03[[client]:[client]]=syndicat_etude)*(pat_tech_transfo_03[[annee]:[annee]]=Exercice[[Exercice N]:[Exercice N]])*(pat_tech_transfo_03[total]))</f>
        <v>4144</v>
      </c>
      <c r="H329" s="257">
        <f>IFERROR(G329/F329-1,"-")</f>
        <v>1.0978287387167551E-2</v>
      </c>
    </row>
    <row r="330" spans="1:13" ht="15" customHeight="1" x14ac:dyDescent="0.25">
      <c r="B330" s="51" t="s">
        <v>355</v>
      </c>
      <c r="C330" s="15" cm="1">
        <f t="array" ref="C330">SUMPRODUCT((pat_tech_transfo_03[[client]:[client]]=syndicat_etude)*(pat_tech_transfo_03[[annee]:[annee]]=Exercice[[Exercice N-4]:[Exercice N-4]])*(pat_tech_transfo_03[nbr_transfos_410_volt]))</f>
        <v>3805</v>
      </c>
      <c r="D330" s="15" cm="1">
        <f t="array" ref="D330">SUMPRODUCT((pat_tech_transfo_03[[client]:[client]]=syndicat_etude)*(pat_tech_transfo_03[[annee]:[annee]]=Exercice[[Exercice N-3]:[Exercice N-3]])*(pat_tech_transfo_03[nbr_transfos_410_volt]))</f>
        <v>3821</v>
      </c>
      <c r="E330" s="15" cm="1">
        <f t="array" ref="E330">SUMPRODUCT((pat_tech_transfo_03[[client]:[client]]=syndicat_etude)*(pat_tech_transfo_03[[annee]:[annee]]=Exercice[[Exercice N-2]:[Exercice N-2]])*(pat_tech_transfo_03[nbr_transfos_410_volt]))</f>
        <v>3846</v>
      </c>
      <c r="F330" s="15" cm="1">
        <f t="array" ref="F330">SUMPRODUCT((pat_tech_transfo_03[[client]:[client]]=syndicat_etude)*(pat_tech_transfo_03[[annee]:[annee]]=Exercice[[Exercice N-1]:[Exercice N-1]])*(pat_tech_transfo_03[nbr_transfos_410_volt]))</f>
        <v>3879</v>
      </c>
      <c r="G330" s="15" cm="1">
        <f t="array" ref="G330">SUMPRODUCT((pat_tech_transfo_03[[client]:[client]]=syndicat_etude)*(pat_tech_transfo_03[[annee]:[annee]]=Exercice[[Exercice N]:[Exercice N]])*(pat_tech_transfo_03[nbr_transfos_410_volt]))</f>
        <v>3926</v>
      </c>
      <c r="H330" s="120">
        <f>IFERROR(G330/F330-1,"-")</f>
        <v>1.2116524877545665E-2</v>
      </c>
    </row>
    <row r="331" spans="1:13" ht="15" customHeight="1" x14ac:dyDescent="0.25">
      <c r="B331" s="51" t="s">
        <v>356</v>
      </c>
      <c r="C331" s="15" cm="1">
        <f t="array" ref="C331">SUMPRODUCT((pat_tech_transfo_03[[client]:[client]]=syndicat_etude)*(pat_tech_transfo_03[[annee]:[annee]]=Exercice[[Exercice N-4]:[Exercice N-4]])*(pat_tech_transfo_03[nbr_transfos_400_volt]))</f>
        <v>224</v>
      </c>
      <c r="D331" s="15" cm="1">
        <f t="array" ref="D331">SUMPRODUCT((pat_tech_transfo_03[[client]:[client]]=syndicat_etude)*(pat_tech_transfo_03[[annee]:[annee]]=Exercice[[Exercice N-3]:[Exercice N-3]])*(pat_tech_transfo_03[nbr_transfos_400_volt]))</f>
        <v>224</v>
      </c>
      <c r="E331" s="15" cm="1">
        <f t="array" ref="E331">SUMPRODUCT((pat_tech_transfo_03[[client]:[client]]=syndicat_etude)*(pat_tech_transfo_03[[annee]:[annee]]=Exercice[[Exercice N-2]:[Exercice N-2]])*(pat_tech_transfo_03[nbr_transfos_400_volt]))</f>
        <v>221</v>
      </c>
      <c r="F331" s="15" cm="1">
        <f t="array" ref="F331">SUMPRODUCT((pat_tech_transfo_03[[client]:[client]]=syndicat_etude)*(pat_tech_transfo_03[[annee]:[annee]]=Exercice[[Exercice N-1]:[Exercice N-1]])*(pat_tech_transfo_03[nbr_transfos_400_volt]))</f>
        <v>220</v>
      </c>
      <c r="G331" s="15" cm="1">
        <f t="array" ref="G331">SUMPRODUCT((pat_tech_transfo_03[[client]:[client]]=syndicat_etude)*(pat_tech_transfo_03[[annee]:[annee]]=Exercice[[Exercice N]:[Exercice N]])*(pat_tech_transfo_03[nbr_transfos_400_volt]))</f>
        <v>218</v>
      </c>
      <c r="H331" s="120">
        <f>IFERROR(G331/F331-1,"-")</f>
        <v>-9.0909090909090384E-3</v>
      </c>
    </row>
    <row r="332" spans="1:13" ht="15" customHeight="1" x14ac:dyDescent="0.25">
      <c r="A332" s="28"/>
      <c r="B332" s="51" t="s">
        <v>357</v>
      </c>
      <c r="C332" s="657" cm="1">
        <f t="array" ref="C332">SUMPRODUCT((pat_tech_transfo_03[[client]:[client]]=syndicat_etude)*(pat_tech_transfo_03[[annee]:[annee]]=Exercice[[Exercice N-4]:[Exercice N-4]])*(pat_tech_transfo_03[nbr_transfo_15kvolt]))</f>
        <v>137</v>
      </c>
      <c r="D332" s="657" cm="1">
        <f t="array" ref="D332">SUMPRODUCT((pat_tech_transfo_03[[client]:[client]]=syndicat_etude)*(pat_tech_transfo_03[[annee]:[annee]]=Exercice[[Exercice N-3]:[Exercice N-3]])*(pat_tech_transfo_03[nbr_transfo_15kvolt]))</f>
        <v>142</v>
      </c>
      <c r="E332" s="657" cm="1">
        <f t="array" ref="E332">SUMPRODUCT((pat_tech_transfo_03[[client]:[client]]=syndicat_etude)*(pat_tech_transfo_03[[annee]:[annee]]=Exercice[[Exercice N-2]:[Exercice N-2]])*(pat_tech_transfo_03[nbr_transfo_15kvolt]))</f>
        <v>141</v>
      </c>
      <c r="F332" s="657" cm="1">
        <f t="array" ref="F332">SUMPRODUCT((pat_tech_transfo_03[[client]:[client]]=syndicat_etude)*(pat_tech_transfo_03[[annee]:[annee]]=Exercice[[Exercice N-1]:[Exercice N-1]])*(pat_tech_transfo_03[nbr_transfo_15kvolt]))</f>
        <v>141</v>
      </c>
      <c r="G332" s="657" cm="1">
        <f t="array" ref="G332">SUMPRODUCT((pat_tech_transfo_03[[client]:[client]]=syndicat_etude)*(pat_tech_transfo_03[[annee]:[annee]]=Exercice[[Exercice N]:[Exercice N]])*(pat_tech_transfo_03[nbr_transfo_15kvolt]))</f>
        <v>621</v>
      </c>
      <c r="H332" s="120">
        <f>IFERROR(G332/F332-1,"-")</f>
        <v>3.4042553191489358</v>
      </c>
      <c r="I332" s="65" t="s">
        <v>358</v>
      </c>
    </row>
    <row r="333" spans="1:13" ht="15" customHeight="1" x14ac:dyDescent="0.25">
      <c r="A333" s="28"/>
      <c r="B333" s="127" t="s">
        <v>359</v>
      </c>
      <c r="C333" s="642" cm="1">
        <f t="array" ref="C333">SUMPRODUCT((pat_tech_transfo_03[[client]:[client]]=syndicat_etude)*(pat_tech_transfo_03[[annee]:[annee]]=Exercice[[Exercice N-4]:[Exercice N-4]])*(pat_tech_transfo_03[puissance_transfo]))</f>
        <v>964</v>
      </c>
      <c r="D333" s="642" cm="1">
        <f t="array" ref="D333">SUMPRODUCT((pat_tech_transfo_03[[client]:[client]]=syndicat_etude)*(pat_tech_transfo_03[[annee]:[annee]]=Exercice[[Exercice N-3]:[Exercice N-3]])*(pat_tech_transfo_03[puissance_transfo]))</f>
        <v>972</v>
      </c>
      <c r="E333" s="642" cm="1">
        <f t="array" ref="E333">SUMPRODUCT((pat_tech_transfo_03[[client]:[client]]=syndicat_etude)*(pat_tech_transfo_03[[annee]:[annee]]=Exercice[[Exercice N-2]:[Exercice N-2]])*(pat_tech_transfo_03[puissance_transfo]))</f>
        <v>984</v>
      </c>
      <c r="F333" s="642" cm="1">
        <f t="array" ref="F333">SUMPRODUCT((pat_tech_transfo_03[[client]:[client]]=syndicat_etude)*(pat_tech_transfo_03[[annee]:[annee]]=Exercice[[Exercice N-1]:[Exercice N-1]])*(pat_tech_transfo_03[puissance_transfo]))</f>
        <v>996</v>
      </c>
      <c r="G333" s="642" cm="1">
        <f t="array" ref="G333">SUMPRODUCT((pat_tech_transfo_03[[client]:[client]]=syndicat_etude)*(pat_tech_transfo_03[[annee]:[annee]]=Exercice[[Exercice N]:[Exercice N]])*(pat_tech_transfo_03[puissance_transfo]))</f>
        <v>1016</v>
      </c>
      <c r="H333" s="133">
        <f>IFERROR(G333/F333-1,"-")</f>
        <v>2.008032128514059E-2</v>
      </c>
      <c r="I333" s="65" t="s">
        <v>360</v>
      </c>
    </row>
    <row r="334" spans="1:13" ht="15" customHeight="1" x14ac:dyDescent="0.25"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</row>
    <row r="335" spans="1:13" ht="30" customHeight="1" x14ac:dyDescent="0.25">
      <c r="A335" s="479" t="s">
        <v>361</v>
      </c>
      <c r="B335" s="66" t="s">
        <v>362</v>
      </c>
      <c r="C335" s="67" cm="1">
        <f t="array" ref="C335">Exercice[Exercice N-4]</f>
        <v>2019</v>
      </c>
      <c r="D335" s="67" cm="1">
        <f t="array" ref="D335">Exercice[Exercice N-3]</f>
        <v>2020</v>
      </c>
      <c r="E335" s="67" cm="1">
        <f t="array" ref="E335">Exercice[Exercice N-2]</f>
        <v>2021</v>
      </c>
      <c r="F335" s="67" cm="1">
        <f t="array" ref="F335">Exercice[Exercice N-1]</f>
        <v>2022</v>
      </c>
      <c r="G335" s="69" cm="1">
        <f t="array" ref="G335">Exercice[Exercice N]</f>
        <v>2023</v>
      </c>
      <c r="H335" s="68" t="s">
        <v>273</v>
      </c>
    </row>
    <row r="336" spans="1:13" ht="15" customHeight="1" x14ac:dyDescent="0.25">
      <c r="A336" s="25" t="s">
        <v>363</v>
      </c>
      <c r="B336" s="50" t="s">
        <v>364</v>
      </c>
      <c r="C336" s="7" cm="1">
        <f t="array" ref="C336">SUMPRODUCT((pat_tech_transfo_02[[client]:[client]] = syndicat_etude)*(pat_tech_transfo_02[[annee]:[annee]] = C$335)*(pat_tech_transfo_02[[age_moyen]:[age_moyen]]))</f>
        <v>19</v>
      </c>
      <c r="D336" s="7" cm="1">
        <f t="array" ref="D336">SUMPRODUCT((pat_tech_transfo_02[[client]:[client]] = syndicat_etude)*(pat_tech_transfo_02[[annee]:[annee]] = D$335)*(pat_tech_transfo_02[[age_moyen]:[age_moyen]]))</f>
        <v>19.7</v>
      </c>
      <c r="E336" s="7" cm="1">
        <f t="array" ref="E336">SUMPRODUCT((pat_tech_transfo_02[[client]:[client]] = syndicat_etude)*(pat_tech_transfo_02[[annee]:[annee]] = E$335)*(pat_tech_transfo_02[[age_moyen]:[age_moyen]]))</f>
        <v>20.399999999999999</v>
      </c>
      <c r="F336" s="7" cm="1">
        <f t="array" ref="F336">SUMPRODUCT((pat_tech_transfo_02[[client]:[client]] = syndicat_etude)*(pat_tech_transfo_02[[annee]:[annee]] = F$335)*(pat_tech_transfo_02[[age_moyen]:[age_moyen]]))</f>
        <v>21</v>
      </c>
      <c r="G336" s="7" cm="1">
        <f t="array" ref="G336">SUMPRODUCT((pat_tech_transfo_02[[client]:[client]] = syndicat_etude)*(pat_tech_transfo_02[[annee]:[annee]] = G$335)*(pat_tech_transfo_02[[age_moyen]:[age_moyen]]))</f>
        <v>21.6</v>
      </c>
      <c r="H336" s="257">
        <f>IFERROR(G336/F336-1,"-")</f>
        <v>2.8571428571428692E-2</v>
      </c>
    </row>
    <row r="337" spans="1:13" ht="15" customHeight="1" x14ac:dyDescent="0.25">
      <c r="B337" s="50" t="s">
        <v>365</v>
      </c>
      <c r="C337" s="11" cm="1">
        <f t="array" ref="C337">SUMPRODUCT((pat_tech_transfo_02[[client]:[client]] = syndicat_etude)*(pat_tech_transfo_02[[annee]:[annee]] = C$335)*(pat_tech_transfo_02[nbr_transfo_sup_40ans]))</f>
        <v>31</v>
      </c>
      <c r="D337" s="11" cm="1">
        <f t="array" ref="D337">SUMPRODUCT((pat_tech_transfo_02[[client]:[client]] = syndicat_etude)*(pat_tech_transfo_02[[annee]:[annee]] = D$335)*(pat_tech_transfo_02[nbr_transfo_sup_40ans]))</f>
        <v>42</v>
      </c>
      <c r="E337" s="11" cm="1">
        <f t="array" ref="E337">SUMPRODUCT((pat_tech_transfo_02[[client]:[client]] = syndicat_etude)*(pat_tech_transfo_02[[annee]:[annee]] = E$335)*(pat_tech_transfo_02[nbr_transfo_sup_40ans]))</f>
        <v>68</v>
      </c>
      <c r="F337" s="11" cm="1">
        <f t="array" ref="F337">SUMPRODUCT((pat_tech_transfo_02[[client]:[client]] = syndicat_etude)*(pat_tech_transfo_02[[annee]:[annee]] = F$335)*(pat_tech_transfo_02[nbr_transfo_sup_40ans]))</f>
        <v>86</v>
      </c>
      <c r="G337" s="11" cm="1">
        <f t="array" ref="G337">SUMPRODUCT((pat_tech_transfo_02[[client]:[client]] = syndicat_etude)*(pat_tech_transfo_02[[annee]:[annee]] = G$335)*(pat_tech_transfo_02[nbr_transfo_sup_40ans]))</f>
        <v>118</v>
      </c>
      <c r="H337" s="120">
        <f>IFERROR(G337/F337-1,"-")</f>
        <v>0.37209302325581395</v>
      </c>
    </row>
    <row r="338" spans="1:13" ht="15" customHeight="1" x14ac:dyDescent="0.25">
      <c r="B338" s="145" t="s">
        <v>308</v>
      </c>
      <c r="C338" s="135" cm="1">
        <f t="array" ref="C338">SUMPRODUCT((pat_tech_transfo_02[[client]:[client]] = syndicat_etude)*(pat_tech_transfo_02[[annee]:[annee]] = C$335)*(pat_tech_transfo_02[pourcent_total]))</f>
        <v>7.7000000000000002E-3</v>
      </c>
      <c r="D338" s="135" cm="1">
        <f t="array" ref="D338">SUMPRODUCT((pat_tech_transfo_02[[client]:[client]] = syndicat_etude)*(pat_tech_transfo_02[[annee]:[annee]] = D$335)*(pat_tech_transfo_02[pourcent_total]))</f>
        <v>1.04E-2</v>
      </c>
      <c r="E338" s="135" cm="1">
        <f t="array" ref="E338">SUMPRODUCT((pat_tech_transfo_02[[client]:[client]] = syndicat_etude)*(pat_tech_transfo_02[[annee]:[annee]] = E$335)*(pat_tech_transfo_02[pourcent_total]))</f>
        <v>1.67E-2</v>
      </c>
      <c r="F338" s="135" cm="1">
        <f t="array" ref="F338">SUMPRODUCT((pat_tech_transfo_02[[client]:[client]] = syndicat_etude)*(pat_tech_transfo_02[[annee]:[annee]] = F$335)*(pat_tech_transfo_02[pourcent_total]))</f>
        <v>2.1000000000000001E-2</v>
      </c>
      <c r="G338" s="135" cm="1">
        <f t="array" ref="G338">SUMPRODUCT((pat_tech_transfo_02[[client]:[client]] = syndicat_etude)*(pat_tech_transfo_02[[annee]:[annee]] = G$335)*(pat_tech_transfo_02[pourcent_total]))</f>
        <v>2.8500000000000001E-2</v>
      </c>
      <c r="H338" s="120">
        <f>IFERROR(G338/F338-1,"-")</f>
        <v>0.35714285714285721</v>
      </c>
    </row>
    <row r="339" spans="1:13" ht="15" customHeight="1" x14ac:dyDescent="0.25">
      <c r="B339" s="288" t="s">
        <v>366</v>
      </c>
      <c r="C339" s="15" cm="1">
        <f t="array" ref="C339">SUMPRODUCT((pat_tech_transfo_02[[client]:[client]] = syndicat_etude)*(pat_tech_transfo_02[[annee]:[annee]] = C$335)*(pat_tech_transfo_02[nbr_transfo_sup_50ans]))</f>
        <v>4</v>
      </c>
      <c r="D339" s="15" cm="1">
        <f t="array" ref="D339">SUMPRODUCT((pat_tech_transfo_02[[client]:[client]] = syndicat_etude)*(pat_tech_transfo_02[[annee]:[annee]] = D$335)*(pat_tech_transfo_02[nbr_transfo_sup_50ans]))</f>
        <v>5</v>
      </c>
      <c r="E339" s="15" cm="1">
        <f t="array" ref="E339">SUMPRODUCT((pat_tech_transfo_02[[client]:[client]] = syndicat_etude)*(pat_tech_transfo_02[[annee]:[annee]] = E$335)*(pat_tech_transfo_02[nbr_transfo_sup_50ans]))</f>
        <v>5</v>
      </c>
      <c r="F339" s="15" cm="1">
        <f t="array" ref="F339">SUMPRODUCT((pat_tech_transfo_02[[client]:[client]] = syndicat_etude)*(pat_tech_transfo_02[[annee]:[annee]] = F$335)*(pat_tech_transfo_02[nbr_transfo_sup_50ans]))</f>
        <v>6</v>
      </c>
      <c r="G339" s="15" cm="1">
        <f t="array" ref="G339">SUMPRODUCT((pat_tech_transfo_02[[client]:[client]] = syndicat_etude)*(pat_tech_transfo_02[[annee]:[annee]] = G$335)*(pat_tech_transfo_02[nbr_transfo_sup_50ans]))</f>
        <v>5</v>
      </c>
      <c r="H339" s="120">
        <f>IFERROR(G339/F339-1,"-")</f>
        <v>-0.16666666666666663</v>
      </c>
    </row>
    <row r="340" spans="1:13" ht="15" customHeight="1" x14ac:dyDescent="0.25">
      <c r="B340" s="289" t="s">
        <v>367</v>
      </c>
      <c r="C340" s="279" cm="1">
        <f t="array" ref="C340">SUMPRODUCT((pat_tech_transfo_02[[client]:[client]] = syndicat_etude)*(pat_tech_transfo_02[[annee]:[annee]] = C$335)*(pat_tech_transfo_02[nbr_transfo_sup_60ans]))</f>
        <v>1</v>
      </c>
      <c r="D340" s="279" cm="1">
        <f t="array" ref="D340">SUMPRODUCT((pat_tech_transfo_02[[client]:[client]] = syndicat_etude)*(pat_tech_transfo_02[[annee]:[annee]] = D$335)*(pat_tech_transfo_02[nbr_transfo_sup_60ans]))</f>
        <v>1</v>
      </c>
      <c r="E340" s="279" cm="1">
        <f t="array" ref="E340">SUMPRODUCT((pat_tech_transfo_02[[client]:[client]] = syndicat_etude)*(pat_tech_transfo_02[[annee]:[annee]] = E$335)*(pat_tech_transfo_02[nbr_transfo_sup_60ans]))</f>
        <v>1</v>
      </c>
      <c r="F340" s="279" cm="1">
        <f t="array" ref="F340">SUMPRODUCT((pat_tech_transfo_02[[client]:[client]] = syndicat_etude)*(pat_tech_transfo_02[[annee]:[annee]] = F$335)*(pat_tech_transfo_02[nbr_transfo_sup_60ans]))</f>
        <v>1</v>
      </c>
      <c r="G340" s="279" cm="1">
        <f t="array" ref="G340">SUMPRODUCT((pat_tech_transfo_02[[client]:[client]] = syndicat_etude)*(pat_tech_transfo_02[[annee]:[annee]] = G$335)*(pat_tech_transfo_02[nbr_transfo_sup_60ans]))</f>
        <v>0</v>
      </c>
      <c r="H340" s="133">
        <f>IFERROR(G340/F340-1,"-")</f>
        <v>-1</v>
      </c>
    </row>
    <row r="341" spans="1:13" ht="15" customHeight="1" x14ac:dyDescent="0.25">
      <c r="B341" s="23"/>
      <c r="C341" s="11"/>
      <c r="D341" s="11"/>
      <c r="E341" s="11"/>
      <c r="F341" s="11"/>
      <c r="G341" s="11"/>
    </row>
    <row r="342" spans="1:13" ht="30" customHeight="1" x14ac:dyDescent="0.25">
      <c r="A342" s="479" t="s">
        <v>368</v>
      </c>
      <c r="B342" s="54" t="s">
        <v>362</v>
      </c>
      <c r="C342" s="763" cm="1">
        <f t="array" ref="C342">Exercice[Exercice N-4]</f>
        <v>2019</v>
      </c>
      <c r="D342" s="763"/>
      <c r="E342" s="764" cm="1">
        <f t="array" ref="E342">Exercice[Exercice N-3]</f>
        <v>2020</v>
      </c>
      <c r="F342" s="764"/>
      <c r="G342" s="764" cm="1">
        <f t="array" ref="G342">Exercice[Exercice N-2]</f>
        <v>2021</v>
      </c>
      <c r="H342" s="764"/>
      <c r="I342" s="764" cm="1">
        <f t="array" ref="I342">Exercice[Exercice N-1]</f>
        <v>2022</v>
      </c>
      <c r="J342" s="764"/>
      <c r="K342" s="764" cm="1">
        <f t="array" ref="K342">Exercice[Exercice N]</f>
        <v>2023</v>
      </c>
      <c r="L342" s="765"/>
      <c r="M342" s="65" t="s">
        <v>369</v>
      </c>
    </row>
    <row r="343" spans="1:13" ht="15" customHeight="1" x14ac:dyDescent="0.25">
      <c r="A343" s="28" t="s">
        <v>370</v>
      </c>
      <c r="B343" s="61" t="s">
        <v>349</v>
      </c>
      <c r="C343" s="761" cm="1">
        <f t="array" ref="C343">SUMPRODUCT((pat_tech_transfo_07[[client]:[client]] = syndicat_etude)*(pat_tech_transfo_07[[annee]:[annee]] = Exercice[Exercice N-4])*(pat_tech_transfo_07[nbr]))</f>
        <v>4029</v>
      </c>
      <c r="D343" s="761"/>
      <c r="E343" s="761" cm="1">
        <f t="array" ref="E343">SUMPRODUCT((pat_tech_transfo_07[[client]:[client]] = syndicat_etude)*(pat_tech_transfo_07[[annee]:[annee]] = Exercice[Exercice N-3])*(pat_tech_transfo_07[nbr]))</f>
        <v>4045</v>
      </c>
      <c r="F343" s="761"/>
      <c r="G343" s="761" cm="1">
        <f t="array" ref="G343">SUMPRODUCT((pat_tech_transfo_07[[client]:[client]] = syndicat_etude)*(pat_tech_transfo_07[[annee]:[annee]] = Exercice[Exercice N-2])*(pat_tech_transfo_07[nbr]))</f>
        <v>4067</v>
      </c>
      <c r="H343" s="761"/>
      <c r="I343" s="761" cm="1">
        <f t="array" ref="I343">SUMPRODUCT((pat_tech_transfo_07[[client]:[client]] = syndicat_etude)*(pat_tech_transfo_07[[annee]:[annee]] = Exercice[Exercice N-1])*(pat_tech_transfo_07[nbr]))</f>
        <v>4099</v>
      </c>
      <c r="J343" s="761"/>
      <c r="K343" s="766" cm="1">
        <f t="array" ref="K343">SUMPRODUCT((pat_tech_transfo_07[[client]:[client]] = syndicat_etude)*(pat_tech_transfo_07[[annee]:[annee]] = Exercice[Exercice N])*(pat_tech_transfo_07[nbr]))</f>
        <v>4144</v>
      </c>
      <c r="L343" s="762"/>
      <c r="M343" s="65" t="s">
        <v>371</v>
      </c>
    </row>
    <row r="344" spans="1:13" ht="15" customHeight="1" x14ac:dyDescent="0.25">
      <c r="B344" s="53" t="s">
        <v>228</v>
      </c>
      <c r="C344" s="759" cm="1">
        <f t="array" ref="C344">SUMPRODUCT((pat_tech_transfo_02[[client]:[client]] = syndicat_etude)*(pat_tech_transfo_02[[annee]:[annee]] = C$342)*(pat_tech_transfo_02[age_moyen]))</f>
        <v>19</v>
      </c>
      <c r="D344" s="759" cm="1">
        <f t="array" ref="D344">SUMPRODUCT((pat_tech_transfo_02[[client]:[client]] = syndicat_etude)*(pat_tech_transfo_02[[annee]:[annee]] = D$335)*(pat_tech_transfo_02[age_moyen]))</f>
        <v>19.7</v>
      </c>
      <c r="E344" s="759" cm="1">
        <f t="array" ref="E344">SUMPRODUCT((pat_tech_transfo_02[[client]:[client]] = syndicat_etude)*(pat_tech_transfo_02[[annee]:[annee]] = E$342)*(pat_tech_transfo_02[age_moyen]))</f>
        <v>19.7</v>
      </c>
      <c r="F344" s="759" cm="1">
        <f t="array" ref="F344">SUMPRODUCT((pat_tech_transfo_02[[client]:[client]] = syndicat_etude)*(pat_tech_transfo_02[[annee]:[annee]] = F$335)*(pat_tech_transfo_02[age_moyen]))</f>
        <v>21</v>
      </c>
      <c r="G344" s="759" cm="1">
        <f t="array" ref="G344">SUMPRODUCT((pat_tech_transfo_02[[client]:[client]] = syndicat_etude)*(pat_tech_transfo_02[[annee]:[annee]] = G$342)*(pat_tech_transfo_02[age_moyen]))</f>
        <v>20.399999999999999</v>
      </c>
      <c r="H344" s="759" cm="1">
        <f t="array" ref="H344">SUMPRODUCT((pat_tech_transfo_02[[client]:[client]] = syndicat_etude)*(pat_tech_transfo_02[[annee]:[annee]] = H$335)*(pat_tech_transfo_02[age_moyen]))</f>
        <v>0</v>
      </c>
      <c r="I344" s="759" cm="1">
        <f t="array" ref="I344">SUMPRODUCT((pat_tech_transfo_02[[client]:[client]] = syndicat_etude)*(pat_tech_transfo_02[[annee]:[annee]] = I$342)*(pat_tech_transfo_02[age_moyen]))</f>
        <v>21</v>
      </c>
      <c r="J344" s="759" cm="1">
        <f t="array" ref="J344">SUMPRODUCT((pat_tech_transfo_02[[client]:[client]] = syndicat_etude)*(pat_tech_transfo_02[[annee]:[annee]] = J$335)*(pat_tech_transfo_02[age_moyen]))</f>
        <v>0</v>
      </c>
      <c r="K344" s="759" cm="1">
        <f t="array" ref="K344">SUMPRODUCT((pat_tech_transfo_02[[client]:[client]] = syndicat_etude)*(pat_tech_transfo_02[[annee]:[annee]] = K$342)*(pat_tech_transfo_02[age_moyen]))</f>
        <v>21.6</v>
      </c>
      <c r="L344" s="760" cm="1">
        <f t="array" ref="L344">SUMPRODUCT((pat_tech_transfo_02[[client]:[client]] = syndicat_etude)*(pat_tech_transfo_02[[annee]:[annee]] = L$335)*(pat_tech_transfo_02[age_moyen]))</f>
        <v>0</v>
      </c>
      <c r="M344" s="65"/>
    </row>
    <row r="345" spans="1:13" ht="15" customHeight="1" x14ac:dyDescent="0.25">
      <c r="B345" s="50" t="s">
        <v>229</v>
      </c>
      <c r="C345" s="114" cm="1">
        <f t="array" ref="C345">SUMPRODUCT((pat_tech_transfo_07[[client]:[client]] = syndicat_etude)*(pat_tech_transfo_07[[annee]:[annee]] = Exercice[Exercice N-4])*(pat_tech_transfo_07[m10]))</f>
        <v>230</v>
      </c>
      <c r="D345" s="659">
        <f t="shared" ref="D345:D351" si="6">IFERROR(C345/C$343,0)</f>
        <v>5.7086125589476296E-2</v>
      </c>
      <c r="E345" s="114" cm="1">
        <f t="array" ref="E345">SUMPRODUCT((pat_tech_transfo_07[[client]:[client]] = syndicat_etude)*(pat_tech_transfo_07[[annee]:[annee]] = Exercice[Exercice N-3])*(pat_tech_transfo_07[m10]))</f>
        <v>277</v>
      </c>
      <c r="F345" s="659">
        <f t="shared" ref="F345:F351" si="7">IFERROR(E345/E$343,0)</f>
        <v>6.8479604449938197E-2</v>
      </c>
      <c r="G345" s="114" cm="1">
        <f t="array" ref="G345">SUMPRODUCT((pat_tech_transfo_07[[client]:[client]] = syndicat_etude)*(pat_tech_transfo_07[[annee]:[annee]] = Exercice[Exercice N-2])*(pat_tech_transfo_07[m10]))</f>
        <v>343</v>
      </c>
      <c r="H345" s="659">
        <f t="shared" ref="H345:H351" si="8">G345/G$343</f>
        <v>8.4337349397590355E-2</v>
      </c>
      <c r="I345" s="114" cm="1">
        <f t="array" ref="I345">SUMPRODUCT((pat_tech_transfo_07[[client]:[client]] = syndicat_etude)*(pat_tech_transfo_07[[annee]:[annee]] = Exercice[Exercice N-1])*(pat_tech_transfo_07[m10]))</f>
        <v>410</v>
      </c>
      <c r="J345" s="659">
        <f t="shared" ref="J345:J351" si="9">I345/I$343</f>
        <v>0.1000243961941937</v>
      </c>
      <c r="K345" s="114" cm="1">
        <f t="array" ref="K345">SUMPRODUCT((pat_tech_transfo_07[[client]:[client]] = syndicat_etude)*(pat_tech_transfo_07[[annee]:[annee]] = Exercice[Exercice N])*(pat_tech_transfo_07[m10]))</f>
        <v>477</v>
      </c>
      <c r="L345" s="663">
        <f t="shared" ref="L345:L351" si="10">K345/K$343</f>
        <v>0.11510617760617761</v>
      </c>
      <c r="M345" s="65"/>
    </row>
    <row r="346" spans="1:13" ht="15" customHeight="1" x14ac:dyDescent="0.25">
      <c r="B346" s="50" t="s">
        <v>230</v>
      </c>
      <c r="C346" s="114" cm="1">
        <f t="array" ref="C346">SUMPRODUCT((pat_tech_transfo_07[[client]:[client]] = syndicat_etude)*(pat_tech_transfo_07[[annee]:[annee]] = Exercice[Exercice N-4])*(pat_tech_transfo_07[m20]))</f>
        <v>684</v>
      </c>
      <c r="D346" s="659">
        <f t="shared" si="6"/>
        <v>0.16976917349218168</v>
      </c>
      <c r="E346" s="114" cm="1">
        <f t="array" ref="E346">SUMPRODUCT((pat_tech_transfo_07[[client]:[client]] = syndicat_etude)*(pat_tech_transfo_07[[annee]:[annee]] = Exercice[Exercice N-3])*(pat_tech_transfo_07[m20]))</f>
        <v>684</v>
      </c>
      <c r="F346" s="659">
        <f t="shared" si="7"/>
        <v>0.16909765142150804</v>
      </c>
      <c r="G346" s="114" cm="1">
        <f t="array" ref="G346">SUMPRODUCT((pat_tech_transfo_07[[client]:[client]] = syndicat_etude)*(pat_tech_transfo_07[[annee]:[annee]] = Exercice[Exercice N-2])*(pat_tech_transfo_07[m20]))</f>
        <v>684</v>
      </c>
      <c r="H346" s="659">
        <f t="shared" si="8"/>
        <v>0.16818293582493238</v>
      </c>
      <c r="I346" s="114" cm="1">
        <f t="array" ref="I346">SUMPRODUCT((pat_tech_transfo_07[[client]:[client]] = syndicat_etude)*(pat_tech_transfo_07[[annee]:[annee]] = Exercice[Exercice N-1])*(pat_tech_transfo_07[m20]))</f>
        <v>684</v>
      </c>
      <c r="J346" s="659">
        <f t="shared" si="9"/>
        <v>0.16686996828494755</v>
      </c>
      <c r="K346" s="114" cm="1">
        <f t="array" ref="K346">SUMPRODUCT((pat_tech_transfo_07[[client]:[client]] = syndicat_etude)*(pat_tech_transfo_07[[annee]:[annee]] = Exercice[Exercice N])*(pat_tech_transfo_07[m20]))</f>
        <v>689</v>
      </c>
      <c r="L346" s="664">
        <f t="shared" si="10"/>
        <v>0.16626447876447875</v>
      </c>
      <c r="M346" s="65"/>
    </row>
    <row r="347" spans="1:13" ht="15" customHeight="1" x14ac:dyDescent="0.25">
      <c r="B347" s="50" t="s">
        <v>231</v>
      </c>
      <c r="C347" s="114" cm="1">
        <f t="array" ref="C347">SUMPRODUCT((pat_tech_transfo_07[[client]:[client]] = syndicat_etude)*(pat_tech_transfo_07[[annee]:[annee]] = Exercice[Exercice N-4])*(pat_tech_transfo_07[m30]))</f>
        <v>2579</v>
      </c>
      <c r="D347" s="659">
        <f t="shared" si="6"/>
        <v>0.64010920824025808</v>
      </c>
      <c r="E347" s="114" cm="1">
        <f t="array" ref="E347">SUMPRODUCT((pat_tech_transfo_07[[client]:[client]] = syndicat_etude)*(pat_tech_transfo_07[[annee]:[annee]] = Exercice[Exercice N-3])*(pat_tech_transfo_07[m30]))</f>
        <v>2550</v>
      </c>
      <c r="F347" s="659">
        <f t="shared" si="7"/>
        <v>0.63040791100123605</v>
      </c>
      <c r="G347" s="114" cm="1">
        <f t="array" ref="G347">SUMPRODUCT((pat_tech_transfo_07[[client]:[client]] = syndicat_etude)*(pat_tech_transfo_07[[annee]:[annee]] = Exercice[Exercice N-2])*(pat_tech_transfo_07[m30]))</f>
        <v>2513</v>
      </c>
      <c r="H347" s="659">
        <f t="shared" si="8"/>
        <v>0.61790017211703963</v>
      </c>
      <c r="I347" s="114" cm="1">
        <f t="array" ref="I347">SUMPRODUCT((pat_tech_transfo_07[[client]:[client]] = syndicat_etude)*(pat_tech_transfo_07[[annee]:[annee]] = Exercice[Exercice N-1])*(pat_tech_transfo_07[m30]))</f>
        <v>2481</v>
      </c>
      <c r="J347" s="659">
        <f t="shared" si="9"/>
        <v>0.60526957794584046</v>
      </c>
      <c r="K347" s="114" cm="1">
        <f t="array" ref="K347">SUMPRODUCT((pat_tech_transfo_07[[client]:[client]] = syndicat_etude)*(pat_tech_transfo_07[[annee]:[annee]] = Exercice[Exercice N])*(pat_tech_transfo_07[m30]))</f>
        <v>2457</v>
      </c>
      <c r="L347" s="664">
        <f t="shared" si="10"/>
        <v>0.59290540540540537</v>
      </c>
      <c r="M347" s="65"/>
    </row>
    <row r="348" spans="1:13" ht="15" customHeight="1" x14ac:dyDescent="0.25">
      <c r="B348" s="50" t="s">
        <v>232</v>
      </c>
      <c r="C348" s="114" cm="1">
        <f t="array" ref="C348">SUMPRODUCT((pat_tech_transfo_07[[client]:[client]] = syndicat_etude)*(pat_tech_transfo_07[[annee]:[annee]] = Exercice[Exercice N-4])*(pat_tech_transfo_07[m40]))</f>
        <v>410</v>
      </c>
      <c r="D348" s="659">
        <f t="shared" si="6"/>
        <v>0.10176222387689253</v>
      </c>
      <c r="E348" s="114" cm="1">
        <f t="array" ref="E348">SUMPRODUCT((pat_tech_transfo_07[[client]:[client]] = syndicat_etude)*(pat_tech_transfo_07[[annee]:[annee]] = Exercice[Exercice N-3])*(pat_tech_transfo_07[m40]))</f>
        <v>411</v>
      </c>
      <c r="F348" s="659">
        <f t="shared" si="7"/>
        <v>0.10160692212608158</v>
      </c>
      <c r="G348" s="114" cm="1">
        <f t="array" ref="G348">SUMPRODUCT((pat_tech_transfo_07[[client]:[client]] = syndicat_etude)*(pat_tech_transfo_07[[annee]:[annee]] = Exercice[Exercice N-2])*(pat_tech_transfo_07[m40]))</f>
        <v>405</v>
      </c>
      <c r="H348" s="659">
        <f t="shared" si="8"/>
        <v>9.9582001475288909E-2</v>
      </c>
      <c r="I348" s="114" cm="1">
        <f t="array" ref="I348">SUMPRODUCT((pat_tech_transfo_07[[client]:[client]] = syndicat_etude)*(pat_tech_transfo_07[[annee]:[annee]] = Exercice[Exercice N-1])*(pat_tech_transfo_07[m40]))</f>
        <v>404</v>
      </c>
      <c r="J348" s="659">
        <f t="shared" si="9"/>
        <v>9.8560624542571362E-2</v>
      </c>
      <c r="K348" s="114" cm="1">
        <f t="array" ref="K348">SUMPRODUCT((pat_tech_transfo_07[[client]:[client]] = syndicat_etude)*(pat_tech_transfo_07[[annee]:[annee]] = Exercice[Exercice N])*(pat_tech_transfo_07[m40]))</f>
        <v>403</v>
      </c>
      <c r="L348" s="664">
        <f t="shared" si="10"/>
        <v>9.7249034749034749E-2</v>
      </c>
      <c r="M348" s="65"/>
    </row>
    <row r="349" spans="1:13" ht="15" customHeight="1" x14ac:dyDescent="0.25">
      <c r="B349" s="50" t="s">
        <v>233</v>
      </c>
      <c r="C349" s="114" cm="1">
        <f t="array" ref="C349">SUMPRODUCT((pat_tech_transfo_07[[client]:[client]] = syndicat_etude)*(pat_tech_transfo_07[[annee]:[annee]] = Exercice[Exercice N-4])*(pat_tech_transfo_07[m50]))</f>
        <v>120</v>
      </c>
      <c r="D349" s="659">
        <f t="shared" si="6"/>
        <v>2.9784065524944156E-2</v>
      </c>
      <c r="E349" s="114" cm="1">
        <f t="array" ref="E349">SUMPRODUCT((pat_tech_transfo_07[[client]:[client]] = syndicat_etude)*(pat_tech_transfo_07[[annee]:[annee]] = Exercice[Exercice N-3])*(pat_tech_transfo_07[m50]))</f>
        <v>117</v>
      </c>
      <c r="F349" s="659">
        <f t="shared" si="7"/>
        <v>2.8924598269468478E-2</v>
      </c>
      <c r="G349" s="114" cm="1">
        <f t="array" ref="G349">SUMPRODUCT((pat_tech_transfo_07[[client]:[client]] = syndicat_etude)*(pat_tech_transfo_07[[annee]:[annee]] = Exercice[Exercice N-2])*(pat_tech_transfo_07[m50]))</f>
        <v>116</v>
      </c>
      <c r="H349" s="659">
        <f t="shared" si="8"/>
        <v>2.8522252274403737E-2</v>
      </c>
      <c r="I349" s="114" cm="1">
        <f t="array" ref="I349">SUMPRODUCT((pat_tech_transfo_07[[client]:[client]] = syndicat_etude)*(pat_tech_transfo_07[[annee]:[annee]] = Exercice[Exercice N])*(pat_tech_transfo_07[m50]))</f>
        <v>113</v>
      </c>
      <c r="J349" s="659">
        <f t="shared" si="9"/>
        <v>2.7567699438887535E-2</v>
      </c>
      <c r="K349" s="114" cm="1">
        <f t="array" ref="K349">SUMPRODUCT((pat_tech_transfo_07[[client]:[client]] = syndicat_etude)*(pat_tech_transfo_07[[annee]:[annee]] = Exercice[Exercice N])*(pat_tech_transfo_07[m50]))</f>
        <v>113</v>
      </c>
      <c r="L349" s="664">
        <f t="shared" si="10"/>
        <v>2.7268339768339769E-2</v>
      </c>
      <c r="M349" s="65"/>
    </row>
    <row r="350" spans="1:13" ht="15" customHeight="1" x14ac:dyDescent="0.25">
      <c r="B350" s="50" t="s">
        <v>234</v>
      </c>
      <c r="C350" s="114" cm="1">
        <f t="array" ref="C350">SUMPRODUCT((pat_tech_transfo_07[[client]:[client]] = syndicat_etude)*(pat_tech_transfo_07[[annee]:[annee]] = Exercice[Exercice N-4])*(pat_tech_transfo_07[m60]))</f>
        <v>5</v>
      </c>
      <c r="D350" s="659">
        <f t="shared" si="6"/>
        <v>1.2410027302060065E-3</v>
      </c>
      <c r="E350" s="114" cm="1">
        <f t="array" ref="E350">SUMPRODUCT((pat_tech_transfo_07[[client]:[client]] = syndicat_etude)*(pat_tech_transfo_07[[annee]:[annee]] = Exercice[Exercice N-3])*(pat_tech_transfo_07[m60]))</f>
        <v>5</v>
      </c>
      <c r="F350" s="659">
        <f t="shared" si="7"/>
        <v>1.2360939431396785E-3</v>
      </c>
      <c r="G350" s="114" cm="1">
        <f t="array" ref="G350">SUMPRODUCT((pat_tech_transfo_07[[client]:[client]] = syndicat_etude)*(pat_tech_transfo_07[[annee]:[annee]] = Exercice[Exercice N-2])*(pat_tech_transfo_07[m60]))</f>
        <v>5</v>
      </c>
      <c r="H350" s="659">
        <f t="shared" si="8"/>
        <v>1.2294074256208507E-3</v>
      </c>
      <c r="I350" s="114" cm="1">
        <f t="array" ref="I350">SUMPRODUCT((pat_tech_transfo_07[[client]:[client]] = syndicat_etude)*(pat_tech_transfo_07[[annee]:[annee]] = Exercice[Exercice N-1])*(pat_tech_transfo_07[m60]))</f>
        <v>5</v>
      </c>
      <c r="J350" s="659">
        <f t="shared" si="9"/>
        <v>1.2198097096852891E-3</v>
      </c>
      <c r="K350" s="114" cm="1">
        <f t="array" ref="K350">SUMPRODUCT((pat_tech_transfo_07[[client]:[client]] = syndicat_etude)*(pat_tech_transfo_07[[annee]:[annee]] = Exercice[Exercice N])*(pat_tech_transfo_07[m60]))</f>
        <v>5</v>
      </c>
      <c r="L350" s="664">
        <f t="shared" si="10"/>
        <v>1.2065637065637065E-3</v>
      </c>
      <c r="M350" s="65"/>
    </row>
    <row r="351" spans="1:13" ht="15" customHeight="1" x14ac:dyDescent="0.25">
      <c r="B351" s="53" t="s">
        <v>235</v>
      </c>
      <c r="C351" s="660" cm="1">
        <f t="array" ref="C351">SUMPRODUCT((pat_tech_transfo_07[[client]:[client]] = syndicat_etude)*(pat_tech_transfo_07[[annee]:[annee]] = Exercice[Exercice N-4])*(pat_tech_transfo_07[p60]))</f>
        <v>1</v>
      </c>
      <c r="D351" s="661">
        <f t="shared" si="6"/>
        <v>2.4820054604120131E-4</v>
      </c>
      <c r="E351" s="660" cm="1">
        <f t="array" ref="E351">SUMPRODUCT((pat_tech_transfo_07[[client]:[client]] = syndicat_etude)*(pat_tech_transfo_07[[annee]:[annee]] = Exercice[Exercice N-3])*(pat_tech_transfo_07[p60]))</f>
        <v>1</v>
      </c>
      <c r="F351" s="661">
        <f t="shared" si="7"/>
        <v>2.4721878862793575E-4</v>
      </c>
      <c r="G351" s="660" cm="1">
        <f t="array" ref="G351">SUMPRODUCT((pat_tech_transfo_07[[client]:[client]] = syndicat_etude)*(pat_tech_transfo_07[[annee]:[annee]] = Exercice[Exercice N-2])*(pat_tech_transfo_07[p60]))</f>
        <v>1</v>
      </c>
      <c r="H351" s="661">
        <f t="shared" si="8"/>
        <v>2.4588148512417015E-4</v>
      </c>
      <c r="I351" s="660" cm="1">
        <f t="array" ref="I351">SUMPRODUCT((pat_tech_transfo_07[[client]:[client]] = syndicat_etude)*(pat_tech_transfo_07[[annee]:[annee]] = Exercice[Exercice N-1])*(pat_tech_transfo_07[p60]))</f>
        <v>1</v>
      </c>
      <c r="J351" s="661">
        <f t="shared" si="9"/>
        <v>2.4396194193705782E-4</v>
      </c>
      <c r="K351" s="662" cm="1">
        <f t="array" ref="K351">SUMPRODUCT((pat_tech_transfo_07[[client]:[client]] = syndicat_etude)*(pat_tech_transfo_07[[annee]:[annee]] = Exercice[Exercice N])*(pat_tech_transfo_07[p60]))</f>
        <v>0</v>
      </c>
      <c r="L351" s="665">
        <f t="shared" si="10"/>
        <v>0</v>
      </c>
      <c r="M351" s="65"/>
    </row>
    <row r="352" spans="1:13" ht="15" customHeight="1" x14ac:dyDescent="0.25">
      <c r="B352" s="23"/>
      <c r="C352" s="11"/>
      <c r="D352" s="11"/>
      <c r="E352" s="11"/>
      <c r="F352" s="11"/>
      <c r="G352" s="11"/>
    </row>
    <row r="353" spans="1:13" ht="30" customHeight="1" x14ac:dyDescent="0.25">
      <c r="A353" s="25" t="s">
        <v>372</v>
      </c>
      <c r="B353" s="66" t="s">
        <v>373</v>
      </c>
      <c r="C353" s="67" cm="1">
        <f t="array" ref="C353">Exercice[Exercice N-4]</f>
        <v>2019</v>
      </c>
      <c r="D353" s="67" cm="1">
        <f t="array" ref="D353">Exercice[Exercice N-3]</f>
        <v>2020</v>
      </c>
      <c r="E353" s="67" cm="1">
        <f t="array" ref="E353">Exercice[Exercice N-2]</f>
        <v>2021</v>
      </c>
      <c r="F353" s="67" cm="1">
        <f t="array" ref="F353">Exercice[Exercice N-1]</f>
        <v>2022</v>
      </c>
      <c r="G353" s="67" cm="1">
        <f t="array" ref="G353">Exercice[Exercice N]</f>
        <v>2023</v>
      </c>
      <c r="H353" s="68" t="str" cm="1">
        <f t="array" ref="H353">"% "&amp;Exercice[Exercice N]</f>
        <v>% 2023</v>
      </c>
    </row>
    <row r="354" spans="1:13" ht="15" customHeight="1" x14ac:dyDescent="0.25">
      <c r="B354" s="111">
        <v>1250</v>
      </c>
      <c r="C354" s="11" cm="1">
        <f t="array" ref="C354">SUMPRODUCT((pat_tech_transfo_01[[client]:[client]] = syndicat_etude)*(pat_tech_transfo_01[[annee]:[annee]] = C$353)*(pat_tech_transfo_01[[puissance]:[puissance]]= $B354)  * (pat_tech_transfo_01[[nbr_transfo_par_puissance]:[nbr_transfo_par_puissance]]))</f>
        <v>0</v>
      </c>
      <c r="D354" s="11" cm="1">
        <f t="array" ref="D354">SUMPRODUCT((pat_tech_transfo_01[[client]:[client]] = syndicat_etude)*(pat_tech_transfo_01[[annee]:[annee]] = D$353)*(pat_tech_transfo_01[[puissance]:[puissance]]= $B354)  * (pat_tech_transfo_01[[nbr_transfo_par_puissance]:[nbr_transfo_par_puissance]]))</f>
        <v>0</v>
      </c>
      <c r="E354" s="11" cm="1">
        <f t="array" ref="E354">SUMPRODUCT((pat_tech_transfo_01[[client]:[client]] = syndicat_etude)*(pat_tech_transfo_01[[annee]:[annee]] = E$353)*(pat_tech_transfo_01[[puissance]:[puissance]]= $B354)  * (pat_tech_transfo_01[[nbr_transfo_par_puissance]:[nbr_transfo_par_puissance]]))</f>
        <v>0</v>
      </c>
      <c r="F354" s="11" cm="1">
        <f t="array" ref="F354">SUMPRODUCT((pat_tech_transfo_01[[client]:[client]] = syndicat_etude)*(pat_tech_transfo_01[[annee]:[annee]] = F$353)*(pat_tech_transfo_01[[puissance]:[puissance]]= $B354)  * (pat_tech_transfo_01[[nbr_transfo_par_puissance]:[nbr_transfo_par_puissance]]))</f>
        <v>0</v>
      </c>
      <c r="G354" s="11" cm="1">
        <f t="array" ref="G354">SUMPRODUCT((pat_tech_transfo_01[[client]:[client]] = syndicat_etude)*(pat_tech_transfo_01[[annee]:[annee]] = G$353)*(pat_tech_transfo_01[[puissance]:[puissance]]= $B354)  * (pat_tech_transfo_01[[nbr_transfo_par_puissance]:[nbr_transfo_par_puissance]]))</f>
        <v>0</v>
      </c>
      <c r="H354" s="120">
        <f t="shared" ref="H354:H369" si="11">IFERROR($G354/$G$370,"")</f>
        <v>0</v>
      </c>
    </row>
    <row r="355" spans="1:13" ht="15" customHeight="1" x14ac:dyDescent="0.25">
      <c r="B355" s="111">
        <v>1000</v>
      </c>
      <c r="C355" s="11" cm="1">
        <f t="array" ref="C355">SUMPRODUCT((pat_tech_transfo_01[[client]:[client]] = syndicat_etude)*(pat_tech_transfo_01[[annee]:[annee]] = C$353)*(pat_tech_transfo_01[[puissance]:[puissance]]= $B355)  * (pat_tech_transfo_01[[nbr_transfo_par_puissance]:[nbr_transfo_par_puissance]]))</f>
        <v>44</v>
      </c>
      <c r="D355" s="11" cm="1">
        <f t="array" ref="D355">SUMPRODUCT((pat_tech_transfo_01[[client]:[client]] = syndicat_etude)*(pat_tech_transfo_01[[annee]:[annee]] = D$353)*(pat_tech_transfo_01[[puissance]:[puissance]]= $B355)  * (pat_tech_transfo_01[[nbr_transfo_par_puissance]:[nbr_transfo_par_puissance]]))</f>
        <v>43</v>
      </c>
      <c r="E355" s="11" cm="1">
        <f t="array" ref="E355">SUMPRODUCT((pat_tech_transfo_01[[client]:[client]] = syndicat_etude)*(pat_tech_transfo_01[[annee]:[annee]] = E$353)*(pat_tech_transfo_01[[puissance]:[puissance]]= $B355)  * (pat_tech_transfo_01[[nbr_transfo_par_puissance]:[nbr_transfo_par_puissance]]))</f>
        <v>46</v>
      </c>
      <c r="F355" s="11" cm="1">
        <f t="array" ref="F355">SUMPRODUCT((pat_tech_transfo_01[[client]:[client]] = syndicat_etude)*(pat_tech_transfo_01[[annee]:[annee]] = F$353)*(pat_tech_transfo_01[[puissance]:[puissance]]= $B355)  * (pat_tech_transfo_01[[nbr_transfo_par_puissance]:[nbr_transfo_par_puissance]]))</f>
        <v>47</v>
      </c>
      <c r="G355" s="11" cm="1">
        <f t="array" ref="G355">SUMPRODUCT((pat_tech_transfo_01[[client]:[client]] = syndicat_etude)*(pat_tech_transfo_01[[annee]:[annee]] = G$353)*(pat_tech_transfo_01[[puissance]:[puissance]]= $B355)  * (pat_tech_transfo_01[[nbr_transfo_par_puissance]:[nbr_transfo_par_puissance]]))</f>
        <v>52</v>
      </c>
      <c r="H355" s="120">
        <f t="shared" si="11"/>
        <v>1.2548262548262547E-2</v>
      </c>
    </row>
    <row r="356" spans="1:13" ht="15" customHeight="1" x14ac:dyDescent="0.25">
      <c r="B356" s="111">
        <v>800</v>
      </c>
      <c r="C356" s="11" cm="1">
        <f t="array" ref="C356">SUMPRODUCT((pat_tech_transfo_01[[client]:[client]] = syndicat_etude)*(pat_tech_transfo_01[[annee]:[annee]] = C$353)*(pat_tech_transfo_01[[puissance]:[puissance]]= $B356)  * (pat_tech_transfo_01[[nbr_transfo_par_puissance]:[nbr_transfo_par_puissance]]))</f>
        <v>0</v>
      </c>
      <c r="D356" s="11" cm="1">
        <f t="array" ref="D356">SUMPRODUCT((pat_tech_transfo_01[[client]:[client]] = syndicat_etude)*(pat_tech_transfo_01[[annee]:[annee]] = D$353)*(pat_tech_transfo_01[[puissance]:[puissance]]= $B356)  * (pat_tech_transfo_01[[nbr_transfo_par_puissance]:[nbr_transfo_par_puissance]]))</f>
        <v>0</v>
      </c>
      <c r="E356" s="11" cm="1">
        <f t="array" ref="E356">SUMPRODUCT((pat_tech_transfo_01[[client]:[client]] = syndicat_etude)*(pat_tech_transfo_01[[annee]:[annee]] = E$353)*(pat_tech_transfo_01[[puissance]:[puissance]]= $B356)  * (pat_tech_transfo_01[[nbr_transfo_par_puissance]:[nbr_transfo_par_puissance]]))</f>
        <v>0</v>
      </c>
      <c r="F356" s="11" cm="1">
        <f t="array" ref="F356">SUMPRODUCT((pat_tech_transfo_01[[client]:[client]] = syndicat_etude)*(pat_tech_transfo_01[[annee]:[annee]] = F$353)*(pat_tech_transfo_01[[puissance]:[puissance]]= $B356)  * (pat_tech_transfo_01[[nbr_transfo_par_puissance]:[nbr_transfo_par_puissance]]))</f>
        <v>0</v>
      </c>
      <c r="G356" s="11" cm="1">
        <f t="array" ref="G356">SUMPRODUCT((pat_tech_transfo_01[[client]:[client]] = syndicat_etude)*(pat_tech_transfo_01[[annee]:[annee]] = G$353)*(pat_tech_transfo_01[[puissance]:[puissance]]= $B356)  * (pat_tech_transfo_01[[nbr_transfo_par_puissance]:[nbr_transfo_par_puissance]]))</f>
        <v>0</v>
      </c>
      <c r="H356" s="120">
        <f t="shared" si="11"/>
        <v>0</v>
      </c>
    </row>
    <row r="357" spans="1:13" ht="15" customHeight="1" x14ac:dyDescent="0.25">
      <c r="B357" s="111">
        <v>630</v>
      </c>
      <c r="C357" s="11" cm="1">
        <f t="array" ref="C357">SUMPRODUCT((pat_tech_transfo_01[[client]:[client]] = syndicat_etude)*(pat_tech_transfo_01[[annee]:[annee]] = C$353)*(pat_tech_transfo_01[[puissance]:[puissance]]= $B357)  * (pat_tech_transfo_01[[nbr_transfo_par_puissance]:[nbr_transfo_par_puissance]]))</f>
        <v>294</v>
      </c>
      <c r="D357" s="11" cm="1">
        <f t="array" ref="D357">SUMPRODUCT((pat_tech_transfo_01[[client]:[client]] = syndicat_etude)*(pat_tech_transfo_01[[annee]:[annee]] = D$353)*(pat_tech_transfo_01[[puissance]:[puissance]]= $B357)  * (pat_tech_transfo_01[[nbr_transfo_par_puissance]:[nbr_transfo_par_puissance]]))</f>
        <v>300</v>
      </c>
      <c r="E357" s="11" cm="1">
        <f t="array" ref="E357">SUMPRODUCT((pat_tech_transfo_01[[client]:[client]] = syndicat_etude)*(pat_tech_transfo_01[[annee]:[annee]] = E$353)*(pat_tech_transfo_01[[puissance]:[puissance]]= $B357)  * (pat_tech_transfo_01[[nbr_transfo_par_puissance]:[nbr_transfo_par_puissance]]))</f>
        <v>305</v>
      </c>
      <c r="F357" s="11" cm="1">
        <f t="array" ref="F357">SUMPRODUCT((pat_tech_transfo_01[[client]:[client]] = syndicat_etude)*(pat_tech_transfo_01[[annee]:[annee]] = F$353)*(pat_tech_transfo_01[[puissance]:[puissance]]= $B357)  * (pat_tech_transfo_01[[nbr_transfo_par_puissance]:[nbr_transfo_par_puissance]]))</f>
        <v>314</v>
      </c>
      <c r="G357" s="11" cm="1">
        <f t="array" ref="G357">SUMPRODUCT((pat_tech_transfo_01[[client]:[client]] = syndicat_etude)*(pat_tech_transfo_01[[annee]:[annee]] = G$353)*(pat_tech_transfo_01[[puissance]:[puissance]]= $B357)  * (pat_tech_transfo_01[[nbr_transfo_par_puissance]:[nbr_transfo_par_puissance]]))</f>
        <v>323</v>
      </c>
      <c r="H357" s="120">
        <f t="shared" si="11"/>
        <v>7.7944015444015441E-2</v>
      </c>
    </row>
    <row r="358" spans="1:13" ht="15" customHeight="1" x14ac:dyDescent="0.25">
      <c r="B358" s="111">
        <v>400</v>
      </c>
      <c r="C358" s="11" cm="1">
        <f t="array" ref="C358">SUMPRODUCT((pat_tech_transfo_01[[client]:[client]] = syndicat_etude)*(pat_tech_transfo_01[[annee]:[annee]] = C$353)*(pat_tech_transfo_01[[puissance]:[puissance]]= $B358)  * (pat_tech_transfo_01[[nbr_transfo_par_puissance]:[nbr_transfo_par_puissance]]))</f>
        <v>648</v>
      </c>
      <c r="D358" s="11" cm="1">
        <f t="array" ref="D358">SUMPRODUCT((pat_tech_transfo_01[[client]:[client]] = syndicat_etude)*(pat_tech_transfo_01[[annee]:[annee]] = D$353)*(pat_tech_transfo_01[[puissance]:[puissance]]= $B358)  * (pat_tech_transfo_01[[nbr_transfo_par_puissance]:[nbr_transfo_par_puissance]]))</f>
        <v>656</v>
      </c>
      <c r="E358" s="11" cm="1">
        <f t="array" ref="E358">SUMPRODUCT((pat_tech_transfo_01[[client]:[client]] = syndicat_etude)*(pat_tech_transfo_01[[annee]:[annee]] = E$353)*(pat_tech_transfo_01[[puissance]:[puissance]]= $B358)  * (pat_tech_transfo_01[[nbr_transfo_par_puissance]:[nbr_transfo_par_puissance]]))</f>
        <v>663</v>
      </c>
      <c r="F358" s="11" cm="1">
        <f t="array" ref="F358">SUMPRODUCT((pat_tech_transfo_01[[client]:[client]] = syndicat_etude)*(pat_tech_transfo_01[[annee]:[annee]] = F$353)*(pat_tech_transfo_01[[puissance]:[puissance]]= $B358)  * (pat_tech_transfo_01[[nbr_transfo_par_puissance]:[nbr_transfo_par_puissance]]))</f>
        <v>667</v>
      </c>
      <c r="G358" s="11" cm="1">
        <f t="array" ref="G358">SUMPRODUCT((pat_tech_transfo_01[[client]:[client]] = syndicat_etude)*(pat_tech_transfo_01[[annee]:[annee]] = G$353)*(pat_tech_transfo_01[[puissance]:[puissance]]= $B358)  * (pat_tech_transfo_01[[nbr_transfo_par_puissance]:[nbr_transfo_par_puissance]]))</f>
        <v>672</v>
      </c>
      <c r="H358" s="120">
        <f t="shared" si="11"/>
        <v>0.16216216216216217</v>
      </c>
    </row>
    <row r="359" spans="1:13" ht="15" customHeight="1" x14ac:dyDescent="0.25">
      <c r="B359" s="111">
        <v>315</v>
      </c>
      <c r="C359" s="11" cm="1">
        <f t="array" ref="C359">SUMPRODUCT((pat_tech_transfo_01[[client]:[client]] = syndicat_etude)*(pat_tech_transfo_01[[annee]:[annee]] = C$353)*(pat_tech_transfo_01[[puissance]:[puissance]]= $B359)  * (pat_tech_transfo_01[[nbr_transfo_par_puissance]:[nbr_transfo_par_puissance]]))</f>
        <v>0</v>
      </c>
      <c r="D359" s="11" cm="1">
        <f t="array" ref="D359">SUMPRODUCT((pat_tech_transfo_01[[client]:[client]] = syndicat_etude)*(pat_tech_transfo_01[[annee]:[annee]] = D$353)*(pat_tech_transfo_01[[puissance]:[puissance]]= $B359)  * (pat_tech_transfo_01[[nbr_transfo_par_puissance]:[nbr_transfo_par_puissance]]))</f>
        <v>0</v>
      </c>
      <c r="E359" s="11" cm="1">
        <f t="array" ref="E359">SUMPRODUCT((pat_tech_transfo_01[[client]:[client]] = syndicat_etude)*(pat_tech_transfo_01[[annee]:[annee]] = E$353)*(pat_tech_transfo_01[[puissance]:[puissance]]= $B359)  * (pat_tech_transfo_01[[nbr_transfo_par_puissance]:[nbr_transfo_par_puissance]]))</f>
        <v>0</v>
      </c>
      <c r="F359" s="11" cm="1">
        <f t="array" ref="F359">SUMPRODUCT((pat_tech_transfo_01[[client]:[client]] = syndicat_etude)*(pat_tech_transfo_01[[annee]:[annee]] = F$353)*(pat_tech_transfo_01[[puissance]:[puissance]]= $B359)  * (pat_tech_transfo_01[[nbr_transfo_par_puissance]:[nbr_transfo_par_puissance]]))</f>
        <v>0</v>
      </c>
      <c r="G359" s="11" cm="1">
        <f t="array" ref="G359">SUMPRODUCT((pat_tech_transfo_01[[client]:[client]] = syndicat_etude)*(pat_tech_transfo_01[[annee]:[annee]] = G$353)*(pat_tech_transfo_01[[puissance]:[puissance]]= $B359)  * (pat_tech_transfo_01[[nbr_transfo_par_puissance]:[nbr_transfo_par_puissance]]))</f>
        <v>0</v>
      </c>
      <c r="H359" s="120">
        <f t="shared" si="11"/>
        <v>0</v>
      </c>
    </row>
    <row r="360" spans="1:13" ht="15" customHeight="1" x14ac:dyDescent="0.25">
      <c r="B360" s="111">
        <v>250</v>
      </c>
      <c r="C360" s="11" cm="1">
        <f t="array" ref="C360">SUMPRODUCT((pat_tech_transfo_01[[client]:[client]] = syndicat_etude)*(pat_tech_transfo_01[[annee]:[annee]] = C$353)*(pat_tech_transfo_01[[puissance]:[puissance]]= $B360)  * (pat_tech_transfo_01[[nbr_transfo_par_puissance]:[nbr_transfo_par_puissance]]))</f>
        <v>974</v>
      </c>
      <c r="D360" s="11" cm="1">
        <f t="array" ref="D360">SUMPRODUCT((pat_tech_transfo_01[[client]:[client]] = syndicat_etude)*(pat_tech_transfo_01[[annee]:[annee]] = D$353)*(pat_tech_transfo_01[[puissance]:[puissance]]= $B360)  * (pat_tech_transfo_01[[nbr_transfo_par_puissance]:[nbr_transfo_par_puissance]]))</f>
        <v>980</v>
      </c>
      <c r="E360" s="11" cm="1">
        <f t="array" ref="E360">SUMPRODUCT((pat_tech_transfo_01[[client]:[client]] = syndicat_etude)*(pat_tech_transfo_01[[annee]:[annee]] = E$353)*(pat_tech_transfo_01[[puissance]:[puissance]]= $B360)  * (pat_tech_transfo_01[[nbr_transfo_par_puissance]:[nbr_transfo_par_puissance]]))</f>
        <v>994</v>
      </c>
      <c r="F360" s="11" cm="1">
        <f t="array" ref="F360">SUMPRODUCT((pat_tech_transfo_01[[client]:[client]] = syndicat_etude)*(pat_tech_transfo_01[[annee]:[annee]] = F$353)*(pat_tech_transfo_01[[puissance]:[puissance]]= $B360)  * (pat_tech_transfo_01[[nbr_transfo_par_puissance]:[nbr_transfo_par_puissance]]))</f>
        <v>997</v>
      </c>
      <c r="G360" s="11" cm="1">
        <f t="array" ref="G360">SUMPRODUCT((pat_tech_transfo_01[[client]:[client]] = syndicat_etude)*(pat_tech_transfo_01[[annee]:[annee]] = G$353)*(pat_tech_transfo_01[[puissance]:[puissance]]= $B360)  * (pat_tech_transfo_01[[nbr_transfo_par_puissance]:[nbr_transfo_par_puissance]]))</f>
        <v>1026</v>
      </c>
      <c r="H360" s="120">
        <f t="shared" si="11"/>
        <v>0.24758687258687259</v>
      </c>
    </row>
    <row r="361" spans="1:13" ht="15" customHeight="1" x14ac:dyDescent="0.25">
      <c r="B361" s="111">
        <v>200</v>
      </c>
      <c r="C361" s="11" cm="1">
        <f t="array" ref="C361">SUMPRODUCT((pat_tech_transfo_01[[client]:[client]] = syndicat_etude)*(pat_tech_transfo_01[[annee]:[annee]] = C$353)*(pat_tech_transfo_01[[puissance]:[puissance]]= $B361)  * (pat_tech_transfo_01[[nbr_transfo_par_puissance]:[nbr_transfo_par_puissance]]))</f>
        <v>0</v>
      </c>
      <c r="D361" s="11" cm="1">
        <f t="array" ref="D361">SUMPRODUCT((pat_tech_transfo_01[[client]:[client]] = syndicat_etude)*(pat_tech_transfo_01[[annee]:[annee]] = D$353)*(pat_tech_transfo_01[[puissance]:[puissance]]= $B361)  * (pat_tech_transfo_01[[nbr_transfo_par_puissance]:[nbr_transfo_par_puissance]]))</f>
        <v>0</v>
      </c>
      <c r="E361" s="11" cm="1">
        <f t="array" ref="E361">SUMPRODUCT((pat_tech_transfo_01[[client]:[client]] = syndicat_etude)*(pat_tech_transfo_01[[annee]:[annee]] = E$353)*(pat_tech_transfo_01[[puissance]:[puissance]]= $B361)  * (pat_tech_transfo_01[[nbr_transfo_par_puissance]:[nbr_transfo_par_puissance]]))</f>
        <v>0</v>
      </c>
      <c r="F361" s="11" cm="1">
        <f t="array" ref="F361">SUMPRODUCT((pat_tech_transfo_01[[client]:[client]] = syndicat_etude)*(pat_tech_transfo_01[[annee]:[annee]] = F$353)*(pat_tech_transfo_01[[puissance]:[puissance]]= $B361)  * (pat_tech_transfo_01[[nbr_transfo_par_puissance]:[nbr_transfo_par_puissance]]))</f>
        <v>0</v>
      </c>
      <c r="G361" s="11" cm="1">
        <f t="array" ref="G361">SUMPRODUCT((pat_tech_transfo_01[[client]:[client]] = syndicat_etude)*(pat_tech_transfo_01[[annee]:[annee]] = G$353)*(pat_tech_transfo_01[[puissance]:[puissance]]= $B361)  * (pat_tech_transfo_01[[nbr_transfo_par_puissance]:[nbr_transfo_par_puissance]]))</f>
        <v>0</v>
      </c>
      <c r="H361" s="120">
        <f t="shared" si="11"/>
        <v>0</v>
      </c>
      <c r="M361" s="104"/>
    </row>
    <row r="362" spans="1:13" ht="15" customHeight="1" x14ac:dyDescent="0.25">
      <c r="B362" s="111">
        <v>160</v>
      </c>
      <c r="C362" s="11" cm="1">
        <f t="array" ref="C362">SUMPRODUCT((pat_tech_transfo_01[[client]:[client]] = syndicat_etude)*(pat_tech_transfo_01[[annee]:[annee]] = C$353)*(pat_tech_transfo_01[[puissance]:[puissance]]= $B362)  * (pat_tech_transfo_01[[nbr_transfo_par_puissance]:[nbr_transfo_par_puissance]]))</f>
        <v>781</v>
      </c>
      <c r="D362" s="11" cm="1">
        <f t="array" ref="D362">SUMPRODUCT((pat_tech_transfo_01[[client]:[client]] = syndicat_etude)*(pat_tech_transfo_01[[annee]:[annee]] = D$353)*(pat_tech_transfo_01[[puissance]:[puissance]]= $B362)  * (pat_tech_transfo_01[[nbr_transfo_par_puissance]:[nbr_transfo_par_puissance]]))</f>
        <v>785</v>
      </c>
      <c r="E362" s="11" cm="1">
        <f t="array" ref="E362">SUMPRODUCT((pat_tech_transfo_01[[client]:[client]] = syndicat_etude)*(pat_tech_transfo_01[[annee]:[annee]] = E$353)*(pat_tech_transfo_01[[puissance]:[puissance]]= $B362)  * (pat_tech_transfo_01[[nbr_transfo_par_puissance]:[nbr_transfo_par_puissance]]))</f>
        <v>786</v>
      </c>
      <c r="F362" s="11" cm="1">
        <f t="array" ref="F362">SUMPRODUCT((pat_tech_transfo_01[[client]:[client]] = syndicat_etude)*(pat_tech_transfo_01[[annee]:[annee]] = F$353)*(pat_tech_transfo_01[[puissance]:[puissance]]= $B362)  * (pat_tech_transfo_01[[nbr_transfo_par_puissance]:[nbr_transfo_par_puissance]]))</f>
        <v>811</v>
      </c>
      <c r="G362" s="11" cm="1">
        <f t="array" ref="G362">SUMPRODUCT((pat_tech_transfo_01[[client]:[client]] = syndicat_etude)*(pat_tech_transfo_01[[annee]:[annee]] = G$353)*(pat_tech_transfo_01[[puissance]:[puissance]]= $B362)  * (pat_tech_transfo_01[[nbr_transfo_par_puissance]:[nbr_transfo_par_puissance]]))</f>
        <v>817</v>
      </c>
      <c r="H362" s="120">
        <f t="shared" si="11"/>
        <v>0.19715250965250966</v>
      </c>
    </row>
    <row r="363" spans="1:13" ht="15" customHeight="1" x14ac:dyDescent="0.25">
      <c r="B363" s="111">
        <v>100</v>
      </c>
      <c r="C363" s="11" cm="1">
        <f t="array" ref="C363">SUMPRODUCT((pat_tech_transfo_01[[client]:[client]] = syndicat_etude)*(pat_tech_transfo_01[[annee]:[annee]] = C$353)*(pat_tech_transfo_01[[puissance]:[puissance]]= $B363)  * (pat_tech_transfo_01[[nbr_transfo_par_puissance]:[nbr_transfo_par_puissance]]))</f>
        <v>867</v>
      </c>
      <c r="D363" s="11" cm="1">
        <f t="array" ref="D363">SUMPRODUCT((pat_tech_transfo_01[[client]:[client]] = syndicat_etude)*(pat_tech_transfo_01[[annee]:[annee]] = D$353)*(pat_tech_transfo_01[[puissance]:[puissance]]= $B363)  * (pat_tech_transfo_01[[nbr_transfo_par_puissance]:[nbr_transfo_par_puissance]]))</f>
        <v>861</v>
      </c>
      <c r="E363" s="11" cm="1">
        <f t="array" ref="E363">SUMPRODUCT((pat_tech_transfo_01[[client]:[client]] = syndicat_etude)*(pat_tech_transfo_01[[annee]:[annee]] = E$353)*(pat_tech_transfo_01[[puissance]:[puissance]]= $B363)  * (pat_tech_transfo_01[[nbr_transfo_par_puissance]:[nbr_transfo_par_puissance]]))</f>
        <v>856</v>
      </c>
      <c r="F363" s="11" cm="1">
        <f t="array" ref="F363">SUMPRODUCT((pat_tech_transfo_01[[client]:[client]] = syndicat_etude)*(pat_tech_transfo_01[[annee]:[annee]] = F$353)*(pat_tech_transfo_01[[puissance]:[puissance]]= $B363)  * (pat_tech_transfo_01[[nbr_transfo_par_puissance]:[nbr_transfo_par_puissance]]))</f>
        <v>853</v>
      </c>
      <c r="G363" s="11" cm="1">
        <f t="array" ref="G363">SUMPRODUCT((pat_tech_transfo_01[[client]:[client]] = syndicat_etude)*(pat_tech_transfo_01[[annee]:[annee]] = G$353)*(pat_tech_transfo_01[[puissance]:[puissance]]= $B363)  * (pat_tech_transfo_01[[nbr_transfo_par_puissance]:[nbr_transfo_par_puissance]]))</f>
        <v>849</v>
      </c>
      <c r="H363" s="120">
        <f t="shared" si="11"/>
        <v>0.20487451737451737</v>
      </c>
    </row>
    <row r="364" spans="1:13" ht="15" customHeight="1" x14ac:dyDescent="0.25">
      <c r="B364" s="111">
        <v>63</v>
      </c>
      <c r="C364" s="11" cm="1">
        <f t="array" ref="C364">SUMPRODUCT((pat_tech_transfo_01[[client]:[client]] = syndicat_etude)*(pat_tech_transfo_01[[annee]:[annee]] = C$353)*(pat_tech_transfo_01[[puissance]:[puissance]]= $B364)  * (pat_tech_transfo_01[[nbr_transfo_par_puissance]:[nbr_transfo_par_puissance]]))</f>
        <v>0</v>
      </c>
      <c r="D364" s="11" cm="1">
        <f t="array" ref="D364">SUMPRODUCT((pat_tech_transfo_01[[client]:[client]] = syndicat_etude)*(pat_tech_transfo_01[[annee]:[annee]] = D$353)*(pat_tech_transfo_01[[puissance]:[puissance]]= $B364)  * (pat_tech_transfo_01[[nbr_transfo_par_puissance]:[nbr_transfo_par_puissance]]))</f>
        <v>0</v>
      </c>
      <c r="E364" s="11" cm="1">
        <f t="array" ref="E364">SUMPRODUCT((pat_tech_transfo_01[[client]:[client]] = syndicat_etude)*(pat_tech_transfo_01[[annee]:[annee]] = E$353)*(pat_tech_transfo_01[[puissance]:[puissance]]= $B364)  * (pat_tech_transfo_01[[nbr_transfo_par_puissance]:[nbr_transfo_par_puissance]]))</f>
        <v>0</v>
      </c>
      <c r="F364" s="11" cm="1">
        <f t="array" ref="F364">SUMPRODUCT((pat_tech_transfo_01[[client]:[client]] = syndicat_etude)*(pat_tech_transfo_01[[annee]:[annee]] = F$353)*(pat_tech_transfo_01[[puissance]:[puissance]]= $B364)  * (pat_tech_transfo_01[[nbr_transfo_par_puissance]:[nbr_transfo_par_puissance]]))</f>
        <v>0</v>
      </c>
      <c r="G364" s="11" cm="1">
        <f t="array" ref="G364">SUMPRODUCT((pat_tech_transfo_01[[client]:[client]] = syndicat_etude)*(pat_tech_transfo_01[[annee]:[annee]] = G$353)*(pat_tech_transfo_01[[puissance]:[puissance]]= $B364)  * (pat_tech_transfo_01[[nbr_transfo_par_puissance]:[nbr_transfo_par_puissance]]))</f>
        <v>0</v>
      </c>
      <c r="H364" s="120">
        <f t="shared" si="11"/>
        <v>0</v>
      </c>
    </row>
    <row r="365" spans="1:13" ht="15" customHeight="1" x14ac:dyDescent="0.25">
      <c r="B365" s="111">
        <v>51</v>
      </c>
      <c r="C365" s="11" cm="1">
        <f t="array" ref="C365">SUMPRODUCT((pat_tech_transfo_01[[client]:[client]] = syndicat_etude)*(pat_tech_transfo_01[[annee]:[annee]] = C$353)*(pat_tech_transfo_01[[puissance]:[puissance]]= $B365)  * (pat_tech_transfo_01[[nbr_transfo_par_puissance]:[nbr_transfo_par_puissance]]))</f>
        <v>0</v>
      </c>
      <c r="D365" s="11" cm="1">
        <f t="array" ref="D365">SUMPRODUCT((pat_tech_transfo_01[[client]:[client]] = syndicat_etude)*(pat_tech_transfo_01[[annee]:[annee]] = D$353)*(pat_tech_transfo_01[[puissance]:[puissance]]= $B365)  * (pat_tech_transfo_01[[nbr_transfo_par_puissance]:[nbr_transfo_par_puissance]]))</f>
        <v>0</v>
      </c>
      <c r="E365" s="11" cm="1">
        <f t="array" ref="E365">SUMPRODUCT((pat_tech_transfo_01[[client]:[client]] = syndicat_etude)*(pat_tech_transfo_01[[annee]:[annee]] = E$353)*(pat_tech_transfo_01[[puissance]:[puissance]]= $B365)  * (pat_tech_transfo_01[[nbr_transfo_par_puissance]:[nbr_transfo_par_puissance]]))</f>
        <v>0</v>
      </c>
      <c r="F365" s="11" cm="1">
        <f t="array" ref="F365">SUMPRODUCT((pat_tech_transfo_01[[client]:[client]] = syndicat_etude)*(pat_tech_transfo_01[[annee]:[annee]] = F$353)*(pat_tech_transfo_01[[puissance]:[puissance]]= $B365)  * (pat_tech_transfo_01[[nbr_transfo_par_puissance]:[nbr_transfo_par_puissance]]))</f>
        <v>0</v>
      </c>
      <c r="G365" s="11" cm="1">
        <f t="array" ref="G365">SUMPRODUCT((pat_tech_transfo_01[[client]:[client]] = syndicat_etude)*(pat_tech_transfo_01[[annee]:[annee]] = G$353)*(pat_tech_transfo_01[[puissance]:[puissance]]= $B365)  * (pat_tech_transfo_01[[nbr_transfo_par_puissance]:[nbr_transfo_par_puissance]]))</f>
        <v>0</v>
      </c>
      <c r="H365" s="120">
        <f t="shared" si="11"/>
        <v>0</v>
      </c>
    </row>
    <row r="366" spans="1:13" ht="15" customHeight="1" x14ac:dyDescent="0.25">
      <c r="B366" s="111">
        <v>50</v>
      </c>
      <c r="C366" s="11" cm="1">
        <f t="array" ref="C366">SUMPRODUCT((pat_tech_transfo_01[[client]:[client]] = syndicat_etude)*(pat_tech_transfo_01[[annee]:[annee]] = C$353)*(pat_tech_transfo_01[[puissance]:[puissance]]= $B366)  * (pat_tech_transfo_01[[nbr_transfo_par_puissance]:[nbr_transfo_par_puissance]]))</f>
        <v>421</v>
      </c>
      <c r="D366" s="11" cm="1">
        <f t="array" ref="D366">SUMPRODUCT((pat_tech_transfo_01[[client]:[client]] = syndicat_etude)*(pat_tech_transfo_01[[annee]:[annee]] = D$353)*(pat_tech_transfo_01[[puissance]:[puissance]]= $B366)  * (pat_tech_transfo_01[[nbr_transfo_par_puissance]:[nbr_transfo_par_puissance]]))</f>
        <v>420</v>
      </c>
      <c r="E366" s="11" cm="1">
        <f t="array" ref="E366">SUMPRODUCT((pat_tech_transfo_01[[client]:[client]] = syndicat_etude)*(pat_tech_transfo_01[[annee]:[annee]] = E$353)*(pat_tech_transfo_01[[puissance]:[puissance]]= $B366)  * (pat_tech_transfo_01[[nbr_transfo_par_puissance]:[nbr_transfo_par_puissance]]))</f>
        <v>417</v>
      </c>
      <c r="F366" s="11" cm="1">
        <f t="array" ref="F366">SUMPRODUCT((pat_tech_transfo_01[[client]:[client]] = syndicat_etude)*(pat_tech_transfo_01[[annee]:[annee]] = F$353)*(pat_tech_transfo_01[[puissance]:[puissance]]= $B366)  * (pat_tech_transfo_01[[nbr_transfo_par_puissance]:[nbr_transfo_par_puissance]]))</f>
        <v>410</v>
      </c>
      <c r="G366" s="11" cm="1">
        <f t="array" ref="G366">SUMPRODUCT((pat_tech_transfo_01[[client]:[client]] = syndicat_etude)*(pat_tech_transfo_01[[annee]:[annee]] = G$353)*(pat_tech_transfo_01[[puissance]:[puissance]]= $B366)  * (pat_tech_transfo_01[[nbr_transfo_par_puissance]:[nbr_transfo_par_puissance]]))</f>
        <v>405</v>
      </c>
      <c r="H366" s="120">
        <f t="shared" si="11"/>
        <v>9.7731660231660231E-2</v>
      </c>
    </row>
    <row r="367" spans="1:13" ht="15" customHeight="1" x14ac:dyDescent="0.25">
      <c r="B367" s="111">
        <v>40</v>
      </c>
      <c r="C367" s="11" cm="1">
        <f t="array" ref="C367">SUMPRODUCT((pat_tech_transfo_01[[client]:[client]] = syndicat_etude)*(pat_tech_transfo_01[[annee]:[annee]] = C$353)*(pat_tech_transfo_01[[puissance]:[puissance]]= $B367)  * (pat_tech_transfo_01[[nbr_transfo_par_puissance]:[nbr_transfo_par_puissance]]))</f>
        <v>0</v>
      </c>
      <c r="D367" s="11" cm="1">
        <f t="array" ref="D367">SUMPRODUCT((pat_tech_transfo_01[[client]:[client]] = syndicat_etude)*(pat_tech_transfo_01[[annee]:[annee]] = D$353)*(pat_tech_transfo_01[[puissance]:[puissance]]= $B367)  * (pat_tech_transfo_01[[nbr_transfo_par_puissance]:[nbr_transfo_par_puissance]]))</f>
        <v>0</v>
      </c>
      <c r="E367" s="11" cm="1">
        <f t="array" ref="E367">SUMPRODUCT((pat_tech_transfo_01[[client]:[client]] = syndicat_etude)*(pat_tech_transfo_01[[annee]:[annee]] = E$353)*(pat_tech_transfo_01[[puissance]:[puissance]]= $B367)  * (pat_tech_transfo_01[[nbr_transfo_par_puissance]:[nbr_transfo_par_puissance]]))</f>
        <v>0</v>
      </c>
      <c r="F367" s="11" cm="1">
        <f t="array" ref="F367">SUMPRODUCT((pat_tech_transfo_01[[client]:[client]] = syndicat_etude)*(pat_tech_transfo_01[[annee]:[annee]] = F$353)*(pat_tech_transfo_01[[puissance]:[puissance]]= $B367)  * (pat_tech_transfo_01[[nbr_transfo_par_puissance]:[nbr_transfo_par_puissance]]))</f>
        <v>0</v>
      </c>
      <c r="G367" s="11" cm="1">
        <f t="array" ref="G367">SUMPRODUCT((pat_tech_transfo_01[[client]:[client]] = syndicat_etude)*(pat_tech_transfo_01[[annee]:[annee]] = G$353)*(pat_tech_transfo_01[[puissance]:[puissance]]= $B367)  * (pat_tech_transfo_01[[nbr_transfo_par_puissance]:[nbr_transfo_par_puissance]]))</f>
        <v>0</v>
      </c>
      <c r="H367" s="120">
        <f t="shared" si="11"/>
        <v>0</v>
      </c>
    </row>
    <row r="368" spans="1:13" ht="15" customHeight="1" x14ac:dyDescent="0.25">
      <c r="B368" s="111">
        <v>25</v>
      </c>
      <c r="C368" s="11" cm="1">
        <f t="array" ref="C368">SUMPRODUCT((pat_tech_transfo_01[[client]:[client]] = syndicat_etude)*(pat_tech_transfo_01[[annee]:[annee]] = C$353)*(pat_tech_transfo_01[[puissance]:[puissance]]= $B368)  * (pat_tech_transfo_01[[nbr_transfo_par_puissance]:[nbr_transfo_par_puissance]]))</f>
        <v>0</v>
      </c>
      <c r="D368" s="11" cm="1">
        <f t="array" ref="D368">SUMPRODUCT((pat_tech_transfo_01[[client]:[client]] = syndicat_etude)*(pat_tech_transfo_01[[annee]:[annee]] = D$353)*(pat_tech_transfo_01[[puissance]:[puissance]]= $B368)  * (pat_tech_transfo_01[[nbr_transfo_par_puissance]:[nbr_transfo_par_puissance]]))</f>
        <v>0</v>
      </c>
      <c r="E368" s="11" cm="1">
        <f t="array" ref="E368">SUMPRODUCT((pat_tech_transfo_01[[client]:[client]] = syndicat_etude)*(pat_tech_transfo_01[[annee]:[annee]] = E$353)*(pat_tech_transfo_01[[puissance]:[puissance]]= $B368)  * (pat_tech_transfo_01[[nbr_transfo_par_puissance]:[nbr_transfo_par_puissance]]))</f>
        <v>0</v>
      </c>
      <c r="F368" s="11" cm="1">
        <f t="array" ref="F368">SUMPRODUCT((pat_tech_transfo_01[[client]:[client]] = syndicat_etude)*(pat_tech_transfo_01[[annee]:[annee]] = F$353)*(pat_tech_transfo_01[[puissance]:[puissance]]= $B368)  * (pat_tech_transfo_01[[nbr_transfo_par_puissance]:[nbr_transfo_par_puissance]]))</f>
        <v>0</v>
      </c>
      <c r="G368" s="11" cm="1">
        <f t="array" ref="G368">SUMPRODUCT((pat_tech_transfo_01[[client]:[client]] = syndicat_etude)*(pat_tech_transfo_01[[annee]:[annee]] = G$353)*(pat_tech_transfo_01[[puissance]:[puissance]]= $B368)  * (pat_tech_transfo_01[[nbr_transfo_par_puissance]:[nbr_transfo_par_puissance]]))</f>
        <v>0</v>
      </c>
      <c r="H368" s="120">
        <f t="shared" si="11"/>
        <v>0</v>
      </c>
    </row>
    <row r="369" spans="1:20" ht="15" customHeight="1" x14ac:dyDescent="0.25">
      <c r="B369" s="111">
        <v>16</v>
      </c>
      <c r="C369" s="11" cm="1">
        <f t="array" ref="C369">SUMPRODUCT((pat_tech_transfo_01[[client]:[client]] = syndicat_etude)*(pat_tech_transfo_01[[annee]:[annee]] = C$353)*(pat_tech_transfo_01[[puissance]:[puissance]]= $B369)  * (pat_tech_transfo_01[[nbr_transfo_par_puissance]:[nbr_transfo_par_puissance]]))</f>
        <v>0</v>
      </c>
      <c r="D369" s="11" cm="1">
        <f t="array" ref="D369">SUMPRODUCT((pat_tech_transfo_01[[client]:[client]] = syndicat_etude)*(pat_tech_transfo_01[[annee]:[annee]] = D$353)*(pat_tech_transfo_01[[puissance]:[puissance]]= $B369)  * (pat_tech_transfo_01[[nbr_transfo_par_puissance]:[nbr_transfo_par_puissance]]))</f>
        <v>0</v>
      </c>
      <c r="E369" s="11" cm="1">
        <f t="array" ref="E369">SUMPRODUCT((pat_tech_transfo_01[[client]:[client]] = syndicat_etude)*(pat_tech_transfo_01[[annee]:[annee]] = E$353)*(pat_tech_transfo_01[[puissance]:[puissance]]= $B369)  * (pat_tech_transfo_01[[nbr_transfo_par_puissance]:[nbr_transfo_par_puissance]]))</f>
        <v>0</v>
      </c>
      <c r="F369" s="11" cm="1">
        <f t="array" ref="F369">SUMPRODUCT((pat_tech_transfo_01[[client]:[client]] = syndicat_etude)*(pat_tech_transfo_01[[annee]:[annee]] = F$353)*(pat_tech_transfo_01[[puissance]:[puissance]]= $B369)  * (pat_tech_transfo_01[[nbr_transfo_par_puissance]:[nbr_transfo_par_puissance]]))</f>
        <v>0</v>
      </c>
      <c r="G369" s="11" cm="1">
        <f t="array" ref="G369">SUMPRODUCT((pat_tech_transfo_01[[client]:[client]] = syndicat_etude)*(pat_tech_transfo_01[[annee]:[annee]] = G$353)*(pat_tech_transfo_01[[puissance]:[puissance]]= $B369)  * (pat_tech_transfo_01[[nbr_transfo_par_puissance]:[nbr_transfo_par_puissance]]))</f>
        <v>0</v>
      </c>
      <c r="H369" s="120">
        <f t="shared" si="11"/>
        <v>0</v>
      </c>
    </row>
    <row r="370" spans="1:20" ht="15" customHeight="1" x14ac:dyDescent="0.25">
      <c r="B370" s="131" t="s">
        <v>182</v>
      </c>
      <c r="C370" s="141">
        <f>SUM(C$354:C$369)</f>
        <v>4029</v>
      </c>
      <c r="D370" s="141">
        <f>SUM(D$354:D$369)</f>
        <v>4045</v>
      </c>
      <c r="E370" s="141">
        <f>SUM(E$354:E$369)</f>
        <v>4067</v>
      </c>
      <c r="F370" s="141">
        <f>SUM(F$354:F$369)</f>
        <v>4099</v>
      </c>
      <c r="G370" s="141">
        <f>SUM(G$354:G$369)</f>
        <v>4144</v>
      </c>
      <c r="H370" s="146"/>
    </row>
    <row r="372" spans="1:20" ht="30" customHeight="1" x14ac:dyDescent="0.25">
      <c r="A372" s="479" t="s">
        <v>374</v>
      </c>
      <c r="B372" s="66" t="s">
        <v>375</v>
      </c>
      <c r="C372" s="67" cm="1">
        <f t="array" ref="C372">Exercice[Exercice N-4]</f>
        <v>2019</v>
      </c>
      <c r="D372" s="67" cm="1">
        <f t="array" ref="D372">Exercice[Exercice N-3]</f>
        <v>2020</v>
      </c>
      <c r="E372" s="67" cm="1">
        <f t="array" ref="E372">Exercice[Exercice N-2]</f>
        <v>2021</v>
      </c>
      <c r="F372" s="67" cm="1">
        <f t="array" ref="F372">Exercice[Exercice N-1]</f>
        <v>2022</v>
      </c>
      <c r="G372" s="67" cm="1">
        <f t="array" ref="G372">Exercice[Exercice N]</f>
        <v>2023</v>
      </c>
      <c r="H372" s="68" t="str" cm="1">
        <f t="array" ref="H372">"% "&amp;Exercice[Exercice N]</f>
        <v>% 2023</v>
      </c>
    </row>
    <row r="373" spans="1:20" ht="15" customHeight="1" x14ac:dyDescent="0.25">
      <c r="A373" s="25" t="s">
        <v>376</v>
      </c>
      <c r="B373" s="126" t="s">
        <v>377</v>
      </c>
      <c r="C373" s="134" cm="1">
        <f t="array" ref="C373">SUMPRODUCT((pat_tech_transfo_04[[client]:[client]]=syndicat_etude)*(pat_tech_transfo_04[[annee]:[annee]]=Exercice[[Exercice N-4]:[Exercice N-4]])*(pat_tech_transfo_04[[nbr_transfo_inf_10_percent]:[nbr_transfo_inf_10_percent]]))</f>
        <v>506</v>
      </c>
      <c r="D373" s="134" cm="1">
        <f t="array" ref="D373">SUMPRODUCT((pat_tech_transfo_04[[client]:[client]]=syndicat_etude)*(pat_tech_transfo_04[[annee]:[annee]]=Exercice[[Exercice N-3]:[Exercice N-3]])*(pat_tech_transfo_04[[nbr_transfo_inf_10_percent]:[nbr_transfo_inf_10_percent]]))</f>
        <v>509</v>
      </c>
      <c r="E373" s="134" cm="1">
        <f t="array" ref="E373">SUMPRODUCT((pat_tech_transfo_04[[client]:[client]]=syndicat_etude)*(pat_tech_transfo_04[[annee]:[annee]]=Exercice[[Exercice N-2]:[Exercice N-2]])*(pat_tech_transfo_04[[nbr_transfo_inf_10_percent]:[nbr_transfo_inf_10_percent]]))</f>
        <v>519</v>
      </c>
      <c r="F373" s="134" cm="1">
        <f t="array" ref="F373">SUMPRODUCT((pat_tech_transfo_04[[client]:[client]]=syndicat_etude)*(pat_tech_transfo_04[[annee]:[annee]]=Exercice[[Exercice N-1]:[Exercice N-1]])*(pat_tech_transfo_04[[nbr_transfo_inf_10_percent]:[nbr_transfo_inf_10_percent]]))</f>
        <v>552</v>
      </c>
      <c r="G373" s="134" cm="1">
        <f t="array" ref="G373">SUMPRODUCT((pat_tech_transfo_04[[client]:[client]]=syndicat_etude)*(pat_tech_transfo_04[[annee]:[annee]]=Exercice[[Exercice N]:[Exercice N]])*(pat_tech_transfo_04[[nbr_transfo_inf_10_percent]:[nbr_transfo_inf_10_percent]]))</f>
        <v>567</v>
      </c>
      <c r="H373" s="120">
        <f>IFERROR(G373/SUM($G$373:$G$383),"-")</f>
        <v>0.13705583756345177</v>
      </c>
      <c r="T373" s="25" cm="1">
        <f t="array" ref="T373">SUMPRODUCT((pat_tech_transfo_04[[client]:[client]]=syndicat_etude)*(pat_tech_transfo_04[[annee]:[annee]]=Exercice[[Exercice N-2]:[Exercice N-2]])*(pat_tech_transfo_04[[nbr_transfo_inf_10_percent]:[nbr_transfo_inf_10_percent]]))</f>
        <v>519</v>
      </c>
    </row>
    <row r="374" spans="1:20" ht="15" customHeight="1" x14ac:dyDescent="0.25">
      <c r="B374" s="126" t="s">
        <v>378</v>
      </c>
      <c r="C374" s="134" cm="1">
        <f t="array" ref="C374">SUMPRODUCT((pat_tech_transfo_04[[client]:[client]]=syndicat_etude)*(pat_tech_transfo_04[[annee]:[annee]]=Exercice[[Exercice N-4]:[Exercice N-4]])*(pat_tech_transfo_04[[nbr_transfo_btw_10_20_percent]:[nbr_transfo_btw_10_20_percent]]))</f>
        <v>376</v>
      </c>
      <c r="D374" s="134" cm="1">
        <f t="array" ref="D374">SUMPRODUCT((pat_tech_transfo_04[[client]:[client]]=syndicat_etude)*(pat_tech_transfo_04[[annee]:[annee]]=Exercice[[Exercice N-3]:[Exercice N-3]])*(pat_tech_transfo_04[[nbr_transfo_btw_10_20_percent]:[nbr_transfo_btw_10_20_percent]]))</f>
        <v>378</v>
      </c>
      <c r="E374" s="134" cm="1">
        <f t="array" ref="E374">SUMPRODUCT((pat_tech_transfo_04[[client]:[client]]=syndicat_etude)*(pat_tech_transfo_04[[annee]:[annee]]=Exercice[[Exercice N-2]:[Exercice N-2]])*(pat_tech_transfo_04[[nbr_transfo_btw_10_20_percent]:[nbr_transfo_btw_10_20_percent]]))</f>
        <v>376</v>
      </c>
      <c r="F374" s="134" cm="1">
        <f t="array" ref="F374">SUMPRODUCT((pat_tech_transfo_04[[client]:[client]]=syndicat_etude)*(pat_tech_transfo_04[[annee]:[annee]]=Exercice[[Exercice N-1]:[Exercice N-1]])*(pat_tech_transfo_04[[nbr_transfo_btw_10_20_percent]:[nbr_transfo_btw_10_20_percent]]))</f>
        <v>385</v>
      </c>
      <c r="G374" s="134" cm="1">
        <f t="array" ref="G374">SUMPRODUCT((pat_tech_transfo_04[[client]:[client]]=syndicat_etude)*(pat_tech_transfo_04[[annee]:[annee]]=Exercice[[Exercice N]:[Exercice N]])*(pat_tech_transfo_04[[nbr_transfo_btw_10_20_percent]:[nbr_transfo_btw_10_20_percent]]))</f>
        <v>415</v>
      </c>
      <c r="H374" s="120">
        <f t="shared" ref="H374:H384" si="12">IFERROR(G374/SUM($G$373:$G$383),"-")</f>
        <v>0.10031423737007493</v>
      </c>
      <c r="T374" s="25" cm="1">
        <f t="array" ref="T374">SUMPRODUCT((pat_tech_transfo_04[[client]:[client]]=syndicat_etude)*(pat_tech_transfo_04[[annee]:[annee]]=Exercice[[Exercice N-2]:[Exercice N-2]])*(pat_tech_transfo_04[[nbr_transfo_btw_10_20_percent]:[nbr_transfo_btw_10_20_percent]]))</f>
        <v>376</v>
      </c>
    </row>
    <row r="375" spans="1:20" ht="15" customHeight="1" x14ac:dyDescent="0.25">
      <c r="B375" s="126" t="s">
        <v>379</v>
      </c>
      <c r="C375" s="134" cm="1">
        <f t="array" ref="C375">SUMPRODUCT((pat_tech_transfo_04[[client]:[client]]=syndicat_etude)*(pat_tech_transfo_04[[annee]:[annee]]=Exercice[[Exercice N-4]:[Exercice N-4]])*(pat_tech_transfo_04[[nbr_transfo_btw_20_30_percent]:[nbr_transfo_btw_20_30_percent]]))</f>
        <v>412</v>
      </c>
      <c r="D375" s="134" cm="1">
        <f t="array" ref="D375">SUMPRODUCT((pat_tech_transfo_04[[client]:[client]]=syndicat_etude)*(pat_tech_transfo_04[[annee]:[annee]]=Exercice[[Exercice N-3]:[Exercice N-3]])*(pat_tech_transfo_04[[nbr_transfo_btw_20_30_percent]:[nbr_transfo_btw_20_30_percent]]))</f>
        <v>440</v>
      </c>
      <c r="E375" s="134" cm="1">
        <f t="array" ref="E375">SUMPRODUCT((pat_tech_transfo_04[[client]:[client]]=syndicat_etude)*(pat_tech_transfo_04[[annee]:[annee]]=Exercice[[Exercice N-2]:[Exercice N-2]])*(pat_tech_transfo_04[[nbr_transfo_btw_20_30_percent]:[nbr_transfo_btw_20_30_percent]]))</f>
        <v>452</v>
      </c>
      <c r="F375" s="134" cm="1">
        <f t="array" ref="F375">SUMPRODUCT((pat_tech_transfo_04[[client]:[client]]=syndicat_etude)*(pat_tech_transfo_04[[annee]:[annee]]=Exercice[[Exercice N-1]:[Exercice N-1]])*(pat_tech_transfo_04[[nbr_transfo_btw_20_30_percent]:[nbr_transfo_btw_20_30_percent]]))</f>
        <v>450</v>
      </c>
      <c r="G375" s="134" cm="1">
        <f t="array" ref="G375">SUMPRODUCT((pat_tech_transfo_04[[client]:[client]]=syndicat_etude)*(pat_tech_transfo_04[[annee]:[annee]]=Exercice[[Exercice N]:[Exercice N]])*(pat_tech_transfo_04[[nbr_transfo_btw_20_30_percent]:[nbr_transfo_btw_20_30_percent]]))</f>
        <v>459</v>
      </c>
      <c r="H375" s="120">
        <f t="shared" si="12"/>
        <v>0.11094996374184192</v>
      </c>
      <c r="T375" s="25" cm="1">
        <f t="array" ref="T375">SUMPRODUCT((pat_tech_transfo_04[[client]:[client]]=syndicat_etude)*(pat_tech_transfo_04[[annee]:[annee]]=Exercice[[Exercice N-2]:[Exercice N-2]])*(pat_tech_transfo_04[[nbr_transfo_btw_20_30_percent]:[nbr_transfo_btw_20_30_percent]]))</f>
        <v>452</v>
      </c>
    </row>
    <row r="376" spans="1:20" ht="15" customHeight="1" x14ac:dyDescent="0.25">
      <c r="B376" s="50" t="s">
        <v>380</v>
      </c>
      <c r="C376" s="11" cm="1">
        <f t="array" ref="C376">SUMPRODUCT((pat_tech_transfo_04[[client]:[client]]=syndicat_etude)*(pat_tech_transfo_04[[annee]:[annee]]=Exercice[[Exercice N-4]:[Exercice N-4]])*(pat_tech_transfo_04[[nbr_transfo_btw_30_40_percent]:[nbr_transfo_btw_30_40_percent]]))</f>
        <v>464</v>
      </c>
      <c r="D376" s="11" cm="1">
        <f t="array" ref="D376">SUMPRODUCT((pat_tech_transfo_04[[client]:[client]]=syndicat_etude)*(pat_tech_transfo_04[[annee]:[annee]]=Exercice[[Exercice N-3]:[Exercice N-3]])*(pat_tech_transfo_04[[nbr_transfo_btw_30_40_percent]:[nbr_transfo_btw_30_40_percent]]))</f>
        <v>491</v>
      </c>
      <c r="E376" s="11" cm="1">
        <f t="array" ref="E376">SUMPRODUCT((pat_tech_transfo_04[[client]:[client]]=syndicat_etude)*(pat_tech_transfo_04[[annee]:[annee]]=Exercice[[Exercice N-2]:[Exercice N-2]])*(pat_tech_transfo_04[[nbr_transfo_btw_30_40_percent]:[nbr_transfo_btw_30_40_percent]]))</f>
        <v>489</v>
      </c>
      <c r="F376" s="11" cm="1">
        <f t="array" ref="F376">SUMPRODUCT((pat_tech_transfo_04[[client]:[client]]=syndicat_etude)*(pat_tech_transfo_04[[annee]:[annee]]=Exercice[[Exercice N-1]:[Exercice N-1]])*(pat_tech_transfo_04[[nbr_transfo_btw_30_40_percent]:[nbr_transfo_btw_30_40_percent]]))</f>
        <v>485</v>
      </c>
      <c r="G376" s="11" cm="1">
        <f t="array" ref="G376">SUMPRODUCT((pat_tech_transfo_04[[client]:[client]]=syndicat_etude)*(pat_tech_transfo_04[[annee]:[annee]]=Exercice[[Exercice N]:[Exercice N]])*(pat_tech_transfo_04[[nbr_transfo_btw_30_40_percent]:[nbr_transfo_btw_30_40_percent]]))</f>
        <v>503</v>
      </c>
      <c r="H376" s="120">
        <f t="shared" si="12"/>
        <v>0.1215856901136089</v>
      </c>
    </row>
    <row r="377" spans="1:20" ht="15" customHeight="1" x14ac:dyDescent="0.25">
      <c r="B377" s="50" t="s">
        <v>381</v>
      </c>
      <c r="C377" s="11" cm="1">
        <f t="array" ref="C377">SUMPRODUCT((pat_tech_transfo_04[[client]:[client]]=syndicat_etude)*(pat_tech_transfo_04[[annee]:[annee]]=Exercice[[Exercice N-4]:[Exercice N-4]])*(pat_tech_transfo_04[[nbr_transfo_btw_40_50_percent]:[nbr_transfo_btw_40_50_percent]]))</f>
        <v>489</v>
      </c>
      <c r="D377" s="11" cm="1">
        <f t="array" ref="D377">SUMPRODUCT((pat_tech_transfo_04[[client]:[client]]=syndicat_etude)*(pat_tech_transfo_04[[annee]:[annee]]=Exercice[[Exercice N-3]:[Exercice N-3]])*(pat_tech_transfo_04[[nbr_transfo_btw_40_50_percent]:[nbr_transfo_btw_40_50_percent]]))</f>
        <v>517</v>
      </c>
      <c r="E377" s="11" cm="1">
        <f t="array" ref="E377">SUMPRODUCT((pat_tech_transfo_04[[client]:[client]]=syndicat_etude)*(pat_tech_transfo_04[[annee]:[annee]]=Exercice[[Exercice N-2]:[Exercice N-2]])*(pat_tech_transfo_04[[nbr_transfo_btw_40_50_percent]:[nbr_transfo_btw_40_50_percent]]))</f>
        <v>548</v>
      </c>
      <c r="F377" s="11" cm="1">
        <f t="array" ref="F377">SUMPRODUCT((pat_tech_transfo_04[[client]:[client]]=syndicat_etude)*(pat_tech_transfo_04[[annee]:[annee]]=Exercice[[Exercice N-1]:[Exercice N-1]])*(pat_tech_transfo_04[[nbr_transfo_btw_40_50_percent]:[nbr_transfo_btw_40_50_percent]]))</f>
        <v>553</v>
      </c>
      <c r="G377" s="11" cm="1">
        <f t="array" ref="G377">SUMPRODUCT((pat_tech_transfo_04[[client]:[client]]=syndicat_etude)*(pat_tech_transfo_04[[annee]:[annee]]=Exercice[[Exercice N]:[Exercice N]])*(pat_tech_transfo_04[[nbr_transfo_btw_40_50_percent]:[nbr_transfo_btw_40_50_percent]]))</f>
        <v>594</v>
      </c>
      <c r="H377" s="120">
        <f t="shared" si="12"/>
        <v>0.14358230601885424</v>
      </c>
    </row>
    <row r="378" spans="1:20" ht="15" customHeight="1" x14ac:dyDescent="0.25">
      <c r="B378" s="50" t="s">
        <v>382</v>
      </c>
      <c r="C378" s="11" cm="1">
        <f t="array" ref="C378">SUMPRODUCT((pat_tech_transfo_04[[client]:[client]]=syndicat_etude)*(pat_tech_transfo_04[[annee]:[annee]]=Exercice[[Exercice N-4]:[Exercice N-4]])*(pat_tech_transfo_04[[nbr_transfo_btw_50_60_percent]:[nbr_transfo_btw_50_60_percent]]))</f>
        <v>538</v>
      </c>
      <c r="D378" s="11" cm="1">
        <f t="array" ref="D378">SUMPRODUCT((pat_tech_transfo_04[[client]:[client]]=syndicat_etude)*(pat_tech_transfo_04[[annee]:[annee]]=Exercice[[Exercice N-3]:[Exercice N-3]])*(pat_tech_transfo_04[[nbr_transfo_btw_50_60_percent]:[nbr_transfo_btw_50_60_percent]]))</f>
        <v>553</v>
      </c>
      <c r="E378" s="11" cm="1">
        <f t="array" ref="E378">SUMPRODUCT((pat_tech_transfo_04[[client]:[client]]=syndicat_etude)*(pat_tech_transfo_04[[annee]:[annee]]=Exercice[[Exercice N-2]:[Exercice N-2]])*(pat_tech_transfo_04[[nbr_transfo_btw_50_60_percent]:[nbr_transfo_btw_50_60_percent]]))</f>
        <v>573</v>
      </c>
      <c r="F378" s="11" cm="1">
        <f t="array" ref="F378">SUMPRODUCT((pat_tech_transfo_04[[client]:[client]]=syndicat_etude)*(pat_tech_transfo_04[[annee]:[annee]]=Exercice[[Exercice N-1]:[Exercice N-1]])*(pat_tech_transfo_04[[nbr_transfo_btw_50_60_percent]:[nbr_transfo_btw_50_60_percent]]))</f>
        <v>555</v>
      </c>
      <c r="G378" s="11" cm="1">
        <f t="array" ref="G378">SUMPRODUCT((pat_tech_transfo_04[[client]:[client]]=syndicat_etude)*(pat_tech_transfo_04[[annee]:[annee]]=Exercice[[Exercice N]:[Exercice N]])*(pat_tech_transfo_04[[nbr_transfo_btw_50_60_percent]:[nbr_transfo_btw_50_60_percent]]))</f>
        <v>553</v>
      </c>
      <c r="H378" s="120">
        <f t="shared" si="12"/>
        <v>0.13367174280879865</v>
      </c>
    </row>
    <row r="379" spans="1:20" ht="15" customHeight="1" x14ac:dyDescent="0.25">
      <c r="B379" s="50" t="s">
        <v>383</v>
      </c>
      <c r="C379" s="11" cm="1">
        <f t="array" ref="C379">SUMPRODUCT((pat_tech_transfo_04[[client]:[client]]=syndicat_etude)*(pat_tech_transfo_04[[annee]:[annee]]=Exercice[[Exercice N-4]:[Exercice N-4]])*(pat_tech_transfo_04[[nbr_transfo_btw_60_70_percent]:[nbr_transfo_btw_60_70_percent]]))</f>
        <v>474</v>
      </c>
      <c r="D379" s="11" cm="1">
        <f t="array" ref="D379">SUMPRODUCT((pat_tech_transfo_04[[client]:[client]]=syndicat_etude)*(pat_tech_transfo_04[[annee]:[annee]]=Exercice[[Exercice N-3]:[Exercice N-3]])*(pat_tech_transfo_04[[nbr_transfo_btw_60_70_percent]:[nbr_transfo_btw_60_70_percent]]))</f>
        <v>495</v>
      </c>
      <c r="E379" s="11" cm="1">
        <f t="array" ref="E379">SUMPRODUCT((pat_tech_transfo_04[[client]:[client]]=syndicat_etude)*(pat_tech_transfo_04[[annee]:[annee]]=Exercice[[Exercice N-2]:[Exercice N-2]])*(pat_tech_transfo_04[[nbr_transfo_btw_60_70_percent]:[nbr_transfo_btw_60_70_percent]]))</f>
        <v>492</v>
      </c>
      <c r="F379" s="11" cm="1">
        <f t="array" ref="F379">SUMPRODUCT((pat_tech_transfo_04[[client]:[client]]=syndicat_etude)*(pat_tech_transfo_04[[annee]:[annee]]=Exercice[[Exercice N-1]:[Exercice N-1]])*(pat_tech_transfo_04[[nbr_transfo_btw_60_70_percent]:[nbr_transfo_btw_60_70_percent]]))</f>
        <v>473</v>
      </c>
      <c r="G379" s="11" cm="1">
        <f t="array" ref="G379">SUMPRODUCT((pat_tech_transfo_04[[client]:[client]]=syndicat_etude)*(pat_tech_transfo_04[[annee]:[annee]]=Exercice[[Exercice N]:[Exercice N]])*(pat_tech_transfo_04[[nbr_transfo_btw_60_70_percent]:[nbr_transfo_btw_60_70_percent]]))</f>
        <v>451</v>
      </c>
      <c r="H379" s="120">
        <f t="shared" si="12"/>
        <v>0.10901619531061156</v>
      </c>
    </row>
    <row r="380" spans="1:20" ht="15" customHeight="1" x14ac:dyDescent="0.25">
      <c r="B380" s="50" t="s">
        <v>384</v>
      </c>
      <c r="C380" s="11" cm="1">
        <f t="array" ref="C380">SUMPRODUCT((pat_tech_transfo_04[[client]:[client]]=syndicat_etude)*(pat_tech_transfo_04[[annee]:[annee]]=Exercice[[Exercice N-4]:[Exercice N-4]])*(pat_tech_transfo_04[[nbr_transfo_btw_70_80_percent]:[nbr_transfo_btw_70_80_percent]]))</f>
        <v>329</v>
      </c>
      <c r="D380" s="11" cm="1">
        <f t="array" ref="D380">SUMPRODUCT((pat_tech_transfo_04[[client]:[client]]=syndicat_etude)*(pat_tech_transfo_04[[annee]:[annee]]=Exercice[[Exercice N-3]:[Exercice N-3]])*(pat_tech_transfo_04[[nbr_transfo_btw_70_80_percent]:[nbr_transfo_btw_70_80_percent]]))</f>
        <v>335</v>
      </c>
      <c r="E380" s="11" cm="1">
        <f t="array" ref="E380">SUMPRODUCT((pat_tech_transfo_04[[client]:[client]]=syndicat_etude)*(pat_tech_transfo_04[[annee]:[annee]]=Exercice[[Exercice N-2]:[Exercice N-2]])*(pat_tech_transfo_04[[nbr_transfo_btw_70_80_percent]:[nbr_transfo_btw_70_80_percent]]))</f>
        <v>315</v>
      </c>
      <c r="F380" s="11" cm="1">
        <f t="array" ref="F380">SUMPRODUCT((pat_tech_transfo_04[[client]:[client]]=syndicat_etude)*(pat_tech_transfo_04[[annee]:[annee]]=Exercice[[Exercice N-1]:[Exercice N-1]])*(pat_tech_transfo_04[[nbr_transfo_btw_70_80_percent]:[nbr_transfo_btw_70_80_percent]]))</f>
        <v>330</v>
      </c>
      <c r="G380" s="11" cm="1">
        <f t="array" ref="G380">SUMPRODUCT((pat_tech_transfo_04[[client]:[client]]=syndicat_etude)*(pat_tech_transfo_04[[annee]:[annee]]=Exercice[[Exercice N]:[Exercice N]])*(pat_tech_transfo_04[[nbr_transfo_btw_70_80_percent]:[nbr_transfo_btw_70_80_percent]]))</f>
        <v>313</v>
      </c>
      <c r="H380" s="120">
        <f t="shared" si="12"/>
        <v>7.5658689871887841E-2</v>
      </c>
    </row>
    <row r="381" spans="1:20" ht="15" customHeight="1" x14ac:dyDescent="0.25">
      <c r="B381" s="50" t="s">
        <v>385</v>
      </c>
      <c r="C381" s="11" cm="1">
        <f t="array" ref="C381">SUMPRODUCT((pat_tech_transfo_04[[client]:[client]]=syndicat_etude)*(pat_tech_transfo_04[[annee]:[annee]]=Exercice[[Exercice N-4]:[Exercice N-4]])*(pat_tech_transfo_04[[nbr_transfo_btw_80_90_percent]:[nbr_transfo_btw_80_90_percent]]))</f>
        <v>232</v>
      </c>
      <c r="D381" s="11" cm="1">
        <f t="array" ref="D381">SUMPRODUCT((pat_tech_transfo_04[[client]:[client]]=syndicat_etude)*(pat_tech_transfo_04[[annee]:[annee]]=Exercice[[Exercice N-3]:[Exercice N-3]])*(pat_tech_transfo_04[[nbr_transfo_btw_80_90_percent]:[nbr_transfo_btw_80_90_percent]]))</f>
        <v>176</v>
      </c>
      <c r="E381" s="11" cm="1">
        <f t="array" ref="E381">SUMPRODUCT((pat_tech_transfo_04[[client]:[client]]=syndicat_etude)*(pat_tech_transfo_04[[annee]:[annee]]=Exercice[[Exercice N-2]:[Exercice N-2]])*(pat_tech_transfo_04[[nbr_transfo_btw_80_90_percent]:[nbr_transfo_btw_80_90_percent]]))</f>
        <v>177</v>
      </c>
      <c r="F381" s="11" cm="1">
        <f t="array" ref="F381">SUMPRODUCT((pat_tech_transfo_04[[client]:[client]]=syndicat_etude)*(pat_tech_transfo_04[[annee]:[annee]]=Exercice[[Exercice N-1]:[Exercice N-1]])*(pat_tech_transfo_04[[nbr_transfo_btw_80_90_percent]:[nbr_transfo_btw_80_90_percent]]))</f>
        <v>179</v>
      </c>
      <c r="G381" s="11" cm="1">
        <f t="array" ref="G381">SUMPRODUCT((pat_tech_transfo_04[[client]:[client]]=syndicat_etude)*(pat_tech_transfo_04[[annee]:[annee]]=Exercice[[Exercice N]:[Exercice N]])*(pat_tech_transfo_04[[nbr_transfo_btw_80_90_percent]:[nbr_transfo_btw_80_90_percent]]))</f>
        <v>176</v>
      </c>
      <c r="H381" s="120">
        <f t="shared" si="12"/>
        <v>4.2542905487067927E-2</v>
      </c>
    </row>
    <row r="382" spans="1:20" ht="15" customHeight="1" x14ac:dyDescent="0.25">
      <c r="B382" s="50" t="s">
        <v>386</v>
      </c>
      <c r="C382" s="11" cm="1">
        <f t="array" ref="C382">SUMPRODUCT((pat_tech_transfo_04[[client]:[client]]=syndicat_etude)*(pat_tech_transfo_04[[annee]:[annee]]=Exercice[[Exercice N-4]:[Exercice N-4]])*(pat_tech_transfo_04[[nbr_transfo_btw_90_100_percent]:[nbr_transfo_btw_90_100_percent]]))</f>
        <v>108</v>
      </c>
      <c r="D382" s="11" cm="1">
        <f t="array" ref="D382">SUMPRODUCT((pat_tech_transfo_04[[client]:[client]]=syndicat_etude)*(pat_tech_transfo_04[[annee]:[annee]]=Exercice[[Exercice N-3]:[Exercice N-3]])*(pat_tech_transfo_04[[nbr_transfo_btw_90_100_percent]:[nbr_transfo_btw_90_100_percent]]))</f>
        <v>85</v>
      </c>
      <c r="E382" s="11" cm="1">
        <f t="array" ref="E382">SUMPRODUCT((pat_tech_transfo_04[[client]:[client]]=syndicat_etude)*(pat_tech_transfo_04[[annee]:[annee]]=Exercice[[Exercice N-2]:[Exercice N-2]])*(pat_tech_transfo_04[[nbr_transfo_btw_90_100_percent]:[nbr_transfo_btw_90_100_percent]]))</f>
        <v>73</v>
      </c>
      <c r="F382" s="11" cm="1">
        <f t="array" ref="F382">SUMPRODUCT((pat_tech_transfo_04[[client]:[client]]=syndicat_etude)*(pat_tech_transfo_04[[annee]:[annee]]=Exercice[[Exercice N-1]:[Exercice N-1]])*(pat_tech_transfo_04[[nbr_transfo_btw_90_100_percent]:[nbr_transfo_btw_90_100_percent]]))</f>
        <v>82</v>
      </c>
      <c r="G382" s="11" cm="1">
        <f t="array" ref="G382">SUMPRODUCT((pat_tech_transfo_04[[client]:[client]]=syndicat_etude)*(pat_tech_transfo_04[[annee]:[annee]]=Exercice[[Exercice N]:[Exercice N]])*(pat_tech_transfo_04[[nbr_transfo_btw_90_100_percent]:[nbr_transfo_btw_90_100_percent]]))</f>
        <v>63</v>
      </c>
      <c r="H382" s="120">
        <f t="shared" si="12"/>
        <v>1.5228426395939087E-2</v>
      </c>
    </row>
    <row r="383" spans="1:20" ht="15" customHeight="1" x14ac:dyDescent="0.25">
      <c r="B383" s="126" t="s">
        <v>387</v>
      </c>
      <c r="C383" s="134" cm="1">
        <f t="array" ref="C383">SUMPRODUCT((pat_tech_transfo_04[[client]:[client]]=syndicat_etude)*(pat_tech_transfo_04[[annee]:[annee]]=Exercice[[Exercice N-4]:[Exercice N-4]])*(pat_tech_transfo_04[[nbr_transfo_sup_100_percent]:[nbr_transfo_sup_100_percent]]))</f>
        <v>94</v>
      </c>
      <c r="D383" s="134" cm="1">
        <f t="array" ref="D383">SUMPRODUCT((pat_tech_transfo_04[[client]:[client]]=syndicat_etude)*(pat_tech_transfo_04[[annee]:[annee]]=Exercice[[Exercice N-3]:[Exercice N-3]])*(pat_tech_transfo_04[[nbr_transfo_sup_100_percent]:[nbr_transfo_sup_100_percent]]))</f>
        <v>61</v>
      </c>
      <c r="E383" s="134" cm="1">
        <f t="array" ref="E383">SUMPRODUCT((pat_tech_transfo_04[[client]:[client]]=syndicat_etude)*(pat_tech_transfo_04[[annee]:[annee]]=Exercice[[Exercice N-2]:[Exercice N-2]])*(pat_tech_transfo_04[[nbr_transfo_sup_100_percent]:[nbr_transfo_sup_100_percent]]))</f>
        <v>47</v>
      </c>
      <c r="F383" s="134" cm="1">
        <f t="array" ref="F383">SUMPRODUCT((pat_tech_transfo_04[[client]:[client]]=syndicat_etude)*(pat_tech_transfo_04[[annee]:[annee]]=Exercice[[Exercice N-1]:[Exercice N-1]])*(pat_tech_transfo_04[[nbr_transfo_sup_100_percent]:[nbr_transfo_sup_100_percent]]))</f>
        <v>46</v>
      </c>
      <c r="G383" s="134" cm="1">
        <f t="array" ref="G383">SUMPRODUCT((pat_tech_transfo_04[[client]:[client]]=syndicat_etude)*(pat_tech_transfo_04[[annee]:[annee]]=Exercice[[Exercice N]:[Exercice N]])*(pat_tech_transfo_04[[nbr_transfo_sup_100_percent]:[nbr_transfo_sup_100_percent]]))</f>
        <v>43</v>
      </c>
      <c r="H383" s="120">
        <f t="shared" si="12"/>
        <v>1.0394005317863187E-2</v>
      </c>
    </row>
    <row r="384" spans="1:20" ht="15" customHeight="1" x14ac:dyDescent="0.25">
      <c r="A384" s="28" t="s">
        <v>59</v>
      </c>
      <c r="B384" s="557" t="s">
        <v>388</v>
      </c>
      <c r="C384" s="675" cm="1">
        <f t="array" ref="C384">SUMPRODUCT((pat_tech_transfo_04[[client]:[client]]=syndicat_etude)*(pat_tech_transfo_04[[annee]:[annee]]=Exercice[Exercice N-4])*(pat_tech_transfo_04[nbr_transfo_sup_120_percent]))</f>
        <v>20</v>
      </c>
      <c r="D384" s="675" cm="1">
        <f t="array" ref="D384">SUMPRODUCT((pat_tech_transfo_04[[client]:[client]]=syndicat_etude)*(pat_tech_transfo_04[[annee]:[annee]]=Exercice[Exercice N-3])*(pat_tech_transfo_04[nbr_transfo_sup_120_percent]))</f>
        <v>8</v>
      </c>
      <c r="E384" s="675" cm="1">
        <f t="array" ref="E384">SUMPRODUCT((pat_tech_transfo_04[[client]:[client]]=syndicat_etude)*(pat_tech_transfo_04[[annee]:[annee]]=Exercice[Exercice N-2])*(pat_tech_transfo_04[nbr_transfo_sup_120_percent]))</f>
        <v>5</v>
      </c>
      <c r="F384" s="675" cm="1">
        <f t="array" ref="F384">SUMPRODUCT((pat_tech_transfo_04[[client]:[client]]=syndicat_etude)*(pat_tech_transfo_04[[annee]:[annee]]=Exercice[Exercice N-1])*(pat_tech_transfo_04[nbr_transfo_sup_120_percent]))</f>
        <v>6</v>
      </c>
      <c r="G384" s="675" cm="1">
        <f t="array" ref="G384">SUMPRODUCT((pat_tech_transfo_04[[client]:[client]]=syndicat_etude)*(pat_tech_transfo_04[[annee]:[annee]]=Exercice[Exercice N])*(pat_tech_transfo_04[nbr_transfo_sup_120_percent]))</f>
        <v>4</v>
      </c>
      <c r="H384" s="271">
        <f t="shared" si="12"/>
        <v>9.6688421561518011E-4</v>
      </c>
    </row>
    <row r="385" spans="1:84" ht="15" customHeight="1" x14ac:dyDescent="0.25">
      <c r="B385" s="103"/>
      <c r="C385" s="103"/>
      <c r="D385" s="103"/>
      <c r="E385" s="103"/>
      <c r="F385" s="13"/>
      <c r="G385" s="13"/>
      <c r="H385" s="13"/>
      <c r="I385" s="13"/>
      <c r="J385" s="13"/>
      <c r="K385" s="13"/>
    </row>
    <row r="386" spans="1:84" ht="30" customHeight="1" x14ac:dyDescent="0.25">
      <c r="A386" s="25" t="s">
        <v>389</v>
      </c>
      <c r="B386" s="162" t="s">
        <v>390</v>
      </c>
      <c r="C386" s="67">
        <v>1946</v>
      </c>
      <c r="D386" s="67">
        <v>1947</v>
      </c>
      <c r="E386" s="67">
        <v>1948</v>
      </c>
      <c r="F386" s="67">
        <v>1949</v>
      </c>
      <c r="G386" s="67">
        <v>1950</v>
      </c>
      <c r="H386" s="67">
        <v>1951</v>
      </c>
      <c r="I386" s="67">
        <v>1952</v>
      </c>
      <c r="J386" s="67">
        <v>1953</v>
      </c>
      <c r="K386" s="67">
        <v>1954</v>
      </c>
      <c r="L386" s="67">
        <v>1955</v>
      </c>
      <c r="M386" s="67">
        <v>1956</v>
      </c>
      <c r="N386" s="67">
        <v>1957</v>
      </c>
      <c r="O386" s="67">
        <v>1958</v>
      </c>
      <c r="P386" s="67">
        <v>1959</v>
      </c>
      <c r="Q386" s="67">
        <v>1960</v>
      </c>
      <c r="R386" s="67">
        <v>1961</v>
      </c>
      <c r="S386" s="67">
        <v>1962</v>
      </c>
      <c r="T386" s="67">
        <v>1963</v>
      </c>
      <c r="U386" s="67">
        <v>1964</v>
      </c>
      <c r="V386" s="67">
        <v>1965</v>
      </c>
      <c r="W386" s="67">
        <v>1966</v>
      </c>
      <c r="X386" s="67">
        <v>1967</v>
      </c>
      <c r="Y386" s="67">
        <v>1968</v>
      </c>
      <c r="Z386" s="67">
        <v>1969</v>
      </c>
      <c r="AA386" s="67">
        <v>1970</v>
      </c>
      <c r="AB386" s="67">
        <v>1971</v>
      </c>
      <c r="AC386" s="67">
        <v>1972</v>
      </c>
      <c r="AD386" s="67">
        <v>1973</v>
      </c>
      <c r="AE386" s="67">
        <v>1974</v>
      </c>
      <c r="AF386" s="67">
        <v>1975</v>
      </c>
      <c r="AG386" s="67">
        <v>1976</v>
      </c>
      <c r="AH386" s="67">
        <v>1977</v>
      </c>
      <c r="AI386" s="67">
        <v>1978</v>
      </c>
      <c r="AJ386" s="67">
        <v>1979</v>
      </c>
      <c r="AK386" s="67">
        <v>1980</v>
      </c>
      <c r="AL386" s="67">
        <v>1981</v>
      </c>
      <c r="AM386" s="67">
        <v>1982</v>
      </c>
      <c r="AN386" s="67">
        <v>1983</v>
      </c>
      <c r="AO386" s="67">
        <v>1984</v>
      </c>
      <c r="AP386" s="67">
        <v>1985</v>
      </c>
      <c r="AQ386" s="67">
        <v>1986</v>
      </c>
      <c r="AR386" s="67">
        <v>1987</v>
      </c>
      <c r="AS386" s="67">
        <v>1988</v>
      </c>
      <c r="AT386" s="67">
        <v>1989</v>
      </c>
      <c r="AU386" s="67">
        <v>1990</v>
      </c>
      <c r="AV386" s="67">
        <v>1991</v>
      </c>
      <c r="AW386" s="67">
        <v>1992</v>
      </c>
      <c r="AX386" s="67">
        <v>1993</v>
      </c>
      <c r="AY386" s="67">
        <v>1994</v>
      </c>
      <c r="AZ386" s="67">
        <v>1995</v>
      </c>
      <c r="BA386" s="67">
        <v>1996</v>
      </c>
      <c r="BB386" s="67">
        <v>1997</v>
      </c>
      <c r="BC386" s="67">
        <v>1998</v>
      </c>
      <c r="BD386" s="67">
        <v>1999</v>
      </c>
      <c r="BE386" s="67">
        <v>2000</v>
      </c>
      <c r="BF386" s="67">
        <v>2001</v>
      </c>
      <c r="BG386" s="67">
        <v>2002</v>
      </c>
      <c r="BH386" s="67">
        <v>2003</v>
      </c>
      <c r="BI386" s="67">
        <v>2004</v>
      </c>
      <c r="BJ386" s="67">
        <v>2005</v>
      </c>
      <c r="BK386" s="67">
        <v>2006</v>
      </c>
      <c r="BL386" s="67">
        <v>2007</v>
      </c>
      <c r="BM386" s="67">
        <v>2008</v>
      </c>
      <c r="BN386" s="67">
        <v>2009</v>
      </c>
      <c r="BO386" s="67">
        <v>2010</v>
      </c>
      <c r="BP386" s="67">
        <v>2011</v>
      </c>
      <c r="BQ386" s="67">
        <v>2012</v>
      </c>
      <c r="BR386" s="67">
        <v>2013</v>
      </c>
      <c r="BS386" s="67">
        <v>2014</v>
      </c>
      <c r="BT386" s="67">
        <v>2015</v>
      </c>
      <c r="BU386" s="67">
        <v>2016</v>
      </c>
      <c r="BV386" s="67">
        <v>2017</v>
      </c>
      <c r="BW386" s="67">
        <v>2018</v>
      </c>
      <c r="BX386" s="67">
        <v>2019</v>
      </c>
      <c r="BY386" s="67">
        <v>2020</v>
      </c>
      <c r="BZ386" s="67">
        <v>2021</v>
      </c>
      <c r="CA386" s="67">
        <v>2022</v>
      </c>
      <c r="CB386" s="67">
        <v>2023</v>
      </c>
      <c r="CC386" s="67">
        <v>2024</v>
      </c>
      <c r="CD386" s="67">
        <v>2025</v>
      </c>
      <c r="CE386" s="67">
        <v>2026</v>
      </c>
      <c r="CF386" s="69">
        <v>2027</v>
      </c>
    </row>
    <row r="387" spans="1:84" ht="15" customHeight="1" x14ac:dyDescent="0.25">
      <c r="B387" s="50" t="s">
        <v>391</v>
      </c>
      <c r="C387" s="11" cm="1">
        <f t="array" ref="C387">SUMPRODUCT((pat_tech_transfo_06[[Client]:[Client]]=syndicat_etude)*(pat_tech_transfo_06[[Annee]:[Annee]]=annee_CRAC)*(pat_tech_transfo_06[[Annee construction]:[Annee construction]]=C$215)*(pat_tech_transfo_06[[nb_410]:[nb_410]]))</f>
        <v>0</v>
      </c>
      <c r="D387" s="11" cm="1">
        <f t="array" ref="D387">SUMPRODUCT((pat_tech_transfo_06[[Client]:[Client]]=syndicat_etude)*(pat_tech_transfo_06[[Annee]:[Annee]]=annee_CRAC)*(pat_tech_transfo_06[[Annee construction]:[Annee construction]]=D$215)*(pat_tech_transfo_06[[nb_410]:[nb_410]]))</f>
        <v>0</v>
      </c>
      <c r="E387" s="11" cm="1">
        <f t="array" ref="E387">SUMPRODUCT((pat_tech_transfo_06[[Client]:[Client]]=syndicat_etude)*(pat_tech_transfo_06[[Annee]:[Annee]]=annee_CRAC)*(pat_tech_transfo_06[[Annee construction]:[Annee construction]]=E$215)*(pat_tech_transfo_06[[nb_410]:[nb_410]]))</f>
        <v>0</v>
      </c>
      <c r="F387" s="11" cm="1">
        <f t="array" ref="F387">SUMPRODUCT((pat_tech_transfo_06[[Client]:[Client]]=syndicat_etude)*(pat_tech_transfo_06[[Annee]:[Annee]]=annee_CRAC)*(pat_tech_transfo_06[[Annee construction]:[Annee construction]]=F$215)*(pat_tech_transfo_06[[nb_410]:[nb_410]]))</f>
        <v>0</v>
      </c>
      <c r="G387" s="11" cm="1">
        <f t="array" ref="G387">SUMPRODUCT((pat_tech_transfo_06[[Client]:[Client]]=syndicat_etude)*(pat_tech_transfo_06[[Annee]:[Annee]]=annee_CRAC)*(pat_tech_transfo_06[[Annee construction]:[Annee construction]]=G$215)*(pat_tech_transfo_06[[nb_410]:[nb_410]]))</f>
        <v>0</v>
      </c>
      <c r="H387" s="11" cm="1">
        <f t="array" ref="H387">SUMPRODUCT((pat_tech_transfo_06[[Client]:[Client]]=syndicat_etude)*(pat_tech_transfo_06[[Annee]:[Annee]]=annee_CRAC)*(pat_tech_transfo_06[[Annee construction]:[Annee construction]]=H$215)*(pat_tech_transfo_06[[nb_410]:[nb_410]]))</f>
        <v>0</v>
      </c>
      <c r="I387" s="11" cm="1">
        <f t="array" ref="I387">SUMPRODUCT((pat_tech_transfo_06[[Client]:[Client]]=syndicat_etude)*(pat_tech_transfo_06[[Annee]:[Annee]]=annee_CRAC)*(pat_tech_transfo_06[[Annee construction]:[Annee construction]]=I$215)*(pat_tech_transfo_06[[nb_410]:[nb_410]]))</f>
        <v>0</v>
      </c>
      <c r="J387" s="11" cm="1">
        <f t="array" ref="J387">SUMPRODUCT((pat_tech_transfo_06[[Client]:[Client]]=syndicat_etude)*(pat_tech_transfo_06[[Annee]:[Annee]]=annee_CRAC)*(pat_tech_transfo_06[[Annee construction]:[Annee construction]]=J$215)*(pat_tech_transfo_06[[nb_410]:[nb_410]]))</f>
        <v>0</v>
      </c>
      <c r="K387" s="11" cm="1">
        <f t="array" ref="K387">SUMPRODUCT((pat_tech_transfo_06[[Client]:[Client]]=syndicat_etude)*(pat_tech_transfo_06[[Annee]:[Annee]]=annee_CRAC)*(pat_tech_transfo_06[[Annee construction]:[Annee construction]]=K$215)*(pat_tech_transfo_06[[nb_410]:[nb_410]]))</f>
        <v>0</v>
      </c>
      <c r="L387" s="11" cm="1">
        <f t="array" ref="L387">SUMPRODUCT((pat_tech_transfo_06[[Client]:[Client]]=syndicat_etude)*(pat_tech_transfo_06[[Annee]:[Annee]]=annee_CRAC)*(pat_tech_transfo_06[[Annee construction]:[Annee construction]]=L$215)*(pat_tech_transfo_06[[nb_410]:[nb_410]]))</f>
        <v>0</v>
      </c>
      <c r="M387" s="11" cm="1">
        <f t="array" ref="M387">SUMPRODUCT((pat_tech_transfo_06[[Client]:[Client]]=syndicat_etude)*(pat_tech_transfo_06[[Annee]:[Annee]]=annee_CRAC)*(pat_tech_transfo_06[[Annee construction]:[Annee construction]]=M$215)*(pat_tech_transfo_06[[nb_410]:[nb_410]]))</f>
        <v>0</v>
      </c>
      <c r="N387" s="11" cm="1">
        <f t="array" ref="N387">SUMPRODUCT((pat_tech_transfo_06[[Client]:[Client]]=syndicat_etude)*(pat_tech_transfo_06[[Annee]:[Annee]]=annee_CRAC)*(pat_tech_transfo_06[[Annee construction]:[Annee construction]]=N$215)*(pat_tech_transfo_06[[nb_410]:[nb_410]]))</f>
        <v>0</v>
      </c>
      <c r="O387" s="11" cm="1">
        <f t="array" ref="O387">SUMPRODUCT((pat_tech_transfo_06[[Client]:[Client]]=syndicat_etude)*(pat_tech_transfo_06[[Annee]:[Annee]]=annee_CRAC)*(pat_tech_transfo_06[[Annee construction]:[Annee construction]]=O$215)*(pat_tech_transfo_06[[nb_410]:[nb_410]]))</f>
        <v>0</v>
      </c>
      <c r="P387" s="11" cm="1">
        <f t="array" ref="P387">SUMPRODUCT((pat_tech_transfo_06[[Client]:[Client]]=syndicat_etude)*(pat_tech_transfo_06[[Annee]:[Annee]]=annee_CRAC)*(pat_tech_transfo_06[[Annee construction]:[Annee construction]]=P$215)*(pat_tech_transfo_06[[nb_410]:[nb_410]]))</f>
        <v>0</v>
      </c>
      <c r="Q387" s="11" cm="1">
        <f t="array" ref="Q387">SUMPRODUCT((pat_tech_transfo_06[[Client]:[Client]]=syndicat_etude)*(pat_tech_transfo_06[[Annee]:[Annee]]=annee_CRAC)*(pat_tech_transfo_06[[Annee construction]:[Annee construction]]=Q$215)*(pat_tech_transfo_06[[nb_410]:[nb_410]]))</f>
        <v>0</v>
      </c>
      <c r="R387" s="11" cm="1">
        <f t="array" ref="R387">SUMPRODUCT((pat_tech_transfo_06[[Client]:[Client]]=syndicat_etude)*(pat_tech_transfo_06[[Annee]:[Annee]]=annee_CRAC)*(pat_tech_transfo_06[[Annee construction]:[Annee construction]]=R$215)*(pat_tech_transfo_06[[nb_410]:[nb_410]]))</f>
        <v>0</v>
      </c>
      <c r="S387" s="11" cm="1">
        <f t="array" ref="S387">SUMPRODUCT((pat_tech_transfo_06[[Client]:[Client]]=syndicat_etude)*(pat_tech_transfo_06[[Annee]:[Annee]]=annee_CRAC)*(pat_tech_transfo_06[[Annee construction]:[Annee construction]]=S$215)*(pat_tech_transfo_06[[nb_410]:[nb_410]]))</f>
        <v>0</v>
      </c>
      <c r="T387" s="11" cm="1">
        <f t="array" ref="T387">SUMPRODUCT((pat_tech_transfo_06[[Client]:[Client]]=syndicat_etude)*(pat_tech_transfo_06[[Annee]:[Annee]]=annee_CRAC)*(pat_tech_transfo_06[[Annee construction]:[Annee construction]]=T$215)*(pat_tech_transfo_06[[nb_410]:[nb_410]]))</f>
        <v>0</v>
      </c>
      <c r="U387" s="11" cm="1">
        <f t="array" ref="U387">SUMPRODUCT((pat_tech_transfo_06[[Client]:[Client]]=syndicat_etude)*(pat_tech_transfo_06[[Annee]:[Annee]]=annee_CRAC)*(pat_tech_transfo_06[[Annee construction]:[Annee construction]]=U$215)*(pat_tech_transfo_06[[nb_410]:[nb_410]]))</f>
        <v>0</v>
      </c>
      <c r="V387" s="11" cm="1">
        <f t="array" ref="V387">SUMPRODUCT((pat_tech_transfo_06[[Client]:[Client]]=syndicat_etude)*(pat_tech_transfo_06[[Annee]:[Annee]]=annee_CRAC)*(pat_tech_transfo_06[[Annee construction]:[Annee construction]]=V$215)*(pat_tech_transfo_06[[nb_410]:[nb_410]]))</f>
        <v>0</v>
      </c>
      <c r="W387" s="11" cm="1">
        <f t="array" ref="W387">SUMPRODUCT((pat_tech_transfo_06[[Client]:[Client]]=syndicat_etude)*(pat_tech_transfo_06[[Annee]:[Annee]]=annee_CRAC)*(pat_tech_transfo_06[[Annee construction]:[Annee construction]]=W$215)*(pat_tech_transfo_06[[nb_410]:[nb_410]]))</f>
        <v>0</v>
      </c>
      <c r="X387" s="11" cm="1">
        <f t="array" ref="X387">SUMPRODUCT((pat_tech_transfo_06[[Client]:[Client]]=syndicat_etude)*(pat_tech_transfo_06[[Annee]:[Annee]]=annee_CRAC)*(pat_tech_transfo_06[[Annee construction]:[Annee construction]]=X$215)*(pat_tech_transfo_06[[nb_410]:[nb_410]]))</f>
        <v>0</v>
      </c>
      <c r="Y387" s="11" cm="1">
        <f t="array" ref="Y387">SUMPRODUCT((pat_tech_transfo_06[[Client]:[Client]]=syndicat_etude)*(pat_tech_transfo_06[[Annee]:[Annee]]=annee_CRAC)*(pat_tech_transfo_06[[Annee construction]:[Annee construction]]=Y$215)*(pat_tech_transfo_06[[nb_410]:[nb_410]]))</f>
        <v>0</v>
      </c>
      <c r="Z387" s="11" cm="1">
        <f t="array" ref="Z387">SUMPRODUCT((pat_tech_transfo_06[[Client]:[Client]]=syndicat_etude)*(pat_tech_transfo_06[[Annee]:[Annee]]=annee_CRAC)*(pat_tech_transfo_06[[Annee construction]:[Annee construction]]=Z$215)*(pat_tech_transfo_06[[nb_410]:[nb_410]]))</f>
        <v>0</v>
      </c>
      <c r="AA387" s="11" cm="1">
        <f t="array" ref="AA387">SUMPRODUCT((pat_tech_transfo_06[[Client]:[Client]]=syndicat_etude)*(pat_tech_transfo_06[[Annee]:[Annee]]=annee_CRAC)*(pat_tech_transfo_06[[Annee construction]:[Annee construction]]=AA$215)*(pat_tech_transfo_06[[nb_410]:[nb_410]]))</f>
        <v>0</v>
      </c>
      <c r="AB387" s="11" cm="1">
        <f t="array" ref="AB387">SUMPRODUCT((pat_tech_transfo_06[[Client]:[Client]]=syndicat_etude)*(pat_tech_transfo_06[[Annee]:[Annee]]=annee_CRAC)*(pat_tech_transfo_06[[Annee construction]:[Annee construction]]=AB$215)*(pat_tech_transfo_06[[nb_410]:[nb_410]]))</f>
        <v>0</v>
      </c>
      <c r="AC387" s="11" cm="1">
        <f t="array" ref="AC387">SUMPRODUCT((pat_tech_transfo_06[[Client]:[Client]]=syndicat_etude)*(pat_tech_transfo_06[[Annee]:[Annee]]=annee_CRAC)*(pat_tech_transfo_06[[Annee construction]:[Annee construction]]=AC$215)*(pat_tech_transfo_06[[nb_410]:[nb_410]]))</f>
        <v>0</v>
      </c>
      <c r="AD387" s="11" cm="1">
        <f t="array" ref="AD387">SUMPRODUCT((pat_tech_transfo_06[[Client]:[Client]]=syndicat_etude)*(pat_tech_transfo_06[[Annee]:[Annee]]=annee_CRAC)*(pat_tech_transfo_06[[Annee construction]:[Annee construction]]=AD$215)*(pat_tech_transfo_06[[nb_410]:[nb_410]]))</f>
        <v>0</v>
      </c>
      <c r="AE387" s="11" cm="1">
        <f t="array" ref="AE387">SUMPRODUCT((pat_tech_transfo_06[[Client]:[Client]]=syndicat_etude)*(pat_tech_transfo_06[[Annee]:[Annee]]=annee_CRAC)*(pat_tech_transfo_06[[Annee construction]:[Annee construction]]=AE$215)*(pat_tech_transfo_06[[nb_410]:[nb_410]]))</f>
        <v>1</v>
      </c>
      <c r="AF387" s="11" cm="1">
        <f t="array" ref="AF387">SUMPRODUCT((pat_tech_transfo_06[[Client]:[Client]]=syndicat_etude)*(pat_tech_transfo_06[[Annee]:[Annee]]=annee_CRAC)*(pat_tech_transfo_06[[Annee construction]:[Annee construction]]=AF$215)*(pat_tech_transfo_06[[nb_410]:[nb_410]]))</f>
        <v>1</v>
      </c>
      <c r="AG387" s="11" cm="1">
        <f t="array" ref="AG387">SUMPRODUCT((pat_tech_transfo_06[[Client]:[Client]]=syndicat_etude)*(pat_tech_transfo_06[[Annee]:[Annee]]=annee_CRAC)*(pat_tech_transfo_06[[Annee construction]:[Annee construction]]=AG$215)*(pat_tech_transfo_06[[nb_410]:[nb_410]]))</f>
        <v>0</v>
      </c>
      <c r="AH387" s="11" cm="1">
        <f t="array" ref="AH387">SUMPRODUCT((pat_tech_transfo_06[[Client]:[Client]]=syndicat_etude)*(pat_tech_transfo_06[[Annee]:[Annee]]=annee_CRAC)*(pat_tech_transfo_06[[Annee construction]:[Annee construction]]=AH$215)*(pat_tech_transfo_06[[nb_410]:[nb_410]]))</f>
        <v>0</v>
      </c>
      <c r="AI387" s="11" cm="1">
        <f t="array" ref="AI387">SUMPRODUCT((pat_tech_transfo_06[[Client]:[Client]]=syndicat_etude)*(pat_tech_transfo_06[[Annee]:[Annee]]=annee_CRAC)*(pat_tech_transfo_06[[Annee construction]:[Annee construction]]=AI$215)*(pat_tech_transfo_06[[nb_410]:[nb_410]]))</f>
        <v>2</v>
      </c>
      <c r="AJ387" s="11" cm="1">
        <f t="array" ref="AJ387">SUMPRODUCT((pat_tech_transfo_06[[Client]:[Client]]=syndicat_etude)*(pat_tech_transfo_06[[Annee]:[Annee]]=annee_CRAC)*(pat_tech_transfo_06[[Annee construction]:[Annee construction]]=AJ$215)*(pat_tech_transfo_06[[nb_410]:[nb_410]]))</f>
        <v>0</v>
      </c>
      <c r="AK387" s="11" cm="1">
        <f t="array" ref="AK387">SUMPRODUCT((pat_tech_transfo_06[[Client]:[Client]]=syndicat_etude)*(pat_tech_transfo_06[[Annee]:[Annee]]=annee_CRAC)*(pat_tech_transfo_06[[Annee construction]:[Annee construction]]=AK$215)*(pat_tech_transfo_06[[nb_410]:[nb_410]]))</f>
        <v>1</v>
      </c>
      <c r="AL387" s="11" cm="1">
        <f t="array" ref="AL387">SUMPRODUCT((pat_tech_transfo_06[[Client]:[Client]]=syndicat_etude)*(pat_tech_transfo_06[[Annee]:[Annee]]=annee_CRAC)*(pat_tech_transfo_06[[Annee construction]:[Annee construction]]=AL$215)*(pat_tech_transfo_06[[nb_410]:[nb_410]]))</f>
        <v>2</v>
      </c>
      <c r="AM387" s="11" cm="1">
        <f t="array" ref="AM387">SUMPRODUCT((pat_tech_transfo_06[[Client]:[Client]]=syndicat_etude)*(pat_tech_transfo_06[[Annee]:[Annee]]=annee_CRAC)*(pat_tech_transfo_06[[Annee construction]:[Annee construction]]=AM$215)*(pat_tech_transfo_06[[nb_410]:[nb_410]]))</f>
        <v>3</v>
      </c>
      <c r="AN387" s="11" cm="1">
        <f t="array" ref="AN387">SUMPRODUCT((pat_tech_transfo_06[[Client]:[Client]]=syndicat_etude)*(pat_tech_transfo_06[[Annee]:[Annee]]=annee_CRAC)*(pat_tech_transfo_06[[Annee construction]:[Annee construction]]=AN$215)*(pat_tech_transfo_06[[nb_410]:[nb_410]]))</f>
        <v>0</v>
      </c>
      <c r="AO387" s="11" cm="1">
        <f t="array" ref="AO387">SUMPRODUCT((pat_tech_transfo_06[[Client]:[Client]]=syndicat_etude)*(pat_tech_transfo_06[[Annee]:[Annee]]=annee_CRAC)*(pat_tech_transfo_06[[Annee construction]:[Annee construction]]=AO$215)*(pat_tech_transfo_06[[nb_410]:[nb_410]]))</f>
        <v>4</v>
      </c>
      <c r="AP387" s="11" cm="1">
        <f t="array" ref="AP387">SUMPRODUCT((pat_tech_transfo_06[[Client]:[Client]]=syndicat_etude)*(pat_tech_transfo_06[[Annee]:[Annee]]=annee_CRAC)*(pat_tech_transfo_06[[Annee construction]:[Annee construction]]=AP$215)*(pat_tech_transfo_06[[nb_410]:[nb_410]]))</f>
        <v>4</v>
      </c>
      <c r="AQ387" s="11" cm="1">
        <f t="array" ref="AQ387">SUMPRODUCT((pat_tech_transfo_06[[Client]:[Client]]=syndicat_etude)*(pat_tech_transfo_06[[Annee]:[Annee]]=annee_CRAC)*(pat_tech_transfo_06[[Annee construction]:[Annee construction]]=AQ$215)*(pat_tech_transfo_06[[nb_410]:[nb_410]]))</f>
        <v>6</v>
      </c>
      <c r="AR387" s="11" cm="1">
        <f t="array" ref="AR387">SUMPRODUCT((pat_tech_transfo_06[[Client]:[Client]]=syndicat_etude)*(pat_tech_transfo_06[[Annee]:[Annee]]=annee_CRAC)*(pat_tech_transfo_06[[Annee construction]:[Annee construction]]=AR$215)*(pat_tech_transfo_06[[nb_410]:[nb_410]]))</f>
        <v>5</v>
      </c>
      <c r="AS387" s="11" cm="1">
        <f t="array" ref="AS387">SUMPRODUCT((pat_tech_transfo_06[[Client]:[Client]]=syndicat_etude)*(pat_tech_transfo_06[[Annee]:[Annee]]=annee_CRAC)*(pat_tech_transfo_06[[Annee construction]:[Annee construction]]=AS$215)*(pat_tech_transfo_06[[nb_410]:[nb_410]]))</f>
        <v>40</v>
      </c>
      <c r="AT387" s="11" cm="1">
        <f t="array" ref="AT387">SUMPRODUCT((pat_tech_transfo_06[[Client]:[Client]]=syndicat_etude)*(pat_tech_transfo_06[[Annee]:[Annee]]=annee_CRAC)*(pat_tech_transfo_06[[Annee construction]:[Annee construction]]=AT$215)*(pat_tech_transfo_06[[nb_410]:[nb_410]]))</f>
        <v>41</v>
      </c>
      <c r="AU387" s="11" cm="1">
        <f t="array" ref="AU387">SUMPRODUCT((pat_tech_transfo_06[[Client]:[Client]]=syndicat_etude)*(pat_tech_transfo_06[[Annee]:[Annee]]=annee_CRAC)*(pat_tech_transfo_06[[Annee construction]:[Annee construction]]=AU$215)*(pat_tech_transfo_06[[nb_410]:[nb_410]]))</f>
        <v>43</v>
      </c>
      <c r="AV387" s="11" cm="1">
        <f t="array" ref="AV387">SUMPRODUCT((pat_tech_transfo_06[[Client]:[Client]]=syndicat_etude)*(pat_tech_transfo_06[[Annee]:[Annee]]=annee_CRAC)*(pat_tech_transfo_06[[Annee construction]:[Annee construction]]=AV$215)*(pat_tech_transfo_06[[nb_410]:[nb_410]]))</f>
        <v>27</v>
      </c>
      <c r="AW387" s="11" cm="1">
        <f t="array" ref="AW387">SUMPRODUCT((pat_tech_transfo_06[[Client]:[Client]]=syndicat_etude)*(pat_tech_transfo_06[[Annee]:[Annee]]=annee_CRAC)*(pat_tech_transfo_06[[Annee construction]:[Annee construction]]=AW$215)*(pat_tech_transfo_06[[nb_410]:[nb_410]]))</f>
        <v>51</v>
      </c>
      <c r="AX387" s="11" cm="1">
        <f t="array" ref="AX387">SUMPRODUCT((pat_tech_transfo_06[[Client]:[Client]]=syndicat_etude)*(pat_tech_transfo_06[[Annee]:[Annee]]=annee_CRAC)*(pat_tech_transfo_06[[Annee construction]:[Annee construction]]=AX$215)*(pat_tech_transfo_06[[nb_410]:[nb_410]]))</f>
        <v>72</v>
      </c>
      <c r="AY387" s="11" cm="1">
        <f t="array" ref="AY387">SUMPRODUCT((pat_tech_transfo_06[[Client]:[Client]]=syndicat_etude)*(pat_tech_transfo_06[[Annee]:[Annee]]=annee_CRAC)*(pat_tech_transfo_06[[Annee construction]:[Annee construction]]=AY$215)*(pat_tech_transfo_06[[nb_410]:[nb_410]]))</f>
        <v>149</v>
      </c>
      <c r="AZ387" s="11" cm="1">
        <f t="array" ref="AZ387">SUMPRODUCT((pat_tech_transfo_06[[Client]:[Client]]=syndicat_etude)*(pat_tech_transfo_06[[Annee]:[Annee]]=annee_CRAC)*(pat_tech_transfo_06[[Annee construction]:[Annee construction]]=AZ$215)*(pat_tech_transfo_06[[nb_410]:[nb_410]]))</f>
        <v>94</v>
      </c>
      <c r="BA387" s="11" cm="1">
        <f t="array" ref="BA387">SUMPRODUCT((pat_tech_transfo_06[[Client]:[Client]]=syndicat_etude)*(pat_tech_transfo_06[[Annee]:[Annee]]=annee_CRAC)*(pat_tech_transfo_06[[Annee construction]:[Annee construction]]=BA$215)*(pat_tech_transfo_06[[nb_410]:[nb_410]]))</f>
        <v>191</v>
      </c>
      <c r="BB387" s="11" cm="1">
        <f t="array" ref="BB387">SUMPRODUCT((pat_tech_transfo_06[[Client]:[Client]]=syndicat_etude)*(pat_tech_transfo_06[[Annee]:[Annee]]=annee_CRAC)*(pat_tech_transfo_06[[Annee construction]:[Annee construction]]=BB$215)*(pat_tech_transfo_06[[nb_410]:[nb_410]]))</f>
        <v>215</v>
      </c>
      <c r="BC387" s="11" cm="1">
        <f t="array" ref="BC387">SUMPRODUCT((pat_tech_transfo_06[[Client]:[Client]]=syndicat_etude)*(pat_tech_transfo_06[[Annee]:[Annee]]=annee_CRAC)*(pat_tech_transfo_06[[Annee construction]:[Annee construction]]=BC$215)*(pat_tech_transfo_06[[nb_410]:[nb_410]]))</f>
        <v>298</v>
      </c>
      <c r="BD387" s="11" cm="1">
        <f t="array" ref="BD387">SUMPRODUCT((pat_tech_transfo_06[[Client]:[Client]]=syndicat_etude)*(pat_tech_transfo_06[[Annee]:[Annee]]=annee_CRAC)*(pat_tech_transfo_06[[Annee construction]:[Annee construction]]=BD$215)*(pat_tech_transfo_06[[nb_410]:[nb_410]]))</f>
        <v>380</v>
      </c>
      <c r="BE387" s="11" cm="1">
        <f t="array" ref="BE387">SUMPRODUCT((pat_tech_transfo_06[[Client]:[Client]]=syndicat_etude)*(pat_tech_transfo_06[[Annee]:[Annee]]=annee_CRAC)*(pat_tech_transfo_06[[Annee construction]:[Annee construction]]=BE$215)*(pat_tech_transfo_06[[nb_410]:[nb_410]]))</f>
        <v>313</v>
      </c>
      <c r="BF387" s="11" cm="1">
        <f t="array" ref="BF387">SUMPRODUCT((pat_tech_transfo_06[[Client]:[Client]]=syndicat_etude)*(pat_tech_transfo_06[[Annee]:[Annee]]=annee_CRAC)*(pat_tech_transfo_06[[Annee construction]:[Annee construction]]=BF$215)*(pat_tech_transfo_06[[nb_410]:[nb_410]]))</f>
        <v>452</v>
      </c>
      <c r="BG387" s="11" cm="1">
        <f t="array" ref="BG387">SUMPRODUCT((pat_tech_transfo_06[[Client]:[Client]]=syndicat_etude)*(pat_tech_transfo_06[[Annee]:[Annee]]=annee_CRAC)*(pat_tech_transfo_06[[Annee construction]:[Annee construction]]=BG$215)*(pat_tech_transfo_06[[nb_410]:[nb_410]]))</f>
        <v>294</v>
      </c>
      <c r="BH387" s="11" cm="1">
        <f t="array" ref="BH387">SUMPRODUCT((pat_tech_transfo_06[[Client]:[Client]]=syndicat_etude)*(pat_tech_transfo_06[[Annee]:[Annee]]=annee_CRAC)*(pat_tech_transfo_06[[Annee construction]:[Annee construction]]=BH$215)*(pat_tech_transfo_06[[nb_410]:[nb_410]]))</f>
        <v>71</v>
      </c>
      <c r="BI387" s="11" cm="1">
        <f t="array" ref="BI387">SUMPRODUCT((pat_tech_transfo_06[[Client]:[Client]]=syndicat_etude)*(pat_tech_transfo_06[[Annee]:[Annee]]=annee_CRAC)*(pat_tech_transfo_06[[Annee construction]:[Annee construction]]=BI$215)*(pat_tech_transfo_06[[nb_410]:[nb_410]]))</f>
        <v>59</v>
      </c>
      <c r="BJ387" s="11" cm="1">
        <f t="array" ref="BJ387">SUMPRODUCT((pat_tech_transfo_06[[Client]:[Client]]=syndicat_etude)*(pat_tech_transfo_06[[Annee]:[Annee]]=annee_CRAC)*(pat_tech_transfo_06[[Annee construction]:[Annee construction]]=BJ$215)*(pat_tech_transfo_06[[nb_410]:[nb_410]]))</f>
        <v>55</v>
      </c>
      <c r="BK387" s="11" cm="1">
        <f t="array" ref="BK387">SUMPRODUCT((pat_tech_transfo_06[[Client]:[Client]]=syndicat_etude)*(pat_tech_transfo_06[[Annee]:[Annee]]=annee_CRAC)*(pat_tech_transfo_06[[Annee construction]:[Annee construction]]=BK$215)*(pat_tech_transfo_06[[nb_410]:[nb_410]]))</f>
        <v>61</v>
      </c>
      <c r="BL387" s="11" cm="1">
        <f t="array" ref="BL387">SUMPRODUCT((pat_tech_transfo_06[[Client]:[Client]]=syndicat_etude)*(pat_tech_transfo_06[[Annee]:[Annee]]=annee_CRAC)*(pat_tech_transfo_06[[Annee construction]:[Annee construction]]=BL$215)*(pat_tech_transfo_06[[nb_410]:[nb_410]]))</f>
        <v>66</v>
      </c>
      <c r="BM387" s="11" cm="1">
        <f t="array" ref="BM387">SUMPRODUCT((pat_tech_transfo_06[[Client]:[Client]]=syndicat_etude)*(pat_tech_transfo_06[[Annee]:[Annee]]=annee_CRAC)*(pat_tech_transfo_06[[Annee construction]:[Annee construction]]=BM$215)*(pat_tech_transfo_06[[nb_410]:[nb_410]]))</f>
        <v>91</v>
      </c>
      <c r="BN387" s="11" cm="1">
        <f t="array" ref="BN387">SUMPRODUCT((pat_tech_transfo_06[[Client]:[Client]]=syndicat_etude)*(pat_tech_transfo_06[[Annee]:[Annee]]=annee_CRAC)*(pat_tech_transfo_06[[Annee construction]:[Annee construction]]=BN$215)*(pat_tech_transfo_06[[nb_410]:[nb_410]]))</f>
        <v>67</v>
      </c>
      <c r="BO387" s="11" cm="1">
        <f t="array" ref="BO387">SUMPRODUCT((pat_tech_transfo_06[[Client]:[Client]]=syndicat_etude)*(pat_tech_transfo_06[[Annee]:[Annee]]=annee_CRAC)*(pat_tech_transfo_06[[Annee construction]:[Annee construction]]=BO$215)*(pat_tech_transfo_06[[nb_410]:[nb_410]]))</f>
        <v>52</v>
      </c>
      <c r="BP387" s="11" cm="1">
        <f t="array" ref="BP387">SUMPRODUCT((pat_tech_transfo_06[[Client]:[Client]]=syndicat_etude)*(pat_tech_transfo_06[[Annee]:[Annee]]=annee_CRAC)*(pat_tech_transfo_06[[Annee construction]:[Annee construction]]=BP$215)*(pat_tech_transfo_06[[nb_410]:[nb_410]]))</f>
        <v>85</v>
      </c>
      <c r="BQ387" s="11" cm="1">
        <f t="array" ref="BQ387">SUMPRODUCT((pat_tech_transfo_06[[Client]:[Client]]=syndicat_etude)*(pat_tech_transfo_06[[Annee]:[Annee]]=annee_CRAC)*(pat_tech_transfo_06[[Annee construction]:[Annee construction]]=BQ$215)*(pat_tech_transfo_06[[nb_410]:[nb_410]]))</f>
        <v>94</v>
      </c>
      <c r="BR387" s="11" cm="1">
        <f t="array" ref="BR387">SUMPRODUCT((pat_tech_transfo_06[[Client]:[Client]]=syndicat_etude)*(pat_tech_transfo_06[[Annee]:[Annee]]=annee_CRAC)*(pat_tech_transfo_06[[Annee construction]:[Annee construction]]=BR$215)*(pat_tech_transfo_06[[nb_410]:[nb_410]]))</f>
        <v>59</v>
      </c>
      <c r="BS387" s="11" cm="1">
        <f t="array" ref="BS387">SUMPRODUCT((pat_tech_transfo_06[[Client]:[Client]]=syndicat_etude)*(pat_tech_transfo_06[[Annee]:[Annee]]=annee_CRAC)*(pat_tech_transfo_06[[Annee construction]:[Annee construction]]=BS$215)*(pat_tech_transfo_06[[nb_410]:[nb_410]]))</f>
        <v>37</v>
      </c>
      <c r="BT387" s="11" cm="1">
        <f t="array" ref="BT387">SUMPRODUCT((pat_tech_transfo_06[[Client]:[Client]]=syndicat_etude)*(pat_tech_transfo_06[[Annee]:[Annee]]=annee_CRAC)*(pat_tech_transfo_06[[Annee construction]:[Annee construction]]=BT$215)*(pat_tech_transfo_06[[nb_410]:[nb_410]]))</f>
        <v>38</v>
      </c>
      <c r="BU387" s="11" cm="1">
        <f t="array" ref="BU387">SUMPRODUCT((pat_tech_transfo_06[[Client]:[Client]]=syndicat_etude)*(pat_tech_transfo_06[[Annee]:[Annee]]=annee_CRAC)*(pat_tech_transfo_06[[Annee construction]:[Annee construction]]=BU$215)*(pat_tech_transfo_06[[nb_410]:[nb_410]]))</f>
        <v>59</v>
      </c>
      <c r="BV387" s="11" cm="1">
        <f t="array" ref="BV387">SUMPRODUCT((pat_tech_transfo_06[[Client]:[Client]]=syndicat_etude)*(pat_tech_transfo_06[[Annee]:[Annee]]=annee_CRAC)*(pat_tech_transfo_06[[Annee construction]:[Annee construction]]=BV$215)*(pat_tech_transfo_06[[nb_410]:[nb_410]]))</f>
        <v>37</v>
      </c>
      <c r="BW387" s="11" cm="1">
        <f t="array" ref="BW387">SUMPRODUCT((pat_tech_transfo_06[[Client]:[Client]]=syndicat_etude)*(pat_tech_transfo_06[[Annee]:[Annee]]=annee_CRAC)*(pat_tech_transfo_06[[Annee construction]:[Annee construction]]=BW$215)*(pat_tech_transfo_06[[nb_410]:[nb_410]]))</f>
        <v>36</v>
      </c>
      <c r="BX387" s="11" cm="1">
        <f t="array" ref="BX387">SUMPRODUCT((pat_tech_transfo_06[[Client]:[Client]]=syndicat_etude)*(pat_tech_transfo_06[[Annee]:[Annee]]=annee_CRAC)*(pat_tech_transfo_06[[Annee construction]:[Annee construction]]=BX$215)*(pat_tech_transfo_06[[nb_410]:[nb_410]]))</f>
        <v>54</v>
      </c>
      <c r="BY387" s="11" cm="1">
        <f t="array" ref="BY387">SUMPRODUCT((pat_tech_transfo_06[[Client]:[Client]]=syndicat_etude)*(pat_tech_transfo_06[[Annee]:[Annee]]=annee_CRAC)*(pat_tech_transfo_06[[Annee construction]:[Annee construction]]=BY$215)*(pat_tech_transfo_06[[nb_410]:[nb_410]]))</f>
        <v>76</v>
      </c>
      <c r="BZ387" s="11" cm="1">
        <f t="array" ref="BZ387">SUMPRODUCT((pat_tech_transfo_06[[Client]:[Client]]=syndicat_etude)*(pat_tech_transfo_06[[Annee]:[Annee]]=annee_CRAC)*(pat_tech_transfo_06[[Annee construction]:[Annee construction]]=BZ$215)*(pat_tech_transfo_06[[nb_410]:[nb_410]]))</f>
        <v>60</v>
      </c>
      <c r="CA387" s="11" cm="1">
        <f t="array" ref="CA387">SUMPRODUCT((pat_tech_transfo_06[[Client]:[Client]]=syndicat_etude)*(pat_tech_transfo_06[[Annee]:[Annee]]=annee_CRAC)*(pat_tech_transfo_06[[Annee construction]:[Annee construction]]=CA$215)*(pat_tech_transfo_06[[nb_410]:[nb_410]]))</f>
        <v>54</v>
      </c>
      <c r="CB387" s="11" cm="1">
        <f t="array" ref="CB387">SUMPRODUCT((pat_tech_transfo_06[[Client]:[Client]]=syndicat_etude)*(pat_tech_transfo_06[[Annee]:[Annee]]=annee_CRAC)*(pat_tech_transfo_06[[Annee construction]:[Annee construction]]=CB$215)*(pat_tech_transfo_06[[nb_410]:[nb_410]]))</f>
        <v>26</v>
      </c>
      <c r="CC387" s="11" cm="1">
        <f t="array" ref="CC387">SUMPRODUCT((pat_tech_transfo_06[[Client]:[Client]]=syndicat_etude)*(pat_tech_transfo_06[[Annee]:[Annee]]=annee_CRAC)*(pat_tech_transfo_06[[Annee construction]:[Annee construction]]=CC$215)*(pat_tech_transfo_06[[nb_410]:[nb_410]]))</f>
        <v>0</v>
      </c>
      <c r="CD387" s="11" cm="1">
        <f t="array" ref="CD387">SUMPRODUCT((pat_tech_transfo_06[[Client]:[Client]]=syndicat_etude)*(pat_tech_transfo_06[[Annee]:[Annee]]=annee_CRAC)*(pat_tech_transfo_06[[Annee construction]:[Annee construction]]=CD$215)*(pat_tech_transfo_06[[nb_410]:[nb_410]]))</f>
        <v>0</v>
      </c>
      <c r="CE387" s="11" cm="1">
        <f t="array" ref="CE387">SUMPRODUCT((pat_tech_transfo_06[[Client]:[Client]]=syndicat_etude)*(pat_tech_transfo_06[[Annee]:[Annee]]=annee_CRAC)*(pat_tech_transfo_06[[Annee construction]:[Annee construction]]=CE$215)*(pat_tech_transfo_06[[nb_410]:[nb_410]]))</f>
        <v>0</v>
      </c>
      <c r="CF387" s="93" cm="1">
        <f t="array" ref="CF387">SUMPRODUCT((pat_tech_transfo_06[[Client]:[Client]]=syndicat_etude)*(pat_tech_transfo_06[[Annee]:[Annee]]=annee_CRAC)*(pat_tech_transfo_06[[Annee construction]:[Annee construction]]=CF$215)*(pat_tech_transfo_06[[nb_410]:[nb_410]]))</f>
        <v>0</v>
      </c>
    </row>
    <row r="388" spans="1:84" ht="15" customHeight="1" x14ac:dyDescent="0.25">
      <c r="B388" s="53" t="s">
        <v>392</v>
      </c>
      <c r="C388" s="94" cm="1">
        <f t="array" ref="C388">SUMPRODUCT((pat_tech_transfo_06[[Client]:[Client]]=syndicat_etude)*(pat_tech_transfo_06[[Annee]:[Annee]]=annee_CRAC)*(pat_tech_transfo_06[[Annee construction]:[Annee construction]]=C$215)*(pat_tech_transfo_06[[nb_400]:[nb_400]]))</f>
        <v>0</v>
      </c>
      <c r="D388" s="94" cm="1">
        <f t="array" ref="D388">SUMPRODUCT((pat_tech_transfo_06[[Client]:[Client]]=syndicat_etude)*(pat_tech_transfo_06[[Annee]:[Annee]]=annee_CRAC)*(pat_tech_transfo_06[[Annee construction]:[Annee construction]]=D$215)*(pat_tech_transfo_06[[nb_400]:[nb_400]]))</f>
        <v>0</v>
      </c>
      <c r="E388" s="94" cm="1">
        <f t="array" ref="E388">SUMPRODUCT((pat_tech_transfo_06[[Client]:[Client]]=syndicat_etude)*(pat_tech_transfo_06[[Annee]:[Annee]]=annee_CRAC)*(pat_tech_transfo_06[[Annee construction]:[Annee construction]]=E$215)*(pat_tech_transfo_06[[nb_400]:[nb_400]]))</f>
        <v>0</v>
      </c>
      <c r="F388" s="94" cm="1">
        <f t="array" ref="F388">SUMPRODUCT((pat_tech_transfo_06[[Client]:[Client]]=syndicat_etude)*(pat_tech_transfo_06[[Annee]:[Annee]]=annee_CRAC)*(pat_tech_transfo_06[[Annee construction]:[Annee construction]]=F$215)*(pat_tech_transfo_06[[nb_400]:[nb_400]]))</f>
        <v>0</v>
      </c>
      <c r="G388" s="94" cm="1">
        <f t="array" ref="G388">SUMPRODUCT((pat_tech_transfo_06[[Client]:[Client]]=syndicat_etude)*(pat_tech_transfo_06[[Annee]:[Annee]]=annee_CRAC)*(pat_tech_transfo_06[[Annee construction]:[Annee construction]]=G$215)*(pat_tech_transfo_06[[nb_400]:[nb_400]]))</f>
        <v>0</v>
      </c>
      <c r="H388" s="94" cm="1">
        <f t="array" ref="H388">SUMPRODUCT((pat_tech_transfo_06[[Client]:[Client]]=syndicat_etude)*(pat_tech_transfo_06[[Annee]:[Annee]]=annee_CRAC)*(pat_tech_transfo_06[[Annee construction]:[Annee construction]]=H$215)*(pat_tech_transfo_06[[nb_400]:[nb_400]]))</f>
        <v>0</v>
      </c>
      <c r="I388" s="94" cm="1">
        <f t="array" ref="I388">SUMPRODUCT((pat_tech_transfo_06[[Client]:[Client]]=syndicat_etude)*(pat_tech_transfo_06[[Annee]:[Annee]]=annee_CRAC)*(pat_tech_transfo_06[[Annee construction]:[Annee construction]]=I$215)*(pat_tech_transfo_06[[nb_400]:[nb_400]]))</f>
        <v>0</v>
      </c>
      <c r="J388" s="94" cm="1">
        <f t="array" ref="J388">SUMPRODUCT((pat_tech_transfo_06[[Client]:[Client]]=syndicat_etude)*(pat_tech_transfo_06[[Annee]:[Annee]]=annee_CRAC)*(pat_tech_transfo_06[[Annee construction]:[Annee construction]]=J$215)*(pat_tech_transfo_06[[nb_400]:[nb_400]]))</f>
        <v>0</v>
      </c>
      <c r="K388" s="94" cm="1">
        <f t="array" ref="K388">SUMPRODUCT((pat_tech_transfo_06[[Client]:[Client]]=syndicat_etude)*(pat_tech_transfo_06[[Annee]:[Annee]]=annee_CRAC)*(pat_tech_transfo_06[[Annee construction]:[Annee construction]]=K$215)*(pat_tech_transfo_06[[nb_400]:[nb_400]]))</f>
        <v>0</v>
      </c>
      <c r="L388" s="94" cm="1">
        <f t="array" ref="L388">SUMPRODUCT((pat_tech_transfo_06[[Client]:[Client]]=syndicat_etude)*(pat_tech_transfo_06[[Annee]:[Annee]]=annee_CRAC)*(pat_tech_transfo_06[[Annee construction]:[Annee construction]]=L$215)*(pat_tech_transfo_06[[nb_400]:[nb_400]]))</f>
        <v>0</v>
      </c>
      <c r="M388" s="94" cm="1">
        <f t="array" ref="M388">SUMPRODUCT((pat_tech_transfo_06[[Client]:[Client]]=syndicat_etude)*(pat_tech_transfo_06[[Annee]:[Annee]]=annee_CRAC)*(pat_tech_transfo_06[[Annee construction]:[Annee construction]]=M$215)*(pat_tech_transfo_06[[nb_400]:[nb_400]]))</f>
        <v>0</v>
      </c>
      <c r="N388" s="94" cm="1">
        <f t="array" ref="N388">SUMPRODUCT((pat_tech_transfo_06[[Client]:[Client]]=syndicat_etude)*(pat_tech_transfo_06[[Annee]:[Annee]]=annee_CRAC)*(pat_tech_transfo_06[[Annee construction]:[Annee construction]]=N$215)*(pat_tech_transfo_06[[nb_400]:[nb_400]]))</f>
        <v>0</v>
      </c>
      <c r="O388" s="94" cm="1">
        <f t="array" ref="O388">SUMPRODUCT((pat_tech_transfo_06[[Client]:[Client]]=syndicat_etude)*(pat_tech_transfo_06[[Annee]:[Annee]]=annee_CRAC)*(pat_tech_transfo_06[[Annee construction]:[Annee construction]]=O$215)*(pat_tech_transfo_06[[nb_400]:[nb_400]]))</f>
        <v>0</v>
      </c>
      <c r="P388" s="94" cm="1">
        <f t="array" ref="P388">SUMPRODUCT((pat_tech_transfo_06[[Client]:[Client]]=syndicat_etude)*(pat_tech_transfo_06[[Annee]:[Annee]]=annee_CRAC)*(pat_tech_transfo_06[[Annee construction]:[Annee construction]]=P$215)*(pat_tech_transfo_06[[nb_400]:[nb_400]]))</f>
        <v>0</v>
      </c>
      <c r="Q388" s="94" cm="1">
        <f t="array" ref="Q388">SUMPRODUCT((pat_tech_transfo_06[[Client]:[Client]]=syndicat_etude)*(pat_tech_transfo_06[[Annee]:[Annee]]=annee_CRAC)*(pat_tech_transfo_06[[Annee construction]:[Annee construction]]=Q$215)*(pat_tech_transfo_06[[nb_400]:[nb_400]]))</f>
        <v>0</v>
      </c>
      <c r="R388" s="94" cm="1">
        <f t="array" ref="R388">SUMPRODUCT((pat_tech_transfo_06[[Client]:[Client]]=syndicat_etude)*(pat_tech_transfo_06[[Annee]:[Annee]]=annee_CRAC)*(pat_tech_transfo_06[[Annee construction]:[Annee construction]]=R$215)*(pat_tech_transfo_06[[nb_400]:[nb_400]]))</f>
        <v>0</v>
      </c>
      <c r="S388" s="94" cm="1">
        <f t="array" ref="S388">SUMPRODUCT((pat_tech_transfo_06[[Client]:[Client]]=syndicat_etude)*(pat_tech_transfo_06[[Annee]:[Annee]]=annee_CRAC)*(pat_tech_transfo_06[[Annee construction]:[Annee construction]]=S$215)*(pat_tech_transfo_06[[nb_400]:[nb_400]]))</f>
        <v>0</v>
      </c>
      <c r="T388" s="94" cm="1">
        <f t="array" ref="T388">SUMPRODUCT((pat_tech_transfo_06[[Client]:[Client]]=syndicat_etude)*(pat_tech_transfo_06[[Annee]:[Annee]]=annee_CRAC)*(pat_tech_transfo_06[[Annee construction]:[Annee construction]]=T$215)*(pat_tech_transfo_06[[nb_400]:[nb_400]]))</f>
        <v>0</v>
      </c>
      <c r="U388" s="94" cm="1">
        <f t="array" ref="U388">SUMPRODUCT((pat_tech_transfo_06[[Client]:[Client]]=syndicat_etude)*(pat_tech_transfo_06[[Annee]:[Annee]]=annee_CRAC)*(pat_tech_transfo_06[[Annee construction]:[Annee construction]]=U$215)*(pat_tech_transfo_06[[nb_400]:[nb_400]]))</f>
        <v>1</v>
      </c>
      <c r="V388" s="94" cm="1">
        <f t="array" ref="V388">SUMPRODUCT((pat_tech_transfo_06[[Client]:[Client]]=syndicat_etude)*(pat_tech_transfo_06[[Annee]:[Annee]]=annee_CRAC)*(pat_tech_transfo_06[[Annee construction]:[Annee construction]]=V$215)*(pat_tech_transfo_06[[nb_400]:[nb_400]]))</f>
        <v>0</v>
      </c>
      <c r="W388" s="94" cm="1">
        <f t="array" ref="W388">SUMPRODUCT((pat_tech_transfo_06[[Client]:[Client]]=syndicat_etude)*(pat_tech_transfo_06[[Annee]:[Annee]]=annee_CRAC)*(pat_tech_transfo_06[[Annee construction]:[Annee construction]]=W$215)*(pat_tech_transfo_06[[nb_400]:[nb_400]]))</f>
        <v>0</v>
      </c>
      <c r="X388" s="94" cm="1">
        <f t="array" ref="X388">SUMPRODUCT((pat_tech_transfo_06[[Client]:[Client]]=syndicat_etude)*(pat_tech_transfo_06[[Annee]:[Annee]]=annee_CRAC)*(pat_tech_transfo_06[[Annee construction]:[Annee construction]]=X$215)*(pat_tech_transfo_06[[nb_400]:[nb_400]]))</f>
        <v>2</v>
      </c>
      <c r="Y388" s="94" cm="1">
        <f t="array" ref="Y388">SUMPRODUCT((pat_tech_transfo_06[[Client]:[Client]]=syndicat_etude)*(pat_tech_transfo_06[[Annee]:[Annee]]=annee_CRAC)*(pat_tech_transfo_06[[Annee construction]:[Annee construction]]=Y$215)*(pat_tech_transfo_06[[nb_400]:[nb_400]]))</f>
        <v>0</v>
      </c>
      <c r="Z388" s="94" cm="1">
        <f t="array" ref="Z388">SUMPRODUCT((pat_tech_transfo_06[[Client]:[Client]]=syndicat_etude)*(pat_tech_transfo_06[[Annee]:[Annee]]=annee_CRAC)*(pat_tech_transfo_06[[Annee construction]:[Annee construction]]=Z$215)*(pat_tech_transfo_06[[nb_400]:[nb_400]]))</f>
        <v>0</v>
      </c>
      <c r="AA388" s="94" cm="1">
        <f t="array" ref="AA388">SUMPRODUCT((pat_tech_transfo_06[[Client]:[Client]]=syndicat_etude)*(pat_tech_transfo_06[[Annee]:[Annee]]=annee_CRAC)*(pat_tech_transfo_06[[Annee construction]:[Annee construction]]=AA$215)*(pat_tech_transfo_06[[nb_400]:[nb_400]]))</f>
        <v>1</v>
      </c>
      <c r="AB388" s="94" cm="1">
        <f t="array" ref="AB388">SUMPRODUCT((pat_tech_transfo_06[[Client]:[Client]]=syndicat_etude)*(pat_tech_transfo_06[[Annee]:[Annee]]=annee_CRAC)*(pat_tech_transfo_06[[Annee construction]:[Annee construction]]=AB$215)*(pat_tech_transfo_06[[nb_400]:[nb_400]]))</f>
        <v>0</v>
      </c>
      <c r="AC388" s="94" cm="1">
        <f t="array" ref="AC388">SUMPRODUCT((pat_tech_transfo_06[[Client]:[Client]]=syndicat_etude)*(pat_tech_transfo_06[[Annee]:[Annee]]=annee_CRAC)*(pat_tech_transfo_06[[Annee construction]:[Annee construction]]=AC$215)*(pat_tech_transfo_06[[nb_400]:[nb_400]]))</f>
        <v>1</v>
      </c>
      <c r="AD388" s="94" cm="1">
        <f t="array" ref="AD388">SUMPRODUCT((pat_tech_transfo_06[[Client]:[Client]]=syndicat_etude)*(pat_tech_transfo_06[[Annee]:[Annee]]=annee_CRAC)*(pat_tech_transfo_06[[Annee construction]:[Annee construction]]=AD$215)*(pat_tech_transfo_06[[nb_400]:[nb_400]]))</f>
        <v>0</v>
      </c>
      <c r="AE388" s="94" cm="1">
        <f t="array" ref="AE388">SUMPRODUCT((pat_tech_transfo_06[[Client]:[Client]]=syndicat_etude)*(pat_tech_transfo_06[[Annee]:[Annee]]=annee_CRAC)*(pat_tech_transfo_06[[Annee construction]:[Annee construction]]=AE$215)*(pat_tech_transfo_06[[nb_400]:[nb_400]]))</f>
        <v>1</v>
      </c>
      <c r="AF388" s="94" cm="1">
        <f t="array" ref="AF388">SUMPRODUCT((pat_tech_transfo_06[[Client]:[Client]]=syndicat_etude)*(pat_tech_transfo_06[[Annee]:[Annee]]=annee_CRAC)*(pat_tech_transfo_06[[Annee construction]:[Annee construction]]=AF$215)*(pat_tech_transfo_06[[nb_400]:[nb_400]]))</f>
        <v>0</v>
      </c>
      <c r="AG388" s="94" cm="1">
        <f t="array" ref="AG388">SUMPRODUCT((pat_tech_transfo_06[[Client]:[Client]]=syndicat_etude)*(pat_tech_transfo_06[[Annee]:[Annee]]=annee_CRAC)*(pat_tech_transfo_06[[Annee construction]:[Annee construction]]=AG$215)*(pat_tech_transfo_06[[nb_400]:[nb_400]]))</f>
        <v>1</v>
      </c>
      <c r="AH388" s="94" cm="1">
        <f t="array" ref="AH388">SUMPRODUCT((pat_tech_transfo_06[[Client]:[Client]]=syndicat_etude)*(pat_tech_transfo_06[[Annee]:[Annee]]=annee_CRAC)*(pat_tech_transfo_06[[Annee construction]:[Annee construction]]=AH$215)*(pat_tech_transfo_06[[nb_400]:[nb_400]]))</f>
        <v>3</v>
      </c>
      <c r="AI388" s="94" cm="1">
        <f t="array" ref="AI388">SUMPRODUCT((pat_tech_transfo_06[[Client]:[Client]]=syndicat_etude)*(pat_tech_transfo_06[[Annee]:[Annee]]=annee_CRAC)*(pat_tech_transfo_06[[Annee construction]:[Annee construction]]=AI$215)*(pat_tech_transfo_06[[nb_400]:[nb_400]]))</f>
        <v>7</v>
      </c>
      <c r="AJ388" s="94" cm="1">
        <f t="array" ref="AJ388">SUMPRODUCT((pat_tech_transfo_06[[Client]:[Client]]=syndicat_etude)*(pat_tech_transfo_06[[Annee]:[Annee]]=annee_CRAC)*(pat_tech_transfo_06[[Annee construction]:[Annee construction]]=AJ$215)*(pat_tech_transfo_06[[nb_400]:[nb_400]]))</f>
        <v>6</v>
      </c>
      <c r="AK388" s="94" cm="1">
        <f t="array" ref="AK388">SUMPRODUCT((pat_tech_transfo_06[[Client]:[Client]]=syndicat_etude)*(pat_tech_transfo_06[[Annee]:[Annee]]=annee_CRAC)*(pat_tech_transfo_06[[Annee construction]:[Annee construction]]=AK$215)*(pat_tech_transfo_06[[nb_400]:[nb_400]]))</f>
        <v>10</v>
      </c>
      <c r="AL388" s="94" cm="1">
        <f t="array" ref="AL388">SUMPRODUCT((pat_tech_transfo_06[[Client]:[Client]]=syndicat_etude)*(pat_tech_transfo_06[[Annee]:[Annee]]=annee_CRAC)*(pat_tech_transfo_06[[Annee construction]:[Annee construction]]=AL$215)*(pat_tech_transfo_06[[nb_400]:[nb_400]]))</f>
        <v>23</v>
      </c>
      <c r="AM388" s="94" cm="1">
        <f t="array" ref="AM388">SUMPRODUCT((pat_tech_transfo_06[[Client]:[Client]]=syndicat_etude)*(pat_tech_transfo_06[[Annee]:[Annee]]=annee_CRAC)*(pat_tech_transfo_06[[Annee construction]:[Annee construction]]=AM$215)*(pat_tech_transfo_06[[nb_400]:[nb_400]]))</f>
        <v>17</v>
      </c>
      <c r="AN388" s="94" cm="1">
        <f t="array" ref="AN388">SUMPRODUCT((pat_tech_transfo_06[[Client]:[Client]]=syndicat_etude)*(pat_tech_transfo_06[[Annee]:[Annee]]=annee_CRAC)*(pat_tech_transfo_06[[Annee construction]:[Annee construction]]=AN$215)*(pat_tech_transfo_06[[nb_400]:[nb_400]]))</f>
        <v>35</v>
      </c>
      <c r="AO388" s="94" cm="1">
        <f t="array" ref="AO388">SUMPRODUCT((pat_tech_transfo_06[[Client]:[Client]]=syndicat_etude)*(pat_tech_transfo_06[[Annee]:[Annee]]=annee_CRAC)*(pat_tech_transfo_06[[Annee construction]:[Annee construction]]=AO$215)*(pat_tech_transfo_06[[nb_400]:[nb_400]]))</f>
        <v>27</v>
      </c>
      <c r="AP388" s="94" cm="1">
        <f t="array" ref="AP388">SUMPRODUCT((pat_tech_transfo_06[[Client]:[Client]]=syndicat_etude)*(pat_tech_transfo_06[[Annee]:[Annee]]=annee_CRAC)*(pat_tech_transfo_06[[Annee construction]:[Annee construction]]=AP$215)*(pat_tech_transfo_06[[nb_400]:[nb_400]]))</f>
        <v>20</v>
      </c>
      <c r="AQ388" s="94" cm="1">
        <f t="array" ref="AQ388">SUMPRODUCT((pat_tech_transfo_06[[Client]:[Client]]=syndicat_etude)*(pat_tech_transfo_06[[Annee]:[Annee]]=annee_CRAC)*(pat_tech_transfo_06[[Annee construction]:[Annee construction]]=AQ$215)*(pat_tech_transfo_06[[nb_400]:[nb_400]]))</f>
        <v>30</v>
      </c>
      <c r="AR388" s="94" cm="1">
        <f t="array" ref="AR388">SUMPRODUCT((pat_tech_transfo_06[[Client]:[Client]]=syndicat_etude)*(pat_tech_transfo_06[[Annee]:[Annee]]=annee_CRAC)*(pat_tech_transfo_06[[Annee construction]:[Annee construction]]=AR$215)*(pat_tech_transfo_06[[nb_400]:[nb_400]]))</f>
        <v>33</v>
      </c>
      <c r="AS388" s="94" cm="1">
        <f t="array" ref="AS388">SUMPRODUCT((pat_tech_transfo_06[[Client]:[Client]]=syndicat_etude)*(pat_tech_transfo_06[[Annee]:[Annee]]=annee_CRAC)*(pat_tech_transfo_06[[Annee construction]:[Annee construction]]=AS$215)*(pat_tech_transfo_06[[nb_400]:[nb_400]]))</f>
        <v>0</v>
      </c>
      <c r="AT388" s="94" cm="1">
        <f t="array" ref="AT388">SUMPRODUCT((pat_tech_transfo_06[[Client]:[Client]]=syndicat_etude)*(pat_tech_transfo_06[[Annee]:[Annee]]=annee_CRAC)*(pat_tech_transfo_06[[Annee construction]:[Annee construction]]=AT$215)*(pat_tech_transfo_06[[nb_400]:[nb_400]]))</f>
        <v>0</v>
      </c>
      <c r="AU388" s="94" cm="1">
        <f t="array" ref="AU388">SUMPRODUCT((pat_tech_transfo_06[[Client]:[Client]]=syndicat_etude)*(pat_tech_transfo_06[[Annee]:[Annee]]=annee_CRAC)*(pat_tech_transfo_06[[Annee construction]:[Annee construction]]=AU$215)*(pat_tech_transfo_06[[nb_400]:[nb_400]]))</f>
        <v>0</v>
      </c>
      <c r="AV388" s="94" cm="1">
        <f t="array" ref="AV388">SUMPRODUCT((pat_tech_transfo_06[[Client]:[Client]]=syndicat_etude)*(pat_tech_transfo_06[[Annee]:[Annee]]=annee_CRAC)*(pat_tech_transfo_06[[Annee construction]:[Annee construction]]=AV$215)*(pat_tech_transfo_06[[nb_400]:[nb_400]]))</f>
        <v>0</v>
      </c>
      <c r="AW388" s="94" cm="1">
        <f t="array" ref="AW388">SUMPRODUCT((pat_tech_transfo_06[[Client]:[Client]]=syndicat_etude)*(pat_tech_transfo_06[[Annee]:[Annee]]=annee_CRAC)*(pat_tech_transfo_06[[Annee construction]:[Annee construction]]=AW$215)*(pat_tech_transfo_06[[nb_400]:[nb_400]]))</f>
        <v>0</v>
      </c>
      <c r="AX388" s="94" cm="1">
        <f t="array" ref="AX388">SUMPRODUCT((pat_tech_transfo_06[[Client]:[Client]]=syndicat_etude)*(pat_tech_transfo_06[[Annee]:[Annee]]=annee_CRAC)*(pat_tech_transfo_06[[Annee construction]:[Annee construction]]=AX$215)*(pat_tech_transfo_06[[nb_400]:[nb_400]]))</f>
        <v>0</v>
      </c>
      <c r="AY388" s="94" cm="1">
        <f t="array" ref="AY388">SUMPRODUCT((pat_tech_transfo_06[[Client]:[Client]]=syndicat_etude)*(pat_tech_transfo_06[[Annee]:[Annee]]=annee_CRAC)*(pat_tech_transfo_06[[Annee construction]:[Annee construction]]=AY$215)*(pat_tech_transfo_06[[nb_400]:[nb_400]]))</f>
        <v>0</v>
      </c>
      <c r="AZ388" s="94" cm="1">
        <f t="array" ref="AZ388">SUMPRODUCT((pat_tech_transfo_06[[Client]:[Client]]=syndicat_etude)*(pat_tech_transfo_06[[Annee]:[Annee]]=annee_CRAC)*(pat_tech_transfo_06[[Annee construction]:[Annee construction]]=AZ$215)*(pat_tech_transfo_06[[nb_400]:[nb_400]]))</f>
        <v>0</v>
      </c>
      <c r="BA388" s="94" cm="1">
        <f t="array" ref="BA388">SUMPRODUCT((pat_tech_transfo_06[[Client]:[Client]]=syndicat_etude)*(pat_tech_transfo_06[[Annee]:[Annee]]=annee_CRAC)*(pat_tech_transfo_06[[Annee construction]:[Annee construction]]=BA$215)*(pat_tech_transfo_06[[nb_400]:[nb_400]]))</f>
        <v>0</v>
      </c>
      <c r="BB388" s="94" cm="1">
        <f t="array" ref="BB388">SUMPRODUCT((pat_tech_transfo_06[[Client]:[Client]]=syndicat_etude)*(pat_tech_transfo_06[[Annee]:[Annee]]=annee_CRAC)*(pat_tech_transfo_06[[Annee construction]:[Annee construction]]=BB$215)*(pat_tech_transfo_06[[nb_400]:[nb_400]]))</f>
        <v>0</v>
      </c>
      <c r="BC388" s="94" cm="1">
        <f t="array" ref="BC388">SUMPRODUCT((pat_tech_transfo_06[[Client]:[Client]]=syndicat_etude)*(pat_tech_transfo_06[[Annee]:[Annee]]=annee_CRAC)*(pat_tech_transfo_06[[Annee construction]:[Annee construction]]=BC$215)*(pat_tech_transfo_06[[nb_400]:[nb_400]]))</f>
        <v>0</v>
      </c>
      <c r="BD388" s="94" cm="1">
        <f t="array" ref="BD388">SUMPRODUCT((pat_tech_transfo_06[[Client]:[Client]]=syndicat_etude)*(pat_tech_transfo_06[[Annee]:[Annee]]=annee_CRAC)*(pat_tech_transfo_06[[Annee construction]:[Annee construction]]=BD$215)*(pat_tech_transfo_06[[nb_400]:[nb_400]]))</f>
        <v>0</v>
      </c>
      <c r="BE388" s="94" cm="1">
        <f t="array" ref="BE388">SUMPRODUCT((pat_tech_transfo_06[[Client]:[Client]]=syndicat_etude)*(pat_tech_transfo_06[[Annee]:[Annee]]=annee_CRAC)*(pat_tech_transfo_06[[Annee construction]:[Annee construction]]=BE$215)*(pat_tech_transfo_06[[nb_400]:[nb_400]]))</f>
        <v>0</v>
      </c>
      <c r="BF388" s="94" cm="1">
        <f t="array" ref="BF388">SUMPRODUCT((pat_tech_transfo_06[[Client]:[Client]]=syndicat_etude)*(pat_tech_transfo_06[[Annee]:[Annee]]=annee_CRAC)*(pat_tech_transfo_06[[Annee construction]:[Annee construction]]=BF$215)*(pat_tech_transfo_06[[nb_400]:[nb_400]]))</f>
        <v>0</v>
      </c>
      <c r="BG388" s="94" cm="1">
        <f t="array" ref="BG388">SUMPRODUCT((pat_tech_transfo_06[[Client]:[Client]]=syndicat_etude)*(pat_tech_transfo_06[[Annee]:[Annee]]=annee_CRAC)*(pat_tech_transfo_06[[Annee construction]:[Annee construction]]=BG$215)*(pat_tech_transfo_06[[nb_400]:[nb_400]]))</f>
        <v>0</v>
      </c>
      <c r="BH388" s="94" cm="1">
        <f t="array" ref="BH388">SUMPRODUCT((pat_tech_transfo_06[[Client]:[Client]]=syndicat_etude)*(pat_tech_transfo_06[[Annee]:[Annee]]=annee_CRAC)*(pat_tech_transfo_06[[Annee construction]:[Annee construction]]=BH$215)*(pat_tech_transfo_06[[nb_400]:[nb_400]]))</f>
        <v>0</v>
      </c>
      <c r="BI388" s="94" cm="1">
        <f t="array" ref="BI388">SUMPRODUCT((pat_tech_transfo_06[[Client]:[Client]]=syndicat_etude)*(pat_tech_transfo_06[[Annee]:[Annee]]=annee_CRAC)*(pat_tech_transfo_06[[Annee construction]:[Annee construction]]=BI$215)*(pat_tech_transfo_06[[nb_400]:[nb_400]]))</f>
        <v>0</v>
      </c>
      <c r="BJ388" s="94" cm="1">
        <f t="array" ref="BJ388">SUMPRODUCT((pat_tech_transfo_06[[Client]:[Client]]=syndicat_etude)*(pat_tech_transfo_06[[Annee]:[Annee]]=annee_CRAC)*(pat_tech_transfo_06[[Annee construction]:[Annee construction]]=BJ$215)*(pat_tech_transfo_06[[nb_400]:[nb_400]]))</f>
        <v>0</v>
      </c>
      <c r="BK388" s="94" cm="1">
        <f t="array" ref="BK388">SUMPRODUCT((pat_tech_transfo_06[[Client]:[Client]]=syndicat_etude)*(pat_tech_transfo_06[[Annee]:[Annee]]=annee_CRAC)*(pat_tech_transfo_06[[Annee construction]:[Annee construction]]=BK$215)*(pat_tech_transfo_06[[nb_400]:[nb_400]]))</f>
        <v>0</v>
      </c>
      <c r="BL388" s="94" cm="1">
        <f t="array" ref="BL388">SUMPRODUCT((pat_tech_transfo_06[[Client]:[Client]]=syndicat_etude)*(pat_tech_transfo_06[[Annee]:[Annee]]=annee_CRAC)*(pat_tech_transfo_06[[Annee construction]:[Annee construction]]=BL$215)*(pat_tech_transfo_06[[nb_400]:[nb_400]]))</f>
        <v>0</v>
      </c>
      <c r="BM388" s="94" cm="1">
        <f t="array" ref="BM388">SUMPRODUCT((pat_tech_transfo_06[[Client]:[Client]]=syndicat_etude)*(pat_tech_transfo_06[[Annee]:[Annee]]=annee_CRAC)*(pat_tech_transfo_06[[Annee construction]:[Annee construction]]=BM$215)*(pat_tech_transfo_06[[nb_400]:[nb_400]]))</f>
        <v>0</v>
      </c>
      <c r="BN388" s="94" cm="1">
        <f t="array" ref="BN388">SUMPRODUCT((pat_tech_transfo_06[[Client]:[Client]]=syndicat_etude)*(pat_tech_transfo_06[[Annee]:[Annee]]=annee_CRAC)*(pat_tech_transfo_06[[Annee construction]:[Annee construction]]=BN$215)*(pat_tech_transfo_06[[nb_400]:[nb_400]]))</f>
        <v>0</v>
      </c>
      <c r="BO388" s="94" cm="1">
        <f t="array" ref="BO388">SUMPRODUCT((pat_tech_transfo_06[[Client]:[Client]]=syndicat_etude)*(pat_tech_transfo_06[[Annee]:[Annee]]=annee_CRAC)*(pat_tech_transfo_06[[Annee construction]:[Annee construction]]=BO$215)*(pat_tech_transfo_06[[nb_400]:[nb_400]]))</f>
        <v>0</v>
      </c>
      <c r="BP388" s="94" cm="1">
        <f t="array" ref="BP388">SUMPRODUCT((pat_tech_transfo_06[[Client]:[Client]]=syndicat_etude)*(pat_tech_transfo_06[[Annee]:[Annee]]=annee_CRAC)*(pat_tech_transfo_06[[Annee construction]:[Annee construction]]=BP$215)*(pat_tech_transfo_06[[nb_400]:[nb_400]]))</f>
        <v>0</v>
      </c>
      <c r="BQ388" s="94" cm="1">
        <f t="array" ref="BQ388">SUMPRODUCT((pat_tech_transfo_06[[Client]:[Client]]=syndicat_etude)*(pat_tech_transfo_06[[Annee]:[Annee]]=annee_CRAC)*(pat_tech_transfo_06[[Annee construction]:[Annee construction]]=BQ$215)*(pat_tech_transfo_06[[nb_400]:[nb_400]]))</f>
        <v>0</v>
      </c>
      <c r="BR388" s="94" cm="1">
        <f t="array" ref="BR388">SUMPRODUCT((pat_tech_transfo_06[[Client]:[Client]]=syndicat_etude)*(pat_tech_transfo_06[[Annee]:[Annee]]=annee_CRAC)*(pat_tech_transfo_06[[Annee construction]:[Annee construction]]=BR$215)*(pat_tech_transfo_06[[nb_400]:[nb_400]]))</f>
        <v>0</v>
      </c>
      <c r="BS388" s="94" cm="1">
        <f t="array" ref="BS388">SUMPRODUCT((pat_tech_transfo_06[[Client]:[Client]]=syndicat_etude)*(pat_tech_transfo_06[[Annee]:[Annee]]=annee_CRAC)*(pat_tech_transfo_06[[Annee construction]:[Annee construction]]=BS$215)*(pat_tech_transfo_06[[nb_400]:[nb_400]]))</f>
        <v>0</v>
      </c>
      <c r="BT388" s="94" cm="1">
        <f t="array" ref="BT388">SUMPRODUCT((pat_tech_transfo_06[[Client]:[Client]]=syndicat_etude)*(pat_tech_transfo_06[[Annee]:[Annee]]=annee_CRAC)*(pat_tech_transfo_06[[Annee construction]:[Annee construction]]=BT$215)*(pat_tech_transfo_06[[nb_400]:[nb_400]]))</f>
        <v>0</v>
      </c>
      <c r="BU388" s="94" cm="1">
        <f t="array" ref="BU388">SUMPRODUCT((pat_tech_transfo_06[[Client]:[Client]]=syndicat_etude)*(pat_tech_transfo_06[[Annee]:[Annee]]=annee_CRAC)*(pat_tech_transfo_06[[Annee construction]:[Annee construction]]=BU$215)*(pat_tech_transfo_06[[nb_400]:[nb_400]]))</f>
        <v>0</v>
      </c>
      <c r="BV388" s="94" cm="1">
        <f t="array" ref="BV388">SUMPRODUCT((pat_tech_transfo_06[[Client]:[Client]]=syndicat_etude)*(pat_tech_transfo_06[[Annee]:[Annee]]=annee_CRAC)*(pat_tech_transfo_06[[Annee construction]:[Annee construction]]=BV$215)*(pat_tech_transfo_06[[nb_400]:[nb_400]]))</f>
        <v>0</v>
      </c>
      <c r="BW388" s="94" cm="1">
        <f t="array" ref="BW388">SUMPRODUCT((pat_tech_transfo_06[[Client]:[Client]]=syndicat_etude)*(pat_tech_transfo_06[[Annee]:[Annee]]=annee_CRAC)*(pat_tech_transfo_06[[Annee construction]:[Annee construction]]=BW$215)*(pat_tech_transfo_06[[nb_400]:[nb_400]]))</f>
        <v>0</v>
      </c>
      <c r="BX388" s="94" cm="1">
        <f t="array" ref="BX388">SUMPRODUCT((pat_tech_transfo_06[[Client]:[Client]]=syndicat_etude)*(pat_tech_transfo_06[[Annee]:[Annee]]=annee_CRAC)*(pat_tech_transfo_06[[Annee construction]:[Annee construction]]=BX$215)*(pat_tech_transfo_06[[nb_400]:[nb_400]]))</f>
        <v>0</v>
      </c>
      <c r="BY388" s="94" cm="1">
        <f t="array" ref="BY388">SUMPRODUCT((pat_tech_transfo_06[[Client]:[Client]]=syndicat_etude)*(pat_tech_transfo_06[[Annee]:[Annee]]=annee_CRAC)*(pat_tech_transfo_06[[Annee construction]:[Annee construction]]=BY$215)*(pat_tech_transfo_06[[nb_400]:[nb_400]]))</f>
        <v>0</v>
      </c>
      <c r="BZ388" s="94" cm="1">
        <f t="array" ref="BZ388">SUMPRODUCT((pat_tech_transfo_06[[Client]:[Client]]=syndicat_etude)*(pat_tech_transfo_06[[Annee]:[Annee]]=annee_CRAC)*(pat_tech_transfo_06[[Annee construction]:[Annee construction]]=BZ$215)*(pat_tech_transfo_06[[nb_400]:[nb_400]]))</f>
        <v>0</v>
      </c>
      <c r="CA388" s="94" cm="1">
        <f t="array" ref="CA388">SUMPRODUCT((pat_tech_transfo_06[[Client]:[Client]]=syndicat_etude)*(pat_tech_transfo_06[[Annee]:[Annee]]=annee_CRAC)*(pat_tech_transfo_06[[Annee construction]:[Annee construction]]=CA$215)*(pat_tech_transfo_06[[nb_400]:[nb_400]]))</f>
        <v>0</v>
      </c>
      <c r="CB388" s="94" cm="1">
        <f t="array" ref="CB388">SUMPRODUCT((pat_tech_transfo_06[[Client]:[Client]]=syndicat_etude)*(pat_tech_transfo_06[[Annee]:[Annee]]=annee_CRAC)*(pat_tech_transfo_06[[Annee construction]:[Annee construction]]=CB$215)*(pat_tech_transfo_06[[nb_400]:[nb_400]]))</f>
        <v>0</v>
      </c>
      <c r="CC388" s="94" cm="1">
        <f t="array" ref="CC388">SUMPRODUCT((pat_tech_transfo_06[[Client]:[Client]]=syndicat_etude)*(pat_tech_transfo_06[[Annee]:[Annee]]=annee_CRAC)*(pat_tech_transfo_06[[Annee construction]:[Annee construction]]=CC$215)*(pat_tech_transfo_06[[nb_400]:[nb_400]]))</f>
        <v>0</v>
      </c>
      <c r="CD388" s="94" cm="1">
        <f t="array" ref="CD388">SUMPRODUCT((pat_tech_transfo_06[[Client]:[Client]]=syndicat_etude)*(pat_tech_transfo_06[[Annee]:[Annee]]=annee_CRAC)*(pat_tech_transfo_06[[Annee construction]:[Annee construction]]=CD$215)*(pat_tech_transfo_06[[nb_400]:[nb_400]]))</f>
        <v>0</v>
      </c>
      <c r="CE388" s="94" cm="1">
        <f t="array" ref="CE388">SUMPRODUCT((pat_tech_transfo_06[[Client]:[Client]]=syndicat_etude)*(pat_tech_transfo_06[[Annee]:[Annee]]=annee_CRAC)*(pat_tech_transfo_06[[Annee construction]:[Annee construction]]=CE$215)*(pat_tech_transfo_06[[nb_400]:[nb_400]]))</f>
        <v>0</v>
      </c>
      <c r="CF388" s="95" cm="1">
        <f t="array" ref="CF388">SUMPRODUCT((pat_tech_transfo_06[[Client]:[Client]]=syndicat_etude)*(pat_tech_transfo_06[[Annee]:[Annee]]=annee_CRAC)*(pat_tech_transfo_06[[Annee construction]:[Annee construction]]=CF$215)*(pat_tech_transfo_06[[nb_400]:[nb_400]]))</f>
        <v>0</v>
      </c>
    </row>
    <row r="389" spans="1:84" ht="15" customHeight="1" x14ac:dyDescent="0.25">
      <c r="B389" s="23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</row>
    <row r="390" spans="1:84" ht="15" customHeight="1" x14ac:dyDescent="0.25">
      <c r="A390" s="479" t="s">
        <v>393</v>
      </c>
      <c r="B390" s="558" t="s">
        <v>394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</row>
    <row r="391" spans="1:84" ht="15" customHeight="1" x14ac:dyDescent="0.25">
      <c r="B391" s="23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</row>
    <row r="392" spans="1:84" ht="15" customHeight="1" x14ac:dyDescent="0.25">
      <c r="B392" s="23"/>
      <c r="C392" s="7"/>
      <c r="D392" s="7"/>
      <c r="E392" s="7"/>
      <c r="F392" s="7"/>
      <c r="G392" s="7"/>
      <c r="H392" s="7"/>
    </row>
    <row r="393" spans="1:84" ht="30" customHeight="1" x14ac:dyDescent="0.25">
      <c r="A393" s="97" t="s">
        <v>395</v>
      </c>
    </row>
    <row r="394" spans="1:84" ht="15" customHeight="1" x14ac:dyDescent="0.25">
      <c r="G394" s="102"/>
    </row>
    <row r="395" spans="1:84" ht="30" customHeight="1" x14ac:dyDescent="0.25">
      <c r="A395" s="25" t="s">
        <v>396</v>
      </c>
      <c r="B395" s="66" t="s">
        <v>397</v>
      </c>
      <c r="C395" s="67" cm="1">
        <f t="array" ref="C395">Exercice[Exercice N-4]</f>
        <v>2019</v>
      </c>
      <c r="D395" s="67" cm="1">
        <f t="array" ref="D395">Exercice[Exercice N-3]</f>
        <v>2020</v>
      </c>
      <c r="E395" s="67" cm="1">
        <f t="array" ref="E395">Exercice[Exercice N-2]</f>
        <v>2021</v>
      </c>
      <c r="F395" s="67" cm="1">
        <f t="array" ref="F395">Exercice[Exercice N-1]</f>
        <v>2022</v>
      </c>
      <c r="G395" s="67" cm="1">
        <f t="array" ref="G395">Exercice[Exercice N]</f>
        <v>2023</v>
      </c>
      <c r="H395" s="76" t="str" cm="1">
        <f t="array" ref="H395">"% "&amp;Exercice[Exercice N]</f>
        <v>% 2023</v>
      </c>
    </row>
    <row r="396" spans="1:84" ht="15" customHeight="1" x14ac:dyDescent="0.25">
      <c r="B396" s="50" t="s">
        <v>113</v>
      </c>
      <c r="C396" s="11" cm="1">
        <f t="array" ref="C396">SUMPRODUCT((pat_tech_bt_01[[client]:[client]]=syndicat_etude)*(pat_tech_bt_01[[annee]:[annee]]=C$395)*(pat_tech_bt_01[aerien_nu]))</f>
        <v>258.26</v>
      </c>
      <c r="D396" s="11" cm="1">
        <f t="array" ref="D396">SUMPRODUCT((pat_tech_bt_01[[client]:[client]]=syndicat_etude)*(pat_tech_bt_01[[annee]:[annee]]=D$395)*(pat_tech_bt_01[aerien_nu]))</f>
        <v>248.32</v>
      </c>
      <c r="E396" s="11" cm="1">
        <f t="array" ref="E396">SUMPRODUCT((pat_tech_bt_01[[client]:[client]]=syndicat_etude)*(pat_tech_bt_01[[annee]:[annee]]=E$395)*(pat_tech_bt_01[aerien_nu]))</f>
        <v>239.05</v>
      </c>
      <c r="F396" s="11" cm="1">
        <f t="array" ref="F396">SUMPRODUCT((pat_tech_bt_01[[client]:[client]]=syndicat_etude)*(pat_tech_bt_01[[annee]:[annee]]=F$395)*(pat_tech_bt_01[aerien_nu]))</f>
        <v>233.15</v>
      </c>
      <c r="G396" s="11" cm="1">
        <f t="array" ref="G396">SUMPRODUCT((pat_tech_bt_01[[client]:[client]]=syndicat_etude)*(pat_tech_bt_01[[annee]:[annee]]=G$395)*(pat_tech_bt_01[aerien_nu]))</f>
        <v>224.27</v>
      </c>
      <c r="H396" s="149">
        <f>IFERROR($G396/$G$399,"")</f>
        <v>5.9966683690249233E-2</v>
      </c>
    </row>
    <row r="397" spans="1:84" ht="15" customHeight="1" x14ac:dyDescent="0.25">
      <c r="B397" s="50" t="s">
        <v>114</v>
      </c>
      <c r="C397" s="11" cm="1">
        <f t="array" ref="C397">SUMPRODUCT((pat_tech_bt_01[[client]:[client]]=syndicat_etude)*(pat_tech_bt_01[[annee]:[annee]]=C$395)*(pat_tech_bt_01[aerien_torsade]))</f>
        <v>1224.8900000000001</v>
      </c>
      <c r="D397" s="11" cm="1">
        <f t="array" ref="D397">SUMPRODUCT((pat_tech_bt_01[[client]:[client]]=syndicat_etude)*(pat_tech_bt_01[[annee]:[annee]]=D$395)*(pat_tech_bt_01[aerien_torsade]))</f>
        <v>1216.53</v>
      </c>
      <c r="E397" s="11" cm="1">
        <f t="array" ref="E397">SUMPRODUCT((pat_tech_bt_01[[client]:[client]]=syndicat_etude)*(pat_tech_bt_01[[annee]:[annee]]=E$395)*(pat_tech_bt_01[aerien_torsade]))</f>
        <v>1208.19</v>
      </c>
      <c r="F397" s="11" cm="1">
        <f t="array" ref="F397">SUMPRODUCT((pat_tech_bt_01[[client]:[client]]=syndicat_etude)*(pat_tech_bt_01[[annee]:[annee]]=F$395)*(pat_tech_bt_01[aerien_torsade]))</f>
        <v>1192.22</v>
      </c>
      <c r="G397" s="11" cm="1">
        <f t="array" ref="G397">SUMPRODUCT((pat_tech_bt_01[[client]:[client]]=syndicat_etude)*(pat_tech_bt_01[[annee]:[annee]]=G$395)*(pat_tech_bt_01[aerien_torsade]))</f>
        <v>1186.99</v>
      </c>
      <c r="H397" s="137">
        <f>IFERROR($G397/$G$399,"")</f>
        <v>0.31738464294595325</v>
      </c>
    </row>
    <row r="398" spans="1:84" ht="15" customHeight="1" x14ac:dyDescent="0.25">
      <c r="B398" s="50" t="s">
        <v>115</v>
      </c>
      <c r="C398" s="11" cm="1">
        <f t="array" ref="C398">SUMPRODUCT((pat_tech_bt_01[[client]:[client]]=syndicat_etude)*(pat_tech_bt_01[[annee]:[annee]]=C$395)*(pat_tech_bt_01[souterrain]))</f>
        <v>2154.88</v>
      </c>
      <c r="D398" s="11" cm="1">
        <f t="array" ref="D398">SUMPRODUCT((pat_tech_bt_01[[client]:[client]]=syndicat_etude)*(pat_tech_bt_01[[annee]:[annee]]=D$395)*(pat_tech_bt_01[souterrain]))</f>
        <v>2194.9899999999998</v>
      </c>
      <c r="E398" s="11" cm="1">
        <f t="array" ref="E398">SUMPRODUCT((pat_tech_bt_01[[client]:[client]]=syndicat_etude)*(pat_tech_bt_01[[annee]:[annee]]=E$395)*(pat_tech_bt_01[souterrain]))</f>
        <v>2243.98</v>
      </c>
      <c r="F398" s="11" cm="1">
        <f t="array" ref="F398">SUMPRODUCT((pat_tech_bt_01[[client]:[client]]=syndicat_etude)*(pat_tech_bt_01[[annee]:[annee]]=F$395)*(pat_tech_bt_01[souterrain]))</f>
        <v>2281.39</v>
      </c>
      <c r="G398" s="11" cm="1">
        <f t="array" ref="G398">SUMPRODUCT((pat_tech_bt_01[[client]:[client]]=syndicat_etude)*(pat_tech_bt_01[[annee]:[annee]]=G$395)*(pat_tech_bt_01[souterrain]))</f>
        <v>2328.65</v>
      </c>
      <c r="H398" s="137">
        <f>IFERROR($G398/$G$399,"")</f>
        <v>0.62264867336379759</v>
      </c>
    </row>
    <row r="399" spans="1:84" ht="15" customHeight="1" x14ac:dyDescent="0.25">
      <c r="B399" s="122" t="s">
        <v>116</v>
      </c>
      <c r="C399" s="123" cm="1">
        <f t="array" ref="C399">SUMPRODUCT((pat_tech_bt_01[[client]:[client]]=syndicat_etude)*(pat_tech_bt_01[[annee]:[annee]]=C$395)*(pat_tech_bt_01[lineaire_tot]))</f>
        <v>3638.03</v>
      </c>
      <c r="D399" s="123" cm="1">
        <f t="array" ref="D399">SUMPRODUCT((pat_tech_bt_01[[client]:[client]]=syndicat_etude)*(pat_tech_bt_01[[annee]:[annee]]=D$395)*(pat_tech_bt_01[lineaire_tot]))</f>
        <v>3659.85</v>
      </c>
      <c r="E399" s="123" cm="1">
        <f t="array" ref="E399">SUMPRODUCT((pat_tech_bt_01[[client]:[client]]=syndicat_etude)*(pat_tech_bt_01[[annee]:[annee]]=E$395)*(pat_tech_bt_01[lineaire_tot]))</f>
        <v>3691.21</v>
      </c>
      <c r="F399" s="123" cm="1">
        <f t="array" ref="F399">SUMPRODUCT((pat_tech_bt_01[[client]:[client]]=syndicat_etude)*(pat_tech_bt_01[[annee]:[annee]]=F$395)*(pat_tech_bt_01[lineaire_tot]))</f>
        <v>3706.75</v>
      </c>
      <c r="G399" s="123" cm="1">
        <f t="array" ref="G399">SUMPRODUCT((pat_tech_bt_01[[client]:[client]]=syndicat_etude)*(pat_tech_bt_01[[annee]:[annee]]=G$395)*(pat_tech_bt_01[lineaire_tot]))</f>
        <v>3739.91</v>
      </c>
      <c r="H399" s="137">
        <f>IFERROR($G399/$G$399,"")</f>
        <v>1</v>
      </c>
    </row>
    <row r="400" spans="1:84" ht="15" customHeight="1" x14ac:dyDescent="0.25">
      <c r="B400" s="77" t="s">
        <v>117</v>
      </c>
      <c r="C400" s="113"/>
      <c r="D400" s="113">
        <f>IFERROR(D$399/C$399-1,"-")</f>
        <v>5.997751530361084E-3</v>
      </c>
      <c r="E400" s="113">
        <f>IFERROR(E$399/D$399-1,"-")</f>
        <v>8.568657185403783E-3</v>
      </c>
      <c r="F400" s="113">
        <f>IFERROR(F$399/E$399-1,"-")</f>
        <v>4.2100015983919103E-3</v>
      </c>
      <c r="G400" s="113">
        <f>IFERROR(G$399/F$399-1,"-")</f>
        <v>8.9458420449179954E-3</v>
      </c>
      <c r="H400" s="150"/>
    </row>
    <row r="401" spans="1:10" ht="15" customHeight="1" x14ac:dyDescent="0.25">
      <c r="B401" s="29"/>
      <c r="C401" s="569"/>
      <c r="D401" s="569"/>
      <c r="E401" s="569"/>
      <c r="F401" s="569"/>
      <c r="G401" s="569"/>
      <c r="H401" s="569"/>
      <c r="I401" s="569"/>
      <c r="J401" s="569"/>
    </row>
    <row r="402" spans="1:10" ht="30" customHeight="1" x14ac:dyDescent="0.25">
      <c r="B402" s="66" t="s">
        <v>398</v>
      </c>
      <c r="C402" s="67" cm="1">
        <f t="array" ref="C402">Exercice[Exercice N-4]</f>
        <v>2019</v>
      </c>
      <c r="D402" s="67" cm="1">
        <f t="array" ref="D402">Exercice[Exercice N-3]</f>
        <v>2020</v>
      </c>
      <c r="E402" s="67" cm="1">
        <f t="array" ref="E402">Exercice[Exercice N-2]</f>
        <v>2021</v>
      </c>
      <c r="F402" s="67" cm="1">
        <f t="array" ref="F402">Exercice[Exercice N-1]</f>
        <v>2022</v>
      </c>
      <c r="G402" s="69" cm="1">
        <f t="array" ref="G402">Exercice[Exercice N]</f>
        <v>2023</v>
      </c>
      <c r="H402" s="65"/>
      <c r="I402" s="569"/>
      <c r="J402" s="569"/>
    </row>
    <row r="403" spans="1:10" ht="15" customHeight="1" x14ac:dyDescent="0.25">
      <c r="B403" s="61" t="s">
        <v>399</v>
      </c>
      <c r="C403" s="240">
        <f>IFERROR(C$396/C$399,"-")</f>
        <v>7.098896930481606E-2</v>
      </c>
      <c r="D403" s="240">
        <f>IFERROR(D$396/D$399,"-")</f>
        <v>6.7849775264013548E-2</v>
      </c>
      <c r="E403" s="240">
        <f>IFERROR(E$396/E$399,"-")</f>
        <v>6.4761961524811645E-2</v>
      </c>
      <c r="F403" s="240">
        <f>IFERROR(F$396/F$399,"-")</f>
        <v>6.2898765765158154E-2</v>
      </c>
      <c r="G403" s="241">
        <f>IFERROR(G$396/G$399,"-")</f>
        <v>5.9966683690249233E-2</v>
      </c>
      <c r="I403" s="569"/>
      <c r="J403" s="569"/>
    </row>
    <row r="404" spans="1:10" ht="15" customHeight="1" x14ac:dyDescent="0.25">
      <c r="B404" s="50" t="s">
        <v>400</v>
      </c>
      <c r="C404" s="8">
        <f>IFERROR(C$397/C$399,"-")</f>
        <v>0.33669046159597366</v>
      </c>
      <c r="D404" s="8">
        <f>IFERROR(D$397/D$399,"-")</f>
        <v>0.33239886880609859</v>
      </c>
      <c r="E404" s="8">
        <f>IFERROR(E$397/E$399,"-")</f>
        <v>0.32731543315064709</v>
      </c>
      <c r="F404" s="8">
        <f>IFERROR(F$397/F$399,"-")</f>
        <v>0.32163485533148983</v>
      </c>
      <c r="G404" s="80">
        <f>IFERROR(G$397/G$399,"-")</f>
        <v>0.31738464294595325</v>
      </c>
      <c r="I404" s="569"/>
      <c r="J404" s="569"/>
    </row>
    <row r="405" spans="1:10" ht="15" customHeight="1" x14ac:dyDescent="0.25">
      <c r="B405" s="50" t="s">
        <v>401</v>
      </c>
      <c r="C405" s="8">
        <f>IFERROR(C$398/C$399,"-")</f>
        <v>0.59232056909921027</v>
      </c>
      <c r="D405" s="8">
        <f>IFERROR(D$398/D$399,"-")</f>
        <v>0.59974862357746894</v>
      </c>
      <c r="E405" s="8">
        <f>IFERROR(E$398/E$399,"-")</f>
        <v>0.60792531446327902</v>
      </c>
      <c r="F405" s="8">
        <f>IFERROR(F$398/F$399,"-")</f>
        <v>0.61546907668442707</v>
      </c>
      <c r="G405" s="80">
        <f>IFERROR(G$398/G$399,"-")</f>
        <v>0.62264867336379759</v>
      </c>
      <c r="J405" s="569"/>
    </row>
    <row r="406" spans="1:10" ht="15" customHeight="1" x14ac:dyDescent="0.25">
      <c r="B406" s="145" t="s">
        <v>402</v>
      </c>
      <c r="C406" s="520">
        <f>Synth!K$58</f>
        <v>0.46541438463527496</v>
      </c>
      <c r="D406" s="520">
        <f>Synth!L$58</f>
        <v>0.47244708785925382</v>
      </c>
      <c r="E406" s="520">
        <f>Synth!M$58</f>
        <v>0.48015010912870426</v>
      </c>
      <c r="F406" s="520">
        <f>Synth!N$58</f>
        <v>0.48752719155415314</v>
      </c>
      <c r="G406" s="397">
        <f>Synth!O$58</f>
        <v>0.49435922525697334</v>
      </c>
      <c r="H406" s="65" t="s">
        <v>122</v>
      </c>
      <c r="J406" s="569"/>
    </row>
    <row r="407" spans="1:10" ht="15" customHeight="1" x14ac:dyDescent="0.25">
      <c r="A407" s="28"/>
      <c r="B407" s="142" t="s">
        <v>123</v>
      </c>
      <c r="C407" s="154" t="e" cm="1">
        <f t="array" ref="C407">SUMPRODUCT((#REF!=C$402)*(#REF!))</f>
        <v>#REF!</v>
      </c>
      <c r="D407" s="154" t="e" cm="1">
        <f t="array" ref="D407">SUMPRODUCT((#REF!=D$402)*(#REF!))</f>
        <v>#REF!</v>
      </c>
      <c r="E407" s="154" t="e" cm="1">
        <f t="array" ref="E407">SUMPRODUCT((#REF!=E$402)*(#REF!))</f>
        <v>#REF!</v>
      </c>
      <c r="F407" s="154" t="e" cm="1">
        <f t="array" ref="F407">SUMPRODUCT((#REF!=F$402)*(#REF!))</f>
        <v>#REF!</v>
      </c>
      <c r="G407" s="138" t="e" cm="1">
        <f t="array" ref="G407">SUMPRODUCT((#REF!=G$402)*(#REF!))</f>
        <v>#REF!</v>
      </c>
      <c r="H407" s="65" t="s">
        <v>122</v>
      </c>
      <c r="J407" s="569"/>
    </row>
    <row r="408" spans="1:10" ht="15" customHeight="1" x14ac:dyDescent="0.25">
      <c r="J408" s="569"/>
    </row>
    <row r="409" spans="1:10" ht="15" customHeight="1" x14ac:dyDescent="0.25">
      <c r="A409" s="479" t="s">
        <v>403</v>
      </c>
      <c r="B409" s="29"/>
      <c r="C409" s="569"/>
      <c r="D409" s="569"/>
      <c r="E409" s="479" t="s">
        <v>404</v>
      </c>
      <c r="F409" s="569"/>
      <c r="G409" s="569"/>
      <c r="H409" s="569"/>
      <c r="I409" s="569"/>
      <c r="J409" s="569"/>
    </row>
    <row r="410" spans="1:10" ht="15" customHeight="1" x14ac:dyDescent="0.25">
      <c r="B410" s="29"/>
      <c r="C410" s="569"/>
      <c r="D410" s="569"/>
      <c r="E410" s="569"/>
      <c r="F410" s="569"/>
      <c r="G410" s="569"/>
      <c r="H410" s="569"/>
      <c r="I410" s="569"/>
      <c r="J410" s="569"/>
    </row>
    <row r="411" spans="1:10" ht="15" customHeight="1" x14ac:dyDescent="0.25">
      <c r="B411" s="29"/>
      <c r="C411" s="569"/>
      <c r="D411" s="569"/>
      <c r="E411" s="569"/>
      <c r="F411" s="569"/>
      <c r="G411" s="569"/>
      <c r="H411" s="569"/>
      <c r="I411" s="569"/>
      <c r="J411" s="569"/>
    </row>
    <row r="412" spans="1:10" ht="15" customHeight="1" x14ac:dyDescent="0.25">
      <c r="B412" s="29"/>
      <c r="C412" s="569"/>
      <c r="D412" s="569"/>
      <c r="E412" s="569"/>
      <c r="F412" s="569"/>
      <c r="G412" s="569"/>
      <c r="H412" s="569"/>
      <c r="I412" s="569"/>
      <c r="J412" s="569"/>
    </row>
    <row r="413" spans="1:10" ht="15" customHeight="1" x14ac:dyDescent="0.25">
      <c r="B413" s="29"/>
      <c r="C413" s="569"/>
      <c r="D413" s="569"/>
      <c r="E413" s="569"/>
      <c r="F413" s="569"/>
      <c r="G413" s="569"/>
      <c r="H413" s="569"/>
      <c r="I413" s="569"/>
      <c r="J413" s="569"/>
    </row>
    <row r="414" spans="1:10" ht="15" customHeight="1" x14ac:dyDescent="0.25">
      <c r="B414" s="29"/>
      <c r="C414" s="569"/>
      <c r="D414" s="569"/>
      <c r="E414" s="569"/>
      <c r="F414" s="569"/>
      <c r="G414" s="569"/>
      <c r="H414" s="569"/>
      <c r="I414" s="569"/>
      <c r="J414" s="569"/>
    </row>
    <row r="415" spans="1:10" ht="15" customHeight="1" x14ac:dyDescent="0.25">
      <c r="B415" s="29"/>
      <c r="C415" s="569"/>
      <c r="D415" s="569"/>
      <c r="E415" s="569"/>
      <c r="F415" s="569"/>
      <c r="G415" s="569"/>
      <c r="H415" s="569"/>
      <c r="I415" s="569"/>
      <c r="J415" s="569"/>
    </row>
    <row r="416" spans="1:10" ht="15" customHeight="1" x14ac:dyDescent="0.25">
      <c r="B416" s="29"/>
      <c r="C416" s="569"/>
      <c r="D416" s="569"/>
      <c r="E416" s="569"/>
      <c r="F416" s="569"/>
      <c r="G416" s="569"/>
      <c r="H416" s="569"/>
      <c r="I416" s="569"/>
      <c r="J416" s="569"/>
    </row>
    <row r="417" spans="1:10" ht="15" customHeight="1" x14ac:dyDescent="0.25">
      <c r="B417" s="29"/>
      <c r="C417" s="569"/>
      <c r="D417" s="569"/>
      <c r="E417" s="569"/>
      <c r="F417" s="569"/>
      <c r="G417" s="569"/>
      <c r="H417" s="569"/>
      <c r="I417" s="569"/>
      <c r="J417" s="569"/>
    </row>
    <row r="418" spans="1:10" ht="15" customHeight="1" x14ac:dyDescent="0.25">
      <c r="B418" s="29"/>
      <c r="C418" s="569"/>
      <c r="D418" s="569"/>
      <c r="E418" s="569"/>
      <c r="F418" s="569"/>
      <c r="G418" s="569"/>
      <c r="H418" s="569"/>
      <c r="I418" s="569"/>
      <c r="J418" s="569"/>
    </row>
    <row r="419" spans="1:10" ht="15" customHeight="1" x14ac:dyDescent="0.25">
      <c r="B419" s="29"/>
      <c r="C419" s="569"/>
      <c r="D419" s="569"/>
      <c r="E419" s="569"/>
      <c r="F419" s="569"/>
      <c r="G419" s="569"/>
      <c r="H419" s="569"/>
      <c r="I419" s="569"/>
      <c r="J419" s="569"/>
    </row>
    <row r="420" spans="1:10" ht="15" customHeight="1" x14ac:dyDescent="0.25">
      <c r="B420" s="29"/>
      <c r="C420" s="569"/>
      <c r="D420" s="569"/>
      <c r="E420" s="569"/>
      <c r="F420" s="569"/>
      <c r="G420" s="569"/>
      <c r="H420" s="569"/>
      <c r="I420" s="569"/>
      <c r="J420" s="569"/>
    </row>
    <row r="421" spans="1:10" ht="15" customHeight="1" x14ac:dyDescent="0.25">
      <c r="B421" s="29"/>
      <c r="C421" s="569"/>
      <c r="D421" s="569"/>
      <c r="E421" s="569"/>
      <c r="F421" s="569"/>
      <c r="G421" s="569"/>
      <c r="H421" s="569"/>
      <c r="I421" s="569"/>
      <c r="J421" s="569"/>
    </row>
    <row r="422" spans="1:10" ht="15" customHeight="1" x14ac:dyDescent="0.25">
      <c r="B422" s="29"/>
      <c r="C422" s="569"/>
      <c r="D422" s="569"/>
      <c r="E422" s="569"/>
      <c r="F422" s="569"/>
      <c r="G422" s="569"/>
      <c r="H422" s="569"/>
      <c r="I422" s="569"/>
      <c r="J422" s="569"/>
    </row>
    <row r="423" spans="1:10" ht="15" customHeight="1" x14ac:dyDescent="0.25">
      <c r="A423" s="479" t="s">
        <v>405</v>
      </c>
      <c r="B423" s="570" t="s">
        <v>406</v>
      </c>
      <c r="C423" s="569"/>
      <c r="D423" s="569"/>
      <c r="E423" s="479" t="s">
        <v>407</v>
      </c>
      <c r="F423" s="569"/>
      <c r="G423" s="569"/>
      <c r="H423" s="569"/>
      <c r="I423" s="569"/>
      <c r="J423" s="569"/>
    </row>
    <row r="424" spans="1:10" ht="15" customHeight="1" x14ac:dyDescent="0.25">
      <c r="A424" s="163"/>
      <c r="B424" s="570" t="s">
        <v>408</v>
      </c>
      <c r="C424" s="569"/>
      <c r="D424" s="569"/>
      <c r="E424" s="569"/>
      <c r="F424" s="569"/>
      <c r="G424" s="569"/>
      <c r="H424" s="569"/>
      <c r="I424" s="569"/>
      <c r="J424" s="569"/>
    </row>
    <row r="425" spans="1:10" ht="15" customHeight="1" x14ac:dyDescent="0.25">
      <c r="B425" s="29"/>
      <c r="C425" s="569"/>
      <c r="D425" s="569"/>
      <c r="E425" s="569"/>
      <c r="F425" s="569"/>
      <c r="G425" s="569"/>
      <c r="H425" s="569"/>
      <c r="I425" s="569"/>
      <c r="J425" s="569"/>
    </row>
    <row r="426" spans="1:10" ht="15" customHeight="1" x14ac:dyDescent="0.25">
      <c r="B426" s="29"/>
      <c r="C426" s="569"/>
      <c r="D426" s="569"/>
      <c r="E426" s="569"/>
      <c r="F426" s="569"/>
      <c r="G426" s="569"/>
      <c r="H426" s="569"/>
      <c r="I426" s="569"/>
      <c r="J426" s="569"/>
    </row>
    <row r="427" spans="1:10" ht="15" customHeight="1" x14ac:dyDescent="0.25">
      <c r="B427" s="29"/>
      <c r="C427" s="569"/>
      <c r="D427" s="569"/>
      <c r="E427" s="569"/>
      <c r="F427" s="569"/>
      <c r="G427" s="569"/>
      <c r="H427" s="569"/>
      <c r="I427" s="569"/>
      <c r="J427" s="569"/>
    </row>
    <row r="428" spans="1:10" ht="15" customHeight="1" x14ac:dyDescent="0.25">
      <c r="B428" s="29"/>
      <c r="C428" s="569"/>
      <c r="D428" s="569"/>
      <c r="E428" s="569"/>
      <c r="F428" s="569"/>
      <c r="G428" s="569"/>
      <c r="H428" s="569"/>
      <c r="I428" s="569"/>
      <c r="J428" s="569"/>
    </row>
    <row r="429" spans="1:10" ht="15" customHeight="1" x14ac:dyDescent="0.25">
      <c r="B429" s="29"/>
      <c r="C429" s="569"/>
      <c r="D429" s="569"/>
      <c r="E429" s="569"/>
      <c r="F429" s="569"/>
      <c r="G429" s="569"/>
      <c r="H429" s="569"/>
      <c r="I429" s="569"/>
      <c r="J429" s="569"/>
    </row>
    <row r="430" spans="1:10" ht="15" customHeight="1" x14ac:dyDescent="0.25">
      <c r="B430" s="29"/>
      <c r="C430" s="569"/>
      <c r="D430" s="569"/>
      <c r="E430" s="569"/>
      <c r="F430" s="569"/>
      <c r="G430" s="569"/>
      <c r="H430" s="569"/>
      <c r="I430" s="569"/>
      <c r="J430" s="569"/>
    </row>
    <row r="431" spans="1:10" ht="15" customHeight="1" x14ac:dyDescent="0.25">
      <c r="B431" s="29"/>
      <c r="C431" s="569"/>
      <c r="D431" s="569"/>
      <c r="E431" s="569"/>
      <c r="F431" s="569"/>
      <c r="G431" s="569"/>
      <c r="H431" s="569"/>
      <c r="I431" s="569"/>
      <c r="J431" s="569"/>
    </row>
    <row r="432" spans="1:10" ht="15" customHeight="1" x14ac:dyDescent="0.25">
      <c r="B432" s="29"/>
      <c r="C432" s="569"/>
      <c r="D432" s="569"/>
      <c r="E432" s="569"/>
      <c r="F432" s="569"/>
      <c r="G432" s="569"/>
      <c r="H432" s="569"/>
      <c r="I432" s="569"/>
      <c r="J432" s="569"/>
    </row>
    <row r="433" spans="1:10" ht="15" customHeight="1" x14ac:dyDescent="0.25">
      <c r="B433" s="29"/>
      <c r="C433" s="569"/>
      <c r="D433" s="569"/>
      <c r="E433" s="569"/>
      <c r="F433" s="569"/>
      <c r="G433" s="569"/>
      <c r="H433" s="569"/>
      <c r="I433" s="569"/>
      <c r="J433" s="569"/>
    </row>
    <row r="434" spans="1:10" ht="15" customHeight="1" x14ac:dyDescent="0.25">
      <c r="B434" s="29"/>
      <c r="C434" s="569"/>
      <c r="D434" s="569"/>
      <c r="E434" s="569"/>
      <c r="F434" s="569"/>
      <c r="G434" s="569"/>
      <c r="H434" s="569"/>
      <c r="I434" s="569"/>
      <c r="J434" s="569"/>
    </row>
    <row r="435" spans="1:10" ht="15" customHeight="1" x14ac:dyDescent="0.25">
      <c r="B435" s="29"/>
      <c r="C435" s="569"/>
      <c r="D435" s="569"/>
      <c r="E435" s="569"/>
      <c r="F435" s="569"/>
      <c r="G435" s="569"/>
      <c r="H435" s="569"/>
      <c r="I435" s="569"/>
      <c r="J435" s="569"/>
    </row>
    <row r="436" spans="1:10" ht="15" customHeight="1" x14ac:dyDescent="0.25">
      <c r="B436" s="29"/>
      <c r="C436" s="569"/>
      <c r="D436" s="569"/>
      <c r="E436" s="569"/>
      <c r="F436" s="569"/>
      <c r="G436" s="569"/>
      <c r="H436" s="569"/>
      <c r="I436" s="569"/>
      <c r="J436" s="569"/>
    </row>
    <row r="437" spans="1:10" ht="15" customHeight="1" x14ac:dyDescent="0.25">
      <c r="B437" s="29"/>
      <c r="C437" s="569"/>
      <c r="D437" s="569"/>
      <c r="E437" s="569"/>
      <c r="F437" s="569"/>
      <c r="G437" s="569"/>
      <c r="H437" s="569"/>
      <c r="I437" s="569"/>
      <c r="J437" s="569"/>
    </row>
    <row r="438" spans="1:10" ht="15" customHeight="1" x14ac:dyDescent="0.25">
      <c r="B438" s="29"/>
      <c r="C438" s="569"/>
      <c r="D438" s="569"/>
      <c r="E438" s="569"/>
      <c r="F438" s="569"/>
      <c r="G438" s="569"/>
      <c r="H438" s="569"/>
      <c r="I438" s="569"/>
      <c r="J438" s="569"/>
    </row>
    <row r="439" spans="1:10" ht="15" customHeight="1" x14ac:dyDescent="0.25">
      <c r="B439" s="29"/>
      <c r="C439" s="569"/>
      <c r="D439" s="569"/>
      <c r="E439" s="569"/>
      <c r="F439" s="569"/>
      <c r="G439" s="569"/>
      <c r="H439" s="569"/>
      <c r="I439" s="569"/>
      <c r="J439" s="569"/>
    </row>
    <row r="440" spans="1:10" ht="15" customHeight="1" x14ac:dyDescent="0.25">
      <c r="B440" s="29"/>
      <c r="C440" s="569"/>
      <c r="D440" s="569"/>
      <c r="E440" s="569"/>
      <c r="F440" s="569"/>
      <c r="G440" s="569"/>
      <c r="H440" s="569"/>
      <c r="I440" s="569"/>
      <c r="J440" s="569"/>
    </row>
    <row r="441" spans="1:10" ht="15" customHeight="1" x14ac:dyDescent="0.25">
      <c r="B441" s="29"/>
      <c r="C441" s="569"/>
      <c r="D441" s="569"/>
      <c r="E441" s="569"/>
      <c r="F441" s="569"/>
      <c r="G441" s="569"/>
      <c r="H441" s="569"/>
      <c r="I441" s="569"/>
      <c r="J441" s="569"/>
    </row>
    <row r="442" spans="1:10" ht="15" customHeight="1" x14ac:dyDescent="0.25">
      <c r="A442" s="479" t="s">
        <v>409</v>
      </c>
      <c r="B442" s="29"/>
      <c r="C442" s="569"/>
      <c r="D442" s="569"/>
      <c r="E442" s="569"/>
      <c r="F442" s="569"/>
      <c r="G442" s="569"/>
      <c r="H442" s="569"/>
      <c r="I442" s="569"/>
      <c r="J442" s="569"/>
    </row>
    <row r="443" spans="1:10" ht="15" customHeight="1" x14ac:dyDescent="0.25">
      <c r="B443" s="29"/>
      <c r="C443" s="569"/>
      <c r="D443" s="569"/>
      <c r="E443" s="569"/>
      <c r="F443" s="569"/>
      <c r="G443" s="569"/>
      <c r="H443" s="569"/>
      <c r="I443" s="569"/>
      <c r="J443" s="569"/>
    </row>
    <row r="444" spans="1:10" ht="15" customHeight="1" x14ac:dyDescent="0.25">
      <c r="B444" s="29"/>
      <c r="C444" s="569"/>
      <c r="D444" s="569"/>
      <c r="E444" s="569"/>
      <c r="F444" s="569"/>
      <c r="G444" s="569"/>
      <c r="H444" s="569"/>
      <c r="I444" s="569"/>
      <c r="J444" s="569"/>
    </row>
    <row r="445" spans="1:10" ht="15" customHeight="1" x14ac:dyDescent="0.25">
      <c r="B445" s="29"/>
      <c r="C445" s="569"/>
      <c r="D445" s="569"/>
      <c r="E445" s="569"/>
      <c r="F445" s="569"/>
      <c r="G445" s="569"/>
      <c r="H445" s="569"/>
      <c r="I445" s="569"/>
      <c r="J445" s="569"/>
    </row>
    <row r="446" spans="1:10" ht="15" customHeight="1" x14ac:dyDescent="0.25">
      <c r="B446" s="29"/>
      <c r="C446" s="569"/>
      <c r="D446" s="569"/>
      <c r="E446" s="569"/>
      <c r="F446" s="569"/>
      <c r="G446" s="569"/>
      <c r="H446" s="569"/>
      <c r="I446" s="569"/>
      <c r="J446" s="569"/>
    </row>
    <row r="447" spans="1:10" ht="15" customHeight="1" x14ac:dyDescent="0.25">
      <c r="B447" s="29"/>
      <c r="C447" s="569"/>
      <c r="D447" s="569"/>
      <c r="E447" s="569"/>
      <c r="F447" s="569"/>
      <c r="G447" s="569"/>
      <c r="H447" s="569"/>
      <c r="I447" s="569"/>
      <c r="J447" s="569"/>
    </row>
    <row r="448" spans="1:10" ht="15" customHeight="1" x14ac:dyDescent="0.25">
      <c r="B448" s="29"/>
      <c r="C448" s="569"/>
      <c r="D448" s="569"/>
      <c r="E448" s="569"/>
      <c r="F448" s="569"/>
      <c r="G448" s="569"/>
      <c r="H448" s="569"/>
      <c r="I448" s="569"/>
      <c r="J448" s="569"/>
    </row>
    <row r="449" spans="1:10" ht="15" customHeight="1" x14ac:dyDescent="0.25">
      <c r="B449" s="29"/>
      <c r="C449" s="569"/>
      <c r="D449" s="569"/>
      <c r="E449" s="569"/>
      <c r="F449" s="569"/>
      <c r="G449" s="569"/>
      <c r="H449" s="569"/>
      <c r="I449" s="569"/>
      <c r="J449" s="569"/>
    </row>
    <row r="450" spans="1:10" ht="15" customHeight="1" x14ac:dyDescent="0.25">
      <c r="B450" s="29"/>
      <c r="C450" s="569"/>
      <c r="D450" s="569"/>
      <c r="E450" s="569"/>
      <c r="F450" s="569"/>
      <c r="G450" s="569"/>
      <c r="H450" s="569"/>
      <c r="I450" s="569"/>
      <c r="J450" s="569"/>
    </row>
    <row r="451" spans="1:10" ht="15" customHeight="1" x14ac:dyDescent="0.25">
      <c r="B451" s="29"/>
      <c r="C451" s="569"/>
      <c r="D451" s="569"/>
      <c r="E451" s="569"/>
      <c r="F451" s="569"/>
      <c r="G451" s="569"/>
      <c r="H451" s="569"/>
      <c r="I451" s="569"/>
      <c r="J451" s="569"/>
    </row>
    <row r="452" spans="1:10" ht="15" customHeight="1" x14ac:dyDescent="0.25">
      <c r="B452" s="29"/>
      <c r="C452" s="569"/>
      <c r="D452" s="569"/>
      <c r="E452" s="569"/>
      <c r="F452" s="569"/>
      <c r="G452" s="569"/>
      <c r="H452" s="569"/>
      <c r="I452" s="569"/>
      <c r="J452" s="569"/>
    </row>
    <row r="453" spans="1:10" ht="15" customHeight="1" x14ac:dyDescent="0.25">
      <c r="B453" s="29"/>
      <c r="C453" s="569"/>
      <c r="D453" s="569"/>
      <c r="E453" s="569"/>
      <c r="F453" s="569"/>
      <c r="G453" s="569"/>
      <c r="H453" s="569"/>
      <c r="I453" s="569"/>
      <c r="J453" s="569"/>
    </row>
    <row r="454" spans="1:10" ht="15" customHeight="1" x14ac:dyDescent="0.25">
      <c r="B454" s="29"/>
      <c r="C454" s="569"/>
      <c r="D454" s="569"/>
      <c r="E454" s="569"/>
      <c r="F454" s="569"/>
      <c r="G454" s="569"/>
      <c r="H454" s="569"/>
      <c r="I454" s="569"/>
      <c r="J454" s="569"/>
    </row>
    <row r="455" spans="1:10" ht="15" customHeight="1" x14ac:dyDescent="0.25">
      <c r="B455" s="29"/>
      <c r="C455" s="569"/>
      <c r="D455" s="569"/>
      <c r="E455" s="569"/>
      <c r="F455" s="569"/>
      <c r="G455" s="569"/>
      <c r="H455" s="569"/>
      <c r="I455" s="569"/>
      <c r="J455" s="569"/>
    </row>
    <row r="456" spans="1:10" ht="15" customHeight="1" x14ac:dyDescent="0.25">
      <c r="B456" s="29"/>
      <c r="C456" s="569"/>
      <c r="D456" s="569"/>
      <c r="E456" s="569"/>
      <c r="F456" s="569"/>
      <c r="G456" s="569"/>
      <c r="H456" s="569"/>
      <c r="I456" s="569"/>
      <c r="J456" s="569"/>
    </row>
    <row r="457" spans="1:10" ht="15" customHeight="1" x14ac:dyDescent="0.25">
      <c r="C457" s="569"/>
      <c r="D457" s="569"/>
      <c r="E457" s="569"/>
      <c r="F457" s="569"/>
      <c r="G457" s="569"/>
      <c r="H457" s="569"/>
      <c r="I457" s="569"/>
      <c r="J457" s="569"/>
    </row>
    <row r="458" spans="1:10" ht="30" customHeight="1" x14ac:dyDescent="0.25">
      <c r="A458" s="25" t="s">
        <v>410</v>
      </c>
      <c r="B458" s="66" t="s">
        <v>398</v>
      </c>
      <c r="C458" s="67" cm="1">
        <f t="array" ref="C458">Exercice[Exercice N-4]</f>
        <v>2019</v>
      </c>
      <c r="D458" s="67" cm="1">
        <f t="array" ref="D458">Exercice[Exercice N-3]</f>
        <v>2020</v>
      </c>
      <c r="E458" s="67" cm="1">
        <f t="array" ref="E458">Exercice[Exercice N-2]</f>
        <v>2021</v>
      </c>
      <c r="F458" s="67" cm="1">
        <f t="array" ref="F458">Exercice[Exercice N-1]</f>
        <v>2022</v>
      </c>
      <c r="G458" s="69" cm="1">
        <f t="array" ref="G458">Exercice[Exercice N]</f>
        <v>2023</v>
      </c>
    </row>
    <row r="459" spans="1:10" ht="15" customHeight="1" x14ac:dyDescent="0.25">
      <c r="B459" s="126" t="s">
        <v>411</v>
      </c>
      <c r="C459" s="242">
        <f>IFERROR(C398/C$399,"-")</f>
        <v>0.59232056909921027</v>
      </c>
      <c r="D459" s="242">
        <f>IFERROR(D398/D$399,"-")</f>
        <v>0.59974862357746894</v>
      </c>
      <c r="E459" s="242">
        <f>IFERROR(E398/E$399,"-")</f>
        <v>0.60792531446327902</v>
      </c>
      <c r="F459" s="242">
        <f>IFERROR(F398/F$399,"-")</f>
        <v>0.61546907668442707</v>
      </c>
      <c r="G459" s="243">
        <f>IFERROR(G398/G$399,"-")</f>
        <v>0.62264867336379759</v>
      </c>
    </row>
    <row r="460" spans="1:10" ht="15" customHeight="1" x14ac:dyDescent="0.25">
      <c r="A460" s="28"/>
      <c r="B460" s="110" t="s">
        <v>412</v>
      </c>
      <c r="C460" s="569" cm="1">
        <f t="array" ref="C460">SUMPRODUCT((pat_tech_bt_01_nat[[annee]:[annee]] = C458)*(pat_tech_bt_01_nat[[moy_nat_sout]:[moy_nat_sout]]))</f>
        <v>0.46541438463527501</v>
      </c>
      <c r="D460" s="569" cm="1">
        <f t="array" ref="D460">SUMPRODUCT((pat_tech_bt_01_nat[[annee]:[annee]] = D458)*(pat_tech_bt_01_nat[[moy_nat_sout]:[moy_nat_sout]]))</f>
        <v>0.47244708785925399</v>
      </c>
      <c r="E460" s="569" cm="1">
        <f t="array" ref="E460">SUMPRODUCT((pat_tech_bt_01_nat[[annee]:[annee]] = E458)*(pat_tech_bt_01_nat[[moy_nat_sout]:[moy_nat_sout]]))</f>
        <v>0.48015010912870398</v>
      </c>
      <c r="F460" s="569" cm="1">
        <f t="array" ref="F460">SUMPRODUCT((pat_tech_bt_01_nat[[annee]:[annee]] = F458)*(pat_tech_bt_01_nat[[moy_nat_sout]:[moy_nat_sout]]))</f>
        <v>0.48752719155415303</v>
      </c>
      <c r="G460" s="101" cm="1">
        <f t="array" ref="G460">SUMPRODUCT((pat_tech_bt_01_nat[[annee]:[annee]] = G458)*(pat_tech_bt_01_nat[[moy_nat_sout]:[moy_nat_sout]]))</f>
        <v>0.49435922525697301</v>
      </c>
      <c r="H460" s="65" t="s">
        <v>122</v>
      </c>
    </row>
    <row r="461" spans="1:10" ht="15" customHeight="1" x14ac:dyDescent="0.25">
      <c r="A461" s="28"/>
      <c r="B461" s="733" t="s">
        <v>413</v>
      </c>
      <c r="C461" s="17" cm="1">
        <f t="array" ref="C461">SUMPRODUCT((pat_tech_bt_01_nat[[annee]:[annee]] = C458)*(pat_tech_bt_01_nat[[moyenne_nat_densite_pop_souterrain]:[moyenne_nat_densite_pop_souterrain]]))</f>
        <v>0.3967</v>
      </c>
      <c r="D461" s="17" cm="1">
        <f t="array" ref="D461">SUMPRODUCT((pat_tech_bt_01_nat[[annee]:[annee]] = D458)*(pat_tech_bt_01_nat[[moyenne_nat_densite_pop_souterrain]:[moyenne_nat_densite_pop_souterrain]]))</f>
        <v>0.3962</v>
      </c>
      <c r="E461" s="17" cm="1">
        <f t="array" ref="E461">SUMPRODUCT((pat_tech_bt_01_nat[[annee]:[annee]] = E458)*(pat_tech_bt_01_nat[[moyenne_nat_densite_pop_souterrain]:[moyenne_nat_densite_pop_souterrain]]))</f>
        <v>0.39550000000000002</v>
      </c>
      <c r="F461" s="17" cm="1">
        <f t="array" ref="F461">SUMPRODUCT((pat_tech_bt_01_nat[[annee]:[annee]] = F458)*(pat_tech_bt_01_nat[[moyenne_nat_densite_pop_souterrain]:[moyenne_nat_densite_pop_souterrain]]))</f>
        <v>0.39489999999999997</v>
      </c>
      <c r="G461" s="101" cm="1">
        <f t="array" ref="G461">SUMPRODUCT((pat_tech_bt_01_nat[[annee]:[annee]] = G458)*(pat_tech_bt_01_nat[[moyenne_nat_densite_pop_souterrain]:[moyenne_nat_densite_pop_souterrain]]))</f>
        <v>0.39439999999999997</v>
      </c>
      <c r="H461" s="65" t="s">
        <v>122</v>
      </c>
    </row>
    <row r="462" spans="1:10" ht="15" customHeight="1" x14ac:dyDescent="0.25">
      <c r="B462" s="126" t="s">
        <v>414</v>
      </c>
      <c r="C462" s="242">
        <f>IFERROR((C$397+C$398)/C$399,"-")</f>
        <v>0.92901103069518398</v>
      </c>
      <c r="D462" s="242">
        <f>IFERROR((D$397+D$398)/D$399,"-")</f>
        <v>0.93214749238356753</v>
      </c>
      <c r="E462" s="242">
        <f>IFERROR((E$397+E$398)/E$399,"-")</f>
        <v>0.93524074761392606</v>
      </c>
      <c r="F462" s="242">
        <f>IFERROR((F$397+F$398)/F$399,"-")</f>
        <v>0.9371039320159168</v>
      </c>
      <c r="G462" s="243">
        <f>IFERROR((G$397+G$398)/G$399,"-")</f>
        <v>0.94003331630975084</v>
      </c>
    </row>
    <row r="463" spans="1:10" ht="15" customHeight="1" x14ac:dyDescent="0.25">
      <c r="A463" s="28"/>
      <c r="B463" s="110" t="s">
        <v>415</v>
      </c>
      <c r="C463" s="574" cm="1">
        <f t="array" ref="C463">SUMPRODUCT((pat_tech_bt_01_nat[[annee]:[annee]] = C458)*(pat_tech_bt_01_nat[[moy_nat_secu]:[moy_nat_secu]]))</f>
        <v>0.92046572537967797</v>
      </c>
      <c r="D463" s="574" cm="1">
        <f t="array" ref="D463">SUMPRODUCT((pat_tech_bt_01_nat[[annee]:[annee]] = D458)*(pat_tech_bt_01_nat[[moy_nat_secu]:[moy_nat_secu]]))</f>
        <v>0.92565750439723904</v>
      </c>
      <c r="E463" s="574" cm="1">
        <f t="array" ref="E463">SUMPRODUCT((pat_tech_bt_01_nat[[annee]:[annee]] = E458)*(pat_tech_bt_01_nat[[moy_nat_secu]:[moy_nat_secu]]))</f>
        <v>0.93101015131103104</v>
      </c>
      <c r="F463" s="574" cm="1">
        <f t="array" ref="F463">SUMPRODUCT((pat_tech_bt_01_nat[[annee]:[annee]] = F458)*(pat_tech_bt_01_nat[[moy_nat_secu]:[moy_nat_secu]]))</f>
        <v>0.93705340924578695</v>
      </c>
      <c r="G463" s="101" cm="1">
        <f t="array" ref="G463">SUMPRODUCT((pat_tech_bt_01_nat[[annee]:[annee]] = G458)*(pat_tech_bt_01_nat[[moy_nat_secu]:[moy_nat_secu]]))</f>
        <v>0.94414848911966398</v>
      </c>
      <c r="H463" s="65" t="s">
        <v>122</v>
      </c>
    </row>
    <row r="464" spans="1:10" ht="15" customHeight="1" x14ac:dyDescent="0.25">
      <c r="A464" s="28"/>
      <c r="B464" s="77" t="s">
        <v>416</v>
      </c>
      <c r="C464" s="266" cm="1">
        <f t="array" ref="C464">SUMPRODUCT((pat_tech_bt_01_nat[[annee]:[annee]] = C458)*(pat_tech_bt_01_nat[[moyenne_nat_densite_pop_secu]:[moyenne_nat_densite_pop_secu]]))</f>
        <v>0.93669999999999998</v>
      </c>
      <c r="D464" s="266" cm="1">
        <f t="array" ref="D464">SUMPRODUCT((pat_tech_bt_01_nat[[annee]:[annee]] = D458)*(pat_tech_bt_01_nat[[moyenne_nat_densite_pop_secu]:[moyenne_nat_densite_pop_secu]]))</f>
        <v>0.93669999999999998</v>
      </c>
      <c r="E464" s="266" cm="1">
        <f t="array" ref="E464">SUMPRODUCT((pat_tech_bt_01_nat[[annee]:[annee]] = E458)*(pat_tech_bt_01_nat[[moyenne_nat_densite_pop_secu]:[moyenne_nat_densite_pop_secu]]))</f>
        <v>0.93669999999999998</v>
      </c>
      <c r="F464" s="266" cm="1">
        <f t="array" ref="F464">SUMPRODUCT((pat_tech_bt_01_nat[[annee]:[annee]] = F458)*(pat_tech_bt_01_nat[[moyenne_nat_densite_pop_secu]:[moyenne_nat_densite_pop_secu]]))</f>
        <v>0.93659999999999999</v>
      </c>
      <c r="G464" s="542" cm="1">
        <f t="array" ref="G464">SUMPRODUCT((pat_tech_bt_01_nat[[annee]:[annee]] = G458)*(pat_tech_bt_01_nat[[moyenne_nat_densite_pop_secu]:[moyenne_nat_densite_pop_secu]]))</f>
        <v>0.93659999999999999</v>
      </c>
      <c r="H464" s="65" t="s">
        <v>122</v>
      </c>
    </row>
    <row r="465" spans="1:9" ht="15" customHeight="1" x14ac:dyDescent="0.25">
      <c r="B465" s="23"/>
      <c r="C465" s="8"/>
      <c r="D465" s="8"/>
      <c r="E465" s="8"/>
      <c r="F465" s="8"/>
      <c r="G465" s="8"/>
    </row>
    <row r="466" spans="1:9" ht="30" customHeight="1" x14ac:dyDescent="0.25">
      <c r="A466" s="479" t="s">
        <v>417</v>
      </c>
      <c r="B466" s="66" t="s">
        <v>418</v>
      </c>
      <c r="C466" s="67" cm="1">
        <f t="array" ref="C466">Exercice[Exercice N-4]</f>
        <v>2019</v>
      </c>
      <c r="D466" s="67" cm="1">
        <f t="array" ref="D466">Exercice[Exercice N-3]</f>
        <v>2020</v>
      </c>
      <c r="E466" s="67" cm="1">
        <f t="array" ref="E466">Exercice[Exercice N-2]</f>
        <v>2021</v>
      </c>
      <c r="F466" s="67" cm="1">
        <f t="array" ref="F466">Exercice[Exercice N-1]</f>
        <v>2022</v>
      </c>
      <c r="G466" s="69" cm="1">
        <f t="array" ref="G466">Exercice[Exercice N]</f>
        <v>2023</v>
      </c>
      <c r="H466" s="68" t="s">
        <v>273</v>
      </c>
    </row>
    <row r="467" spans="1:9" ht="15" customHeight="1" x14ac:dyDescent="0.25">
      <c r="A467" s="25" t="s">
        <v>419</v>
      </c>
      <c r="B467" s="50" t="s">
        <v>420</v>
      </c>
      <c r="C467" s="7" cm="1">
        <f t="array" ref="C467">SUMPRODUCT((pat_tech_bt_03[[client]:[client]] = syndicat_etude)*(pat_tech_bt_03[[annee]:[annee]] = Exercice[Exercice N-4])*(pat_tech_bt_03[lineaire_tot_bt_sup_40ans]))</f>
        <v>563</v>
      </c>
      <c r="D467" s="7" cm="1">
        <f t="array" ref="D467">SUMPRODUCT((pat_tech_bt_03[[client]:[client]] = syndicat_etude)*(pat_tech_bt_03[[annee]:[annee]] = Exercice[Exercice N-3])*(pat_tech_bt_03[lineaire_tot_bt_sup_40ans]))</f>
        <v>589</v>
      </c>
      <c r="E467" s="7" cm="1">
        <f t="array" ref="E467">SUMPRODUCT((pat_tech_bt_03[[client]:[client]] = syndicat_etude)*(pat_tech_bt_03[[annee]:[annee]] = Exercice[Exercice N-2])*(pat_tech_bt_03[lineaire_tot_bt_sup_40ans]))</f>
        <v>618</v>
      </c>
      <c r="F467" s="7" cm="1">
        <f t="array" ref="F467">SUMPRODUCT((pat_tech_bt_03[[client]:[client]] = syndicat_etude)*(pat_tech_bt_03[[annee]:[annee]] = Exercice[Exercice N-1])*(pat_tech_bt_03[lineaire_tot_bt_sup_40ans]))</f>
        <v>643</v>
      </c>
      <c r="G467" s="7" cm="1">
        <f t="array" ref="G467">SUMPRODUCT((pat_tech_bt_03[[client]:[client]] = syndicat_etude)*(pat_tech_bt_03[[annee]:[annee]] = Exercice[Exercice N])*(pat_tech_bt_03[lineaire_tot_bt_sup_40ans]))</f>
        <v>671</v>
      </c>
      <c r="H467" s="257">
        <f>IFERROR(G467/F467-1,"-")</f>
        <v>4.3545878693623585E-2</v>
      </c>
    </row>
    <row r="468" spans="1:9" ht="15" customHeight="1" x14ac:dyDescent="0.25">
      <c r="B468" s="145" t="s">
        <v>421</v>
      </c>
      <c r="C468" s="152" cm="1">
        <f t="array" ref="C468">SUMPRODUCT((pat_tech_bt_03[[client]:[client]] = syndicat_etude)*(pat_tech_bt_03[[annee]:[annee]] = Exercice[Exercice N-4])*(pat_tech_bt_03[pourcent_tot_lin_tot_bt_sup_40ans]))</f>
        <v>0.15459999999999999</v>
      </c>
      <c r="D468" s="152" cm="1">
        <f t="array" ref="D468">SUMPRODUCT((pat_tech_bt_03[[client]:[client]] = syndicat_etude)*(pat_tech_bt_03[[annee]:[annee]] = Exercice[Exercice N-3])*(pat_tech_bt_03[pourcent_tot_lin_tot_bt_sup_40ans]))</f>
        <v>0.1608</v>
      </c>
      <c r="E468" s="152" cm="1">
        <f t="array" ref="E468">SUMPRODUCT((pat_tech_bt_03[[client]:[client]] = syndicat_etude)*(pat_tech_bt_03[[annee]:[annee]] = Exercice[Exercice N-2])*(pat_tech_bt_03[pourcent_tot_lin_tot_bt_sup_40ans]))</f>
        <v>0.16719999999999999</v>
      </c>
      <c r="F468" s="152" cm="1">
        <f t="array" ref="F468">SUMPRODUCT((pat_tech_bt_03[[client]:[client]] = syndicat_etude)*(pat_tech_bt_03[[annee]:[annee]] = Exercice[Exercice N-1])*(pat_tech_bt_03[pourcent_tot_lin_tot_bt_sup_40ans]))</f>
        <v>0.17330000000000001</v>
      </c>
      <c r="G468" s="152" cm="1">
        <f t="array" ref="G468">SUMPRODUCT((pat_tech_bt_03[[client]:[client]] = syndicat_etude)*(pat_tech_bt_03[[annee]:[annee]] = Exercice[Exercice N])*(pat_tech_bt_03[pourcent_tot_lin_tot_bt_sup_40ans]))</f>
        <v>0.1794</v>
      </c>
      <c r="H468" s="120">
        <f>IFERROR(G468/F468-1,"-")</f>
        <v>3.5199076745527913E-2</v>
      </c>
    </row>
    <row r="469" spans="1:9" ht="15" customHeight="1" x14ac:dyDescent="0.2">
      <c r="A469" s="26"/>
      <c r="B469" s="145" t="s">
        <v>422</v>
      </c>
      <c r="C469" s="152" cm="1">
        <f t="array" ref="C469">SUMPRODUCT((pat_tech_bt_03[[client]:[client]] = syndicat_etude)*(pat_tech_bt_03[[annee]:[annee]] = Exercice[Exercice N-4])*(pat_tech_bt_03[pourcent_tot_lin_tot_bt_sup_40ans_nat]))</f>
        <v>0.26612271538513893</v>
      </c>
      <c r="D469" s="152" cm="1">
        <f t="array" ref="D469">SUMPRODUCT((pat_tech_bt_03[[client]:[client]] = syndicat_etude)*(pat_tech_bt_03[[annee]:[annee]] = Exercice[Exercice N-3])*(pat_tech_bt_03[pourcent_tot_lin_tot_bt_sup_40ans_nat]))</f>
        <v>0.25430732465501255</v>
      </c>
      <c r="E469" s="152" cm="1">
        <f t="array" ref="E469">SUMPRODUCT((pat_tech_bt_03[[client]:[client]] = syndicat_etude)*(pat_tech_bt_03[[annee]:[annee]] = Exercice[Exercice N-2])*(pat_tech_bt_03[pourcent_tot_lin_tot_bt_sup_40ans_nat]))</f>
        <v>0.26130105408182897</v>
      </c>
      <c r="F469" s="152" cm="1">
        <f t="array" ref="F469">SUMPRODUCT((pat_tech_bt_03[[client]:[client]] = syndicat_etude)*(pat_tech_bt_03[[annee]:[annee]] = Exercice[Exercice N-1])*(pat_tech_bt_03[pourcent_tot_lin_tot_bt_sup_40ans_nat]))</f>
        <v>0.25662919874517731</v>
      </c>
      <c r="G469" s="152" cm="1">
        <f t="array" ref="G469">SUMPRODUCT((pat_tech_bt_03[[client]:[client]] = syndicat_etude)*(pat_tech_bt_03[[annee]:[annee]] = Exercice[Exercice N])*(pat_tech_bt_03[pourcent_tot_lin_tot_bt_sup_40ans_nat]))</f>
        <v>0.25946677297479886</v>
      </c>
      <c r="H469" s="120">
        <f>IFERROR(G469/F469-1,"-")</f>
        <v>1.1057098114697128E-2</v>
      </c>
      <c r="I469" s="65" t="s">
        <v>135</v>
      </c>
    </row>
    <row r="470" spans="1:9" ht="15" customHeight="1" x14ac:dyDescent="0.25">
      <c r="B470" s="50" t="s">
        <v>423</v>
      </c>
      <c r="C470" s="7" cm="1">
        <f t="array" ref="C470">SUMPRODUCT((pat_tech_bt_03[[client]:[client]] = syndicat_etude)*(pat_tech_bt_03[[annee]:[annee]] = Exercice[Exercice N-4])*(pat_tech_bt_03[lineaire_tot_bt_sup_50ans]))</f>
        <v>251</v>
      </c>
      <c r="D470" s="7" cm="1">
        <f t="array" ref="D470">SUMPRODUCT((pat_tech_bt_03[[client]:[client]] = syndicat_etude)*(pat_tech_bt_03[[annee]:[annee]] = Exercice[Exercice N-3])*(pat_tech_bt_03[lineaire_tot_bt_sup_50ans]))</f>
        <v>275</v>
      </c>
      <c r="E470" s="7" cm="1">
        <f t="array" ref="E470">SUMPRODUCT((pat_tech_bt_03[[client]:[client]] = syndicat_etude)*(pat_tech_bt_03[[annee]:[annee]] = Exercice[Exercice N-2])*(pat_tech_bt_03[lineaire_tot_bt_sup_50ans]))</f>
        <v>297</v>
      </c>
      <c r="F470" s="7" cm="1">
        <f t="array" ref="F470">SUMPRODUCT((pat_tech_bt_03[[client]:[client]] = syndicat_etude)*(pat_tech_bt_03[[annee]:[annee]] = Exercice[Exercice N-1])*(pat_tech_bt_03[lineaire_tot_bt_sup_50ans]))</f>
        <v>309</v>
      </c>
      <c r="G470" s="7" cm="1">
        <f t="array" ref="G470">SUMPRODUCT((pat_tech_bt_03[[client]:[client]] = syndicat_etude)*(pat_tech_bt_03[[annee]:[annee]] = Exercice[Exercice N])*(pat_tech_bt_03[lineaire_tot_bt_sup_50ans]))</f>
        <v>310</v>
      </c>
      <c r="H470" s="120">
        <f>IFERROR(G470/F470-1,"-")</f>
        <v>3.2362459546926292E-3</v>
      </c>
    </row>
    <row r="471" spans="1:9" ht="15" customHeight="1" x14ac:dyDescent="0.25">
      <c r="B471" s="53" t="s">
        <v>424</v>
      </c>
      <c r="C471" s="88" cm="1">
        <f t="array" ref="C471">SUMPRODUCT((pat_tech_bt_03[[client]:[client]] = syndicat_etude)*(pat_tech_bt_03[[annee]:[annee]] = Exercice[Exercice N-4])*(pat_tech_bt_03[lineaire_tot_bt_sup_60ans]))</f>
        <v>33</v>
      </c>
      <c r="D471" s="88" cm="1">
        <f t="array" ref="D471">SUMPRODUCT((pat_tech_bt_03[[client]:[client]] = syndicat_etude)*(pat_tech_bt_03[[annee]:[annee]] = Exercice[Exercice N-3])*(pat_tech_bt_03[lineaire_tot_bt_sup_60ans]))</f>
        <v>32</v>
      </c>
      <c r="E471" s="88" cm="1">
        <f t="array" ref="E471">SUMPRODUCT((pat_tech_bt_03[[client]:[client]] = syndicat_etude)*(pat_tech_bt_03[[annee]:[annee]] = Exercice[Exercice N-2])*(pat_tech_bt_03[lineaire_tot_bt_sup_60ans]))</f>
        <v>39</v>
      </c>
      <c r="F471" s="88" cm="1">
        <f t="array" ref="F471">SUMPRODUCT((pat_tech_bt_03[[client]:[client]] = syndicat_etude)*(pat_tech_bt_03[[annee]:[annee]] = Exercice[Exercice N-1])*(pat_tech_bt_03[lineaire_tot_bt_sup_60ans]))</f>
        <v>58</v>
      </c>
      <c r="G471" s="88" cm="1">
        <f t="array" ref="G471">SUMPRODUCT((pat_tech_bt_03[[client]:[client]] = syndicat_etude)*(pat_tech_bt_03[[annee]:[annee]] = Exercice[Exercice N])*(pat_tech_bt_03[lineaire_tot_bt_sup_60ans]))</f>
        <v>64</v>
      </c>
      <c r="H471" s="133">
        <f>IFERROR(G471/F471-1,"-")</f>
        <v>0.10344827586206895</v>
      </c>
    </row>
    <row r="472" spans="1:9" ht="15" customHeight="1" x14ac:dyDescent="0.25">
      <c r="B472" s="23"/>
      <c r="C472" s="7"/>
      <c r="D472" s="7"/>
      <c r="E472" s="7"/>
      <c r="F472" s="7"/>
      <c r="G472" s="7"/>
    </row>
    <row r="473" spans="1:9" ht="30" customHeight="1" x14ac:dyDescent="0.25">
      <c r="A473" s="479" t="s">
        <v>425</v>
      </c>
      <c r="B473" s="66" t="s">
        <v>426</v>
      </c>
      <c r="C473" s="67" cm="1">
        <f t="array" ref="C473">Exercice[Exercice N-4]</f>
        <v>2019</v>
      </c>
      <c r="D473" s="67" cm="1">
        <f t="array" ref="D473">Exercice[Exercice N-3]</f>
        <v>2020</v>
      </c>
      <c r="E473" s="67" cm="1">
        <f t="array" ref="E473">Exercice[Exercice N-2]</f>
        <v>2021</v>
      </c>
      <c r="F473" s="67" cm="1">
        <f t="array" ref="F473">Exercice[Exercice N-1]</f>
        <v>2022</v>
      </c>
      <c r="G473" s="67" cm="1">
        <f t="array" ref="G473">Exercice[Exercice N]</f>
        <v>2023</v>
      </c>
      <c r="H473" s="68" t="s">
        <v>273</v>
      </c>
    </row>
    <row r="474" spans="1:9" ht="15" customHeight="1" x14ac:dyDescent="0.25">
      <c r="A474" s="25" t="s">
        <v>427</v>
      </c>
      <c r="B474" s="50" t="s">
        <v>428</v>
      </c>
      <c r="C474" s="11" cm="1">
        <f t="array" ref="C474">SUMPRODUCT((pat_tech_bt_07[[client]:[client]]=syndicat_etude)*(pat_tech_bt_07[[annee]:[annee]]=C$473)*(pat_tech_bt_07[nbr_depart_bt]))</f>
        <v>10684</v>
      </c>
      <c r="D474" s="11" cm="1">
        <f t="array" ref="D474">SUMPRODUCT((pat_tech_bt_07[[client]:[client]]=syndicat_etude)*(pat_tech_bt_07[[annee]:[annee]]=D$473)*(pat_tech_bt_07[nbr_depart_bt]))</f>
        <v>10780</v>
      </c>
      <c r="E474" s="11" cm="1">
        <f t="array" ref="E474">SUMPRODUCT((pat_tech_bt_07[[client]:[client]]=syndicat_etude)*(pat_tech_bt_07[[annee]:[annee]]=E$473)*(pat_tech_bt_07[nbr_depart_bt]))</f>
        <v>10902</v>
      </c>
      <c r="F474" s="11" cm="1">
        <f t="array" ref="F474">SUMPRODUCT((pat_tech_bt_07[[client]:[client]]=syndicat_etude)*(pat_tech_bt_07[[annee]:[annee]]=F$473)*(pat_tech_bt_07[nbr_depart_bt]))</f>
        <v>11022</v>
      </c>
      <c r="G474" s="11" cm="1">
        <f t="array" ref="G474">SUMPRODUCT((pat_tech_bt_07[[client]:[client]]=syndicat_etude)*(pat_tech_bt_07[[annee]:[annee]]=G$473)*(pat_tech_bt_07[nbr_depart_bt]))</f>
        <v>11172</v>
      </c>
      <c r="H474" s="257">
        <f t="shared" ref="H474:H479" si="13">IFERROR(G474/F474-1,"-")</f>
        <v>1.3609145345672369E-2</v>
      </c>
    </row>
    <row r="475" spans="1:9" ht="15" customHeight="1" x14ac:dyDescent="0.25">
      <c r="B475" s="50" t="s">
        <v>429</v>
      </c>
      <c r="C475" s="11" cm="1">
        <f t="array" ref="C475">SUMPRODUCT((pat_tech_bt_07[[client]:[client]]=syndicat_etude)*(pat_tech_bt_07[[annee]:[annee]]=C$473)*(pat_tech_bt_07[long_moy_depart_bt]))</f>
        <v>340</v>
      </c>
      <c r="D475" s="11" cm="1">
        <f t="array" ref="D475">SUMPRODUCT((pat_tech_bt_07[[client]:[client]]=syndicat_etude)*(pat_tech_bt_07[[annee]:[annee]]=D$473)*(pat_tech_bt_07[long_moy_depart_bt]))</f>
        <v>338</v>
      </c>
      <c r="E475" s="11" cm="1">
        <f t="array" ref="E475">SUMPRODUCT((pat_tech_bt_07[[client]:[client]]=syndicat_etude)*(pat_tech_bt_07[[annee]:[annee]]=E$473)*(pat_tech_bt_07[long_moy_depart_bt]))</f>
        <v>337</v>
      </c>
      <c r="F475" s="11" cm="1">
        <f t="array" ref="F475">SUMPRODUCT((pat_tech_bt_07[[client]:[client]]=syndicat_etude)*(pat_tech_bt_07[[annee]:[annee]]=F$473)*(pat_tech_bt_07[long_moy_depart_bt]))</f>
        <v>335</v>
      </c>
      <c r="G475" s="11" cm="1">
        <f t="array" ref="G475">SUMPRODUCT((pat_tech_bt_07[[client]:[client]]=syndicat_etude)*(pat_tech_bt_07[[annee]:[annee]]=G$473)*(pat_tech_bt_07[long_moy_depart_bt]))</f>
        <v>333</v>
      </c>
      <c r="H475" s="120">
        <f t="shared" si="13"/>
        <v>-5.9701492537312939E-3</v>
      </c>
    </row>
    <row r="476" spans="1:9" ht="15" customHeight="1" x14ac:dyDescent="0.25">
      <c r="B476" s="50" t="s">
        <v>430</v>
      </c>
      <c r="C476" s="11" cm="1">
        <f t="array" ref="C476">SUMPRODUCT((pat_tech_bt_07[[client]:[client]]=syndicat_etude)*(pat_tech_bt_07[[annee]:[annee]]=C$473)*(pat_tech_bt_07[nbr_depart_bt_sup_425m]))</f>
        <v>3245</v>
      </c>
      <c r="D476" s="11" cm="1">
        <f t="array" ref="D476">SUMPRODUCT((pat_tech_bt_07[[client]:[client]]=syndicat_etude)*(pat_tech_bt_07[[annee]:[annee]]=D$473)*(pat_tech_bt_07[nbr_depart_bt_sup_425m]))</f>
        <v>3259</v>
      </c>
      <c r="E476" s="11" cm="1">
        <f t="array" ref="E476">SUMPRODUCT((pat_tech_bt_07[[client]:[client]]=syndicat_etude)*(pat_tech_bt_07[[annee]:[annee]]=E$473)*(pat_tech_bt_07[nbr_depart_bt_sup_425m]))</f>
        <v>3285</v>
      </c>
      <c r="F476" s="11" cm="1">
        <f t="array" ref="F476">SUMPRODUCT((pat_tech_bt_07[[client]:[client]]=syndicat_etude)*(pat_tech_bt_07[[annee]:[annee]]=F$473)*(pat_tech_bt_07[nbr_depart_bt_sup_425m]))</f>
        <v>3311</v>
      </c>
      <c r="G476" s="11" cm="1">
        <f t="array" ref="G476">SUMPRODUCT((pat_tech_bt_07[[client]:[client]]=syndicat_etude)*(pat_tech_bt_07[[annee]:[annee]]=G$473)*(pat_tech_bt_07[nbr_depart_bt_sup_425m]))</f>
        <v>3343</v>
      </c>
      <c r="H476" s="120">
        <f t="shared" si="13"/>
        <v>9.664753850800345E-3</v>
      </c>
    </row>
    <row r="477" spans="1:9" ht="15" customHeight="1" x14ac:dyDescent="0.25">
      <c r="B477" s="50" t="s">
        <v>431</v>
      </c>
      <c r="C477" s="11" cm="1">
        <f t="array" ref="C477">SUMPRODUCT((pat_tech_bt_07[[client]:[client]]=syndicat_etude)*(pat_tech_bt_07[[annee]:[annee]]=C$473)*(pat_tech_bt_07[nbr_depart_bt_sup_1500m]))</f>
        <v>74</v>
      </c>
      <c r="D477" s="11" cm="1">
        <f t="array" ref="D477">SUMPRODUCT((pat_tech_bt_07[[client]:[client]]=syndicat_etude)*(pat_tech_bt_07[[annee]:[annee]]=D$473)*(pat_tech_bt_07[nbr_depart_bt_sup_1500m]))</f>
        <v>73</v>
      </c>
      <c r="E477" s="11" cm="1">
        <f t="array" ref="E477">SUMPRODUCT((pat_tech_bt_07[[client]:[client]]=syndicat_etude)*(pat_tech_bt_07[[annee]:[annee]]=E$473)*(pat_tech_bt_07[nbr_depart_bt_sup_1500m]))</f>
        <v>69</v>
      </c>
      <c r="F477" s="11" cm="1">
        <f t="array" ref="F477">SUMPRODUCT((pat_tech_bt_07[[client]:[client]]=syndicat_etude)*(pat_tech_bt_07[[annee]:[annee]]=F$473)*(pat_tech_bt_07[nbr_depart_bt_sup_1500m]))</f>
        <v>69</v>
      </c>
      <c r="G477" s="11" cm="1">
        <f t="array" ref="G477">SUMPRODUCT((pat_tech_bt_07[[client]:[client]]=syndicat_etude)*(pat_tech_bt_07[[annee]:[annee]]=G$473)*(pat_tech_bt_07[nbr_depart_bt_sup_1500m]))</f>
        <v>66</v>
      </c>
      <c r="H477" s="120">
        <f t="shared" si="13"/>
        <v>-4.3478260869565188E-2</v>
      </c>
    </row>
    <row r="478" spans="1:9" ht="15" customHeight="1" x14ac:dyDescent="0.25">
      <c r="B478" s="50" t="s">
        <v>432</v>
      </c>
      <c r="C478" s="11" cm="1">
        <f t="array" ref="C478">SUMPRODUCT((pat_tech_bt_07[[client]:[client]]=syndicat_etude)*(pat_tech_bt_07[[annee]:[annee]]=C$473)*(pat_tech_bt_07[nbr_depart_bt_sup_2500m]))</f>
        <v>2</v>
      </c>
      <c r="D478" s="11" cm="1">
        <f t="array" ref="D478">SUMPRODUCT((pat_tech_bt_07[[client]:[client]]=syndicat_etude)*(pat_tech_bt_07[[annee]:[annee]]=D$473)*(pat_tech_bt_07[nbr_depart_bt_sup_2500m]))</f>
        <v>2</v>
      </c>
      <c r="E478" s="11" cm="1">
        <f t="array" ref="E478">SUMPRODUCT((pat_tech_bt_07[[client]:[client]]=syndicat_etude)*(pat_tech_bt_07[[annee]:[annee]]=E$473)*(pat_tech_bt_07[nbr_depart_bt_sup_2500m]))</f>
        <v>2</v>
      </c>
      <c r="F478" s="11" cm="1">
        <f t="array" ref="F478">SUMPRODUCT((pat_tech_bt_07[[client]:[client]]=syndicat_etude)*(pat_tech_bt_07[[annee]:[annee]]=F$473)*(pat_tech_bt_07[nbr_depart_bt_sup_2500m]))</f>
        <v>2</v>
      </c>
      <c r="G478" s="11" cm="1">
        <f t="array" ref="G478">SUMPRODUCT((pat_tech_bt_07[[client]:[client]]=syndicat_etude)*(pat_tech_bt_07[[annee]:[annee]]=G$473)*(pat_tech_bt_07[nbr_depart_bt_sup_2500m]))</f>
        <v>2</v>
      </c>
      <c r="H478" s="120">
        <f t="shared" si="13"/>
        <v>0</v>
      </c>
    </row>
    <row r="479" spans="1:9" ht="15" customHeight="1" x14ac:dyDescent="0.25">
      <c r="B479" s="50" t="s">
        <v>433</v>
      </c>
      <c r="C479" s="11" cm="1">
        <f t="array" ref="C479">SUMPRODUCT((pat_tech_bt_07[[client]:[client]]=syndicat_etude)*(pat_tech_bt_07[[annee]:[annee]]=C$473)*(pat_tech_bt_07[max_long_depart_bt]))</f>
        <v>2793</v>
      </c>
      <c r="D479" s="11" cm="1">
        <f t="array" ref="D479">SUMPRODUCT((pat_tech_bt_07[[client]:[client]]=syndicat_etude)*(pat_tech_bt_07[[annee]:[annee]]=D$473)*(pat_tech_bt_07[max_long_depart_bt]))</f>
        <v>2793</v>
      </c>
      <c r="E479" s="11" cm="1">
        <f t="array" ref="E479">SUMPRODUCT((pat_tech_bt_07[[client]:[client]]=syndicat_etude)*(pat_tech_bt_07[[annee]:[annee]]=E$473)*(pat_tech_bt_07[max_long_depart_bt]))</f>
        <v>2793</v>
      </c>
      <c r="F479" s="11" cm="1">
        <f t="array" ref="F479">SUMPRODUCT((pat_tech_bt_07[[client]:[client]]=syndicat_etude)*(pat_tech_bt_07[[annee]:[annee]]=F$473)*(pat_tech_bt_07[max_long_depart_bt]))</f>
        <v>2793</v>
      </c>
      <c r="G479" s="11" cm="1">
        <f t="array" ref="G479">SUMPRODUCT((pat_tech_bt_07[[client]:[client]]=syndicat_etude)*(pat_tech_bt_07[[annee]:[annee]]=G$473)*(pat_tech_bt_07[max_long_depart_bt]))</f>
        <v>2793</v>
      </c>
      <c r="H479" s="120">
        <f t="shared" si="13"/>
        <v>0</v>
      </c>
    </row>
    <row r="480" spans="1:9" s="98" customFormat="1" ht="30" customHeight="1" x14ac:dyDescent="0.25">
      <c r="B480" s="170" t="s">
        <v>434</v>
      </c>
      <c r="C480" s="169" t="str">
        <f>IFERROR(VLOOKUP(C$473,pat_tech_bt_07[[#All],[annee]:[nom_depart_bt_plus_long]],8,FALSE),"-")</f>
        <v>CRESPY-LE-NEUF</v>
      </c>
      <c r="D480" s="169" t="str">
        <f>IFERROR(VLOOKUP(D$473,pat_tech_bt_07[[#All],[annee]:[nom_depart_bt_plus_long]],8,FALSE),"-")</f>
        <v>CRESPY-LE-NEUF</v>
      </c>
      <c r="E480" s="169" t="str">
        <f>IFERROR(VLOOKUP(E$473,pat_tech_bt_07[[#All],[annee]:[nom_depart_bt_plus_long]],8,FALSE),"-")</f>
        <v>CRESPY-LE-NEUF</v>
      </c>
      <c r="F480" s="169" t="str">
        <f>IFERROR(VLOOKUP(F$473,pat_tech_bt_07[[#All],[annee]:[nom_depart_bt_plus_long]],8,FALSE),"-")</f>
        <v>CRESPY-LE-NEUF</v>
      </c>
      <c r="G480" s="169" t="str">
        <f>IFERROR(VLOOKUP(G$473,pat_tech_bt_07[[#All],[annee]:[nom_depart_bt_plus_long]],8,FALSE),"-")</f>
        <v>CRESPY-LE-NEUF</v>
      </c>
      <c r="H480" s="133"/>
    </row>
    <row r="482" spans="1:14" ht="30" customHeight="1" x14ac:dyDescent="0.25">
      <c r="A482" s="479" t="s">
        <v>435</v>
      </c>
      <c r="B482" s="66" t="s">
        <v>436</v>
      </c>
      <c r="C482" s="67" cm="1">
        <f t="array" ref="C482">Exercice[Exercice N-4]</f>
        <v>2019</v>
      </c>
      <c r="D482" s="67" cm="1">
        <f t="array" ref="D482">Exercice[Exercice N-3]</f>
        <v>2020</v>
      </c>
      <c r="E482" s="67" cm="1">
        <f t="array" ref="E482">Exercice[Exercice N-2]</f>
        <v>2021</v>
      </c>
      <c r="F482" s="67" cm="1">
        <f t="array" ref="F482">Exercice[Exercice N-1]</f>
        <v>2022</v>
      </c>
      <c r="G482" s="67" cm="1">
        <f t="array" ref="G482">Exercice[Exercice N]</f>
        <v>2023</v>
      </c>
      <c r="H482" s="68" t="s">
        <v>273</v>
      </c>
    </row>
    <row r="483" spans="1:14" ht="15" customHeight="1" x14ac:dyDescent="0.25">
      <c r="A483" s="25" t="s">
        <v>154</v>
      </c>
      <c r="B483" s="111" t="s">
        <v>437</v>
      </c>
      <c r="C483" s="11" cm="1">
        <f t="array" ref="C483">SUMPRODUCT((pat_tech_hta_14[[client]:[client]]=syndicat_etude)*(pat_tech_hta_14[[annee]:[annee]]=Exercice[[Exercice N-4]:[Exercice N-4]])*(pat_tech_hta_14[[Catégorie de tension]:[Catégorie de tension]]="20 KV")*(pat_tech_hta_14[[nbr_departs_bt]:[nbr_departs_bt]]))</f>
        <v>348</v>
      </c>
      <c r="D483" s="11" cm="1">
        <f t="array" ref="D483">SUMPRODUCT((pat_tech_hta_14[[client]:[client]]=syndicat_etude)*(pat_tech_hta_14[[annee]:[annee]]=Exercice[[Exercice N-3]:[Exercice N-3]])*(pat_tech_hta_14[[Catégorie de tension]:[Catégorie de tension]]="20 KV")*(pat_tech_hta_14[[nbr_departs_bt]:[nbr_departs_bt]]))</f>
        <v>10130</v>
      </c>
      <c r="E483" s="11" cm="1">
        <f t="array" ref="E483">SUMPRODUCT((pat_tech_hta_14[[client]:[client]]=syndicat_etude)*(pat_tech_hta_14[[annee]:[annee]]=Exercice[[Exercice N-2]:[Exercice N-2]])*(pat_tech_hta_14[[Catégorie de tension]:[Catégorie de tension]]="20 KV")*(pat_tech_hta_14[[nbr_departs_bt]:[nbr_departs_bt]]))</f>
        <v>10250</v>
      </c>
      <c r="F483" s="11" cm="1">
        <f t="array" ref="F483">SUMPRODUCT((pat_tech_hta_14[[client]:[client]]=syndicat_etude)*(pat_tech_hta_14[[annee]:[annee]]=Exercice[[Exercice N-1]:[Exercice N-1]])*(pat_tech_hta_14[[Catégorie de tension]:[Catégorie de tension]]="20 KV")*(pat_tech_hta_14[[nbr_departs_bt]:[nbr_departs_bt]]))</f>
        <v>10366</v>
      </c>
      <c r="G483" s="11" cm="1">
        <f t="array" ref="G483">SUMPRODUCT((pat_tech_hta_14[[client]:[client]]=syndicat_etude)*(pat_tech_hta_14[[annee]:[annee]]=Exercice[[Exercice N]:[Exercice N]])*(pat_tech_hta_14[[Catégorie de tension]:[Catégorie de tension]]="20 KV")*(pat_tech_hta_14[[nbr_departs_bt]:[nbr_departs_bt]]))</f>
        <v>8417</v>
      </c>
      <c r="H483" s="257">
        <f>IFERROR(G483/F483-1,"-")</f>
        <v>-0.18801852209145287</v>
      </c>
    </row>
    <row r="484" spans="1:14" ht="15" customHeight="1" x14ac:dyDescent="0.25">
      <c r="B484" s="111" t="s">
        <v>438</v>
      </c>
      <c r="C484" s="11" cm="1">
        <f t="array" ref="C484">SUMPRODUCT((pat_tech_hta_14[[client]:[client]]=syndicat_etude)*(pat_tech_hta_14[[annee]:[annee]]=Exercice[[Exercice N-4]:[Exercice N-4]])*(pat_tech_hta_14[[Catégorie de tension]:[Catégorie de tension]]="15 KV")*(pat_tech_hta_14[[nbr_departs_bt]:[nbr_departs_bt]]))</f>
        <v>0</v>
      </c>
      <c r="D484" s="11" cm="1">
        <f t="array" ref="D484">SUMPRODUCT((pat_tech_hta_14[[client]:[client]]=syndicat_etude)*(pat_tech_hta_14[[annee]:[annee]]=Exercice[[Exercice N-3]:[Exercice N-3]])*(pat_tech_hta_14[[Catégorie de tension]:[Catégorie de tension]]="15 KV")*(pat_tech_hta_14[[nbr_departs_bt]:[nbr_departs_bt]]))</f>
        <v>610</v>
      </c>
      <c r="E484" s="11" cm="1">
        <f t="array" ref="E484">SUMPRODUCT((pat_tech_hta_14[[client]:[client]]=syndicat_etude)*(pat_tech_hta_14[[annee]:[annee]]=Exercice[[Exercice N-2]:[Exercice N-2]])*(pat_tech_hta_14[[Catégorie de tension]:[Catégorie de tension]]="15 KV")*(pat_tech_hta_14[[nbr_departs_bt]:[nbr_departs_bt]]))</f>
        <v>612</v>
      </c>
      <c r="F484" s="11" cm="1">
        <f t="array" ref="F484">SUMPRODUCT((pat_tech_hta_14[[client]:[client]]=syndicat_etude)*(pat_tech_hta_14[[annee]:[annee]]=Exercice[[Exercice N-1]:[Exercice N-1]])*(pat_tech_hta_14[[Catégorie de tension]:[Catégorie de tension]]="15 KV")*(pat_tech_hta_14[[nbr_departs_bt]:[nbr_departs_bt]]))</f>
        <v>617</v>
      </c>
      <c r="G484" s="11" cm="1">
        <f t="array" ref="G484">SUMPRODUCT((pat_tech_hta_14[[client]:[client]]=syndicat_etude)*(pat_tech_hta_14[[annee]:[annee]]=Exercice[[Exercice N]:[Exercice N]])*(pat_tech_hta_14[[Catégorie de tension]:[Catégorie de tension]]="15 KV")*(pat_tech_hta_14[[nbr_departs_bt]:[nbr_departs_bt]]))</f>
        <v>2705</v>
      </c>
      <c r="H484" s="120">
        <f>IFERROR(G484/F484-1,"-")</f>
        <v>3.3841166936790925</v>
      </c>
    </row>
    <row r="485" spans="1:14" ht="15" customHeight="1" x14ac:dyDescent="0.25">
      <c r="B485" s="284" t="s">
        <v>439</v>
      </c>
      <c r="C485" s="94" cm="1">
        <f t="array" ref="C485">SUMPRODUCT((pat_tech_hta_14[[client]:[client]]=syndicat_etude)*(pat_tech_hta_14[[annee]:[annee]]=Exercice[[Exercice N-4]:[Exercice N-4]])*(pat_tech_hta_14[[Catégorie de tension]:[Catégorie de tension]]="Autre")*(pat_tech_hta_14[[nbr_departs_bt]:[nbr_departs_bt]]))</f>
        <v>1</v>
      </c>
      <c r="D485" s="94" cm="1">
        <f t="array" ref="D485">SUMPRODUCT((pat_tech_hta_14[[client]:[client]]=syndicat_etude)*(pat_tech_hta_14[[annee]:[annee]]=Exercice[[Exercice N-3]:[Exercice N-3]])*(pat_tech_hta_14[[Catégorie de tension]:[Catégorie de tension]]="Autre")*(pat_tech_hta_14[[nbr_departs_bt]:[nbr_departs_bt]]))</f>
        <v>40</v>
      </c>
      <c r="E485" s="94" cm="1">
        <f t="array" ref="E485">SUMPRODUCT((pat_tech_hta_14[[client]:[client]]=syndicat_etude)*(pat_tech_hta_14[[annee]:[annee]]=Exercice[[Exercice N-2]:[Exercice N-2]])*(pat_tech_hta_14[[Catégorie de tension]:[Catégorie de tension]]="Autre")*(pat_tech_hta_14[[nbr_departs_bt]:[nbr_departs_bt]]))</f>
        <v>40</v>
      </c>
      <c r="F485" s="94" cm="1">
        <f t="array" ref="F485">SUMPRODUCT((pat_tech_hta_14[[client]:[client]]=syndicat_etude)*(pat_tech_hta_14[[annee]:[annee]]=Exercice[[Exercice N-1]:[Exercice N-1]])*(pat_tech_hta_14[[Catégorie de tension]:[Catégorie de tension]]="Autre")*(pat_tech_hta_14[[nbr_departs_bt]:[nbr_departs_bt]]))</f>
        <v>39</v>
      </c>
      <c r="G485" s="94" cm="1">
        <f t="array" ref="G485">SUMPRODUCT((pat_tech_hta_14[[client]:[client]]=syndicat_etude)*(pat_tech_hta_14[[annee]:[annee]]=Exercice[[Exercice N]:[Exercice N]])*(pat_tech_hta_14[[Catégorie de tension]:[Catégorie de tension]]="Autre")*(pat_tech_hta_14[[nbr_departs_bt]:[nbr_departs_bt]]))</f>
        <v>50</v>
      </c>
      <c r="H485" s="133">
        <f>IFERROR(G485/F485-1,"-")</f>
        <v>0.28205128205128216</v>
      </c>
      <c r="I485" s="11"/>
      <c r="J485" s="11"/>
      <c r="K485" s="11"/>
    </row>
    <row r="486" spans="1:14" ht="15" customHeight="1" x14ac:dyDescent="0.25">
      <c r="I486" s="7"/>
      <c r="J486" s="7"/>
      <c r="K486" s="7"/>
      <c r="L486" s="7"/>
      <c r="M486" s="7"/>
      <c r="N486" s="7"/>
    </row>
    <row r="487" spans="1:14" ht="30" customHeight="1" x14ac:dyDescent="0.25">
      <c r="A487" s="479" t="s">
        <v>440</v>
      </c>
      <c r="B487" s="66" t="s">
        <v>441</v>
      </c>
      <c r="C487" s="67" cm="1">
        <f t="array" ref="C487">Exercice[Exercice N-4]</f>
        <v>2019</v>
      </c>
      <c r="D487" s="67" cm="1">
        <f t="array" ref="D487">Exercice[Exercice N-3]</f>
        <v>2020</v>
      </c>
      <c r="E487" s="67" cm="1">
        <f t="array" ref="E487">Exercice[Exercice N-2]</f>
        <v>2021</v>
      </c>
      <c r="F487" s="67" cm="1">
        <f t="array" ref="F487">Exercice[Exercice N-1]</f>
        <v>2022</v>
      </c>
      <c r="G487" s="67" cm="1">
        <f t="array" ref="G487">Exercice[Exercice N]</f>
        <v>2023</v>
      </c>
      <c r="H487" s="68" t="s">
        <v>273</v>
      </c>
    </row>
    <row r="488" spans="1:14" ht="15" customHeight="1" x14ac:dyDescent="0.25">
      <c r="B488" s="50" t="s">
        <v>160</v>
      </c>
      <c r="C488" s="7" cm="1">
        <f t="array" ref="C488">SUMPRODUCT((pat_tech_bt_12[[annee]:[annee]]=C$487)*(pat_tech_bt_12[[longueur_renouvelee]:[longueur_renouvelee]]))</f>
        <v>5.7249999999999996</v>
      </c>
      <c r="D488" s="7" cm="1">
        <f t="array" ref="D488">SUMPRODUCT((pat_tech_bt_12[[annee]:[annee]]=D$487)*(pat_tech_bt_12[[longueur_renouvelee]:[longueur_renouvelee]]))</f>
        <v>4.93</v>
      </c>
      <c r="E488" s="7" cm="1">
        <f t="array" ref="E488">SUMPRODUCT((pat_tech_bt_12[[annee]:[annee]]=E$487)*(pat_tech_bt_12[[longueur_renouvelee]:[longueur_renouvelee]]))</f>
        <v>8.5</v>
      </c>
      <c r="F488" s="7" cm="1">
        <f t="array" ref="F488">SUMPRODUCT((pat_tech_bt_12[[annee]:[annee]]=F$487)*(pat_tech_bt_12[[longueur_renouvelee]:[longueur_renouvelee]]))</f>
        <v>4.47</v>
      </c>
      <c r="G488" s="7" cm="1">
        <f t="array" ref="G488">SUMPRODUCT((pat_tech_bt_12[[annee]:[annee]]=G$487)*(pat_tech_bt_12[[longueur_renouvelee]:[longueur_renouvelee]]))</f>
        <v>6.2069999999999999</v>
      </c>
      <c r="H488" s="120">
        <f>IFERROR(G488/F488-1,"-")</f>
        <v>0.38859060402684564</v>
      </c>
    </row>
    <row r="489" spans="1:14" ht="15" customHeight="1" x14ac:dyDescent="0.25">
      <c r="B489" s="50" t="s">
        <v>161</v>
      </c>
      <c r="C489" s="7" cm="1">
        <f t="array" ref="C489">SUMPRODUCT((pat_tech_bt_12[[annee]:[annee]]=C$487)*(pat_tech_bt_12[[longueur_renforcee]:[longueur_renforcee]]))</f>
        <v>0.79400000000000004</v>
      </c>
      <c r="D489" s="7" cm="1">
        <f t="array" ref="D489">SUMPRODUCT((pat_tech_bt_12[[annee]:[annee]]=D$487)*(pat_tech_bt_12[[longueur_renforcee]:[longueur_renforcee]]))</f>
        <v>0.88400000000000001</v>
      </c>
      <c r="E489" s="7" cm="1">
        <f t="array" ref="E489">SUMPRODUCT((pat_tech_bt_12[[annee]:[annee]]=E$487)*(pat_tech_bt_12[[longueur_renforcee]:[longueur_renforcee]]))</f>
        <v>0.13200000000000001</v>
      </c>
      <c r="F489" s="7" cm="1">
        <f t="array" ref="F489">SUMPRODUCT((pat_tech_bt_12[[annee]:[annee]]=F$487)*(pat_tech_bt_12[[longueur_renforcee]:[longueur_renforcee]]))</f>
        <v>1.736</v>
      </c>
      <c r="G489" s="7" cm="1">
        <f t="array" ref="G489">SUMPRODUCT((pat_tech_bt_12[[annee]:[annee]]=G$487)*(pat_tech_bt_12[[longueur_renforcee]:[longueur_renforcee]]))</f>
        <v>0.36799999999999999</v>
      </c>
      <c r="H489" s="120">
        <f>IFERROR(G489/F489-1,"-")</f>
        <v>-0.78801843317972353</v>
      </c>
    </row>
    <row r="490" spans="1:14" ht="15" customHeight="1" x14ac:dyDescent="0.25">
      <c r="B490" s="126" t="s">
        <v>162</v>
      </c>
      <c r="C490" s="403">
        <f>IFERROR(SUM(C$488:C$489)/C$399,"-")</f>
        <v>1.7919038600561293E-3</v>
      </c>
      <c r="D490" s="403">
        <f>IFERROR(SUM(D$488:D$489)/D$399,"-")</f>
        <v>1.5885896962990287E-3</v>
      </c>
      <c r="E490" s="403">
        <f>IFERROR(SUM(E$488:E$489)/E$399,"-")</f>
        <v>2.3385285583860035E-3</v>
      </c>
      <c r="F490" s="403">
        <f>IFERROR(SUM(F$488:F$489)/F$399,"-")</f>
        <v>1.6742429351858095E-3</v>
      </c>
      <c r="G490" s="403">
        <f>IFERROR(SUM(G$488:G$489)/G$399,"-")</f>
        <v>1.7580636967199747E-3</v>
      </c>
      <c r="H490" s="120">
        <f>IFERROR(G490/F490-1,"-")</f>
        <v>5.0064873963384882E-2</v>
      </c>
    </row>
    <row r="491" spans="1:14" ht="15" customHeight="1" x14ac:dyDescent="0.25">
      <c r="A491" s="25" t="s">
        <v>133</v>
      </c>
      <c r="B491" s="110" t="s">
        <v>163</v>
      </c>
      <c r="C491" s="573" t="s">
        <v>442</v>
      </c>
      <c r="D491" s="573" t="s">
        <v>442</v>
      </c>
      <c r="E491" s="573" t="s">
        <v>442</v>
      </c>
      <c r="F491" s="573" t="s">
        <v>442</v>
      </c>
      <c r="G491" s="573" t="s">
        <v>442</v>
      </c>
      <c r="H491" s="120"/>
    </row>
    <row r="492" spans="1:14" ht="15" customHeight="1" x14ac:dyDescent="0.25">
      <c r="A492" s="28" t="s">
        <v>443</v>
      </c>
      <c r="B492" s="77" t="s">
        <v>444</v>
      </c>
      <c r="C492" s="666" cm="1">
        <f t="array" ref="C492">SUMPRODUCT((pat_tech_bt_12[[annee]:[annee]]=Exercice[Exercice N-4])*(pat_tech_bt_12[moyenne_nat_renouvel]))</f>
        <v>3.2000000000000002E-3</v>
      </c>
      <c r="D492" s="666" cm="1">
        <f t="array" ref="D492">SUMPRODUCT((pat_tech_bt_12[[annee]:[annee]]=Exercice[Exercice N-3])*(pat_tech_bt_12[moyenne_nat_renouvel]))</f>
        <v>2.7000000000000001E-3</v>
      </c>
      <c r="E492" s="666" cm="1">
        <f t="array" ref="E492">SUMPRODUCT((pat_tech_bt_12[[annee]:[annee]]=Exercice[Exercice N-2])*(pat_tech_bt_12[moyenne_nat_renouvel]))</f>
        <v>3.7000000000000002E-3</v>
      </c>
      <c r="F492" s="666" cm="1">
        <f t="array" ref="F492">SUMPRODUCT((pat_tech_bt_12[[annee]:[annee]]=Exercice[Exercice N-1])*(pat_tech_bt_12[moyenne_nat_renouvel]))</f>
        <v>3.0999999999999999E-3</v>
      </c>
      <c r="G492" s="666" cm="1">
        <f t="array" ref="G492">SUMPRODUCT((pat_tech_bt_12[[annee]:[annee]]=Exercice[Exercice N])*(pat_tech_bt_12[moyenne_nat_renouvel]))</f>
        <v>3.0000000000000001E-3</v>
      </c>
      <c r="H492" s="133"/>
      <c r="I492" s="65" t="s">
        <v>151</v>
      </c>
    </row>
    <row r="494" spans="1:14" ht="15" customHeight="1" x14ac:dyDescent="0.25">
      <c r="A494" s="479" t="s">
        <v>445</v>
      </c>
      <c r="B494" s="709" t="s">
        <v>446</v>
      </c>
      <c r="C494" s="710"/>
      <c r="D494" s="710"/>
      <c r="E494" s="710"/>
      <c r="F494" s="710"/>
      <c r="G494" s="710"/>
      <c r="H494" s="711"/>
    </row>
    <row r="495" spans="1:14" ht="15" customHeight="1" x14ac:dyDescent="0.25">
      <c r="A495" s="546"/>
      <c r="B495" s="545" t="s">
        <v>172</v>
      </c>
      <c r="C495" s="543"/>
      <c r="D495" s="543"/>
      <c r="E495" s="543"/>
      <c r="F495" s="543"/>
      <c r="G495" s="543"/>
      <c r="H495" s="65"/>
    </row>
    <row r="497" spans="1:9" ht="30" customHeight="1" x14ac:dyDescent="0.25">
      <c r="A497" s="479" t="s">
        <v>447</v>
      </c>
      <c r="B497" s="66" t="s">
        <v>448</v>
      </c>
      <c r="C497" s="67" cm="1">
        <f t="array" ref="C497">Exercice[Exercice N-4]</f>
        <v>2019</v>
      </c>
      <c r="D497" s="67" cm="1">
        <f t="array" ref="D497">Exercice[Exercice N-3]</f>
        <v>2020</v>
      </c>
      <c r="E497" s="67" cm="1">
        <f t="array" ref="E497">Exercice[Exercice N-2]</f>
        <v>2021</v>
      </c>
      <c r="F497" s="67" cm="1">
        <f t="array" ref="F497">Exercice[Exercice N-1]</f>
        <v>2022</v>
      </c>
      <c r="G497" s="67" cm="1">
        <f t="array" ref="G497">Exercice[Exercice N]</f>
        <v>2023</v>
      </c>
      <c r="H497" s="68" t="s">
        <v>273</v>
      </c>
    </row>
    <row r="498" spans="1:9" ht="15" customHeight="1" x14ac:dyDescent="0.25">
      <c r="A498" s="25" t="s">
        <v>449</v>
      </c>
      <c r="B498" s="320" t="s">
        <v>450</v>
      </c>
      <c r="C498" s="576" cm="1">
        <f t="array" ref="C498">SUMPRODUCT((pat_tech_bt_01_face[[client]:[client]]=syndicat_etude)*(pat_tech_bt_01_face[[annee]:[annee]]=C$497)*(pat_tech_bt_01_face[[Code Regime FACE]:[Code Regime FACE]]="U")*(pat_tech_bt_01_face[lineaire_tot]))</f>
        <v>1170.8900000000001</v>
      </c>
      <c r="D498" s="576" cm="1">
        <f t="array" ref="D498">SUMPRODUCT((pat_tech_bt_01_face[[client]:[client]]=syndicat_etude)*(pat_tech_bt_01_face[[annee]:[annee]]=D$497)*(pat_tech_bt_01_face[[Code Regime FACE]:[Code Regime FACE]]="U")*(pat_tech_bt_01_face[lineaire_tot]))</f>
        <v>1181.04</v>
      </c>
      <c r="E498" s="576" cm="1">
        <f t="array" ref="E498">SUMPRODUCT((pat_tech_bt_01_face[[client]:[client]]=syndicat_etude)*(pat_tech_bt_01_face[[annee]:[annee]]=E$497)*(pat_tech_bt_01_face[[Code Regime FACE]:[Code Regime FACE]]="U")*(pat_tech_bt_01_face[lineaire_tot]))</f>
        <v>1229.46</v>
      </c>
      <c r="F498" s="576" cm="1">
        <f t="array" ref="F498">SUMPRODUCT((pat_tech_bt_01_face[[client]:[client]]=syndicat_etude)*(pat_tech_bt_01_face[[annee]:[annee]]=F$497)*(pat_tech_bt_01_face[[Code Regime FACE]:[Code Regime FACE]]="U")*(pat_tech_bt_01_face[lineaire_tot]))</f>
        <v>1238.44</v>
      </c>
      <c r="G498" s="576" cm="1">
        <f t="array" ref="G498">SUMPRODUCT((pat_tech_bt_01_face[[client]:[client]]=syndicat_etude)*(pat_tech_bt_01_face[[annee]:[annee]]=G$497)*(pat_tech_bt_01_face[[Code Regime FACE]:[Code Regime FACE]]="U")*(pat_tech_bt_01_face[lineaire_tot]))</f>
        <v>1250.77</v>
      </c>
      <c r="H498" s="346">
        <f>IFERROR(G498/F498-1,"-")</f>
        <v>9.956073770226892E-3</v>
      </c>
    </row>
    <row r="499" spans="1:9" ht="15" customHeight="1" x14ac:dyDescent="0.25">
      <c r="B499" s="577" t="s">
        <v>451</v>
      </c>
      <c r="C499" s="578">
        <f>IFERROR(C$498/C$399,"-")</f>
        <v>0.32184726349150505</v>
      </c>
      <c r="D499" s="578">
        <f>IFERROR(D$498/D$399,"-")</f>
        <v>0.32270175007172425</v>
      </c>
      <c r="E499" s="578">
        <f>IFERROR(E$498/E$399,"-")</f>
        <v>0.33307777124574328</v>
      </c>
      <c r="F499" s="578">
        <f>IFERROR(F$498/F$399,"-")</f>
        <v>0.33410399946044378</v>
      </c>
      <c r="G499" s="578">
        <f>IFERROR(G$498/G$399,"-")</f>
        <v>0.33443852926942091</v>
      </c>
      <c r="H499" s="342">
        <f t="shared" ref="H499:H516" si="14">IFERROR(G499/F499-1,"-")</f>
        <v>1.0012744819498653E-3</v>
      </c>
    </row>
    <row r="500" spans="1:9" ht="15" customHeight="1" x14ac:dyDescent="0.25">
      <c r="B500" s="287" t="s">
        <v>84</v>
      </c>
      <c r="C500" s="7" cm="1">
        <f t="array" ref="C500">SUMPRODUCT((pat_tech_bt_01_face[[client]:[client]]=syndicat_etude)*(pat_tech_bt_01_face[[annee]:[annee]]=C$497)*(pat_tech_bt_01_face[[Code Regime FACE]:[Code Regime FACE]]="U")*(pat_tech_bt_01_face[aerien_nu]))</f>
        <v>138.54</v>
      </c>
      <c r="D500" s="7" cm="1">
        <f t="array" ref="D500">SUMPRODUCT((pat_tech_bt_01_face[[client]:[client]]=syndicat_etude)*(pat_tech_bt_01_face[[annee]:[annee]]=D$497)*(pat_tech_bt_01_face[[Code Regime FACE]:[Code Regime FACE]]="U")*(pat_tech_bt_01_face[aerien_nu]))</f>
        <v>137.12</v>
      </c>
      <c r="E500" s="7" cm="1">
        <f t="array" ref="E500">SUMPRODUCT((pat_tech_bt_01_face[[client]:[client]]=syndicat_etude)*(pat_tech_bt_01_face[[annee]:[annee]]=E$497)*(pat_tech_bt_01_face[[Code Regime FACE]:[Code Regime FACE]]="U")*(pat_tech_bt_01_face[aerien_nu]))</f>
        <v>129.81</v>
      </c>
      <c r="F500" s="7" cm="1">
        <f t="array" ref="F500">SUMPRODUCT((pat_tech_bt_01_face[[client]:[client]]=syndicat_etude)*(pat_tech_bt_01_face[[annee]:[annee]]=F$497)*(pat_tech_bt_01_face[[Code Regime FACE]:[Code Regime FACE]]="U")*(pat_tech_bt_01_face[aerien_nu]))</f>
        <v>127.5</v>
      </c>
      <c r="G500" s="7" cm="1">
        <f t="array" ref="G500">SUMPRODUCT((pat_tech_bt_01_face[[client]:[client]]=syndicat_etude)*(pat_tech_bt_01_face[[annee]:[annee]]=G$497)*(pat_tech_bt_01_face[[Code Regime FACE]:[Code Regime FACE]]="U")*(pat_tech_bt_01_face[aerien_nu]))</f>
        <v>120.89</v>
      </c>
      <c r="H500" s="120">
        <f t="shared" si="14"/>
        <v>-5.1843137254901972E-2</v>
      </c>
    </row>
    <row r="501" spans="1:9" ht="15" customHeight="1" x14ac:dyDescent="0.25">
      <c r="B501" s="287" t="s">
        <v>85</v>
      </c>
      <c r="C501" s="7" cm="1">
        <f t="array" ref="C501">SUMPRODUCT((pat_tech_bt_01_face[[client]:[client]]=syndicat_etude)*(pat_tech_bt_01_face[[annee]:[annee]]=C$497)*(pat_tech_bt_01_face[[Code Regime FACE]:[Code Regime FACE]]="U")*(pat_tech_bt_01_face[aerien_torsade]))</f>
        <v>223.27</v>
      </c>
      <c r="D501" s="7" cm="1">
        <f t="array" ref="D501">SUMPRODUCT((pat_tech_bt_01_face[[client]:[client]]=syndicat_etude)*(pat_tech_bt_01_face[[annee]:[annee]]=D$497)*(pat_tech_bt_01_face[[Code Regime FACE]:[Code Regime FACE]]="U")*(pat_tech_bt_01_face[aerien_torsade]))</f>
        <v>223.29</v>
      </c>
      <c r="E501" s="7" cm="1">
        <f t="array" ref="E501">SUMPRODUCT((pat_tech_bt_01_face[[client]:[client]]=syndicat_etude)*(pat_tech_bt_01_face[[annee]:[annee]]=E$497)*(pat_tech_bt_01_face[[Code Regime FACE]:[Code Regime FACE]]="U")*(pat_tech_bt_01_face[aerien_torsade]))</f>
        <v>233.41</v>
      </c>
      <c r="F501" s="7" cm="1">
        <f t="array" ref="F501">SUMPRODUCT((pat_tech_bt_01_face[[client]:[client]]=syndicat_etude)*(pat_tech_bt_01_face[[annee]:[annee]]=F$497)*(pat_tech_bt_01_face[[Code Regime FACE]:[Code Regime FACE]]="U")*(pat_tech_bt_01_face[aerien_torsade]))</f>
        <v>233.75</v>
      </c>
      <c r="G501" s="7" cm="1">
        <f t="array" ref="G501">SUMPRODUCT((pat_tech_bt_01_face[[client]:[client]]=syndicat_etude)*(pat_tech_bt_01_face[[annee]:[annee]]=G$497)*(pat_tech_bt_01_face[[Code Regime FACE]:[Code Regime FACE]]="U")*(pat_tech_bt_01_face[aerien_torsade]))</f>
        <v>235.61</v>
      </c>
      <c r="H501" s="120">
        <f t="shared" si="14"/>
        <v>7.9572192513368556E-3</v>
      </c>
    </row>
    <row r="502" spans="1:9" ht="15" customHeight="1" x14ac:dyDescent="0.25">
      <c r="B502" s="287" t="s">
        <v>86</v>
      </c>
      <c r="C502" s="7" cm="1">
        <f t="array" ref="C502">SUMPRODUCT((pat_tech_bt_01_face[[client]:[client]]=syndicat_etude)*(pat_tech_bt_01_face[[annee]:[annee]]=C$497)*(pat_tech_bt_01_face[[Code Regime FACE]:[Code Regime FACE]]="U")*(pat_tech_bt_01_face[souterrain]))</f>
        <v>809.07</v>
      </c>
      <c r="D502" s="7" cm="1">
        <f t="array" ref="D502">SUMPRODUCT((pat_tech_bt_01_face[[client]:[client]]=syndicat_etude)*(pat_tech_bt_01_face[[annee]:[annee]]=D$497)*(pat_tech_bt_01_face[[Code Regime FACE]:[Code Regime FACE]]="U")*(pat_tech_bt_01_face[souterrain]))</f>
        <v>820.63</v>
      </c>
      <c r="E502" s="7" cm="1">
        <f t="array" ref="E502">SUMPRODUCT((pat_tech_bt_01_face[[client]:[client]]=syndicat_etude)*(pat_tech_bt_01_face[[annee]:[annee]]=E$497)*(pat_tech_bt_01_face[[Code Regime FACE]:[Code Regime FACE]]="U")*(pat_tech_bt_01_face[souterrain]))</f>
        <v>866.24</v>
      </c>
      <c r="F502" s="7" cm="1">
        <f t="array" ref="F502">SUMPRODUCT((pat_tech_bt_01_face[[client]:[client]]=syndicat_etude)*(pat_tech_bt_01_face[[annee]:[annee]]=F$497)*(pat_tech_bt_01_face[[Code Regime FACE]:[Code Regime FACE]]="U")*(pat_tech_bt_01_face[souterrain]))</f>
        <v>877.2</v>
      </c>
      <c r="G502" s="7" cm="1">
        <f t="array" ref="G502">SUMPRODUCT((pat_tech_bt_01_face[[client]:[client]]=syndicat_etude)*(pat_tech_bt_01_face[[annee]:[annee]]=G$497)*(pat_tech_bt_01_face[[Code Regime FACE]:[Code Regime FACE]]="U")*(pat_tech_bt_01_face[souterrain]))</f>
        <v>894.27</v>
      </c>
      <c r="H502" s="137">
        <f t="shared" si="14"/>
        <v>1.9459644322845415E-2</v>
      </c>
    </row>
    <row r="503" spans="1:9" ht="15" customHeight="1" x14ac:dyDescent="0.25">
      <c r="B503" s="320" t="s">
        <v>452</v>
      </c>
      <c r="C503" s="576">
        <f>SUM(C505:C507)</f>
        <v>79.67</v>
      </c>
      <c r="D503" s="576">
        <f>SUM(D505:D507)</f>
        <v>78.87</v>
      </c>
      <c r="E503" s="576">
        <f>SUM(E505:E507)</f>
        <v>103.10999999999999</v>
      </c>
      <c r="F503" s="576">
        <f>SUM(F505:F507)</f>
        <v>101.28999999999999</v>
      </c>
      <c r="G503" s="576">
        <f>SUM(G505:G507)</f>
        <v>99.710000000000008</v>
      </c>
      <c r="H503" s="579">
        <f t="shared" si="14"/>
        <v>-1.5598775792279418E-2</v>
      </c>
      <c r="I503" s="25" t="s">
        <v>453</v>
      </c>
    </row>
    <row r="504" spans="1:9" ht="15" customHeight="1" x14ac:dyDescent="0.25">
      <c r="B504" s="577" t="s">
        <v>454</v>
      </c>
      <c r="C504" s="580">
        <f>IFERROR(SUM(C$505:C$507)/C$498,"-")</f>
        <v>6.8042258452971668E-2</v>
      </c>
      <c r="D504" s="580">
        <f>IFERROR(SUM(D$505:D$507)/D$498,"-")</f>
        <v>6.6780125990652306E-2</v>
      </c>
      <c r="E504" s="580">
        <f>IFERROR(SUM(E$505:E$507)/E$498,"-")</f>
        <v>8.3866087550631976E-2</v>
      </c>
      <c r="F504" s="580">
        <f>IFERROR(SUM(F$505:F$507)/F$498,"-")</f>
        <v>8.1788378928329172E-2</v>
      </c>
      <c r="G504" s="580">
        <f>IFERROR(SUM(G$505:G$507)/G$498,"-")</f>
        <v>7.9718893161812326E-2</v>
      </c>
      <c r="H504" s="575">
        <f t="shared" si="14"/>
        <v>-2.5302931707820386E-2</v>
      </c>
    </row>
    <row r="505" spans="1:9" ht="15" customHeight="1" x14ac:dyDescent="0.25">
      <c r="A505" s="25" t="s">
        <v>455</v>
      </c>
      <c r="B505" s="287" t="s">
        <v>456</v>
      </c>
      <c r="C505" s="7" cm="1">
        <f t="array" ref="C505">SUMPRODUCT((pat_tech_bt_02_face[client]=syndicat_etude)*(pat_tech_bt_02_face[Code Regime FACE]="U")*(pat_tech_bt_02_face[annee]=C$497)*(pat_tech_bt_02_face[aerien_nu_hors_fs_sup_40ans]))+SUMPRODUCT((pat_tech_bt_02_face[client]=syndicat_etude)*(pat_tech_bt_02_face[Code Regime FACE]="U")*(pat_tech_bt_02_face[annee]=C$497)*(pat_tech_bt_02_face[aerien_nu_fs_sup_40ans]))</f>
        <v>36.630000000000003</v>
      </c>
      <c r="D505" s="7" cm="1">
        <f t="array" ref="D505">SUMPRODUCT((pat_tech_bt_02_face[client]=syndicat_etude)*(pat_tech_bt_02_face[Code Regime FACE]="U")*(pat_tech_bt_02_face[annee]=D$497)*(pat_tech_bt_02_face[aerien_nu_hors_fs_sup_40ans]))+SUMPRODUCT((pat_tech_bt_02_face[client]=syndicat_etude)*(pat_tech_bt_02_face[Code Regime FACE]="U")*(pat_tech_bt_02_face[annee]=D$497)*(pat_tech_bt_02_face[aerien_nu_fs_sup_40ans]))</f>
        <v>36.14</v>
      </c>
      <c r="E505" s="7" cm="1">
        <f t="array" ref="E505">SUMPRODUCT((pat_tech_bt_02_face[client]=syndicat_etude)*(pat_tech_bt_02_face[Code Regime FACE]="U")*(pat_tech_bt_02_face[annee]=E$497)*(pat_tech_bt_02_face[aerien_nu_hors_fs_sup_40ans]))+SUMPRODUCT((pat_tech_bt_02_face[client]=syndicat_etude)*(pat_tech_bt_02_face[Code Regime FACE]="U")*(pat_tech_bt_02_face[annee]=E$497)*(pat_tech_bt_02_face[aerien_nu_fs_sup_40ans]))</f>
        <v>39.68</v>
      </c>
      <c r="F505" s="7" cm="1">
        <f t="array" ref="F505">SUMPRODUCT((pat_tech_bt_02_face[client]=syndicat_etude)*(pat_tech_bt_02_face[Code Regime FACE]="U")*(pat_tech_bt_02_face[annee]=F$497)*(pat_tech_bt_02_face[aerien_nu_hors_fs_sup_40ans]))+SUMPRODUCT((pat_tech_bt_02_face[client]=syndicat_etude)*(pat_tech_bt_02_face[Code Regime FACE]="U")*(pat_tech_bt_02_face[annee]=F$497)*(pat_tech_bt_02_face[aerien_nu_fs_sup_40ans]))</f>
        <v>38.01</v>
      </c>
      <c r="G505" s="7" cm="1">
        <f t="array" ref="G505">SUMPRODUCT((pat_tech_bt_02_face[client]=syndicat_etude)*(pat_tech_bt_02_face[Code Regime FACE]="U")*(pat_tech_bt_02_face[annee]=G$497)*(pat_tech_bt_02_face[aerien_nu_hors_fs_sup_40ans]))+SUMPRODUCT((pat_tech_bt_02_face[client]=syndicat_etude)*(pat_tech_bt_02_face[Code Regime FACE]="U")*(pat_tech_bt_02_face[annee]=G$497)*(pat_tech_bt_02_face[aerien_nu_fs_sup_40ans]))</f>
        <v>36.39</v>
      </c>
      <c r="H505" s="137">
        <f t="shared" si="14"/>
        <v>-4.2620363062351951E-2</v>
      </c>
    </row>
    <row r="506" spans="1:9" ht="15" customHeight="1" x14ac:dyDescent="0.25">
      <c r="B506" s="287" t="s">
        <v>457</v>
      </c>
      <c r="C506" s="7" cm="1">
        <f t="array" ref="C506">SUMPRODUCT((pat_tech_bt_02_face[[client]:[client]]=syndicat_etude)*(pat_tech_bt_02_face[[Code Regime FACE]:[Code Regime FACE]]="U")*(pat_tech_bt_02_face[[annee]:[annee]]=C$497)*(pat_tech_bt_02_face[lineaire_bt_torsade_sup_50ans]))</f>
        <v>15.22</v>
      </c>
      <c r="D506" s="7" cm="1">
        <f t="array" ref="D506">SUMPRODUCT((pat_tech_bt_02_face[[client]:[client]]=syndicat_etude)*(pat_tech_bt_02_face[[Code Regime FACE]:[Code Regime FACE]]="U")*(pat_tech_bt_02_face[[annee]:[annee]]=D$497)*(pat_tech_bt_02_face[lineaire_bt_torsade_sup_50ans]))</f>
        <v>15.18</v>
      </c>
      <c r="E506" s="7" cm="1">
        <f t="array" ref="E506">SUMPRODUCT((pat_tech_bt_02_face[[client]:[client]]=syndicat_etude)*(pat_tech_bt_02_face[[Code Regime FACE]:[Code Regime FACE]]="U")*(pat_tech_bt_02_face[[annee]:[annee]]=E$497)*(pat_tech_bt_02_face[lineaire_bt_torsade_sup_50ans]))</f>
        <v>26.58</v>
      </c>
      <c r="F506" s="7" cm="1">
        <f t="array" ref="F506">SUMPRODUCT((pat_tech_bt_02_face[[client]:[client]]=syndicat_etude)*(pat_tech_bt_02_face[[Code Regime FACE]:[Code Regime FACE]]="U")*(pat_tech_bt_02_face[[annee]:[annee]]=F$497)*(pat_tech_bt_02_face[lineaire_bt_torsade_sup_50ans]))</f>
        <v>26.78</v>
      </c>
      <c r="G506" s="7" cm="1">
        <f t="array" ref="G506">SUMPRODUCT((pat_tech_bt_02_face[[client]:[client]]=syndicat_etude)*(pat_tech_bt_02_face[[Code Regime FACE]:[Code Regime FACE]]="U")*(pat_tech_bt_02_face[[annee]:[annee]]=G$497)*(pat_tech_bt_02_face[lineaire_bt_torsade_sup_50ans]))</f>
        <v>26.79</v>
      </c>
      <c r="H506" s="137">
        <f t="shared" si="14"/>
        <v>3.7341299477211543E-4</v>
      </c>
    </row>
    <row r="507" spans="1:9" ht="15" customHeight="1" x14ac:dyDescent="0.25">
      <c r="B507" s="287" t="s">
        <v>458</v>
      </c>
      <c r="C507" s="7" cm="1">
        <f t="array" ref="C507">SUMPRODUCT((pat_tech_bt_02_face[[client]:[client]]=syndicat_etude)*(pat_tech_bt_02_face[[Code Regime FACE]:[Code Regime FACE]]="U")*(pat_tech_bt_02_face[[annee]:[annee]]=C$497)*(pat_tech_bt_02_face[souterrain_sup_40ans]))</f>
        <v>27.82</v>
      </c>
      <c r="D507" s="7" cm="1">
        <f t="array" ref="D507">SUMPRODUCT((pat_tech_bt_02_face[[client]:[client]]=syndicat_etude)*(pat_tech_bt_02_face[[Code Regime FACE]:[Code Regime FACE]]="U")*(pat_tech_bt_02_face[[annee]:[annee]]=D$497)*(pat_tech_bt_02_face[souterrain_sup_40ans]))</f>
        <v>27.55</v>
      </c>
      <c r="E507" s="7" cm="1">
        <f t="array" ref="E507">SUMPRODUCT((pat_tech_bt_02_face[[client]:[client]]=syndicat_etude)*(pat_tech_bt_02_face[[Code Regime FACE]:[Code Regime FACE]]="U")*(pat_tech_bt_02_face[[annee]:[annee]]=E$497)*(pat_tech_bt_02_face[souterrain_sup_40ans]))</f>
        <v>36.85</v>
      </c>
      <c r="F507" s="7" cm="1">
        <f t="array" ref="F507">SUMPRODUCT((pat_tech_bt_02_face[[client]:[client]]=syndicat_etude)*(pat_tech_bt_02_face[[Code Regime FACE]:[Code Regime FACE]]="U")*(pat_tech_bt_02_face[[annee]:[annee]]=F$497)*(pat_tech_bt_02_face[souterrain_sup_40ans]))</f>
        <v>36.5</v>
      </c>
      <c r="G507" s="7" cm="1">
        <f t="array" ref="G507">SUMPRODUCT((pat_tech_bt_02_face[[client]:[client]]=syndicat_etude)*(pat_tech_bt_02_face[[Code Regime FACE]:[Code Regime FACE]]="U")*(pat_tech_bt_02_face[[annee]:[annee]]=G$497)*(pat_tech_bt_02_face[souterrain_sup_40ans]))</f>
        <v>36.53</v>
      </c>
      <c r="H507" s="137">
        <f t="shared" si="14"/>
        <v>8.219178082191636E-4</v>
      </c>
    </row>
    <row r="508" spans="1:9" ht="15" customHeight="1" x14ac:dyDescent="0.25">
      <c r="B508" s="320" t="s">
        <v>459</v>
      </c>
      <c r="C508" s="576">
        <f>C510+SUM(C513:C515)</f>
        <v>165.2</v>
      </c>
      <c r="D508" s="576">
        <f>D510+SUM(D513:D515)</f>
        <v>163.06</v>
      </c>
      <c r="E508" s="576">
        <f>E510+SUM(E513:E515)</f>
        <v>164.84</v>
      </c>
      <c r="F508" s="576">
        <f>F510+SUM(F513:F515)</f>
        <v>162.03</v>
      </c>
      <c r="G508" s="576">
        <f>G510+SUM(G513:G515)</f>
        <v>155.01</v>
      </c>
      <c r="H508" s="579">
        <f t="shared" si="14"/>
        <v>-4.3325310127754202E-2</v>
      </c>
    </row>
    <row r="509" spans="1:9" ht="15" customHeight="1" x14ac:dyDescent="0.25">
      <c r="B509" s="577" t="s">
        <v>460</v>
      </c>
      <c r="C509" s="580">
        <f>IFERROR(SUM(C$510,C$513:C$515)/C$498,"-")</f>
        <v>0.14108925689005797</v>
      </c>
      <c r="D509" s="580">
        <f>IFERROR(SUM(D$510,D$513:D$515)/D$498,"-")</f>
        <v>0.13806475648580915</v>
      </c>
      <c r="E509" s="580">
        <f>IFERROR(SUM(E$510,E$513:E$515)/E$498,"-")</f>
        <v>0.13407512241146521</v>
      </c>
      <c r="F509" s="580">
        <f>IFERROR(SUM(F$510,F$513:F$515)/F$498,"-")</f>
        <v>0.13083395239171861</v>
      </c>
      <c r="G509" s="580">
        <f>IFERROR(SUM(G$510,G$513:G$515)/G$498,"-")</f>
        <v>0.12393165809861124</v>
      </c>
      <c r="H509" s="575">
        <f>IFERROR(G509/F509-1,"-")</f>
        <v>-5.2756139877528141E-2</v>
      </c>
    </row>
    <row r="510" spans="1:9" ht="15" customHeight="1" x14ac:dyDescent="0.25">
      <c r="B510" s="287" t="s">
        <v>84</v>
      </c>
      <c r="C510" s="7" cm="1">
        <f t="array" ref="C510">SUMPRODUCT((pat_tech_bt_04b[[client]:[client]]=syndicat_etude)*(pat_tech_bt_04b[[annee]:[annee]]=C$497)*(pat_tech_bt_04b[[aerien_nu_urbain_km]:[aerien_nu_urbain_km]]))</f>
        <v>138.54</v>
      </c>
      <c r="D510" s="7" cm="1">
        <f t="array" ref="D510">SUMPRODUCT((pat_tech_bt_04b[[client]:[client]]=syndicat_etude)*(pat_tech_bt_04b[[annee]:[annee]]=D$497)*(pat_tech_bt_04b[[aerien_nu_urbain_km]:[aerien_nu_urbain_km]]))</f>
        <v>137.12</v>
      </c>
      <c r="E510" s="7" cm="1">
        <f t="array" ref="E510">SUMPRODUCT((pat_tech_bt_04b[[client]:[client]]=syndicat_etude)*(pat_tech_bt_04b[[annee]:[annee]]=E$497)*(pat_tech_bt_04b[[aerien_nu_urbain_km]:[aerien_nu_urbain_km]]))</f>
        <v>129.81</v>
      </c>
      <c r="F510" s="7" cm="1">
        <f t="array" ref="F510">SUMPRODUCT((pat_tech_bt_04b[[client]:[client]]=syndicat_etude)*(pat_tech_bt_04b[[annee]:[annee]]=F$497)*(pat_tech_bt_04b[[aerien_nu_urbain_km]:[aerien_nu_urbain_km]]))</f>
        <v>127.5</v>
      </c>
      <c r="G510" s="7" cm="1">
        <f t="array" ref="G510">SUMPRODUCT((pat_tech_bt_04b[[client]:[client]]=syndicat_etude)*(pat_tech_bt_04b[[annee]:[annee]]=G$497)*(pat_tech_bt_04b[[aerien_nu_urbain_km]:[aerien_nu_urbain_km]]))</f>
        <v>120.89</v>
      </c>
      <c r="H510" s="137">
        <f t="shared" si="14"/>
        <v>-5.1843137254901972E-2</v>
      </c>
    </row>
    <row r="511" spans="1:9" ht="15" customHeight="1" x14ac:dyDescent="0.25">
      <c r="B511" s="583" t="s">
        <v>461</v>
      </c>
      <c r="C511" s="201" cm="1">
        <f t="array" ref="C511">SUMPRODUCT((pat_tech_bt_04b[[client]:[client]]=syndicat_etude)*(pat_tech_bt_04b[[annee]:[annee]]=C$497)*(pat_tech_bt_04b[[aerien_nu_fs_urbain_km]:[aerien_nu_fs_urbain_km]]))</f>
        <v>9.81</v>
      </c>
      <c r="D511" s="201" cm="1">
        <f t="array" ref="D511">SUMPRODUCT((pat_tech_bt_04b[[client]:[client]]=syndicat_etude)*(pat_tech_bt_04b[[annee]:[annee]]=D$497)*(pat_tech_bt_04b[[aerien_nu_fs_urbain_km]:[aerien_nu_fs_urbain_km]]))</f>
        <v>9.19</v>
      </c>
      <c r="E511" s="201" cm="1">
        <f t="array" ref="E511">SUMPRODUCT((pat_tech_bt_04b[[client]:[client]]=syndicat_etude)*(pat_tech_bt_04b[[annee]:[annee]]=E$497)*(pat_tech_bt_04b[[aerien_nu_fs_urbain_km]:[aerien_nu_fs_urbain_km]]))</f>
        <v>8.6</v>
      </c>
      <c r="F511" s="201" cm="1">
        <f t="array" ref="F511">SUMPRODUCT((pat_tech_bt_04b[[client]:[client]]=syndicat_etude)*(pat_tech_bt_04b[[annee]:[annee]]=F$497)*(pat_tech_bt_04b[[aerien_nu_fs_urbain_km]:[aerien_nu_fs_urbain_km]]))</f>
        <v>8.24</v>
      </c>
      <c r="G511" s="201" cm="1">
        <f t="array" ref="G511">SUMPRODUCT((pat_tech_bt_04b[[client]:[client]]=syndicat_etude)*(pat_tech_bt_04b[[annee]:[annee]]=G$497)*(pat_tech_bt_04b[[aerien_nu_fs_urbain_km]:[aerien_nu_fs_urbain_km]]))</f>
        <v>6.62</v>
      </c>
      <c r="H511" s="137">
        <f t="shared" si="14"/>
        <v>-0.19660194174757284</v>
      </c>
    </row>
    <row r="512" spans="1:9" ht="15" customHeight="1" x14ac:dyDescent="0.25">
      <c r="B512" s="581" t="s">
        <v>462</v>
      </c>
      <c r="C512" s="276" cm="1">
        <f t="array" ref="C512">SUMPRODUCT((pat_tech_bt_04b[[client]:[client]]=syndicat_etude)*(pat_tech_bt_04b[[annee]:[annee]]=C$497)*(pat_tech_bt_04b[[pourcentage_aerien_nu_urbain]:[pourcentage_aerien_nu_urbain]]))/100</f>
        <v>0.38290000000000002</v>
      </c>
      <c r="D512" s="276" cm="1">
        <f t="array" ref="D512">SUMPRODUCT((pat_tech_bt_04b[[client]:[client]]=syndicat_etude)*(pat_tech_bt_04b[[annee]:[annee]]=D$497)*(pat_tech_bt_04b[[pourcentage_aerien_nu_urbain]:[pourcentage_aerien_nu_urbain]]))/100</f>
        <v>0.38049999999999995</v>
      </c>
      <c r="E512" s="276" cm="1">
        <f t="array" ref="E512">SUMPRODUCT((pat_tech_bt_04b[[client]:[client]]=syndicat_etude)*(pat_tech_bt_04b[[annee]:[annee]]=E$497)*(pat_tech_bt_04b[[pourcentage_aerien_nu_urbain]:[pourcentage_aerien_nu_urbain]]))/100</f>
        <v>0.3574</v>
      </c>
      <c r="F512" s="276" cm="1">
        <f t="array" ref="F512">SUMPRODUCT((pat_tech_bt_04b[[client]:[client]]=syndicat_etude)*(pat_tech_bt_04b[[annee]:[annee]]=F$497)*(pat_tech_bt_04b[[pourcentage_aerien_nu_urbain]:[pourcentage_aerien_nu_urbain]]))/100</f>
        <v>0.35289999999999999</v>
      </c>
      <c r="G512" s="276" cm="1">
        <f t="array" ref="G512">SUMPRODUCT((pat_tech_bt_04b[[client]:[client]]=syndicat_etude)*(pat_tech_bt_04b[[annee]:[annee]]=G$497)*(pat_tech_bt_04b[[pourcentage_aerien_nu_urbain]:[pourcentage_aerien_nu_urbain]]))/100</f>
        <v>0.33909999999999996</v>
      </c>
      <c r="H512" s="137">
        <f t="shared" si="14"/>
        <v>-3.9104562198923332E-2</v>
      </c>
    </row>
    <row r="513" spans="1:8" ht="15" customHeight="1" x14ac:dyDescent="0.25">
      <c r="A513" s="25" t="s">
        <v>463</v>
      </c>
      <c r="B513" s="287" t="s">
        <v>464</v>
      </c>
      <c r="C513" s="7" cm="1">
        <f t="array" ref="C513">SUMPRODUCT((pat_tech_bt_04b[[client]:[client]]=syndicat_etude)*(pat_tech_bt_04b[[annee]:[annee]]=C$497)*(pat_tech_bt_04b[[cpi_urbain_km]:[cpi_urbain_km]]))</f>
        <v>2.56</v>
      </c>
      <c r="D513" s="7" cm="1">
        <f t="array" ref="D513">SUMPRODUCT((pat_tech_bt_04b[[client]:[client]]=syndicat_etude)*(pat_tech_bt_04b[[annee]:[annee]]=D$497)*(pat_tech_bt_04b[[cpi_urbain_km]:[cpi_urbain_km]]))</f>
        <v>2.5499999999999998</v>
      </c>
      <c r="E513" s="7" cm="1">
        <f t="array" ref="E513">SUMPRODUCT((pat_tech_bt_04b[[client]:[client]]=syndicat_etude)*(pat_tech_bt_04b[[annee]:[annee]]=E$497)*(pat_tech_bt_04b[[cpi_urbain_km]:[cpi_urbain_km]]))</f>
        <v>2.5499999999999998</v>
      </c>
      <c r="F513" s="7" cm="1">
        <f t="array" ref="F513">SUMPRODUCT((pat_tech_bt_04b[[client]:[client]]=syndicat_etude)*(pat_tech_bt_04b[[annee]:[annee]]=F$497)*(pat_tech_bt_04b[[cpi_urbain_km]:[cpi_urbain_km]]))</f>
        <v>2.52</v>
      </c>
      <c r="G513" s="7" cm="1">
        <f t="array" ref="G513">SUMPRODUCT((pat_tech_bt_04b[[client]:[client]]=syndicat_etude)*(pat_tech_bt_04b[[annee]:[annee]]=G$497)*(pat_tech_bt_04b[[cpi_urbain_km]:[cpi_urbain_km]]))</f>
        <v>2.52</v>
      </c>
      <c r="H513" s="137">
        <f t="shared" si="14"/>
        <v>0</v>
      </c>
    </row>
    <row r="514" spans="1:8" ht="15" customHeight="1" x14ac:dyDescent="0.25">
      <c r="B514" s="287" t="s">
        <v>465</v>
      </c>
      <c r="C514" s="7" cm="1">
        <f t="array" ref="C514">SUMPRODUCT((pat_tech_bt_04b[[client]:[client]]=syndicat_etude)*(pat_tech_bt_04b[[annee]:[annee]]=C$497)*(pat_tech_bt_04b[[np_urbain_km]:[np_urbain_km]]))</f>
        <v>1.52</v>
      </c>
      <c r="D514" s="7" cm="1">
        <f t="array" ref="D514">SUMPRODUCT((pat_tech_bt_04b[[client]:[client]]=syndicat_etude)*(pat_tech_bt_04b[[annee]:[annee]]=D$497)*(pat_tech_bt_04b[[np_urbain_km]:[np_urbain_km]]))</f>
        <v>1.27</v>
      </c>
      <c r="E514" s="7" cm="1">
        <f t="array" ref="E514">SUMPRODUCT((pat_tech_bt_04b[[client]:[client]]=syndicat_etude)*(pat_tech_bt_04b[[annee]:[annee]]=E$497)*(pat_tech_bt_04b[[np_urbain_km]:[np_urbain_km]]))</f>
        <v>1.81</v>
      </c>
      <c r="F514" s="7" cm="1">
        <f t="array" ref="F514">SUMPRODUCT((pat_tech_bt_04b[[client]:[client]]=syndicat_etude)*(pat_tech_bt_04b[[annee]:[annee]]=F$497)*(pat_tech_bt_04b[[np_urbain_km]:[np_urbain_km]]))</f>
        <v>1.78</v>
      </c>
      <c r="G514" s="7" cm="1">
        <f t="array" ref="G514">SUMPRODUCT((pat_tech_bt_04b[[client]:[client]]=syndicat_etude)*(pat_tech_bt_04b[[annee]:[annee]]=G$497)*(pat_tech_bt_04b[[np_urbain_km]:[np_urbain_km]]))</f>
        <v>1.78</v>
      </c>
      <c r="H514" s="137">
        <f t="shared" si="14"/>
        <v>0</v>
      </c>
    </row>
    <row r="515" spans="1:8" ht="15" customHeight="1" x14ac:dyDescent="0.25">
      <c r="B515" s="287" t="s">
        <v>466</v>
      </c>
      <c r="C515" s="7" cm="1">
        <f t="array" ref="C515">SUMPRODUCT((pat_tech_bt_04b[[client]:[client]]=syndicat_etude)*(pat_tech_bt_04b[[annee]:[annee]]=C$497)*(pat_tech_bt_04b[[non_date_urbain_km]:[non_date_urbain_km]]))</f>
        <v>22.58</v>
      </c>
      <c r="D515" s="7" cm="1">
        <f t="array" ref="D515">SUMPRODUCT((pat_tech_bt_04b[[client]:[client]]=syndicat_etude)*(pat_tech_bt_04b[[annee]:[annee]]=D$497)*(pat_tech_bt_04b[[non_date_urbain_km]:[non_date_urbain_km]]))</f>
        <v>22.12</v>
      </c>
      <c r="E515" s="7" cm="1">
        <f t="array" ref="E515">SUMPRODUCT((pat_tech_bt_04b[[client]:[client]]=syndicat_etude)*(pat_tech_bt_04b[[annee]:[annee]]=E$497)*(pat_tech_bt_04b[[non_date_urbain_km]:[non_date_urbain_km]]))</f>
        <v>30.67</v>
      </c>
      <c r="F515" s="7" cm="1">
        <f t="array" ref="F515">SUMPRODUCT((pat_tech_bt_04b[[client]:[client]]=syndicat_etude)*(pat_tech_bt_04b[[annee]:[annee]]=F$497)*(pat_tech_bt_04b[[non_date_urbain_km]:[non_date_urbain_km]]))</f>
        <v>30.23</v>
      </c>
      <c r="G515" s="7" cm="1">
        <f t="array" ref="G515">SUMPRODUCT((pat_tech_bt_04b[[client]:[client]]=syndicat_etude)*(pat_tech_bt_04b[[annee]:[annee]]=G$497)*(pat_tech_bt_04b[[non_date_urbain_km]:[non_date_urbain_km]]))</f>
        <v>29.82</v>
      </c>
      <c r="H515" s="137">
        <f t="shared" si="14"/>
        <v>-1.3562686073437025E-2</v>
      </c>
    </row>
    <row r="516" spans="1:8" ht="15" customHeight="1" x14ac:dyDescent="0.25">
      <c r="B516" s="582" t="s">
        <v>467</v>
      </c>
      <c r="C516" s="154" cm="1">
        <f t="array" ref="C516">SUMPRODUCT((pat_tech_bt_04b[[client]:[client]]=syndicat_etude)*(pat_tech_bt_04b[[annee]:[annee]]=C$497)*(pat_tech_bt_04b[[pourcentage_np_urbain]:[pourcentage_np_urbain]]+pat_tech_bt_04b[[pourcentage_cpi_urbain]:[pourcentage_cpi_urbain]]+pat_tech_bt_04b[[pourcentage_non_date_urbain]:[pourcentage_non_date_urbain]]))/100</f>
        <v>3.3000000000000002E-2</v>
      </c>
      <c r="D516" s="154" cm="1">
        <f t="array" ref="D516">SUMPRODUCT((pat_tech_bt_04b[[client]:[client]]=syndicat_etude)*(pat_tech_bt_04b[[annee]:[annee]]=D$497)*(pat_tech_bt_04b[[pourcentage_np_urbain]:[pourcentage_np_urbain]]+pat_tech_bt_04b[[pourcentage_cpi_urbain]:[pourcentage_cpi_urbain]]+pat_tech_bt_04b[[pourcentage_non_date_urbain]:[pourcentage_non_date_urbain]]))/100</f>
        <v>3.1600000000000003E-2</v>
      </c>
      <c r="E516" s="154" cm="1">
        <f t="array" ref="E516">SUMPRODUCT((pat_tech_bt_04b[[client]:[client]]=syndicat_etude)*(pat_tech_bt_04b[[annee]:[annee]]=E$497)*(pat_tech_bt_04b[[pourcentage_np_urbain]:[pourcentage_np_urbain]]+pat_tech_bt_04b[[pourcentage_cpi_urbain]:[pourcentage_cpi_urbain]]+pat_tech_bt_04b[[pourcentage_non_date_urbain]:[pourcentage_non_date_urbain]]))/100</f>
        <v>4.0299999999999996E-2</v>
      </c>
      <c r="F516" s="154" cm="1">
        <f t="array" ref="F516">SUMPRODUCT((pat_tech_bt_04b[[client]:[client]]=syndicat_etude)*(pat_tech_bt_04b[[annee]:[annee]]=F$497)*(pat_tech_bt_04b[[pourcentage_np_urbain]:[pourcentage_np_urbain]]+pat_tech_bt_04b[[pourcentage_cpi_urbain]:[pourcentage_cpi_urbain]]+pat_tech_bt_04b[[pourcentage_non_date_urbain]:[pourcentage_non_date_urbain]]))/100</f>
        <v>3.9299999999999995E-2</v>
      </c>
      <c r="G516" s="154" cm="1">
        <f t="array" ref="G516">SUMPRODUCT((pat_tech_bt_04b[[client]:[client]]=syndicat_etude)*(pat_tech_bt_04b[[annee]:[annee]]=G$497)*(pat_tech_bt_04b[[pourcentage_np_urbain]:[pourcentage_np_urbain]]+pat_tech_bt_04b[[pourcentage_cpi_urbain]:[pourcentage_cpi_urbain]]+pat_tech_bt_04b[[pourcentage_non_date_urbain]:[pourcentage_non_date_urbain]]))/100</f>
        <v>3.8100000000000002E-2</v>
      </c>
      <c r="H516" s="138">
        <f t="shared" si="14"/>
        <v>-3.0534351145037997E-2</v>
      </c>
    </row>
    <row r="518" spans="1:8" ht="30" customHeight="1" x14ac:dyDescent="0.25">
      <c r="A518" s="479" t="s">
        <v>468</v>
      </c>
      <c r="B518" s="66" t="s">
        <v>469</v>
      </c>
      <c r="C518" s="67" cm="1">
        <f t="array" ref="C518">Exercice[Exercice N-4]</f>
        <v>2019</v>
      </c>
      <c r="D518" s="67" cm="1">
        <f t="array" ref="D518">Exercice[Exercice N-3]</f>
        <v>2020</v>
      </c>
      <c r="E518" s="67" cm="1">
        <f t="array" ref="E518">Exercice[Exercice N-2]</f>
        <v>2021</v>
      </c>
      <c r="F518" s="67" cm="1">
        <f t="array" ref="F518">Exercice[Exercice N-1]</f>
        <v>2022</v>
      </c>
      <c r="G518" s="67" cm="1">
        <f t="array" ref="G518">Exercice[Exercice N]</f>
        <v>2023</v>
      </c>
      <c r="H518" s="68" t="s">
        <v>273</v>
      </c>
    </row>
    <row r="519" spans="1:8" ht="15" customHeight="1" x14ac:dyDescent="0.25">
      <c r="A519" s="25" t="s">
        <v>449</v>
      </c>
      <c r="B519" s="320" t="s">
        <v>470</v>
      </c>
      <c r="C519" s="576" cm="1">
        <f t="array" ref="C519">SUMPRODUCT((pat_tech_bt_01_face[[client]:[client]]=syndicat_etude)*(pat_tech_bt_01_face[[annee]:[annee]]=A$729)*(pat_tech_bt_01_face[[Code Regime FACE]:[Code Regime FACE]]="R")*(pat_tech_bt_01_face[lineaire_tot]))</f>
        <v>0</v>
      </c>
      <c r="D519" s="576" cm="1">
        <f t="array" ref="D519">SUMPRODUCT((pat_tech_bt_01_face[[client]:[client]]=syndicat_etude)*(pat_tech_bt_01_face[[annee]:[annee]]=B$729)*(pat_tech_bt_01_face[[Code Regime FACE]:[Code Regime FACE]]="R")*(pat_tech_bt_01_face[lineaire_tot]))</f>
        <v>0</v>
      </c>
      <c r="E519" s="576" cm="1">
        <f t="array" ref="E519">SUMPRODUCT((pat_tech_bt_01_face[[client]:[client]]=syndicat_etude)*(pat_tech_bt_01_face[[annee]:[annee]]=E$518)*(pat_tech_bt_01_face[[Code Regime FACE]:[Code Regime FACE]]="R")*(pat_tech_bt_01_face[lineaire_tot]))</f>
        <v>2461.75</v>
      </c>
      <c r="F519" s="576" cm="1">
        <f t="array" ref="F519">SUMPRODUCT((pat_tech_bt_01_face[[client]:[client]]=syndicat_etude)*(pat_tech_bt_01_face[[annee]:[annee]]=F$518)*(pat_tech_bt_01_face[[Code Regime FACE]:[Code Regime FACE]]="R")*(pat_tech_bt_01_face[lineaire_tot]))</f>
        <v>2468.3200000000002</v>
      </c>
      <c r="G519" s="576" cm="1">
        <f t="array" ref="G519">SUMPRODUCT((pat_tech_bt_01_face[[client]:[client]]=syndicat_etude)*(pat_tech_bt_01_face[[annee]:[annee]]=G$518)*(pat_tech_bt_01_face[[Code Regime FACE]:[Code Regime FACE]]="R")*(pat_tech_bt_01_face[lineaire_tot]))</f>
        <v>2489.14</v>
      </c>
      <c r="H519" s="579">
        <f t="shared" ref="H519:H537" si="15">IFERROR(G519/F519-1,"-")</f>
        <v>8.4348868866273019E-3</v>
      </c>
    </row>
    <row r="520" spans="1:8" ht="15" customHeight="1" x14ac:dyDescent="0.25">
      <c r="B520" s="577" t="s">
        <v>471</v>
      </c>
      <c r="C520" s="578">
        <f>IFERROR(C$519/C$399,"-")</f>
        <v>0</v>
      </c>
      <c r="D520" s="578">
        <f>IFERROR(D$519/D$399,"-")</f>
        <v>0</v>
      </c>
      <c r="E520" s="578">
        <f>IFERROR(E$519/E$399,"-")</f>
        <v>0.66692222875425677</v>
      </c>
      <c r="F520" s="578">
        <f>IFERROR(F$519/F$399,"-")</f>
        <v>0.66589869832063131</v>
      </c>
      <c r="G520" s="578">
        <f>IFERROR(G$519/G$399,"-")</f>
        <v>0.66556147073057903</v>
      </c>
      <c r="H520" s="584">
        <f t="shared" si="15"/>
        <v>-5.064247623591811E-4</v>
      </c>
    </row>
    <row r="521" spans="1:8" ht="15" customHeight="1" x14ac:dyDescent="0.25">
      <c r="B521" s="287" t="s">
        <v>84</v>
      </c>
      <c r="C521" s="7" cm="1">
        <f t="array" ref="C521">SUMPRODUCT((pat_tech_bt_01_face[[client]:[client]]=syndicat_etude)*(pat_tech_bt_01_face[[annee]:[annee]]=A$729)*(pat_tech_bt_01_face[[Code Regime FACE]:[Code Regime FACE]]="R")*(pat_tech_bt_01_face[aerien_nu]))</f>
        <v>0</v>
      </c>
      <c r="D521" s="7" cm="1">
        <f t="array" ref="D521">SUMPRODUCT((pat_tech_bt_01_face[[client]:[client]]=syndicat_etude)*(pat_tech_bt_01_face[[annee]:[annee]]=B$729)*(pat_tech_bt_01_face[[Code Regime FACE]:[Code Regime FACE]]="R")*(pat_tech_bt_01_face[aerien_nu]))</f>
        <v>0</v>
      </c>
      <c r="E521" s="7" cm="1">
        <f t="array" ref="E521">SUMPRODUCT((pat_tech_bt_01_face[[client]:[client]]=syndicat_etude)*(pat_tech_bt_01_face[[annee]:[annee]]=E$518)*(pat_tech_bt_01_face[[Code Regime FACE]:[Code Regime FACE]]="R")*(pat_tech_bt_01_face[aerien_nu]))</f>
        <v>109.23</v>
      </c>
      <c r="F521" s="7" cm="1">
        <f t="array" ref="F521">SUMPRODUCT((pat_tech_bt_01_face[[client]:[client]]=syndicat_etude)*(pat_tech_bt_01_face[[annee]:[annee]]=F$518)*(pat_tech_bt_01_face[[Code Regime FACE]:[Code Regime FACE]]="R")*(pat_tech_bt_01_face[aerien_nu]))</f>
        <v>105.65</v>
      </c>
      <c r="G521" s="7" cm="1">
        <f t="array" ref="G521">SUMPRODUCT((pat_tech_bt_01_face[[client]:[client]]=syndicat_etude)*(pat_tech_bt_01_face[[annee]:[annee]]=G$518)*(pat_tech_bt_01_face[[Code Regime FACE]:[Code Regime FACE]]="R")*(pat_tech_bt_01_face[aerien_nu]))</f>
        <v>103.38</v>
      </c>
      <c r="H521" s="149">
        <f t="shared" si="15"/>
        <v>-2.1486038807382979E-2</v>
      </c>
    </row>
    <row r="522" spans="1:8" ht="15" customHeight="1" x14ac:dyDescent="0.25">
      <c r="B522" s="287" t="s">
        <v>85</v>
      </c>
      <c r="C522" s="7" cm="1">
        <f t="array" ref="C522">SUMPRODUCT((pat_tech_bt_01_face[[client]:[client]]=syndicat_etude)*(pat_tech_bt_01_face[[annee]:[annee]]=A$729)*(pat_tech_bt_01_face[[Code Regime FACE]:[Code Regime FACE]]="R")*(pat_tech_bt_01_face[aerien_torsade]))</f>
        <v>0</v>
      </c>
      <c r="D522" s="7" cm="1">
        <f t="array" ref="D522">SUMPRODUCT((pat_tech_bt_01_face[[client]:[client]]=syndicat_etude)*(pat_tech_bt_01_face[[annee]:[annee]]=B$729)*(pat_tech_bt_01_face[[Code Regime FACE]:[Code Regime FACE]]="R")*(pat_tech_bt_01_face[aerien_torsade]))</f>
        <v>0</v>
      </c>
      <c r="E522" s="7" cm="1">
        <f t="array" ref="E522">SUMPRODUCT((pat_tech_bt_01_face[[client]:[client]]=syndicat_etude)*(pat_tech_bt_01_face[[annee]:[annee]]=E$518)*(pat_tech_bt_01_face[[Code Regime FACE]:[Code Regime FACE]]="R")*(pat_tech_bt_01_face[aerien_torsade]))</f>
        <v>974.78</v>
      </c>
      <c r="F522" s="7" cm="1">
        <f t="array" ref="F522">SUMPRODUCT((pat_tech_bt_01_face[[client]:[client]]=syndicat_etude)*(pat_tech_bt_01_face[[annee]:[annee]]=F$518)*(pat_tech_bt_01_face[[Code Regime FACE]:[Code Regime FACE]]="R")*(pat_tech_bt_01_face[aerien_torsade]))</f>
        <v>958.47</v>
      </c>
      <c r="G522" s="7" cm="1">
        <f t="array" ref="G522">SUMPRODUCT((pat_tech_bt_01_face[[client]:[client]]=syndicat_etude)*(pat_tech_bt_01_face[[annee]:[annee]]=G$518)*(pat_tech_bt_01_face[[Code Regime FACE]:[Code Regime FACE]]="R")*(pat_tech_bt_01_face[aerien_torsade]))</f>
        <v>951.38</v>
      </c>
      <c r="H522" s="137">
        <f t="shared" si="15"/>
        <v>-7.3972059636713272E-3</v>
      </c>
    </row>
    <row r="523" spans="1:8" ht="15" customHeight="1" x14ac:dyDescent="0.25">
      <c r="B523" s="287" t="s">
        <v>86</v>
      </c>
      <c r="C523" s="7" cm="1">
        <f t="array" ref="C523">SUMPRODUCT((pat_tech_bt_01_face[[client]:[client]]=syndicat_etude)*(pat_tech_bt_01_face[[annee]:[annee]]=A$729)*(pat_tech_bt_01_face[[Code Regime FACE]:[Code Regime FACE]]="R")*(pat_tech_bt_01_face[souterrain]))</f>
        <v>0</v>
      </c>
      <c r="D523" s="7" cm="1">
        <f t="array" ref="D523">SUMPRODUCT((pat_tech_bt_01_face[[client]:[client]]=syndicat_etude)*(pat_tech_bt_01_face[[annee]:[annee]]=B$729)*(pat_tech_bt_01_face[[Code Regime FACE]:[Code Regime FACE]]="R")*(pat_tech_bt_01_face[souterrain]))</f>
        <v>0</v>
      </c>
      <c r="E523" s="7" cm="1">
        <f t="array" ref="E523">SUMPRODUCT((pat_tech_bt_01_face[[client]:[client]]=syndicat_etude)*(pat_tech_bt_01_face[[annee]:[annee]]=E$518)*(pat_tech_bt_01_face[[Code Regime FACE]:[Code Regime FACE]]="R")*(pat_tech_bt_01_face[souterrain]))</f>
        <v>1377.74</v>
      </c>
      <c r="F523" s="7" cm="1">
        <f t="array" ref="F523">SUMPRODUCT((pat_tech_bt_01_face[[client]:[client]]=syndicat_etude)*(pat_tech_bt_01_face[[annee]:[annee]]=F$518)*(pat_tech_bt_01_face[[Code Regime FACE]:[Code Regime FACE]]="R")*(pat_tech_bt_01_face[souterrain]))</f>
        <v>1404.19</v>
      </c>
      <c r="G523" s="7" cm="1">
        <f t="array" ref="G523">SUMPRODUCT((pat_tech_bt_01_face[[client]:[client]]=syndicat_etude)*(pat_tech_bt_01_face[[annee]:[annee]]=G$518)*(pat_tech_bt_01_face[[Code Regime FACE]:[Code Regime FACE]]="R")*(pat_tech_bt_01_face[souterrain]))</f>
        <v>1434.38</v>
      </c>
      <c r="H523" s="137">
        <f t="shared" si="15"/>
        <v>2.1499939466881335E-2</v>
      </c>
    </row>
    <row r="524" spans="1:8" ht="15" customHeight="1" x14ac:dyDescent="0.25">
      <c r="B524" s="320" t="s">
        <v>452</v>
      </c>
      <c r="C524" s="576">
        <f>SUM(C$526:C$528)</f>
        <v>108.44</v>
      </c>
      <c r="D524" s="576">
        <f>SUM(D$526:D$528)</f>
        <v>104.67999999999999</v>
      </c>
      <c r="E524" s="576">
        <f>SUM(E$526:E$528)</f>
        <v>77.990000000000009</v>
      </c>
      <c r="F524" s="576">
        <f>SUM(F$526:F$528)</f>
        <v>75.790000000000006</v>
      </c>
      <c r="G524" s="576">
        <f>SUM(G$526:G$528)</f>
        <v>74.990000000000009</v>
      </c>
      <c r="H524" s="579">
        <f t="shared" si="15"/>
        <v>-1.0555482253595372E-2</v>
      </c>
    </row>
    <row r="525" spans="1:8" ht="15" customHeight="1" x14ac:dyDescent="0.25">
      <c r="B525" s="577" t="s">
        <v>472</v>
      </c>
      <c r="C525" s="580" t="str">
        <f>IFERROR(C$524/C$519,"-")</f>
        <v>-</v>
      </c>
      <c r="D525" s="580" t="str">
        <f>IFERROR(D$524/D$519,"-")</f>
        <v>-</v>
      </c>
      <c r="E525" s="580">
        <f>IFERROR(E$524/E$519,"-")</f>
        <v>3.1680714938559972E-2</v>
      </c>
      <c r="F525" s="580">
        <f>IFERROR(F$524/F$519,"-")</f>
        <v>3.0705094963375899E-2</v>
      </c>
      <c r="G525" s="580">
        <f>IFERROR(G$524/G$519,"-")</f>
        <v>3.0126871128180823E-2</v>
      </c>
      <c r="H525" s="575">
        <f t="shared" si="15"/>
        <v>-1.8831527337230591E-2</v>
      </c>
    </row>
    <row r="526" spans="1:8" ht="15" customHeight="1" x14ac:dyDescent="0.25">
      <c r="A526" s="25" t="s">
        <v>455</v>
      </c>
      <c r="B526" s="287" t="s">
        <v>456</v>
      </c>
      <c r="C526" s="7" cm="1">
        <f t="array" ref="C526">SUMPRODUCT((pat_tech_bt_02_face[client]=syndicat_etude)*(pat_tech_bt_02_face[Code Regime FACE]="R")*(pat_tech_bt_02_face[annee]=C$518)*(pat_tech_bt_02_face[aerien_nu_hors_fs_sup_40ans]))+SUMPRODUCT((pat_tech_bt_02_face[client]=syndicat_etude)*(pat_tech_bt_02_face[Code Regime FACE]="R")*(pat_tech_bt_02_face[annee]=C$518)*(pat_tech_bt_02_face[aerien_nu_fs_sup_40ans]))</f>
        <v>26.64</v>
      </c>
      <c r="D526" s="7" cm="1">
        <f t="array" ref="D526">SUMPRODUCT((pat_tech_bt_02_face[client]=syndicat_etude)*(pat_tech_bt_02_face[Code Regime FACE]="R")*(pat_tech_bt_02_face[annee]=D$518)*(pat_tech_bt_02_face[aerien_nu_hors_fs_sup_40ans]))+SUMPRODUCT((pat_tech_bt_02_face[client]=syndicat_etude)*(pat_tech_bt_02_face[Code Regime FACE]="R")*(pat_tech_bt_02_face[annee]=D$518)*(pat_tech_bt_02_face[aerien_nu_fs_sup_40ans]))</f>
        <v>24.08</v>
      </c>
      <c r="E526" s="7" cm="1">
        <f t="array" ref="E526">SUMPRODUCT((pat_tech_bt_02_face[client]=syndicat_etude)*(pat_tech_bt_02_face[Code Regime FACE]="R")*(pat_tech_bt_02_face[annee]=E$518)*(pat_tech_bt_02_face[aerien_nu_hors_fs_sup_40ans]))+SUMPRODUCT((pat_tech_bt_02_face[client]=syndicat_etude)*(pat_tech_bt_02_face[Code Regime FACE]="R")*(pat_tech_bt_02_face[annee]=E$518)*(pat_tech_bt_02_face[aerien_nu_fs_sup_40ans]))</f>
        <v>18.920000000000002</v>
      </c>
      <c r="F526" s="7" cm="1">
        <f t="array" ref="F526">SUMPRODUCT((pat_tech_bt_02_face[client]=syndicat_etude)*(pat_tech_bt_02_face[Code Regime FACE]="R")*(pat_tech_bt_02_face[annee]=F$518)*(pat_tech_bt_02_face[aerien_nu_hors_fs_sup_40ans]))+SUMPRODUCT((pat_tech_bt_02_face[client]=syndicat_etude)*(pat_tech_bt_02_face[Code Regime FACE]="R")*(pat_tech_bt_02_face[annee]=F$518)*(pat_tech_bt_02_face[aerien_nu_fs_sup_40ans]))</f>
        <v>16.98</v>
      </c>
      <c r="G526" s="7" cm="1">
        <f t="array" ref="G526">SUMPRODUCT((pat_tech_bt_02_face[client]=syndicat_etude)*(pat_tech_bt_02_face[Code Regime FACE]="R")*(pat_tech_bt_02_face[annee]=G$518)*(pat_tech_bt_02_face[aerien_nu_hors_fs_sup_40ans]))+SUMPRODUCT((pat_tech_bt_02_face[client]=syndicat_etude)*(pat_tech_bt_02_face[Code Regime FACE]="R")*(pat_tech_bt_02_face[annee]=G$518)*(pat_tech_bt_02_face[aerien_nu_fs_sup_40ans]))</f>
        <v>15.95</v>
      </c>
      <c r="H526" s="137">
        <f t="shared" si="15"/>
        <v>-6.0659599528857577E-2</v>
      </c>
    </row>
    <row r="527" spans="1:8" ht="15" customHeight="1" x14ac:dyDescent="0.25">
      <c r="B527" s="287" t="s">
        <v>457</v>
      </c>
      <c r="C527" s="7" cm="1">
        <f t="array" ref="C527">SUMPRODUCT((pat_tech_bt_02_face[[client]:[client]]=syndicat_etude)*(pat_tech_bt_02_face[Code Regime FACE]="R")*(pat_tech_bt_02_face[[annee]:[annee]]=C$518)*(pat_tech_bt_02_face[lineaire_bt_torsade_sup_50ans]))</f>
        <v>55.93</v>
      </c>
      <c r="D527" s="7" cm="1">
        <f t="array" ref="D527">SUMPRODUCT((pat_tech_bt_02_face[[client]:[client]]=syndicat_etude)*(pat_tech_bt_02_face[Code Regime FACE]="R")*(pat_tech_bt_02_face[[annee]:[annee]]=D$518)*(pat_tech_bt_02_face[lineaire_bt_torsade_sup_50ans]))</f>
        <v>54.74</v>
      </c>
      <c r="E527" s="7" cm="1">
        <f t="array" ref="E527">SUMPRODUCT((pat_tech_bt_02_face[[client]:[client]]=syndicat_etude)*(pat_tech_bt_02_face[Code Regime FACE]="R")*(pat_tech_bt_02_face[[annee]:[annee]]=E$518)*(pat_tech_bt_02_face[lineaire_bt_torsade_sup_50ans]))</f>
        <v>42.7</v>
      </c>
      <c r="F527" s="7" cm="1">
        <f t="array" ref="F527">SUMPRODUCT((pat_tech_bt_02_face[[client]:[client]]=syndicat_etude)*(pat_tech_bt_02_face[Code Regime FACE]="R")*(pat_tech_bt_02_face[[annee]:[annee]]=F$518)*(pat_tech_bt_02_face[lineaire_bt_torsade_sup_50ans]))</f>
        <v>42.3</v>
      </c>
      <c r="G527" s="7" cm="1">
        <f t="array" ref="G527">SUMPRODUCT((pat_tech_bt_02_face[[client]:[client]]=syndicat_etude)*(pat_tech_bt_02_face[Code Regime FACE]="R")*(pat_tech_bt_02_face[[annee]:[annee]]=G$518)*(pat_tech_bt_02_face[lineaire_bt_torsade_sup_50ans]))</f>
        <v>41.97</v>
      </c>
      <c r="H527" s="137">
        <f t="shared" si="15"/>
        <v>-7.8014184397162678E-3</v>
      </c>
    </row>
    <row r="528" spans="1:8" ht="15" customHeight="1" x14ac:dyDescent="0.25">
      <c r="B528" s="287" t="s">
        <v>458</v>
      </c>
      <c r="C528" s="7" cm="1">
        <f t="array" ref="C528">SUMPRODUCT((pat_tech_bt_02_face[[client]:[client]]=syndicat_etude)*(pat_tech_bt_02_face[Code Regime FACE]="R")*(pat_tech_bt_02_face[[annee]:[annee]]=C$518)*(pat_tech_bt_02_face[souterrain_sup_40ans]))</f>
        <v>25.87</v>
      </c>
      <c r="D528" s="7" cm="1">
        <f t="array" ref="D528">SUMPRODUCT((pat_tech_bt_02_face[[client]:[client]]=syndicat_etude)*(pat_tech_bt_02_face[Code Regime FACE]="R")*(pat_tech_bt_02_face[[annee]:[annee]]=D$518)*(pat_tech_bt_02_face[souterrain_sup_40ans]))</f>
        <v>25.86</v>
      </c>
      <c r="E528" s="7" cm="1">
        <f t="array" ref="E528">SUMPRODUCT((pat_tech_bt_02_face[[client]:[client]]=syndicat_etude)*(pat_tech_bt_02_face[Code Regime FACE]="R")*(pat_tech_bt_02_face[[annee]:[annee]]=E$518)*(pat_tech_bt_02_face[souterrain_sup_40ans]))</f>
        <v>16.37</v>
      </c>
      <c r="F528" s="7" cm="1">
        <f t="array" ref="F528">SUMPRODUCT((pat_tech_bt_02_face[[client]:[client]]=syndicat_etude)*(pat_tech_bt_02_face[Code Regime FACE]="R")*(pat_tech_bt_02_face[[annee]:[annee]]=F$518)*(pat_tech_bt_02_face[souterrain_sup_40ans]))</f>
        <v>16.510000000000002</v>
      </c>
      <c r="G528" s="7" cm="1">
        <f t="array" ref="G528">SUMPRODUCT((pat_tech_bt_02_face[[client]:[client]]=syndicat_etude)*(pat_tech_bt_02_face[Code Regime FACE]="R")*(pat_tech_bt_02_face[[annee]:[annee]]=G$518)*(pat_tech_bt_02_face[souterrain_sup_40ans]))</f>
        <v>17.07</v>
      </c>
      <c r="H528" s="137">
        <f t="shared" si="15"/>
        <v>3.3918837068443342E-2</v>
      </c>
    </row>
    <row r="529" spans="1:8" ht="15" customHeight="1" x14ac:dyDescent="0.25">
      <c r="B529" s="320" t="s">
        <v>459</v>
      </c>
      <c r="C529" s="576">
        <f>SUM(C$531,C$534:C$536)</f>
        <v>145.51</v>
      </c>
      <c r="D529" s="576">
        <f>SUM(D$531,D$534:D$536)</f>
        <v>136.95000000000002</v>
      </c>
      <c r="E529" s="576">
        <f>SUM(E$531,E$534:E$536)</f>
        <v>125.65</v>
      </c>
      <c r="F529" s="576">
        <f>SUM(F$531,F$534:F$536)</f>
        <v>121.84000000000002</v>
      </c>
      <c r="G529" s="576">
        <f>SUM(G$531,G$534:G$536)</f>
        <v>119.41000000000001</v>
      </c>
      <c r="H529" s="579">
        <f>IFERROR(G529/F529-1,"-")</f>
        <v>-1.9944189100459697E-2</v>
      </c>
    </row>
    <row r="530" spans="1:8" ht="15" customHeight="1" x14ac:dyDescent="0.25">
      <c r="B530" s="577" t="s">
        <v>473</v>
      </c>
      <c r="C530" s="580" t="str">
        <f>IFERROR(C$529/C$519,"-")</f>
        <v>-</v>
      </c>
      <c r="D530" s="580" t="str">
        <f>IFERROR(D$529/D$519,"-")</f>
        <v>-</v>
      </c>
      <c r="E530" s="580">
        <f>IFERROR(E$529/E$519,"-")</f>
        <v>5.104092617040723E-2</v>
      </c>
      <c r="F530" s="580">
        <f>IFERROR(F$529/F$519,"-")</f>
        <v>4.9361509042587674E-2</v>
      </c>
      <c r="G530" s="580">
        <f>IFERROR(G$529/G$519,"-")</f>
        <v>4.7972392071157111E-2</v>
      </c>
      <c r="H530" s="575">
        <f t="shared" si="15"/>
        <v>-2.8141703897911152E-2</v>
      </c>
    </row>
    <row r="531" spans="1:8" ht="15" customHeight="1" x14ac:dyDescent="0.25">
      <c r="B531" s="287" t="s">
        <v>84</v>
      </c>
      <c r="C531" s="7" cm="1">
        <f t="array" ref="C531">SUMPRODUCT((pat_tech_bt_04b[[client]:[client]]=syndicat_etude)*(pat_tech_bt_04b[[annee]:[annee]]=C$518)*(pat_tech_bt_04b[[aerien_nu_rural_km]:[aerien_nu_rural_km]]))</f>
        <v>119.72</v>
      </c>
      <c r="D531" s="7" cm="1">
        <f t="array" ref="D531">SUMPRODUCT((pat_tech_bt_04b[[client]:[client]]=syndicat_etude)*(pat_tech_bt_04b[[annee]:[annee]]=D$518)*(pat_tech_bt_04b[[aerien_nu_rural_km]:[aerien_nu_rural_km]]))</f>
        <v>111.2</v>
      </c>
      <c r="E531" s="7" cm="1">
        <f t="array" ref="E531">SUMPRODUCT((pat_tech_bt_04b[[client]:[client]]=syndicat_etude)*(pat_tech_bt_04b[[annee]:[annee]]=E$518)*(pat_tech_bt_04b[[aerien_nu_rural_km]:[aerien_nu_rural_km]]))</f>
        <v>109.23</v>
      </c>
      <c r="F531" s="7" cm="1">
        <f t="array" ref="F531">SUMPRODUCT((pat_tech_bt_04b[[client]:[client]]=syndicat_etude)*(pat_tech_bt_04b[[annee]:[annee]]=F$518)*(pat_tech_bt_04b[[aerien_nu_rural_km]:[aerien_nu_rural_km]]))</f>
        <v>105.65</v>
      </c>
      <c r="G531" s="7" cm="1">
        <f t="array" ref="G531">SUMPRODUCT((pat_tech_bt_04b[[client]:[client]]=syndicat_etude)*(pat_tech_bt_04b[[annee]:[annee]]=G$518)*(pat_tech_bt_04b[[aerien_nu_rural_km]:[aerien_nu_rural_km]]))</f>
        <v>103.38</v>
      </c>
      <c r="H531" s="137">
        <f t="shared" si="15"/>
        <v>-2.1486038807382979E-2</v>
      </c>
    </row>
    <row r="532" spans="1:8" ht="15" customHeight="1" x14ac:dyDescent="0.25">
      <c r="B532" s="583" t="s">
        <v>461</v>
      </c>
      <c r="C532" s="201" cm="1">
        <f t="array" ref="C532">SUMPRODUCT((pat_tech_bt_04b[[client]:[client]]=syndicat_etude)*(pat_tech_bt_04b[[annee]:[annee]]=C$518)*(pat_tech_bt_04b[[aerien_nu_fs_rural_km]:[aerien_nu_fs_rural_km]]))</f>
        <v>30.71</v>
      </c>
      <c r="D532" s="201" cm="1">
        <f t="array" ref="D532">SUMPRODUCT((pat_tech_bt_04b[[client]:[client]]=syndicat_etude)*(pat_tech_bt_04b[[annee]:[annee]]=D$518)*(pat_tech_bt_04b[[aerien_nu_fs_rural_km]:[aerien_nu_fs_rural_km]]))</f>
        <v>28.21</v>
      </c>
      <c r="E532" s="201" cm="1">
        <f t="array" ref="E532">SUMPRODUCT((pat_tech_bt_04b[[client]:[client]]=syndicat_etude)*(pat_tech_bt_04b[[annee]:[annee]]=E$518)*(pat_tech_bt_04b[[aerien_nu_fs_rural_km]:[aerien_nu_fs_rural_km]]))</f>
        <v>24.89</v>
      </c>
      <c r="F532" s="201" cm="1">
        <f t="array" ref="F532">SUMPRODUCT((pat_tech_bt_04b[[client]:[client]]=syndicat_etude)*(pat_tech_bt_04b[[annee]:[annee]]=F$518)*(pat_tech_bt_04b[[aerien_nu_fs_rural_km]:[aerien_nu_fs_rural_km]]))</f>
        <v>24.14</v>
      </c>
      <c r="G532" s="201" cm="1">
        <f t="array" ref="G532">SUMPRODUCT((pat_tech_bt_04b[[client]:[client]]=syndicat_etude)*(pat_tech_bt_04b[[annee]:[annee]]=G$518)*(pat_tech_bt_04b[[aerien_nu_fs_rural_km]:[aerien_nu_fs_rural_km]]))</f>
        <v>23.47</v>
      </c>
      <c r="H532" s="137">
        <f t="shared" si="15"/>
        <v>-2.775476387738196E-2</v>
      </c>
    </row>
    <row r="533" spans="1:8" ht="15" customHeight="1" x14ac:dyDescent="0.25">
      <c r="B533" s="581" t="s">
        <v>462</v>
      </c>
      <c r="C533" s="276" cm="1">
        <f t="array" ref="C533">SUMPRODUCT((pat_tech_bt_04b[[client]:[client]]=syndicat_etude)*(pat_tech_bt_04b[[annee]:[annee]]=C$518)*(pat_tech_bt_04b[[pourcentage_aerien_nu_rural]:[pourcentage_aerien_nu_rural]]))/100</f>
        <v>0.10679999999999999</v>
      </c>
      <c r="D533" s="276" cm="1">
        <f t="array" ref="D533">SUMPRODUCT((pat_tech_bt_04b[[client]:[client]]=syndicat_etude)*(pat_tech_bt_04b[[annee]:[annee]]=D$518)*(pat_tech_bt_04b[[pourcentage_aerien_nu_rural]:[pourcentage_aerien_nu_rural]]))/100</f>
        <v>0.1007</v>
      </c>
      <c r="E533" s="276" cm="1">
        <f t="array" ref="E533">SUMPRODUCT((pat_tech_bt_04b[[client]:[client]]=syndicat_etude)*(pat_tech_bt_04b[[annee]:[annee]]=E$518)*(pat_tech_bt_04b[[pourcentage_aerien_nu_rural]:[pourcentage_aerien_nu_rural]]))/100</f>
        <v>0.1008</v>
      </c>
      <c r="F533" s="276" cm="1">
        <f t="array" ref="F533">SUMPRODUCT((pat_tech_bt_04b[[client]:[client]]=syndicat_etude)*(pat_tech_bt_04b[[annee]:[annee]]=F$518)*(pat_tech_bt_04b[[pourcentage_aerien_nu_rural]:[pourcentage_aerien_nu_rural]]))/100</f>
        <v>9.9299999999999999E-2</v>
      </c>
      <c r="G533" s="276" cm="1">
        <f t="array" ref="G533">SUMPRODUCT((pat_tech_bt_04b[[client]:[client]]=syndicat_etude)*(pat_tech_bt_04b[[annee]:[annee]]=G$518)*(pat_tech_bt_04b[[pourcentage_aerien_nu_rural]:[pourcentage_aerien_nu_rural]]))/100</f>
        <v>9.8000000000000004E-2</v>
      </c>
      <c r="H533" s="137">
        <f t="shared" si="15"/>
        <v>-1.3091641490432959E-2</v>
      </c>
    </row>
    <row r="534" spans="1:8" ht="15" customHeight="1" x14ac:dyDescent="0.25">
      <c r="A534" s="25" t="s">
        <v>463</v>
      </c>
      <c r="B534" s="287" t="s">
        <v>464</v>
      </c>
      <c r="C534" s="7" cm="1">
        <f t="array" ref="C534">SUMPRODUCT((pat_tech_bt_04b[[client]:[client]]=syndicat_etude)*(pat_tech_bt_04b[[annee]:[annee]]=C$518)*(pat_tech_bt_04b[[cpi_rural_km]:[cpi_rural_km]]))</f>
        <v>0.53</v>
      </c>
      <c r="D534" s="7" cm="1">
        <f t="array" ref="D534">SUMPRODUCT((pat_tech_bt_04b[[client]:[client]]=syndicat_etude)*(pat_tech_bt_04b[[annee]:[annee]]=D$518)*(pat_tech_bt_04b[[cpi_rural_km]:[cpi_rural_km]]))</f>
        <v>0.51</v>
      </c>
      <c r="E534" s="7" cm="1">
        <f t="array" ref="E534">SUMPRODUCT((pat_tech_bt_04b[[client]:[client]]=syndicat_etude)*(pat_tech_bt_04b[[annee]:[annee]]=E$518)*(pat_tech_bt_04b[[cpi_rural_km]:[cpi_rural_km]]))</f>
        <v>0.53</v>
      </c>
      <c r="F534" s="7" cm="1">
        <f t="array" ref="F534">SUMPRODUCT((pat_tech_bt_04b[[client]:[client]]=syndicat_etude)*(pat_tech_bt_04b[[annee]:[annee]]=F$518)*(pat_tech_bt_04b[[cpi_rural_km]:[cpi_rural_km]]))</f>
        <v>0.53</v>
      </c>
      <c r="G534" s="7" cm="1">
        <f t="array" ref="G534">SUMPRODUCT((pat_tech_bt_04b[[client]:[client]]=syndicat_etude)*(pat_tech_bt_04b[[annee]:[annee]]=G$518)*(pat_tech_bt_04b[[cpi_rural_km]:[cpi_rural_km]]))</f>
        <v>0.51</v>
      </c>
      <c r="H534" s="137">
        <f t="shared" si="15"/>
        <v>-3.7735849056603765E-2</v>
      </c>
    </row>
    <row r="535" spans="1:8" ht="15" customHeight="1" x14ac:dyDescent="0.25">
      <c r="B535" s="287" t="s">
        <v>465</v>
      </c>
      <c r="C535" s="7" cm="1">
        <f t="array" ref="C535">SUMPRODUCT((pat_tech_bt_04b[[client]:[client]]=syndicat_etude)*(pat_tech_bt_04b[[annee]:[annee]]=C$518)*(pat_tech_bt_04b[[np_rural_km]:[np_rural_km]]))</f>
        <v>0.68</v>
      </c>
      <c r="D535" s="7" cm="1">
        <f t="array" ref="D535">SUMPRODUCT((pat_tech_bt_04b[[client]:[client]]=syndicat_etude)*(pat_tech_bt_04b[[annee]:[annee]]=D$518)*(pat_tech_bt_04b[[np_rural_km]:[np_rural_km]]))</f>
        <v>0.68</v>
      </c>
      <c r="E535" s="7" cm="1">
        <f t="array" ref="E535">SUMPRODUCT((pat_tech_bt_04b[[client]:[client]]=syndicat_etude)*(pat_tech_bt_04b[[annee]:[annee]]=E$518)*(pat_tech_bt_04b[[np_rural_km]:[np_rural_km]]))</f>
        <v>0.15</v>
      </c>
      <c r="F535" s="7" cm="1">
        <f t="array" ref="F535">SUMPRODUCT((pat_tech_bt_04b[[client]:[client]]=syndicat_etude)*(pat_tech_bt_04b[[annee]:[annee]]=F$518)*(pat_tech_bt_04b[[np_rural_km]:[np_rural_km]]))</f>
        <v>0.15</v>
      </c>
      <c r="G535" s="7" cm="1">
        <f t="array" ref="G535">SUMPRODUCT((pat_tech_bt_04b[[client]:[client]]=syndicat_etude)*(pat_tech_bt_04b[[annee]:[annee]]=G$518)*(pat_tech_bt_04b[[np_rural_km]:[np_rural_km]]))</f>
        <v>0.15</v>
      </c>
      <c r="H535" s="137">
        <f t="shared" si="15"/>
        <v>0</v>
      </c>
    </row>
    <row r="536" spans="1:8" ht="15" customHeight="1" x14ac:dyDescent="0.25">
      <c r="B536" s="287" t="s">
        <v>466</v>
      </c>
      <c r="C536" s="7" cm="1">
        <f t="array" ref="C536">SUMPRODUCT((pat_tech_bt_04b[[client]:[client]]=syndicat_etude)*(pat_tech_bt_04b[[annee]:[annee]]=C$518)*(pat_tech_bt_04b[[non_date_rural_km]:[non_date_rural_km]]))</f>
        <v>24.58</v>
      </c>
      <c r="D536" s="7" cm="1">
        <f t="array" ref="D536">SUMPRODUCT((pat_tech_bt_04b[[client]:[client]]=syndicat_etude)*(pat_tech_bt_04b[[annee]:[annee]]=D$518)*(pat_tech_bt_04b[[non_date_rural_km]:[non_date_rural_km]]))</f>
        <v>24.56</v>
      </c>
      <c r="E536" s="7" cm="1">
        <f t="array" ref="E536">SUMPRODUCT((pat_tech_bt_04b[[client]:[client]]=syndicat_etude)*(pat_tech_bt_04b[[annee]:[annee]]=E$518)*(pat_tech_bt_04b[[non_date_rural_km]:[non_date_rural_km]]))</f>
        <v>15.74</v>
      </c>
      <c r="F536" s="7" cm="1">
        <f t="array" ref="F536">SUMPRODUCT((pat_tech_bt_04b[[client]:[client]]=syndicat_etude)*(pat_tech_bt_04b[[annee]:[annee]]=F$518)*(pat_tech_bt_04b[[non_date_rural_km]:[non_date_rural_km]]))</f>
        <v>15.51</v>
      </c>
      <c r="G536" s="7" cm="1">
        <f t="array" ref="G536">SUMPRODUCT((pat_tech_bt_04b[[client]:[client]]=syndicat_etude)*(pat_tech_bt_04b[[annee]:[annee]]=G$518)*(pat_tech_bt_04b[[non_date_rural_km]:[non_date_rural_km]]))</f>
        <v>15.37</v>
      </c>
      <c r="H536" s="137">
        <f t="shared" si="15"/>
        <v>-9.0264345583495054E-3</v>
      </c>
    </row>
    <row r="537" spans="1:8" ht="15" customHeight="1" x14ac:dyDescent="0.25">
      <c r="B537" s="582" t="s">
        <v>467</v>
      </c>
      <c r="C537" s="154" cm="1">
        <f t="array" ref="C537">SUMPRODUCT((pat_tech_bt_04b[[client]:[client]]=syndicat_etude)*(pat_tech_bt_04b[[annee]:[annee]]=C$518)*(pat_tech_bt_04b[[pourcentage_np_rural]:[pourcentage_np_rural]]+pat_tech_bt_04b[[pourcentage_cpi_rural]:[pourcentage_cpi_rural]]+pat_tech_bt_04b[[pourcentage_non_date_rural]:[pourcentage_non_date_rural]]))/100</f>
        <v>1.9199999999999998E-2</v>
      </c>
      <c r="D537" s="154" cm="1">
        <f t="array" ref="D537">SUMPRODUCT((pat_tech_bt_04b[[client]:[client]]=syndicat_etude)*(pat_tech_bt_04b[[annee]:[annee]]=D$518)*(pat_tech_bt_04b[[pourcentage_np_rural]:[pourcentage_np_rural]]+pat_tech_bt_04b[[pourcentage_cpi_rural]:[pourcentage_cpi_rural]]+pat_tech_bt_04b[[pourcentage_non_date_rural]:[pourcentage_non_date_rural]]))/100</f>
        <v>1.8500000000000003E-2</v>
      </c>
      <c r="E537" s="154" cm="1">
        <f t="array" ref="E537">SUMPRODUCT((pat_tech_bt_04b[[client]:[client]]=syndicat_etude)*(pat_tech_bt_04b[[annee]:[annee]]=E$518)*(pat_tech_bt_04b[[pourcentage_np_rural]:[pourcentage_np_rural]]+pat_tech_bt_04b[[pourcentage_cpi_rural]:[pourcentage_cpi_rural]]+pat_tech_bt_04b[[pourcentage_non_date_rural]:[pourcentage_non_date_rural]]))/100</f>
        <v>2.4300000000000002E-2</v>
      </c>
      <c r="F537" s="154" cm="1">
        <f t="array" ref="F537">SUMPRODUCT((pat_tech_bt_04b[[client]:[client]]=syndicat_etude)*(pat_tech_bt_04b[[annee]:[annee]]=F$518)*(pat_tech_bt_04b[[pourcentage_np_rural]:[pourcentage_np_rural]]+pat_tech_bt_04b[[pourcentage_cpi_rural]:[pourcentage_cpi_rural]]+pat_tech_bt_04b[[pourcentage_non_date_rural]:[pourcentage_non_date_rural]]))/100</f>
        <v>2.35E-2</v>
      </c>
      <c r="G537" s="154" cm="1">
        <f t="array" ref="G537">SUMPRODUCT((pat_tech_bt_04b[[client]:[client]]=syndicat_etude)*(pat_tech_bt_04b[[annee]:[annee]]=G$518)*(pat_tech_bt_04b[[pourcentage_np_rural]:[pourcentage_np_rural]]+pat_tech_bt_04b[[pourcentage_cpi_rural]:[pourcentage_cpi_rural]]+pat_tech_bt_04b[[pourcentage_non_date_rural]:[pourcentage_non_date_rural]]))/100</f>
        <v>2.2700000000000001E-2</v>
      </c>
      <c r="H537" s="138">
        <f t="shared" si="15"/>
        <v>-3.40425531914893E-2</v>
      </c>
    </row>
    <row r="539" spans="1:8" ht="30" customHeight="1" x14ac:dyDescent="0.25">
      <c r="A539" s="479" t="s">
        <v>474</v>
      </c>
      <c r="B539" s="66" t="s">
        <v>475</v>
      </c>
      <c r="C539" s="67" cm="1">
        <f t="array" ref="C539">Exercice[Exercice N-4]</f>
        <v>2019</v>
      </c>
      <c r="D539" s="67" cm="1">
        <f t="array" ref="D539">Exercice[Exercice N-3]</f>
        <v>2020</v>
      </c>
      <c r="E539" s="67" cm="1">
        <f t="array" ref="E539">Exercice[Exercice N-2]</f>
        <v>2021</v>
      </c>
      <c r="F539" s="67" cm="1">
        <f t="array" ref="F539">Exercice[Exercice N-1]</f>
        <v>2022</v>
      </c>
      <c r="G539" s="69" cm="1">
        <f t="array" ref="G539">Exercice[Exercice N]</f>
        <v>2023</v>
      </c>
    </row>
    <row r="540" spans="1:8" ht="15" customHeight="1" x14ac:dyDescent="0.25">
      <c r="A540" s="25" t="s">
        <v>463</v>
      </c>
      <c r="B540" s="50" t="s">
        <v>113</v>
      </c>
      <c r="C540" s="7" cm="1">
        <f t="array" ref="C540">SUMPRODUCT((pat_tech_bt_04b[[client]:[client]]=syndicat_etude)*(pat_tech_bt_04b[[annee]:[annee]]=C$539)*(pat_tech_bt_04b[[aerien_nu_km]:[aerien_nu_km]]))</f>
        <v>258.26</v>
      </c>
      <c r="D540" s="7" cm="1">
        <f t="array" ref="D540">SUMPRODUCT((pat_tech_bt_04b[[client]:[client]]=syndicat_etude)*(pat_tech_bt_04b[[annee]:[annee]]=D$539)*(pat_tech_bt_04b[[aerien_nu_km]:[aerien_nu_km]]))</f>
        <v>248.32</v>
      </c>
      <c r="E540" s="7" cm="1">
        <f t="array" ref="E540">SUMPRODUCT((pat_tech_bt_04b[[client]:[client]]=syndicat_etude)*(pat_tech_bt_04b[[annee]:[annee]]=E$539)*(pat_tech_bt_04b[[aerien_nu_km]:[aerien_nu_km]]))</f>
        <v>239.05</v>
      </c>
      <c r="F540" s="7" cm="1">
        <f t="array" ref="F540">SUMPRODUCT((pat_tech_bt_04b[[client]:[client]]=syndicat_etude)*(pat_tech_bt_04b[[annee]:[annee]]=F$539)*(pat_tech_bt_04b[[aerien_nu_km]:[aerien_nu_km]]))</f>
        <v>233.15</v>
      </c>
      <c r="G540" s="83" cm="1">
        <f t="array" ref="G540">SUMPRODUCT((pat_tech_bt_04b[[client]:[client]]=syndicat_etude)*(pat_tech_bt_04b[[annee]:[annee]]=G$539)*(pat_tech_bt_04b[[aerien_nu_km]:[aerien_nu_km]]))</f>
        <v>224.27</v>
      </c>
    </row>
    <row r="541" spans="1:8" ht="15" customHeight="1" x14ac:dyDescent="0.25">
      <c r="B541" s="588" t="s">
        <v>476</v>
      </c>
      <c r="C541" s="276">
        <f>IFERROR(C$540/C$399,0)</f>
        <v>7.098896930481606E-2</v>
      </c>
      <c r="D541" s="276">
        <f>IFERROR(D$540/D$399,0)</f>
        <v>6.7849775264013548E-2</v>
      </c>
      <c r="E541" s="276">
        <f>IFERROR(E$540/E$399,0)</f>
        <v>6.4761961524811645E-2</v>
      </c>
      <c r="F541" s="276">
        <f>IFERROR(F$540/F$399,0)</f>
        <v>6.2898765765158154E-2</v>
      </c>
      <c r="G541" s="676">
        <f>IFERROR(G$540/G$399,0)</f>
        <v>5.9966683690249233E-2</v>
      </c>
    </row>
    <row r="542" spans="1:8" ht="15" customHeight="1" x14ac:dyDescent="0.25">
      <c r="A542" s="28" t="s">
        <v>477</v>
      </c>
      <c r="B542" s="588" t="s">
        <v>478</v>
      </c>
      <c r="C542" s="520" cm="1">
        <f t="array" ref="C542">SUMPRODUCT((pat_tech_bt_04_nat[annee]=Exercice[Exercice N-4])*(pat_tech_bt_04_nat[moyenne_nat_aerien_nu]))</f>
        <v>8.1984624945207099E-2</v>
      </c>
      <c r="D542" s="520" cm="1">
        <f t="array" ref="D542">SUMPRODUCT((pat_tech_bt_04_nat[annee]=Exercice[Exercice N-3])*(pat_tech_bt_04_nat[moyenne_nat_aerien_nu]))</f>
        <v>7.2509568089302326E-2</v>
      </c>
      <c r="E542" s="520" cm="1">
        <f t="array" ref="E542">SUMPRODUCT((pat_tech_bt_04_nat[annee]=Exercice[Exercice N-2])*(pat_tech_bt_04_nat[moyenne_nat_aerien_nu]))</f>
        <v>6.8999070784467112E-2</v>
      </c>
      <c r="F542" s="520" cm="1">
        <f t="array" ref="F542">SUMPRODUCT((pat_tech_bt_04_nat[annee]=Exercice[Exercice N-1])*(pat_tech_bt_04_nat[moyenne_nat_aerien_nu]))</f>
        <v>6.7524468523416925E-2</v>
      </c>
      <c r="G542" s="677" cm="1">
        <f t="array" ref="G542">SUMPRODUCT((pat_tech_bt_04_nat[annee]=Exercice[Exercice N])*(pat_tech_bt_04_nat[moyenne_nat_aerien_nu]))</f>
        <v>5.7237398833982399E-2</v>
      </c>
    </row>
    <row r="543" spans="1:8" ht="15" customHeight="1" x14ac:dyDescent="0.25">
      <c r="B543" s="50" t="s">
        <v>479</v>
      </c>
      <c r="C543" s="678" cm="1">
        <f t="array" ref="C543">SUMPRODUCT((pat_tech_bt_04b[[client]:[client]]=syndicat_etude)*(pat_tech_bt_04b[[annee]:[annee]]=C$539)*(pat_tech_bt_04b[[aerien_nu_fs_km]:[aerien_nu_fs_km]]))</f>
        <v>40.520000000000003</v>
      </c>
      <c r="D543" s="678" cm="1">
        <f t="array" ref="D543">SUMPRODUCT((pat_tech_bt_04b[[client]:[client]]=syndicat_etude)*(pat_tech_bt_04b[[annee]:[annee]]=D$539)*(pat_tech_bt_04b[[aerien_nu_fs_km]:[aerien_nu_fs_km]]))</f>
        <v>37.4</v>
      </c>
      <c r="E543" s="678" cm="1">
        <f t="array" ref="E543">SUMPRODUCT((pat_tech_bt_04b[[client]:[client]]=syndicat_etude)*(pat_tech_bt_04b[[annee]:[annee]]=E$539)*(pat_tech_bt_04b[[aerien_nu_fs_km]:[aerien_nu_fs_km]]))</f>
        <v>33.49</v>
      </c>
      <c r="F543" s="678" cm="1">
        <f t="array" ref="F543">SUMPRODUCT((pat_tech_bt_04b[[client]:[client]]=syndicat_etude)*(pat_tech_bt_04b[[annee]:[annee]]=F$539)*(pat_tech_bt_04b[[aerien_nu_fs_km]:[aerien_nu_fs_km]]))</f>
        <v>32.380000000000003</v>
      </c>
      <c r="G543" s="679" cm="1">
        <f t="array" ref="G543">SUMPRODUCT((pat_tech_bt_04b[[client]:[client]]=syndicat_etude)*(pat_tech_bt_04b[[annee]:[annee]]=G$539)*(pat_tech_bt_04b[[aerien_nu_fs_km]:[aerien_nu_fs_km]]))</f>
        <v>30.09</v>
      </c>
    </row>
    <row r="544" spans="1:8" ht="15" customHeight="1" x14ac:dyDescent="0.25">
      <c r="B544" s="588" t="s">
        <v>480</v>
      </c>
      <c r="C544" s="520">
        <f>IFERROR(C$543/C$540,0)</f>
        <v>0.15689615116549216</v>
      </c>
      <c r="D544" s="520">
        <f>IFERROR(D$543/D$540,0)</f>
        <v>0.15061211340206185</v>
      </c>
      <c r="E544" s="520">
        <f>IFERROR(E$543/E$540,0)</f>
        <v>0.14009621418113366</v>
      </c>
      <c r="F544" s="520">
        <f>IFERROR(F$543/F$540,0)</f>
        <v>0.1388805490027879</v>
      </c>
      <c r="G544" s="677">
        <f>IFERROR(G$543/G$540,0)</f>
        <v>0.13416863601908413</v>
      </c>
    </row>
    <row r="545" spans="1:7" ht="15" customHeight="1" x14ac:dyDescent="0.25">
      <c r="A545" s="28" t="s">
        <v>477</v>
      </c>
      <c r="B545" s="680" t="s">
        <v>481</v>
      </c>
      <c r="C545" s="681" cm="1">
        <f t="array" ref="C545">SUMPRODUCT((pat_tech_bt_04_nat[annee]=Exercice[Exercice N-4])*(pat_tech_bt_04_nat[moyenne_nat_fs]))</f>
        <v>0.28520430045757672</v>
      </c>
      <c r="D545" s="681" cm="1">
        <f t="array" ref="D545">SUMPRODUCT((pat_tech_bt_04_nat[annee]=Exercice[Exercice N-3])*(pat_tech_bt_04_nat[moyenne_nat_fs]))</f>
        <v>0.27549903446442026</v>
      </c>
      <c r="E545" s="681" cm="1">
        <f t="array" ref="E545">SUMPRODUCT((pat_tech_bt_04_nat[annee]=Exercice[Exercice N-2])*(pat_tech_bt_04_nat[moyenne_nat_fs]))</f>
        <v>0.26876913969283783</v>
      </c>
      <c r="F545" s="681" cm="1">
        <f t="array" ref="F545">SUMPRODUCT((pat_tech_bt_04_nat[annee]=Exercice[Exercice N-1])*(pat_tech_bt_04_nat[moyenne_nat_fs]))</f>
        <v>0.24755896542310019</v>
      </c>
      <c r="G545" s="682" cm="1">
        <f t="array" ref="G545">SUMPRODUCT((pat_tech_bt_04_nat[annee]=Exercice[Exercice N])*(pat_tech_bt_04_nat[moyenne_nat_fs]))</f>
        <v>0.2274284439108856</v>
      </c>
    </row>
    <row r="547" spans="1:7" ht="15" customHeight="1" x14ac:dyDescent="0.25">
      <c r="A547" s="479" t="s">
        <v>482</v>
      </c>
      <c r="B547" s="237" t="s">
        <v>483</v>
      </c>
    </row>
    <row r="549" spans="1:7" ht="15" customHeight="1" x14ac:dyDescent="0.25">
      <c r="A549" s="479" t="s">
        <v>484</v>
      </c>
      <c r="B549" s="237" t="s">
        <v>485</v>
      </c>
    </row>
    <row r="551" spans="1:7" ht="15" customHeight="1" x14ac:dyDescent="0.25">
      <c r="A551" s="479" t="s">
        <v>486</v>
      </c>
      <c r="B551" s="237" t="s">
        <v>487</v>
      </c>
    </row>
    <row r="553" spans="1:7" ht="15" customHeight="1" x14ac:dyDescent="0.25">
      <c r="A553" s="479" t="s">
        <v>488</v>
      </c>
      <c r="B553" s="237" t="s">
        <v>489</v>
      </c>
    </row>
    <row r="554" spans="1:7" ht="15" customHeight="1" x14ac:dyDescent="0.25">
      <c r="A554" s="237"/>
      <c r="B554" s="237"/>
    </row>
    <row r="555" spans="1:7" ht="30" customHeight="1" x14ac:dyDescent="0.25">
      <c r="B555" s="66" t="s">
        <v>490</v>
      </c>
      <c r="C555" s="67" cm="1">
        <f t="array" ref="C555">Exercice[Exercice N-4]</f>
        <v>2019</v>
      </c>
      <c r="D555" s="67" cm="1">
        <f t="array" ref="D555">Exercice[Exercice N-3]</f>
        <v>2020</v>
      </c>
      <c r="E555" s="67" cm="1">
        <f t="array" ref="E555">Exercice[Exercice N-2]</f>
        <v>2021</v>
      </c>
      <c r="F555" s="67" cm="1">
        <f t="array" ref="F555">Exercice[Exercice N-1]</f>
        <v>2022</v>
      </c>
      <c r="G555" s="69" cm="1">
        <f t="array" ref="G555">Exercice[Exercice N]</f>
        <v>2023</v>
      </c>
    </row>
    <row r="556" spans="1:7" ht="15" customHeight="1" x14ac:dyDescent="0.25">
      <c r="B556" s="126" t="s">
        <v>491</v>
      </c>
      <c r="C556" s="242"/>
      <c r="D556" s="242"/>
      <c r="E556" s="242"/>
      <c r="F556" s="242"/>
      <c r="G556" s="243"/>
    </row>
    <row r="557" spans="1:7" ht="15" customHeight="1" x14ac:dyDescent="0.25">
      <c r="B557" s="50" t="s">
        <v>113</v>
      </c>
      <c r="C557" s="8">
        <f t="shared" ref="C557:G559" si="16">IF(ISERROR(C500/C$498),0,C500/C$498)</f>
        <v>0.11832025211591181</v>
      </c>
      <c r="D557" s="8">
        <f t="shared" si="16"/>
        <v>0.11610106346948453</v>
      </c>
      <c r="E557" s="8">
        <f t="shared" si="16"/>
        <v>0.10558293885120297</v>
      </c>
      <c r="F557" s="8">
        <f t="shared" si="16"/>
        <v>0.10295210103032848</v>
      </c>
      <c r="G557" s="80">
        <f t="shared" si="16"/>
        <v>9.6652462083356649E-2</v>
      </c>
    </row>
    <row r="558" spans="1:7" ht="15" customHeight="1" x14ac:dyDescent="0.25">
      <c r="B558" s="50" t="s">
        <v>114</v>
      </c>
      <c r="C558" s="8">
        <f t="shared" si="16"/>
        <v>0.19068400959953538</v>
      </c>
      <c r="D558" s="8">
        <f t="shared" si="16"/>
        <v>0.18906218248323511</v>
      </c>
      <c r="E558" s="8">
        <f t="shared" si="16"/>
        <v>0.18984757535828736</v>
      </c>
      <c r="F558" s="8">
        <f t="shared" si="16"/>
        <v>0.1887455185556022</v>
      </c>
      <c r="G558" s="80">
        <f t="shared" si="16"/>
        <v>0.18837196287087155</v>
      </c>
    </row>
    <row r="559" spans="1:7" ht="15" customHeight="1" x14ac:dyDescent="0.25">
      <c r="B559" s="50" t="s">
        <v>115</v>
      </c>
      <c r="C559" s="8">
        <f t="shared" si="16"/>
        <v>0.69098719777263451</v>
      </c>
      <c r="D559" s="8">
        <f t="shared" si="16"/>
        <v>0.6948367540472804</v>
      </c>
      <c r="E559" s="8">
        <f t="shared" si="16"/>
        <v>0.7045694857905096</v>
      </c>
      <c r="F559" s="8">
        <f t="shared" si="16"/>
        <v>0.70831045508865997</v>
      </c>
      <c r="G559" s="80">
        <f t="shared" si="16"/>
        <v>0.71497557504577181</v>
      </c>
    </row>
    <row r="560" spans="1:7" ht="15" customHeight="1" x14ac:dyDescent="0.25">
      <c r="B560" s="126" t="s">
        <v>492</v>
      </c>
      <c r="C560" s="242"/>
      <c r="D560" s="242"/>
      <c r="E560" s="242"/>
      <c r="F560" s="242"/>
      <c r="G560" s="243"/>
    </row>
    <row r="561" spans="1:8" ht="15" customHeight="1" x14ac:dyDescent="0.25">
      <c r="B561" s="50" t="s">
        <v>113</v>
      </c>
      <c r="C561" s="8">
        <f t="shared" ref="C561:G563" si="17">IF(ISERROR(C521/C$519),0,C521/C$519)</f>
        <v>0</v>
      </c>
      <c r="D561" s="8">
        <f t="shared" si="17"/>
        <v>0</v>
      </c>
      <c r="E561" s="8">
        <f t="shared" si="17"/>
        <v>4.4370874377983142E-2</v>
      </c>
      <c r="F561" s="8">
        <f t="shared" si="17"/>
        <v>4.280239191028716E-2</v>
      </c>
      <c r="G561" s="80">
        <f t="shared" si="17"/>
        <v>4.153241681866026E-2</v>
      </c>
    </row>
    <row r="562" spans="1:8" ht="15" customHeight="1" x14ac:dyDescent="0.25">
      <c r="B562" s="50" t="s">
        <v>114</v>
      </c>
      <c r="C562" s="8">
        <f t="shared" si="17"/>
        <v>0</v>
      </c>
      <c r="D562" s="8">
        <f t="shared" si="17"/>
        <v>0</v>
      </c>
      <c r="E562" s="8">
        <f t="shared" si="17"/>
        <v>0.39597034629836497</v>
      </c>
      <c r="F562" s="8">
        <f t="shared" si="17"/>
        <v>0.38830864717702729</v>
      </c>
      <c r="G562" s="80">
        <f t="shared" si="17"/>
        <v>0.38221233036309732</v>
      </c>
    </row>
    <row r="563" spans="1:8" ht="15" customHeight="1" x14ac:dyDescent="0.25">
      <c r="B563" s="53" t="s">
        <v>115</v>
      </c>
      <c r="C563" s="81">
        <f t="shared" si="17"/>
        <v>0</v>
      </c>
      <c r="D563" s="81">
        <f t="shared" si="17"/>
        <v>0</v>
      </c>
      <c r="E563" s="81">
        <f t="shared" si="17"/>
        <v>0.55965877932365182</v>
      </c>
      <c r="F563" s="81">
        <f t="shared" si="17"/>
        <v>0.5688849095741233</v>
      </c>
      <c r="G563" s="82">
        <f t="shared" si="17"/>
        <v>0.57625525281824252</v>
      </c>
    </row>
    <row r="564" spans="1:8" ht="15" customHeight="1" x14ac:dyDescent="0.25">
      <c r="B564" s="23"/>
      <c r="C564" s="8"/>
      <c r="D564" s="8"/>
      <c r="E564" s="8"/>
      <c r="F564" s="8"/>
      <c r="G564" s="8"/>
    </row>
    <row r="565" spans="1:8" ht="30" customHeight="1" x14ac:dyDescent="0.25">
      <c r="A565" s="25" t="s">
        <v>493</v>
      </c>
      <c r="B565" s="66" t="s">
        <v>494</v>
      </c>
      <c r="C565" s="67" cm="1">
        <f t="array" ref="C565">Exercice[Exercice N-4]</f>
        <v>2019</v>
      </c>
      <c r="D565" s="67" cm="1">
        <f t="array" ref="D565">Exercice[Exercice N-3]</f>
        <v>2020</v>
      </c>
      <c r="E565" s="67" cm="1">
        <f t="array" ref="E565">Exercice[Exercice N-2]</f>
        <v>2021</v>
      </c>
      <c r="F565" s="67" cm="1">
        <f t="array" ref="F565">Exercice[Exercice N-1]</f>
        <v>2022</v>
      </c>
      <c r="G565" s="69" cm="1">
        <f t="array" ref="G565">Exercice[Exercice N]</f>
        <v>2023</v>
      </c>
      <c r="H565" s="25" t="s">
        <v>453</v>
      </c>
    </row>
    <row r="566" spans="1:8" ht="15" customHeight="1" x14ac:dyDescent="0.25">
      <c r="B566" s="111" t="s">
        <v>495</v>
      </c>
      <c r="C566" s="7" cm="1">
        <f t="array" ref="C566">SUMPRODUCT((pat_tech_bt_02_face[client]=syndicat_etude)*(pat_tech_bt_02_face[annee]=C$565)*(pat_tech_bt_02_face[aerien_nu_hors_fs_sup_40ans]))+SUMPRODUCT((pat_tech_bt_02_face[client]=syndicat_etude)*(pat_tech_bt_02_face[annee]=C$565)*(pat_tech_bt_02_face[aerien_nu_fs_sup_40ans]))</f>
        <v>63.27000000000001</v>
      </c>
      <c r="D566" s="7" cm="1">
        <f t="array" ref="D566">SUMPRODUCT((pat_tech_bt_02_face[client]=syndicat_etude)*(pat_tech_bt_02_face[annee]=D$565)*(pat_tech_bt_02_face[aerien_nu_hors_fs_sup_40ans]))+SUMPRODUCT((pat_tech_bt_02_face[client]=syndicat_etude)*(pat_tech_bt_02_face[annee]=D$565)*(pat_tech_bt_02_face[aerien_nu_fs_sup_40ans]))</f>
        <v>60.22</v>
      </c>
      <c r="E566" s="7" cm="1">
        <f t="array" ref="E566">SUMPRODUCT((pat_tech_bt_02_face[client]=syndicat_etude)*(pat_tech_bt_02_face[annee]=E$565)*(pat_tech_bt_02_face[aerien_nu_hors_fs_sup_40ans]))+SUMPRODUCT((pat_tech_bt_02_face[client]=syndicat_etude)*(pat_tech_bt_02_face[annee]=E$565)*(pat_tech_bt_02_face[aerien_nu_fs_sup_40ans]))</f>
        <v>58.6</v>
      </c>
      <c r="F566" s="7" cm="1">
        <f t="array" ref="F566">SUMPRODUCT((pat_tech_bt_02_face[client]=syndicat_etude)*(pat_tech_bt_02_face[annee]=F$565)*(pat_tech_bt_02_face[aerien_nu_hors_fs_sup_40ans]))+SUMPRODUCT((pat_tech_bt_02_face[client]=syndicat_etude)*(pat_tech_bt_02_face[annee]=F$565)*(pat_tech_bt_02_face[aerien_nu_fs_sup_40ans]))</f>
        <v>54.99</v>
      </c>
      <c r="G566" s="83" cm="1">
        <f t="array" ref="G566">SUMPRODUCT((pat_tech_bt_02_face[client]=syndicat_etude)*(pat_tech_bt_02_face[annee]=G$565)*(pat_tech_bt_02_face[aerien_nu_hors_fs_sup_40ans]))+SUMPRODUCT((pat_tech_bt_02_face[client]=syndicat_etude)*(pat_tech_bt_02_face[annee]=G$565)*(pat_tech_bt_02_face[aerien_nu_fs_sup_40ans]))</f>
        <v>52.34</v>
      </c>
    </row>
    <row r="567" spans="1:8" ht="15" customHeight="1" x14ac:dyDescent="0.25">
      <c r="B567" s="111" t="s">
        <v>496</v>
      </c>
      <c r="C567" s="7" cm="1">
        <f t="array" ref="C567">SUMPRODUCT((pat_tech_bt_02_face[[client]:[client]]=syndicat_etude)*(pat_tech_bt_02_face[[annee]:[annee]]=C$565)*(pat_tech_bt_02_face[lineaire_bt_torsade_sup_50ans]))</f>
        <v>71.150000000000006</v>
      </c>
      <c r="D567" s="7" cm="1">
        <f t="array" ref="D567">SUMPRODUCT((pat_tech_bt_02_face[[client]:[client]]=syndicat_etude)*(pat_tech_bt_02_face[[annee]:[annee]]=D$565)*(pat_tech_bt_02_face[lineaire_bt_torsade_sup_50ans]))</f>
        <v>69.92</v>
      </c>
      <c r="E567" s="7" cm="1">
        <f t="array" ref="E567">SUMPRODUCT((pat_tech_bt_02_face[[client]:[client]]=syndicat_etude)*(pat_tech_bt_02_face[[annee]:[annee]]=E$565)*(pat_tech_bt_02_face[lineaire_bt_torsade_sup_50ans]))</f>
        <v>69.28</v>
      </c>
      <c r="F567" s="7" cm="1">
        <f t="array" ref="F567">SUMPRODUCT((pat_tech_bt_02_face[[client]:[client]]=syndicat_etude)*(pat_tech_bt_02_face[[annee]:[annee]]=F$565)*(pat_tech_bt_02_face[lineaire_bt_torsade_sup_50ans]))</f>
        <v>69.08</v>
      </c>
      <c r="G567" s="83" cm="1">
        <f t="array" ref="G567">SUMPRODUCT((pat_tech_bt_02_face[[client]:[client]]=syndicat_etude)*(pat_tech_bt_02_face[[annee]:[annee]]=G$565)*(pat_tech_bt_02_face[lineaire_bt_torsade_sup_50ans]))</f>
        <v>68.759999999999991</v>
      </c>
    </row>
    <row r="568" spans="1:8" ht="15" customHeight="1" x14ac:dyDescent="0.25">
      <c r="B568" s="284" t="s">
        <v>497</v>
      </c>
      <c r="C568" s="88" cm="1">
        <f t="array" ref="C568">SUMPRODUCT((pat_tech_bt_02_face[[client]:[client]]=syndicat_etude)*(pat_tech_bt_02_face[[annee]:[annee]]=C$565)*(pat_tech_bt_02_face[souterrain_sup_40ans]))</f>
        <v>53.69</v>
      </c>
      <c r="D568" s="88" cm="1">
        <f t="array" ref="D568">SUMPRODUCT((pat_tech_bt_02_face[[client]:[client]]=syndicat_etude)*(pat_tech_bt_02_face[[annee]:[annee]]=D$565)*(pat_tech_bt_02_face[souterrain_sup_40ans]))</f>
        <v>53.41</v>
      </c>
      <c r="E568" s="88" cm="1">
        <f t="array" ref="E568">SUMPRODUCT((pat_tech_bt_02_face[[client]:[client]]=syndicat_etude)*(pat_tech_bt_02_face[[annee]:[annee]]=E$565)*(pat_tech_bt_02_face[souterrain_sup_40ans]))</f>
        <v>53.22</v>
      </c>
      <c r="F568" s="88" cm="1">
        <f t="array" ref="F568">SUMPRODUCT((pat_tech_bt_02_face[[client]:[client]]=syndicat_etude)*(pat_tech_bt_02_face[[annee]:[annee]]=F$565)*(pat_tech_bt_02_face[souterrain_sup_40ans]))</f>
        <v>53.010000000000005</v>
      </c>
      <c r="G568" s="92" cm="1">
        <f t="array" ref="G568">SUMPRODUCT((pat_tech_bt_02_face[[client]:[client]]=syndicat_etude)*(pat_tech_bt_02_face[[annee]:[annee]]=G$565)*(pat_tech_bt_02_face[souterrain_sup_40ans]))</f>
        <v>53.6</v>
      </c>
    </row>
    <row r="569" spans="1:8" ht="15" customHeight="1" x14ac:dyDescent="0.25">
      <c r="B569" s="23"/>
      <c r="C569" s="13"/>
      <c r="D569" s="13"/>
      <c r="E569" s="13"/>
      <c r="F569" s="13"/>
      <c r="G569" s="13"/>
    </row>
    <row r="570" spans="1:8" ht="30" customHeight="1" x14ac:dyDescent="0.25">
      <c r="A570" s="25" t="s">
        <v>463</v>
      </c>
      <c r="B570" s="66" t="s">
        <v>498</v>
      </c>
      <c r="C570" s="67" cm="1">
        <f t="array" ref="C570">Exercice[Exercice N-4]</f>
        <v>2019</v>
      </c>
      <c r="D570" s="67" cm="1">
        <f t="array" ref="D570">Exercice[Exercice N-3]</f>
        <v>2020</v>
      </c>
      <c r="E570" s="67" cm="1">
        <f t="array" ref="E570">Exercice[Exercice N-2]</f>
        <v>2021</v>
      </c>
      <c r="F570" s="67" cm="1">
        <f t="array" ref="F570">Exercice[Exercice N-1]</f>
        <v>2022</v>
      </c>
      <c r="G570" s="69" cm="1">
        <f t="array" ref="G570">Exercice[Exercice N]</f>
        <v>2023</v>
      </c>
    </row>
    <row r="571" spans="1:8" ht="15" customHeight="1" x14ac:dyDescent="0.25">
      <c r="B571" s="126" t="s">
        <v>499</v>
      </c>
      <c r="C571" s="331">
        <f>SUM(C572)</f>
        <v>258.26</v>
      </c>
      <c r="D571" s="331">
        <f>SUM(D572)</f>
        <v>248.32</v>
      </c>
      <c r="E571" s="331">
        <f>SUM(E572)</f>
        <v>239.05</v>
      </c>
      <c r="F571" s="331">
        <f>SUM(F572)</f>
        <v>233.15</v>
      </c>
      <c r="G571" s="535">
        <f>SUM(G572)</f>
        <v>224.27</v>
      </c>
    </row>
    <row r="572" spans="1:8" ht="15" customHeight="1" x14ac:dyDescent="0.25">
      <c r="B572" s="50" t="s">
        <v>113</v>
      </c>
      <c r="C572" s="7" cm="1">
        <f t="array" ref="C572">SUMPRODUCT((pat_tech_bt_04b[[client]:[client]]=syndicat_etude)*(pat_tech_bt_04b[[annee]:[annee]]=C$570)*(pat_tech_bt_04b[[aerien_nu_km]:[aerien_nu_km]]))</f>
        <v>258.26</v>
      </c>
      <c r="D572" s="7" cm="1">
        <f t="array" ref="D572">SUMPRODUCT((pat_tech_bt_04b[[client]:[client]]=syndicat_etude)*(pat_tech_bt_04b[[annee]:[annee]]=D$570)*(pat_tech_bt_04b[[aerien_nu_km]:[aerien_nu_km]]))</f>
        <v>248.32</v>
      </c>
      <c r="E572" s="7" cm="1">
        <f t="array" ref="E572">SUMPRODUCT((pat_tech_bt_04b[[client]:[client]]=syndicat_etude)*(pat_tech_bt_04b[[annee]:[annee]]=E$570)*(pat_tech_bt_04b[[aerien_nu_km]:[aerien_nu_km]]))</f>
        <v>239.05</v>
      </c>
      <c r="F572" s="7" cm="1">
        <f t="array" ref="F572">SUMPRODUCT((pat_tech_bt_04b[[client]:[client]]=syndicat_etude)*(pat_tech_bt_04b[[annee]:[annee]]=F$570)*(pat_tech_bt_04b[[aerien_nu_km]:[aerien_nu_km]]))</f>
        <v>233.15</v>
      </c>
      <c r="G572" s="83" cm="1">
        <f t="array" ref="G572">SUMPRODUCT((pat_tech_bt_04b[[client]:[client]]=syndicat_etude)*(pat_tech_bt_04b[[annee]:[annee]]=G$570)*(pat_tech_bt_04b[[aerien_nu_km]:[aerien_nu_km]]))</f>
        <v>224.27</v>
      </c>
    </row>
    <row r="573" spans="1:8" ht="15" customHeight="1" x14ac:dyDescent="0.25">
      <c r="B573" s="51" t="s">
        <v>500</v>
      </c>
      <c r="C573" s="201" cm="1">
        <f t="array" ref="C573">SUMPRODUCT((pat_tech_bt_04b[[client]:[client]]=syndicat_etude)*(pat_tech_bt_04b[[annee]:[annee]]=C$570)*(pat_tech_bt_04b[[aerien_nu_fs_km]:[aerien_nu_fs_km]]))</f>
        <v>40.520000000000003</v>
      </c>
      <c r="D573" s="201" cm="1">
        <f t="array" ref="D573">SUMPRODUCT((pat_tech_bt_04b[[client]:[client]]=syndicat_etude)*(pat_tech_bt_04b[[annee]:[annee]]=D$570)*(pat_tech_bt_04b[[aerien_nu_fs_km]:[aerien_nu_fs_km]]))</f>
        <v>37.4</v>
      </c>
      <c r="E573" s="201" cm="1">
        <f t="array" ref="E573">SUMPRODUCT((pat_tech_bt_04b[[client]:[client]]=syndicat_etude)*(pat_tech_bt_04b[[annee]:[annee]]=E$570)*(pat_tech_bt_04b[[aerien_nu_fs_km]:[aerien_nu_fs_km]]))</f>
        <v>33.49</v>
      </c>
      <c r="F573" s="201" cm="1">
        <f t="array" ref="F573">SUMPRODUCT((pat_tech_bt_04b[[client]:[client]]=syndicat_etude)*(pat_tech_bt_04b[[annee]:[annee]]=F$570)*(pat_tech_bt_04b[[aerien_nu_fs_km]:[aerien_nu_fs_km]]))</f>
        <v>32.380000000000003</v>
      </c>
      <c r="G573" s="258" cm="1">
        <f t="array" ref="G573">SUMPRODUCT((pat_tech_bt_04b[[client]:[client]]=syndicat_etude)*(pat_tech_bt_04b[[annee]:[annee]]=G$570)*(pat_tech_bt_04b[[aerien_nu_fs_km]:[aerien_nu_fs_km]]))</f>
        <v>30.09</v>
      </c>
    </row>
    <row r="574" spans="1:8" ht="15" customHeight="1" x14ac:dyDescent="0.25">
      <c r="B574" s="60" t="s">
        <v>501</v>
      </c>
      <c r="C574" s="17" cm="1">
        <f t="array" ref="C574">SUMPRODUCT((pat_tech_bt_04b[[client]:[client]]=syndicat_etude)*(pat_tech_bt_04b[[annee]:[annee]]=C$570)*(pat_tech_bt_04b[[pourcentage_aerien_nu]:[pourcentage_aerien_nu]]))/100</f>
        <v>0.1741</v>
      </c>
      <c r="D574" s="17" cm="1">
        <f t="array" ref="D574">SUMPRODUCT((pat_tech_bt_04b[[client]:[client]]=syndicat_etude)*(pat_tech_bt_04b[[annee]:[annee]]=D$570)*(pat_tech_bt_04b[[pourcentage_aerien_nu]:[pourcentage_aerien_nu]]))/100</f>
        <v>0.16949999999999998</v>
      </c>
      <c r="E574" s="17" cm="1">
        <f t="array" ref="E574">SUMPRODUCT((pat_tech_bt_04b[[client]:[client]]=syndicat_etude)*(pat_tech_bt_04b[[annee]:[annee]]=E$570)*(pat_tech_bt_04b[[pourcentage_aerien_nu]:[pourcentage_aerien_nu]]))/100</f>
        <v>0.16519999999999999</v>
      </c>
      <c r="F574" s="17" cm="1">
        <f t="array" ref="F574">SUMPRODUCT((pat_tech_bt_04b[[client]:[client]]=syndicat_etude)*(pat_tech_bt_04b[[annee]:[annee]]=F$570)*(pat_tech_bt_04b[[pourcentage_aerien_nu]:[pourcentage_aerien_nu]]))/100</f>
        <v>0.1636</v>
      </c>
      <c r="G574" s="101" cm="1">
        <f t="array" ref="G574">SUMPRODUCT((pat_tech_bt_04b[[client]:[client]]=syndicat_etude)*(pat_tech_bt_04b[[annee]:[annee]]=G$570)*(pat_tech_bt_04b[[pourcentage_aerien_nu]:[pourcentage_aerien_nu]]))/100</f>
        <v>0.15890000000000001</v>
      </c>
    </row>
    <row r="575" spans="1:8" ht="15" customHeight="1" x14ac:dyDescent="0.25">
      <c r="B575" s="126" t="s">
        <v>502</v>
      </c>
      <c r="C575" s="331">
        <f>SUM(C576:C578)</f>
        <v>52.449999999999996</v>
      </c>
      <c r="D575" s="331">
        <f>SUM(D576:D578)</f>
        <v>51.69</v>
      </c>
      <c r="E575" s="331">
        <f>SUM(E576:E578)</f>
        <v>51.42</v>
      </c>
      <c r="F575" s="331">
        <f>SUM(F576:F578)</f>
        <v>50.71</v>
      </c>
      <c r="G575" s="535">
        <f>SUM(G576:G578)</f>
        <v>50.16</v>
      </c>
    </row>
    <row r="576" spans="1:8" ht="15" customHeight="1" x14ac:dyDescent="0.25">
      <c r="B576" s="111" t="s">
        <v>503</v>
      </c>
      <c r="C576" s="7" cm="1">
        <f t="array" ref="C576">SUMPRODUCT((pat_tech_bt_04b[[client]:[client]]=syndicat_etude)*(pat_tech_bt_04b[[annee]:[annee]]=C$570)*(pat_tech_bt_04b[[cpi_km]:[cpi_km]]))</f>
        <v>3.08</v>
      </c>
      <c r="D576" s="7" cm="1">
        <f t="array" ref="D576">SUMPRODUCT((pat_tech_bt_04b[[client]:[client]]=syndicat_etude)*(pat_tech_bt_04b[[annee]:[annee]]=D$570)*(pat_tech_bt_04b[[cpi_km]:[cpi_km]]))</f>
        <v>3.06</v>
      </c>
      <c r="E576" s="7" cm="1">
        <f t="array" ref="E576">SUMPRODUCT((pat_tech_bt_04b[[client]:[client]]=syndicat_etude)*(pat_tech_bt_04b[[annee]:[annee]]=E$570)*(pat_tech_bt_04b[[cpi_km]:[cpi_km]]))</f>
        <v>3.07</v>
      </c>
      <c r="F576" s="7" cm="1">
        <f t="array" ref="F576">SUMPRODUCT((pat_tech_bt_04b[[client]:[client]]=syndicat_etude)*(pat_tech_bt_04b[[annee]:[annee]]=F$570)*(pat_tech_bt_04b[[cpi_km]:[cpi_km]]))</f>
        <v>3.04</v>
      </c>
      <c r="G576" s="83" cm="1">
        <f t="array" ref="G576">SUMPRODUCT((pat_tech_bt_04b[[client]:[client]]=syndicat_etude)*(pat_tech_bt_04b[[annee]:[annee]]=G$570)*(pat_tech_bt_04b[[cpi_km]:[cpi_km]]))</f>
        <v>3.04</v>
      </c>
    </row>
    <row r="577" spans="1:8" ht="15" customHeight="1" x14ac:dyDescent="0.25">
      <c r="B577" s="50" t="s">
        <v>504</v>
      </c>
      <c r="C577" s="7" cm="1">
        <f t="array" ref="C577">SUMPRODUCT((pat_tech_bt_04b[[client]:[client]]=syndicat_etude)*(pat_tech_bt_04b[[annee]:[annee]]=C$570)*(pat_tech_bt_04b[[np_km]:[np_km]]))</f>
        <v>2.21</v>
      </c>
      <c r="D577" s="7" cm="1">
        <f t="array" ref="D577">SUMPRODUCT((pat_tech_bt_04b[[client]:[client]]=syndicat_etude)*(pat_tech_bt_04b[[annee]:[annee]]=D$570)*(pat_tech_bt_04b[[np_km]:[np_km]]))</f>
        <v>1.95</v>
      </c>
      <c r="E577" s="7" cm="1">
        <f t="array" ref="E577">SUMPRODUCT((pat_tech_bt_04b[[client]:[client]]=syndicat_etude)*(pat_tech_bt_04b[[annee]:[annee]]=E$570)*(pat_tech_bt_04b[[np_km]:[np_km]]))</f>
        <v>1.95</v>
      </c>
      <c r="F577" s="7" cm="1">
        <f t="array" ref="F577">SUMPRODUCT((pat_tech_bt_04b[[client]:[client]]=syndicat_etude)*(pat_tech_bt_04b[[annee]:[annee]]=F$570)*(pat_tech_bt_04b[[np_km]:[np_km]]))</f>
        <v>1.93</v>
      </c>
      <c r="G577" s="83" cm="1">
        <f t="array" ref="G577">SUMPRODUCT((pat_tech_bt_04b[[client]:[client]]=syndicat_etude)*(pat_tech_bt_04b[[annee]:[annee]]=G$570)*(pat_tech_bt_04b[[np_km]:[np_km]]))</f>
        <v>1.93</v>
      </c>
    </row>
    <row r="578" spans="1:8" ht="15" customHeight="1" x14ac:dyDescent="0.25">
      <c r="B578" s="50" t="s">
        <v>505</v>
      </c>
      <c r="C578" s="7" cm="1">
        <f t="array" ref="C578">SUMPRODUCT((pat_tech_bt_04b[[client]:[client]]=syndicat_etude)*(pat_tech_bt_04b[[annee]:[annee]]=C$570)*(pat_tech_bt_04b[[non_date_km]:[non_date_km]]))</f>
        <v>47.16</v>
      </c>
      <c r="D578" s="7" cm="1">
        <f t="array" ref="D578">SUMPRODUCT((pat_tech_bt_04b[[client]:[client]]=syndicat_etude)*(pat_tech_bt_04b[[annee]:[annee]]=D$570)*(pat_tech_bt_04b[[non_date_km]:[non_date_km]]))</f>
        <v>46.68</v>
      </c>
      <c r="E578" s="7" cm="1">
        <f t="array" ref="E578">SUMPRODUCT((pat_tech_bt_04b[[client]:[client]]=syndicat_etude)*(pat_tech_bt_04b[[annee]:[annee]]=E$570)*(pat_tech_bt_04b[[non_date_km]:[non_date_km]]))</f>
        <v>46.4</v>
      </c>
      <c r="F578" s="7" cm="1">
        <f t="array" ref="F578">SUMPRODUCT((pat_tech_bt_04b[[client]:[client]]=syndicat_etude)*(pat_tech_bt_04b[[annee]:[annee]]=F$570)*(pat_tech_bt_04b[[non_date_km]:[non_date_km]]))</f>
        <v>45.74</v>
      </c>
      <c r="G578" s="83" cm="1">
        <f t="array" ref="G578">SUMPRODUCT((pat_tech_bt_04b[[client]:[client]]=syndicat_etude)*(pat_tech_bt_04b[[annee]:[annee]]=G$570)*(pat_tech_bt_04b[[non_date_km]:[non_date_km]]))</f>
        <v>45.19</v>
      </c>
    </row>
    <row r="579" spans="1:8" ht="15" customHeight="1" x14ac:dyDescent="0.25">
      <c r="B579" s="60" t="s">
        <v>506</v>
      </c>
      <c r="C579" s="17" cm="1">
        <f t="array" ref="C579">SUMPRODUCT((pat_tech_bt_04b[[client]:[client]]=syndicat_etude)*(pat_tech_bt_04b[[annee]:[annee]]=C$570)*(pat_tech_bt_04b[[pourcentage_np]:[pourcentage_np]]+pat_tech_bt_04b[[pourcentage_cpi]:[pourcentage_cpi]]+pat_tech_bt_04b[[pourcentage_non_date]:[pourcentage_non_date]]))/100</f>
        <v>2.4300000000000002E-2</v>
      </c>
      <c r="D579" s="17" cm="1">
        <f t="array" ref="D579">SUMPRODUCT((pat_tech_bt_04b[[client]:[client]]=syndicat_etude)*(pat_tech_bt_04b[[annee]:[annee]]=D$570)*(pat_tech_bt_04b[[pourcentage_np]:[pourcentage_np]]+pat_tech_bt_04b[[pourcentage_cpi]:[pourcentage_cpi]]+pat_tech_bt_04b[[pourcentage_non_date]:[pourcentage_non_date]]))/100</f>
        <v>2.3599999999999999E-2</v>
      </c>
      <c r="E579" s="17" cm="1">
        <f t="array" ref="E579">SUMPRODUCT((pat_tech_bt_04b[[client]:[client]]=syndicat_etude)*(pat_tech_bt_04b[[annee]:[annee]]=E$570)*(pat_tech_bt_04b[[pourcentage_np]:[pourcentage_np]]+pat_tech_bt_04b[[pourcentage_cpi]:[pourcentage_cpi]]+pat_tech_bt_04b[[pourcentage_non_date]:[pourcentage_non_date]]))/100</f>
        <v>2.3E-2</v>
      </c>
      <c r="F579" s="17" cm="1">
        <f t="array" ref="F579">SUMPRODUCT((pat_tech_bt_04b[[client]:[client]]=syndicat_etude)*(pat_tech_bt_04b[[annee]:[annee]]=F$570)*(pat_tech_bt_04b[[pourcentage_np]:[pourcentage_np]]+pat_tech_bt_04b[[pourcentage_cpi]:[pourcentage_cpi]]+pat_tech_bt_04b[[pourcentage_non_date]:[pourcentage_non_date]]))/100</f>
        <v>2.2199999999999998E-2</v>
      </c>
      <c r="G579" s="101" cm="1">
        <f t="array" ref="G579">SUMPRODUCT((pat_tech_bt_04b[[client]:[client]]=syndicat_etude)*(pat_tech_bt_04b[[annee]:[annee]]=G$570)*(pat_tech_bt_04b[[pourcentage_np]:[pourcentage_np]]+pat_tech_bt_04b[[pourcentage_cpi]:[pourcentage_cpi]]+pat_tech_bt_04b[[pourcentage_non_date]:[pourcentage_non_date]]))/100</f>
        <v>2.1499999999999998E-2</v>
      </c>
    </row>
    <row r="580" spans="1:8" ht="15" customHeight="1" x14ac:dyDescent="0.25">
      <c r="B580" s="77" t="s">
        <v>3260</v>
      </c>
      <c r="C580" s="741">
        <f>((C573+C576+C577) / C399)</f>
        <v>1.2591979725290886E-2</v>
      </c>
      <c r="D580" s="741">
        <f>((D573+D576+D577) / D399)</f>
        <v>1.1587906608194327E-2</v>
      </c>
      <c r="E580" s="741">
        <f>((E573+E576+E577) / E399)</f>
        <v>1.0432893278897707E-2</v>
      </c>
      <c r="F580" s="741">
        <f>((F573+F576+F577) / F399)</f>
        <v>1.0076212315370607E-2</v>
      </c>
      <c r="G580" s="742">
        <f>((G573+G576+G577) / G399)</f>
        <v>9.3745571417494008E-3</v>
      </c>
    </row>
    <row r="581" spans="1:8" ht="15" customHeight="1" x14ac:dyDescent="0.25">
      <c r="B581" s="23"/>
      <c r="C581" s="7"/>
      <c r="D581" s="7"/>
      <c r="E581" s="7"/>
      <c r="F581" s="7"/>
      <c r="G581" s="7"/>
    </row>
    <row r="582" spans="1:8" ht="30" customHeight="1" x14ac:dyDescent="0.25">
      <c r="A582" s="25" t="s">
        <v>507</v>
      </c>
      <c r="B582" s="66" t="s">
        <v>508</v>
      </c>
      <c r="C582" s="67" cm="1">
        <f t="array" ref="C582">Exercice[Exercice N-4]</f>
        <v>2019</v>
      </c>
      <c r="D582" s="67" cm="1">
        <f t="array" ref="D582">Exercice[Exercice N-3]</f>
        <v>2020</v>
      </c>
      <c r="E582" s="67" cm="1">
        <f t="array" ref="E582">Exercice[Exercice N-2]</f>
        <v>2021</v>
      </c>
      <c r="F582" s="67" cm="1">
        <f t="array" ref="F582">Exercice[Exercice N-1]</f>
        <v>2022</v>
      </c>
      <c r="G582" s="69" cm="1">
        <f t="array" ref="G582">Exercice[Exercice N]</f>
        <v>2023</v>
      </c>
    </row>
    <row r="583" spans="1:8" ht="15" customHeight="1" x14ac:dyDescent="0.25">
      <c r="B583" s="50" t="s">
        <v>509</v>
      </c>
      <c r="C583" s="7" cm="1">
        <f t="array" ref="C583">SUMPRODUCT((pat_tech_bt_04_ene[[client]:[client]]=syndicat_etude)*(pat_tech_bt_04_ene[[annee]:[annee]]=Exercice[[Exercice N-4]:[Exercice N-4]])*(pat_tech_bt_04_ene[[sout_1946_cu]:[sout_1946_cu]]))</f>
        <v>3.01</v>
      </c>
      <c r="D583" s="7" cm="1">
        <f t="array" ref="D583">SUMPRODUCT((pat_tech_bt_04_ene[[client]:[client]]=syndicat_etude)*(pat_tech_bt_04_ene[[annee]:[annee]]=Exercice[[Exercice N-3]:[Exercice N-3]])*(pat_tech_bt_04_ene[[sout_1946_cu]:[sout_1946_cu]]))</f>
        <v>2.96</v>
      </c>
      <c r="E583" s="7" cm="1">
        <f t="array" ref="E583">SUMPRODUCT((pat_tech_bt_04_ene[[client]:[client]]=syndicat_etude)*(pat_tech_bt_04_ene[[annee]:[annee]]=Exercice[[Exercice N-2]:[Exercice N-2]])*(pat_tech_bt_04_ene[[sout_1946_cu]:[sout_1946_cu]]))</f>
        <v>2.66</v>
      </c>
      <c r="F583" s="7" cm="1">
        <f t="array" ref="F583">SUMPRODUCT((pat_tech_bt_04_ene[[client]:[client]]=syndicat_etude)*(pat_tech_bt_04_ene[[annee]:[annee]]=Exercice[[Exercice N-1]:[Exercice N-1]])*(pat_tech_bt_04_ene[[sout_1946_cu]:[sout_1946_cu]]))</f>
        <v>2.48</v>
      </c>
      <c r="G583" s="83" cm="1">
        <f t="array" ref="G583">SUMPRODUCT((pat_tech_bt_04_ene[[client]:[client]]=syndicat_etude)*(pat_tech_bt_04_ene[[annee]:[annee]]=Exercice[[Exercice N]:[Exercice N]])*(pat_tech_bt_04_ene[[sout_1946_cu]:[sout_1946_cu]]))</f>
        <v>2.27</v>
      </c>
    </row>
    <row r="584" spans="1:8" ht="15" customHeight="1" x14ac:dyDescent="0.25">
      <c r="B584" s="50" t="s">
        <v>510</v>
      </c>
      <c r="C584" s="7" cm="1">
        <f t="array" ref="C584">SUMPRODUCT((pat_tech_bt_04_ene[[client]:[client]]=syndicat_etude)*(pat_tech_bt_04_ene[[annee]:[annee]]=Exercice[[Exercice N-4]:[Exercice N-4]])*(pat_tech_bt_04_ene[[sout_1946_al]:[sout_1946_al]]))</f>
        <v>44.15</v>
      </c>
      <c r="D584" s="7" cm="1">
        <f t="array" ref="D584">SUMPRODUCT((pat_tech_bt_04_ene[[client]:[client]]=syndicat_etude)*(pat_tech_bt_04_ene[[annee]:[annee]]=Exercice[[Exercice N-3]:[Exercice N-3]])*(pat_tech_bt_04_ene[[sout_1946_al]:[sout_1946_al]]))</f>
        <v>43.72</v>
      </c>
      <c r="E584" s="7" cm="1">
        <f t="array" ref="E584">SUMPRODUCT((pat_tech_bt_04_ene[[client]:[client]]=syndicat_etude)*(pat_tech_bt_04_ene[[annee]:[annee]]=Exercice[[Exercice N-2]:[Exercice N-2]])*(pat_tech_bt_04_ene[[sout_1946_al]:[sout_1946_al]]))</f>
        <v>43.75</v>
      </c>
      <c r="F584" s="7" cm="1">
        <f t="array" ref="F584">SUMPRODUCT((pat_tech_bt_04_ene[[client]:[client]]=syndicat_etude)*(pat_tech_bt_04_ene[[annee]:[annee]]=Exercice[[Exercice N-1]:[Exercice N-1]])*(pat_tech_bt_04_ene[[sout_1946_al]:[sout_1946_al]]))</f>
        <v>43.26</v>
      </c>
      <c r="G584" s="83" cm="1">
        <f t="array" ref="G584">SUMPRODUCT((pat_tech_bt_04_ene[[client]:[client]]=syndicat_etude)*(pat_tech_bt_04_ene[[annee]:[annee]]=Exercice[[Exercice N]:[Exercice N]])*(pat_tech_bt_04_ene[[sout_1946_al]:[sout_1946_al]]))</f>
        <v>42.92</v>
      </c>
    </row>
    <row r="585" spans="1:8" ht="15" customHeight="1" x14ac:dyDescent="0.25">
      <c r="B585" s="50" t="s">
        <v>511</v>
      </c>
      <c r="C585" s="7" cm="1">
        <f t="array" ref="C585">SUMPRODUCT((pat_tech_bt_04_ene[[client]:[client]]=syndicat_etude)*(pat_tech_bt_04_ene[[annee]:[annee]]=Exercice[[Exercice N-4]:[Exercice N-4]])*(pat_tech_bt_04_ene[[sout_cpi_cu]:[sout_cpi_cu]]))</f>
        <v>0.96</v>
      </c>
      <c r="D585" s="7" cm="1">
        <f t="array" ref="D585">SUMPRODUCT((pat_tech_bt_04_ene[[client]:[client]]=syndicat_etude)*(pat_tech_bt_04_ene[[annee]:[annee]]=Exercice[[Exercice N-3]:[Exercice N-3]])*(pat_tech_bt_04_ene[[sout_cpi_cu]:[sout_cpi_cu]]))</f>
        <v>0.96</v>
      </c>
      <c r="E585" s="7" cm="1">
        <f t="array" ref="E585">SUMPRODUCT((pat_tech_bt_04_ene[[client]:[client]]=syndicat_etude)*(pat_tech_bt_04_ene[[annee]:[annee]]=Exercice[[Exercice N-2]:[Exercice N-2]])*(pat_tech_bt_04_ene[[sout_cpi_cu]:[sout_cpi_cu]]))</f>
        <v>0.96</v>
      </c>
      <c r="F585" s="7" cm="1">
        <f t="array" ref="F585">SUMPRODUCT((pat_tech_bt_04_ene[[client]:[client]]=syndicat_etude)*(pat_tech_bt_04_ene[[annee]:[annee]]=Exercice[[Exercice N-1]:[Exercice N-1]])*(pat_tech_bt_04_ene[[sout_cpi_cu]:[sout_cpi_cu]]))</f>
        <v>0.96</v>
      </c>
      <c r="G585" s="83" cm="1">
        <f t="array" ref="G585">SUMPRODUCT((pat_tech_bt_04_ene[[client]:[client]]=syndicat_etude)*(pat_tech_bt_04_ene[[annee]:[annee]]=Exercice[[Exercice N]:[Exercice N]])*(pat_tech_bt_04_ene[[sout_cpi_cu]:[sout_cpi_cu]]))</f>
        <v>0.96</v>
      </c>
    </row>
    <row r="586" spans="1:8" ht="15" customHeight="1" x14ac:dyDescent="0.25">
      <c r="B586" s="50" t="s">
        <v>512</v>
      </c>
      <c r="C586" s="7" cm="1">
        <f t="array" ref="C586">SUMPRODUCT((pat_tech_bt_04_ene[[client]:[client]]=syndicat_etude)*(pat_tech_bt_04_ene[[annee]:[annee]]=Exercice[[Exercice N-4]:[Exercice N-4]])*(pat_tech_bt_04_ene[[sout_cpi_al]:[sout_cpi_al]]))</f>
        <v>2.13</v>
      </c>
      <c r="D586" s="7" cm="1">
        <f t="array" ref="D586">SUMPRODUCT((pat_tech_bt_04_ene[[client]:[client]]=syndicat_etude)*(pat_tech_bt_04_ene[[annee]:[annee]]=Exercice[[Exercice N-3]:[Exercice N-3]])*(pat_tech_bt_04_ene[[sout_cpi_al]:[sout_cpi_al]]))</f>
        <v>2.11</v>
      </c>
      <c r="E586" s="7" cm="1">
        <f t="array" ref="E586">SUMPRODUCT((pat_tech_bt_04_ene[[client]:[client]]=syndicat_etude)*(pat_tech_bt_04_ene[[annee]:[annee]]=Exercice[[Exercice N-2]:[Exercice N-2]])*(pat_tech_bt_04_ene[[sout_cpi_al]:[sout_cpi_al]]))</f>
        <v>2.11</v>
      </c>
      <c r="F586" s="7" cm="1">
        <f t="array" ref="F586">SUMPRODUCT((pat_tech_bt_04_ene[[client]:[client]]=syndicat_etude)*(pat_tech_bt_04_ene[[annee]:[annee]]=Exercice[[Exercice N-1]:[Exercice N-1]])*(pat_tech_bt_04_ene[[sout_cpi_al]:[sout_cpi_al]]))</f>
        <v>2.09</v>
      </c>
      <c r="G586" s="83" cm="1">
        <f t="array" ref="G586">SUMPRODUCT((pat_tech_bt_04_ene[[client]:[client]]=syndicat_etude)*(pat_tech_bt_04_ene[[annee]:[annee]]=Exercice[[Exercice N]:[Exercice N]])*(pat_tech_bt_04_ene[[sout_cpi_al]:[sout_cpi_al]]))</f>
        <v>2.08</v>
      </c>
    </row>
    <row r="587" spans="1:8" ht="15" customHeight="1" x14ac:dyDescent="0.25">
      <c r="B587" s="50" t="s">
        <v>513</v>
      </c>
      <c r="C587" s="7" cm="1">
        <f t="array" ref="C587">SUMPRODUCT((pat_tech_bt_04_ene[[client]:[client]]=syndicat_etude)*(pat_tech_bt_04_ene[[annee]:[annee]]=Exercice[[Exercice N-4]:[Exercice N-4]])*(pat_tech_bt_04_ene[[sout_np]:[sout_np]]))</f>
        <v>2.19</v>
      </c>
      <c r="D587" s="7" cm="1">
        <f t="array" ref="D587">SUMPRODUCT((pat_tech_bt_04_ene[[client]:[client]]=syndicat_etude)*(pat_tech_bt_04_ene[[annee]:[annee]]=Exercice[[Exercice N-3]:[Exercice N-3]])*(pat_tech_bt_04_ene[[sout_np]:[sout_np]]))</f>
        <v>1.95</v>
      </c>
      <c r="E587" s="7" cm="1">
        <f t="array" ref="E587">SUMPRODUCT((pat_tech_bt_04_ene[[client]:[client]]=syndicat_etude)*(pat_tech_bt_04_ene[[annee]:[annee]]=Exercice[[Exercice N-2]:[Exercice N-2]])*(pat_tech_bt_04_ene[[sout_np]:[sout_np]]))</f>
        <v>1.94</v>
      </c>
      <c r="F587" s="7" cm="1">
        <f t="array" ref="F587">SUMPRODUCT((pat_tech_bt_04_ene[[client]:[client]]=syndicat_etude)*(pat_tech_bt_04_ene[[annee]:[annee]]=Exercice[[Exercice N-1]:[Exercice N-1]])*(pat_tech_bt_04_ene[[sout_np]:[sout_np]]))</f>
        <v>1.91</v>
      </c>
      <c r="G587" s="83" cm="1">
        <f t="array" ref="G587">SUMPRODUCT((pat_tech_bt_04_ene[[client]:[client]]=syndicat_etude)*(pat_tech_bt_04_ene[[annee]:[annee]]=Exercice[[Exercice N]:[Exercice N]])*(pat_tech_bt_04_ene[[sout_np]:[sout_np]]))</f>
        <v>1.93</v>
      </c>
    </row>
    <row r="588" spans="1:8" ht="15" customHeight="1" x14ac:dyDescent="0.25">
      <c r="B588" s="145" t="s">
        <v>514</v>
      </c>
      <c r="C588" s="156">
        <f>IFERROR(SUM(C583:C587)/C$398,"")</f>
        <v>2.4335461835461834E-2</v>
      </c>
      <c r="D588" s="156">
        <f>IFERROR(SUM(D583:D587)/D$398,"")</f>
        <v>2.3553638057576577E-2</v>
      </c>
      <c r="E588" s="156">
        <f>IFERROR(SUM(E583:E587)/E$398,"")</f>
        <v>2.2914642733001183E-2</v>
      </c>
      <c r="F588" s="156">
        <f>IFERROR(SUM(F583:F587)/F$398,"")</f>
        <v>2.2223293693756873E-2</v>
      </c>
      <c r="G588" s="157">
        <f>IFERROR(SUM(G583:G587)/G$398,"")</f>
        <v>2.1540377471925793E-2</v>
      </c>
    </row>
    <row r="589" spans="1:8" ht="15" customHeight="1" x14ac:dyDescent="0.25">
      <c r="B589" s="158" t="s">
        <v>515</v>
      </c>
      <c r="C589" s="159">
        <f>SUM(C583:C587)</f>
        <v>52.44</v>
      </c>
      <c r="D589" s="159">
        <f>SUM(D583:D587)</f>
        <v>51.7</v>
      </c>
      <c r="E589" s="159">
        <f>SUM(E583:E587)</f>
        <v>51.419999999999995</v>
      </c>
      <c r="F589" s="159">
        <f>SUM(F583:F587)</f>
        <v>50.699999999999989</v>
      </c>
      <c r="G589" s="160">
        <f>SUM(G583:G587)</f>
        <v>50.160000000000004</v>
      </c>
    </row>
    <row r="590" spans="1:8" ht="15" customHeight="1" x14ac:dyDescent="0.25">
      <c r="B590" s="29"/>
      <c r="C590" s="105"/>
      <c r="D590" s="105"/>
      <c r="E590" s="105"/>
      <c r="F590" s="105"/>
      <c r="G590" s="105"/>
    </row>
    <row r="591" spans="1:8" ht="30" customHeight="1" x14ac:dyDescent="0.25">
      <c r="A591" s="25" t="s">
        <v>3243</v>
      </c>
      <c r="B591" s="66" t="s">
        <v>516</v>
      </c>
      <c r="C591" s="67" cm="1">
        <f t="array" ref="C591">Exercice[Exercice N-4]</f>
        <v>2019</v>
      </c>
      <c r="D591" s="67" cm="1">
        <f t="array" ref="D591">Exercice[Exercice N-3]</f>
        <v>2020</v>
      </c>
      <c r="E591" s="67" cm="1">
        <f t="array" ref="E591">Exercice[Exercice N-2]</f>
        <v>2021</v>
      </c>
      <c r="F591" s="67" cm="1">
        <f t="array" ref="F591">Exercice[Exercice N-1]</f>
        <v>2022</v>
      </c>
      <c r="G591" s="69" cm="1">
        <f t="array" ref="G591">Exercice[Exercice N]</f>
        <v>2023</v>
      </c>
    </row>
    <row r="592" spans="1:8" ht="15" customHeight="1" x14ac:dyDescent="0.25">
      <c r="B592" s="50" t="s">
        <v>509</v>
      </c>
      <c r="C592" s="7" cm="1">
        <f t="array" ref="C592">SUMPRODUCT((pat_tech_bt_04_ene_face[[client]:[client]]=syndicat_etude)*(pat_tech_bt_04_ene_face[[face]:[face]]="U")*(pat_tech_bt_04_ene_face[[face]:[face]]="U")*(pat_tech_bt_04_ene_face[[annee]:[annee]]=Exercice[[Exercice N-4]:[Exercice N-4]])*(pat_tech_bt_04_ene_face[[sout_1946_cu]:[sout_1946_cu]]))</f>
        <v>3</v>
      </c>
      <c r="D592" s="7" cm="1">
        <f t="array" ref="D592">SUMPRODUCT((pat_tech_bt_04_ene_face[[client]:[client]]=syndicat_etude)*(pat_tech_bt_04_ene_face[[face]:[face]]="U")*(pat_tech_bt_04_ene_face[[annee]:[annee]]=Exercice[[Exercice N-3]:[Exercice N-3]])*(pat_tech_bt_04_ene_face[[sout_1946_cu]:[sout_1946_cu]]))</f>
        <v>2.95</v>
      </c>
      <c r="E592" s="7" cm="1">
        <f t="array" ref="E592">SUMPRODUCT((pat_tech_bt_04_ene_face[[client]:[client]]=syndicat_etude)*(pat_tech_bt_04_ene_face[[face]:[face]]="U")*(pat_tech_bt_04_ene_face[[annee]:[annee]]=Exercice[[Exercice N-2]:[Exercice N-2]])*(pat_tech_bt_04_ene_face[[sout_1946_cu]:[sout_1946_cu]]))</f>
        <v>2.65</v>
      </c>
      <c r="F592" s="7" cm="1">
        <f t="array" ref="F592">SUMPRODUCT((pat_tech_bt_04_ene_face[[client]:[client]]=syndicat_etude)*(pat_tech_bt_04_ene_face[[face]:[face]]="U")*(pat_tech_bt_04_ene_face[[annee]:[annee]]=Exercice[[Exercice N-1]:[Exercice N-1]])*(pat_tech_bt_04_ene_face[[sout_1946_cu]:[sout_1946_cu]]))</f>
        <v>2.48</v>
      </c>
      <c r="G592" s="83" cm="1">
        <f t="array" ref="G592">SUMPRODUCT((pat_tech_bt_04_ene_face[[client]:[client]]=syndicat_etude)*(pat_tech_bt_04_ene_face[[face]:[face]]="U")*(pat_tech_bt_04_ene_face[[annee]:[annee]]=Exercice[[Exercice N]:[Exercice N]])*(pat_tech_bt_04_ene_face[[sout_1946_cu]:[sout_1946_cu]]))</f>
        <v>2.27</v>
      </c>
      <c r="H592" s="683"/>
    </row>
    <row r="593" spans="1:8" ht="15" customHeight="1" x14ac:dyDescent="0.25">
      <c r="B593" s="50" t="s">
        <v>510</v>
      </c>
      <c r="C593" s="7" cm="1">
        <f t="array" ref="C593">SUMPRODUCT((pat_tech_bt_04_ene_face[[client]:[client]]=syndicat_etude)*(pat_tech_bt_04_ene_face[[face]:[face]]="U")*(pat_tech_bt_04_ene_face[[annee]:[annee]]=Exercice[[Exercice N-4]:[Exercice N-4]])*(pat_tech_bt_04_ene_face[[sout_1946_al]:[sout_1946_al]]))</f>
        <v>19.579999999999998</v>
      </c>
      <c r="D593" s="7" cm="1">
        <f t="array" ref="D593">SUMPRODUCT((pat_tech_bt_04_ene_face[[client]:[client]]=syndicat_etude)*(pat_tech_bt_04_ene_face[[face]:[face]]="U")*(pat_tech_bt_04_ene_face[[annee]:[annee]]=Exercice[[Exercice N-3]:[Exercice N-3]])*(pat_tech_bt_04_ene_face[[sout_1946_al]:[sout_1946_al]]))</f>
        <v>19.170000000000002</v>
      </c>
      <c r="E593" s="7" cm="1">
        <f t="array" ref="E593">SUMPRODUCT((pat_tech_bt_04_ene_face[[client]:[client]]=syndicat_etude)*(pat_tech_bt_04_ene_face[[face]:[face]]="U")*(pat_tech_bt_04_ene_face[[annee]:[annee]]=Exercice[[Exercice N-2]:[Exercice N-2]])*(pat_tech_bt_04_ene_face[[sout_1946_al]:[sout_1946_al]]))</f>
        <v>28.02</v>
      </c>
      <c r="F593" s="7" cm="1">
        <f t="array" ref="F593">SUMPRODUCT((pat_tech_bt_04_ene_face[[client]:[client]]=syndicat_etude)*(pat_tech_bt_04_ene_face[[face]:[face]]="U")*(pat_tech_bt_04_ene_face[[annee]:[annee]]=Exercice[[Exercice N-1]:[Exercice N-1]])*(pat_tech_bt_04_ene_face[[sout_1946_al]:[sout_1946_al]]))</f>
        <v>27.76</v>
      </c>
      <c r="G593" s="83" cm="1">
        <f t="array" ref="G593">SUMPRODUCT((pat_tech_bt_04_ene_face[[client]:[client]]=syndicat_etude)*(pat_tech_bt_04_ene_face[[face]:[face]]="U")*(pat_tech_bt_04_ene_face[[annee]:[annee]]=Exercice[[Exercice N]:[Exercice N]])*(pat_tech_bt_04_ene_face[[sout_1946_al]:[sout_1946_al]]))</f>
        <v>27.55</v>
      </c>
    </row>
    <row r="594" spans="1:8" ht="15" customHeight="1" x14ac:dyDescent="0.25">
      <c r="B594" s="50" t="s">
        <v>511</v>
      </c>
      <c r="C594" s="7" cm="1">
        <f t="array" ref="C594">SUMPRODUCT((pat_tech_bt_04_ene_face[[client]:[client]]=syndicat_etude)*(pat_tech_bt_04_ene_face[[face]:[face]]="U")*(pat_tech_bt_04_ene_face[[annee]:[annee]]=Exercice[[Exercice N-4]:[Exercice N-4]])*(pat_tech_bt_04_ene_face[[sout_cpi_cu]:[sout_cpi_cu]]))</f>
        <v>0.96</v>
      </c>
      <c r="D594" s="7" cm="1">
        <f t="array" ref="D594">SUMPRODUCT((pat_tech_bt_04_ene_face[[client]:[client]]=syndicat_etude)*(pat_tech_bt_04_ene_face[[face]:[face]]="U")*(pat_tech_bt_04_ene_face[[annee]:[annee]]=Exercice[[Exercice N-3]:[Exercice N-3]])*(pat_tech_bt_04_ene_face[[sout_cpi_cu]:[sout_cpi_cu]]))</f>
        <v>0.96</v>
      </c>
      <c r="E594" s="7" cm="1">
        <f t="array" ref="E594">SUMPRODUCT((pat_tech_bt_04_ene_face[[client]:[client]]=syndicat_etude)*(pat_tech_bt_04_ene_face[[face]:[face]]="U")*(pat_tech_bt_04_ene_face[[annee]:[annee]]=Exercice[[Exercice N-2]:[Exercice N-2]])*(pat_tech_bt_04_ene_face[[sout_cpi_cu]:[sout_cpi_cu]]))</f>
        <v>0.96</v>
      </c>
      <c r="F594" s="7" cm="1">
        <f t="array" ref="F594">SUMPRODUCT((pat_tech_bt_04_ene_face[[client]:[client]]=syndicat_etude)*(pat_tech_bt_04_ene_face[[face]:[face]]="U")*(pat_tech_bt_04_ene_face[[annee]:[annee]]=Exercice[[Exercice N-1]:[Exercice N-1]])*(pat_tech_bt_04_ene_face[[sout_cpi_cu]:[sout_cpi_cu]]))</f>
        <v>0.96</v>
      </c>
      <c r="G594" s="83" cm="1">
        <f t="array" ref="G594">SUMPRODUCT((pat_tech_bt_04_ene_face[[client]:[client]]=syndicat_etude)*(pat_tech_bt_04_ene_face[[face]:[face]]="U")*(pat_tech_bt_04_ene_face[[annee]:[annee]]=Exercice[[Exercice N]:[Exercice N]])*(pat_tech_bt_04_ene_face[[sout_cpi_cu]:[sout_cpi_cu]]))</f>
        <v>0.96</v>
      </c>
    </row>
    <row r="595" spans="1:8" ht="15" customHeight="1" x14ac:dyDescent="0.25">
      <c r="B595" s="50" t="s">
        <v>512</v>
      </c>
      <c r="C595" s="7" cm="1">
        <f t="array" ref="C595">SUMPRODUCT((pat_tech_bt_04_ene_face[[client]:[client]]=syndicat_etude)*(pat_tech_bt_04_ene_face[[face]:[face]]="U")*(pat_tech_bt_04_ene_face[[annee]:[annee]]=Exercice[[Exercice N-4]:[Exercice N-4]])*(pat_tech_bt_04_ene_face[[sout_cpi_al]:[sout_cpi_al]]))</f>
        <v>1.6</v>
      </c>
      <c r="D595" s="7" cm="1">
        <f t="array" ref="D595">SUMPRODUCT((pat_tech_bt_04_ene_face[[client]:[client]]=syndicat_etude)*(pat_tech_bt_04_ene_face[[face]:[face]]="U")*(pat_tech_bt_04_ene_face[[annee]:[annee]]=Exercice[[Exercice N-3]:[Exercice N-3]])*(pat_tech_bt_04_ene_face[[sout_cpi_al]:[sout_cpi_al]]))</f>
        <v>1.59</v>
      </c>
      <c r="E595" s="7" cm="1">
        <f t="array" ref="E595">SUMPRODUCT((pat_tech_bt_04_ene_face[[client]:[client]]=syndicat_etude)*(pat_tech_bt_04_ene_face[[face]:[face]]="U")*(pat_tech_bt_04_ene_face[[annee]:[annee]]=Exercice[[Exercice N-2]:[Exercice N-2]])*(pat_tech_bt_04_ene_face[[sout_cpi_al]:[sout_cpi_al]]))</f>
        <v>1.58</v>
      </c>
      <c r="F595" s="7" cm="1">
        <f t="array" ref="F595">SUMPRODUCT((pat_tech_bt_04_ene_face[[client]:[client]]=syndicat_etude)*(pat_tech_bt_04_ene_face[[face]:[face]]="U")*(pat_tech_bt_04_ene_face[[annee]:[annee]]=Exercice[[Exercice N-1]:[Exercice N-1]])*(pat_tech_bt_04_ene_face[[sout_cpi_al]:[sout_cpi_al]]))</f>
        <v>1.56</v>
      </c>
      <c r="G595" s="83" cm="1">
        <f t="array" ref="G595">SUMPRODUCT((pat_tech_bt_04_ene_face[[client]:[client]]=syndicat_etude)*(pat_tech_bt_04_ene_face[[face]:[face]]="U")*(pat_tech_bt_04_ene_face[[annee]:[annee]]=Exercice[[Exercice N]:[Exercice N]])*(pat_tech_bt_04_ene_face[[sout_cpi_al]:[sout_cpi_al]]))</f>
        <v>1.57</v>
      </c>
    </row>
    <row r="596" spans="1:8" ht="15" customHeight="1" x14ac:dyDescent="0.25">
      <c r="B596" s="50" t="s">
        <v>513</v>
      </c>
      <c r="C596" s="7" cm="1">
        <f t="array" ref="C596">SUMPRODUCT((pat_tech_bt_04_ene_face[[client]:[client]]=syndicat_etude)*(pat_tech_bt_04_ene_face[[face]:[face]]="U")*(pat_tech_bt_04_ene_face[[annee]:[annee]]=Exercice[[Exercice N-4]:[Exercice N-4]])*(pat_tech_bt_04_ene_face[[sout_np]:[sout_np]]))</f>
        <v>1.51</v>
      </c>
      <c r="D596" s="7" cm="1">
        <f t="array" ref="D596">SUMPRODUCT((pat_tech_bt_04_ene_face[[client]:[client]]=syndicat_etude)*(pat_tech_bt_04_ene_face[[face]:[face]]="U")*(pat_tech_bt_04_ene_face[[annee]:[annee]]=Exercice[[Exercice N-3]:[Exercice N-3]])*(pat_tech_bt_04_ene_face[[sout_np]:[sout_np]]))</f>
        <v>1.27</v>
      </c>
      <c r="E596" s="7" cm="1">
        <f t="array" ref="E596">SUMPRODUCT((pat_tech_bt_04_ene_face[[client]:[client]]=syndicat_etude)*(pat_tech_bt_04_ene_face[[face]:[face]]="U")*(pat_tech_bt_04_ene_face[[annee]:[annee]]=Exercice[[Exercice N-2]:[Exercice N-2]])*(pat_tech_bt_04_ene_face[[sout_np]:[sout_np]]))</f>
        <v>1.8</v>
      </c>
      <c r="F596" s="7" cm="1">
        <f t="array" ref="F596">SUMPRODUCT((pat_tech_bt_04_ene_face[[client]:[client]]=syndicat_etude)*(pat_tech_bt_04_ene_face[[face]:[face]]="U")*(pat_tech_bt_04_ene_face[[annee]:[annee]]=Exercice[[Exercice N-1]:[Exercice N-1]])*(pat_tech_bt_04_ene_face[[sout_np]:[sout_np]]))</f>
        <v>1.78</v>
      </c>
      <c r="G596" s="83" cm="1">
        <f t="array" ref="G596">SUMPRODUCT((pat_tech_bt_04_ene_face[[client]:[client]]=syndicat_etude)*(pat_tech_bt_04_ene_face[[face]:[face]]="U")*(pat_tech_bt_04_ene_face[[annee]:[annee]]=Exercice[[Exercice N]:[Exercice N]])*(pat_tech_bt_04_ene_face[[sout_np]:[sout_np]]))</f>
        <v>1.78</v>
      </c>
    </row>
    <row r="597" spans="1:8" ht="15" customHeight="1" x14ac:dyDescent="0.25">
      <c r="B597" s="142" t="s">
        <v>517</v>
      </c>
      <c r="C597" s="154">
        <f>IFERROR(SUM(C592:C596)/C$399,"")</f>
        <v>7.3253931385942397E-3</v>
      </c>
      <c r="D597" s="154">
        <f>IFERROR(SUM(D592:D596)/D$399,"")</f>
        <v>7.087722174406055E-3</v>
      </c>
      <c r="E597" s="154">
        <f>IFERROR(SUM(E592:E596)/E$399,"")</f>
        <v>9.4846947207013407E-3</v>
      </c>
      <c r="F597" s="154">
        <f>IFERROR(SUM(F592:F596)/F$399,"")</f>
        <v>9.3181358332771313E-3</v>
      </c>
      <c r="G597" s="155">
        <f>IFERROR(SUM(G592:G596)/G$399,"")</f>
        <v>9.1258880561296933E-3</v>
      </c>
    </row>
    <row r="598" spans="1:8" ht="15" customHeight="1" x14ac:dyDescent="0.25">
      <c r="B598" s="29"/>
    </row>
    <row r="599" spans="1:8" ht="30" customHeight="1" x14ac:dyDescent="0.25">
      <c r="B599" s="66" t="s">
        <v>518</v>
      </c>
      <c r="C599" s="67" cm="1">
        <f t="array" ref="C599">Exercice[Exercice N-4]</f>
        <v>2019</v>
      </c>
      <c r="D599" s="67" cm="1">
        <f t="array" ref="D599">Exercice[Exercice N-3]</f>
        <v>2020</v>
      </c>
      <c r="E599" s="67" cm="1">
        <f t="array" ref="E599">Exercice[Exercice N-2]</f>
        <v>2021</v>
      </c>
      <c r="F599" s="67" cm="1">
        <f t="array" ref="F599">Exercice[Exercice N-1]</f>
        <v>2022</v>
      </c>
      <c r="G599" s="69" cm="1">
        <f t="array" ref="G599">Exercice[Exercice N]</f>
        <v>2023</v>
      </c>
    </row>
    <row r="600" spans="1:8" ht="15" customHeight="1" x14ac:dyDescent="0.25">
      <c r="B600" s="50" t="s">
        <v>509</v>
      </c>
      <c r="C600" s="7" cm="1">
        <f t="array" ref="C600">SUMPRODUCT((pat_tech_bt_04_ene_face[[client]:[client]]=syndicat_etude)*(pat_tech_bt_04_ene_face[[face]:[face]]="R")*(pat_tech_bt_04_ene_face[[annee]:[annee]]=Exercice[[Exercice N-4]:[Exercice N-4]])*(pat_tech_bt_04_ene_face[[sout_1946_cu]:[sout_1946_cu]]))</f>
        <v>0.01</v>
      </c>
      <c r="D600" s="7" cm="1">
        <f t="array" ref="D600">SUMPRODUCT((pat_tech_bt_04_ene_face[[client]:[client]]=syndicat_etude)*(pat_tech_bt_04_ene_face[[face]:[face]]="R")*(pat_tech_bt_04_ene_face[[annee]:[annee]]=Exercice[[Exercice N-3]:[Exercice N-3]])*(pat_tech_bt_04_ene_face[[sout_1946_cu]:[sout_1946_cu]]))</f>
        <v>0.01</v>
      </c>
      <c r="E600" s="7" cm="1">
        <f t="array" ref="E600">SUMPRODUCT((pat_tech_bt_04_ene_face[[client]:[client]]=syndicat_etude)*(pat_tech_bt_04_ene_face[[face]:[face]]="R")*(pat_tech_bt_04_ene_face[[annee]:[annee]]=Exercice[[Exercice N-2]:[Exercice N-2]])*(pat_tech_bt_04_ene_face[[sout_1946_cu]:[sout_1946_cu]]))</f>
        <v>0.01</v>
      </c>
      <c r="F600" s="7" cm="1">
        <f t="array" ref="F600">SUMPRODUCT((pat_tech_bt_04_ene_face[[client]:[client]]=syndicat_etude)*(pat_tech_bt_04_ene_face[[face]:[face]]="R")*(pat_tech_bt_04_ene_face[[annee]:[annee]]=Exercice[[Exercice N-1]:[Exercice N-1]])*(pat_tech_bt_04_ene_face[[sout_1946_cu]:[sout_1946_cu]]))</f>
        <v>0.01</v>
      </c>
      <c r="G600" s="83" cm="1">
        <f t="array" ref="G600">SUMPRODUCT((pat_tech_bt_04_ene_face[[client]:[client]]=syndicat_etude)*(pat_tech_bt_04_ene_face[[face]:[face]]="R")*(pat_tech_bt_04_ene_face[[annee]:[annee]]=Exercice[[Exercice N]:[Exercice N]])*(pat_tech_bt_04_ene_face[[sout_1946_cu]:[sout_1946_cu]]))</f>
        <v>0.01</v>
      </c>
    </row>
    <row r="601" spans="1:8" ht="15" customHeight="1" x14ac:dyDescent="0.25">
      <c r="B601" s="50" t="s">
        <v>510</v>
      </c>
      <c r="C601" s="7" cm="1">
        <f t="array" ref="C601">SUMPRODUCT((pat_tech_bt_04_ene_face[[client]:[client]]=syndicat_etude)*(pat_tech_bt_04_ene_face[[face]:[face]]="R")*(pat_tech_bt_04_ene_face[[annee]:[annee]]=Exercice[[Exercice N-4]:[Exercice N-4]])*(pat_tech_bt_04_ene_face[[sout_1946_al]:[sout_1946_al]]))</f>
        <v>24.57</v>
      </c>
      <c r="D601" s="7" cm="1">
        <f t="array" ref="D601">SUMPRODUCT((pat_tech_bt_04_ene_face[[client]:[client]]=syndicat_etude)*(pat_tech_bt_04_ene_face[[face]:[face]]="R")*(pat_tech_bt_04_ene_face[[annee]:[annee]]=Exercice[[Exercice N-3]:[Exercice N-3]])*(pat_tech_bt_04_ene_face[[sout_1946_al]:[sout_1946_al]]))</f>
        <v>24.56</v>
      </c>
      <c r="E601" s="7" cm="1">
        <f t="array" ref="E601">SUMPRODUCT((pat_tech_bt_04_ene_face[[client]:[client]]=syndicat_etude)*(pat_tech_bt_04_ene_face[[face]:[face]]="R")*(pat_tech_bt_04_ene_face[[annee]:[annee]]=Exercice[[Exercice N-2]:[Exercice N-2]])*(pat_tech_bt_04_ene_face[[sout_1946_al]:[sout_1946_al]]))</f>
        <v>15.73</v>
      </c>
      <c r="F601" s="7" cm="1">
        <f t="array" ref="F601">SUMPRODUCT((pat_tech_bt_04_ene_face[[client]:[client]]=syndicat_etude)*(pat_tech_bt_04_ene_face[[face]:[face]]="R")*(pat_tech_bt_04_ene_face[[annee]:[annee]]=Exercice[[Exercice N-1]:[Exercice N-1]])*(pat_tech_bt_04_ene_face[[sout_1946_al]:[sout_1946_al]]))</f>
        <v>15.5</v>
      </c>
      <c r="G601" s="83" cm="1">
        <f t="array" ref="G601">SUMPRODUCT((pat_tech_bt_04_ene_face[[client]:[client]]=syndicat_etude)*(pat_tech_bt_04_ene_face[[face]:[face]]="R")*(pat_tech_bt_04_ene_face[[annee]:[annee]]=Exercice[[Exercice N]:[Exercice N]])*(pat_tech_bt_04_ene_face[[sout_1946_al]:[sout_1946_al]]))</f>
        <v>15.36</v>
      </c>
    </row>
    <row r="602" spans="1:8" ht="15" customHeight="1" x14ac:dyDescent="0.25">
      <c r="B602" s="50" t="s">
        <v>511</v>
      </c>
      <c r="C602" s="7" cm="1">
        <f t="array" ref="C602">SUMPRODUCT((pat_tech_bt_04_ene_face[[client]:[client]]=syndicat_etude)*(pat_tech_bt_04_ene_face[[face]:[face]]="R")*(pat_tech_bt_04_ene_face[[annee]:[annee]]=Exercice[[Exercice N-4]:[Exercice N-4]])*(pat_tech_bt_04_ene_face[[sout_cpi_cu]:[sout_cpi_cu]]))</f>
        <v>0</v>
      </c>
      <c r="D602" s="7" cm="1">
        <f t="array" ref="D602">SUMPRODUCT((pat_tech_bt_04_ene_face[[client]:[client]]=syndicat_etude)*(pat_tech_bt_04_ene_face[[face]:[face]]="R")*(pat_tech_bt_04_ene_face[[annee]:[annee]]=Exercice[[Exercice N-3]:[Exercice N-3]])*(pat_tech_bt_04_ene_face[[sout_cpi_cu]:[sout_cpi_cu]]))</f>
        <v>0</v>
      </c>
      <c r="E602" s="7" cm="1">
        <f t="array" ref="E602">SUMPRODUCT((pat_tech_bt_04_ene_face[[client]:[client]]=syndicat_etude)*(pat_tech_bt_04_ene_face[[face]:[face]]="R")*(pat_tech_bt_04_ene_face[[annee]:[annee]]=Exercice[[Exercice N-2]:[Exercice N-2]])*(pat_tech_bt_04_ene_face[[sout_cpi_cu]:[sout_cpi_cu]]))</f>
        <v>0</v>
      </c>
      <c r="F602" s="7" cm="1">
        <f t="array" ref="F602">SUMPRODUCT((pat_tech_bt_04_ene_face[[client]:[client]]=syndicat_etude)*(pat_tech_bt_04_ene_face[[face]:[face]]="R")*(pat_tech_bt_04_ene_face[[annee]:[annee]]=Exercice[[Exercice N-1]:[Exercice N-1]])*(pat_tech_bt_04_ene_face[[sout_cpi_cu]:[sout_cpi_cu]]))</f>
        <v>0</v>
      </c>
      <c r="G602" s="83" cm="1">
        <f t="array" ref="G602">SUMPRODUCT((pat_tech_bt_04_ene_face[[client]:[client]]=syndicat_etude)*(pat_tech_bt_04_ene_face[[face]:[face]]="R")*(pat_tech_bt_04_ene_face[[annee]:[annee]]=Exercice[[Exercice N]:[Exercice N]])*(pat_tech_bt_04_ene_face[[sout_cpi_cu]:[sout_cpi_cu]]))</f>
        <v>0</v>
      </c>
    </row>
    <row r="603" spans="1:8" ht="15" customHeight="1" x14ac:dyDescent="0.25">
      <c r="B603" s="50" t="s">
        <v>512</v>
      </c>
      <c r="C603" s="7" cm="1">
        <f t="array" ref="C603">SUMPRODUCT((pat_tech_bt_04_ene_face[[client]:[client]]=syndicat_etude)*(pat_tech_bt_04_ene_face[[face]:[face]]="R")*(pat_tech_bt_04_ene_face[[annee]:[annee]]=Exercice[[Exercice N-4]:[Exercice N-4]])*(pat_tech_bt_04_ene_face[[sout_cpi_al]:[sout_cpi_al]]))</f>
        <v>0.53</v>
      </c>
      <c r="D603" s="7" cm="1">
        <f t="array" ref="D603">SUMPRODUCT((pat_tech_bt_04_ene_face[[client]:[client]]=syndicat_etude)*(pat_tech_bt_04_ene_face[[face]:[face]]="R")*(pat_tech_bt_04_ene_face[[annee]:[annee]]=Exercice[[Exercice N-3]:[Exercice N-3]])*(pat_tech_bt_04_ene_face[[sout_cpi_al]:[sout_cpi_al]]))</f>
        <v>0.51</v>
      </c>
      <c r="E603" s="7" cm="1">
        <f t="array" ref="E603">SUMPRODUCT((pat_tech_bt_04_ene_face[[client]:[client]]=syndicat_etude)*(pat_tech_bt_04_ene_face[[face]:[face]]="R")*(pat_tech_bt_04_ene_face[[annee]:[annee]]=Exercice[[Exercice N-2]:[Exercice N-2]])*(pat_tech_bt_04_ene_face[[sout_cpi_al]:[sout_cpi_al]]))</f>
        <v>0.53</v>
      </c>
      <c r="F603" s="7" cm="1">
        <f t="array" ref="F603">SUMPRODUCT((pat_tech_bt_04_ene_face[[client]:[client]]=syndicat_etude)*(pat_tech_bt_04_ene_face[[face]:[face]]="R")*(pat_tech_bt_04_ene_face[[annee]:[annee]]=Exercice[[Exercice N-1]:[Exercice N-1]])*(pat_tech_bt_04_ene_face[[sout_cpi_al]:[sout_cpi_al]]))</f>
        <v>0.53</v>
      </c>
      <c r="G603" s="83" cm="1">
        <f t="array" ref="G603">SUMPRODUCT((pat_tech_bt_04_ene_face[[client]:[client]]=syndicat_etude)*(pat_tech_bt_04_ene_face[[face]:[face]]="R")*(pat_tech_bt_04_ene_face[[annee]:[annee]]=Exercice[[Exercice N]:[Exercice N]])*(pat_tech_bt_04_ene_face[[sout_cpi_al]:[sout_cpi_al]]))</f>
        <v>0.51</v>
      </c>
    </row>
    <row r="604" spans="1:8" ht="15" customHeight="1" x14ac:dyDescent="0.25">
      <c r="B604" s="50" t="s">
        <v>513</v>
      </c>
      <c r="C604" s="7" cm="1">
        <f t="array" ref="C604">SUMPRODUCT((pat_tech_bt_04_ene_face[[client]:[client]]=syndicat_etude)*(pat_tech_bt_04_ene_face[[face]:[face]]="R")*(pat_tech_bt_04_ene_face[[annee]:[annee]]=Exercice[[Exercice N-4]:[Exercice N-4]])*(pat_tech_bt_04_ene_face[[sout_np]:[sout_np]]))</f>
        <v>0.67</v>
      </c>
      <c r="D604" s="7" cm="1">
        <f t="array" ref="D604">SUMPRODUCT((pat_tech_bt_04_ene_face[[client]:[client]]=syndicat_etude)*(pat_tech_bt_04_ene_face[[face]:[face]]="R")*(pat_tech_bt_04_ene_face[[annee]:[annee]]=Exercice[[Exercice N-3]:[Exercice N-3]])*(pat_tech_bt_04_ene_face[[sout_np]:[sout_np]]))</f>
        <v>0.68</v>
      </c>
      <c r="E604" s="7" cm="1">
        <f t="array" ref="E604">SUMPRODUCT((pat_tech_bt_04_ene_face[[client]:[client]]=syndicat_etude)*(pat_tech_bt_04_ene_face[[face]:[face]]="R")*(pat_tech_bt_04_ene_face[[annee]:[annee]]=Exercice[[Exercice N-2]:[Exercice N-2]])*(pat_tech_bt_04_ene_face[[sout_np]:[sout_np]]))</f>
        <v>0.14000000000000001</v>
      </c>
      <c r="F604" s="7" cm="1">
        <f t="array" ref="F604">SUMPRODUCT((pat_tech_bt_04_ene_face[[client]:[client]]=syndicat_etude)*(pat_tech_bt_04_ene_face[[face]:[face]]="R")*(pat_tech_bt_04_ene_face[[annee]:[annee]]=Exercice[[Exercice N-1]:[Exercice N-1]])*(pat_tech_bt_04_ene_face[[sout_np]:[sout_np]]))</f>
        <v>0.14000000000000001</v>
      </c>
      <c r="G604" s="83" cm="1">
        <f t="array" ref="G604">SUMPRODUCT((pat_tech_bt_04_ene_face[[client]:[client]]=syndicat_etude)*(pat_tech_bt_04_ene_face[[face]:[face]]="R")*(pat_tech_bt_04_ene_face[[annee]:[annee]]=Exercice[[Exercice N]:[Exercice N]])*(pat_tech_bt_04_ene_face[[sout_np]:[sout_np]]))</f>
        <v>0.14000000000000001</v>
      </c>
    </row>
    <row r="605" spans="1:8" ht="15" customHeight="1" x14ac:dyDescent="0.25">
      <c r="B605" s="142" t="s">
        <v>517</v>
      </c>
      <c r="C605" s="154">
        <f>IFERROR(SUM(C600:C604)/C$399,"")</f>
        <v>7.0862527246889125E-3</v>
      </c>
      <c r="D605" s="154">
        <f>IFERROR(SUM(D600:D604)/D$399,"")</f>
        <v>7.0385398308673861E-3</v>
      </c>
      <c r="E605" s="154">
        <f>IFERROR(SUM(E600:E604)/E$399,"")</f>
        <v>4.4456966685720942E-3</v>
      </c>
      <c r="F605" s="154">
        <f>IFERROR(SUM(F600:F604)/F$399,"")</f>
        <v>4.3650097794563974E-3</v>
      </c>
      <c r="G605" s="155">
        <f>IFERROR(SUM(G600:G604)/G$399,"")</f>
        <v>4.2835255393846375E-3</v>
      </c>
    </row>
    <row r="606" spans="1:8" ht="15" customHeight="1" x14ac:dyDescent="0.25">
      <c r="B606" s="29"/>
      <c r="C606" s="105"/>
      <c r="D606" s="105"/>
      <c r="E606" s="105"/>
      <c r="F606" s="105"/>
      <c r="G606" s="105"/>
    </row>
    <row r="607" spans="1:8" ht="30" customHeight="1" x14ac:dyDescent="0.25">
      <c r="A607" s="25" t="s">
        <v>519</v>
      </c>
      <c r="B607" s="66" t="s">
        <v>520</v>
      </c>
      <c r="C607" s="67" cm="1">
        <f t="array" ref="C607">Exercice[Exercice N-4]</f>
        <v>2019</v>
      </c>
      <c r="D607" s="67" cm="1">
        <f t="array" ref="D607">Exercice[Exercice N-3]</f>
        <v>2020</v>
      </c>
      <c r="E607" s="67" cm="1">
        <f t="array" ref="E607">Exercice[Exercice N-2]</f>
        <v>2021</v>
      </c>
      <c r="F607" s="67" cm="1">
        <f t="array" ref="F607">Exercice[Exercice N-1]</f>
        <v>2022</v>
      </c>
      <c r="G607" s="67" cm="1">
        <f t="array" ref="G607">Exercice[Exercice N]</f>
        <v>2023</v>
      </c>
      <c r="H607" s="68" t="s">
        <v>273</v>
      </c>
    </row>
    <row r="608" spans="1:8" ht="15" customHeight="1" x14ac:dyDescent="0.25">
      <c r="B608" s="255" t="s">
        <v>521</v>
      </c>
      <c r="C608" s="589">
        <f>SUM(C609:C613)</f>
        <v>3638.0299999999997</v>
      </c>
      <c r="D608" s="589">
        <f>SUM(D609:D613)</f>
        <v>3659.8500000000004</v>
      </c>
      <c r="E608" s="589">
        <f>SUM(E609:E613)</f>
        <v>3691.21</v>
      </c>
      <c r="F608" s="589">
        <f>SUM(F609:F613)</f>
        <v>3706.76</v>
      </c>
      <c r="G608" s="589">
        <f>SUM(G609:G613)</f>
        <v>3739.9100000000003</v>
      </c>
      <c r="H608" s="590">
        <f t="shared" ref="H608:H625" si="18">IFERROR(G608/F608-1,"-")</f>
        <v>8.9431201372627278E-3</v>
      </c>
    </row>
    <row r="609" spans="1:8" ht="15" customHeight="1" x14ac:dyDescent="0.25">
      <c r="B609" s="50" t="s">
        <v>202</v>
      </c>
      <c r="C609" s="7" cm="1">
        <f t="array" ref="C609">SUMPRODUCT((pat_tech_bt_06[[client]:[client]]=syndicat_etude)*(pat_tech_bt_06[[annee]:[annee]]=Exercice[[Exercice N-4]:[Exercice N-4]])*(pat_tech_bt_06[acier_alu]))</f>
        <v>0</v>
      </c>
      <c r="D609" s="7" cm="1">
        <f t="array" ref="D609">SUMPRODUCT((pat_tech_bt_06[[client]:[client]]=syndicat_etude)*(pat_tech_bt_06[[annee]:[annee]]=Exercice[[Exercice N-3]:[Exercice N-3]])*(pat_tech_bt_06[acier_alu]))</f>
        <v>0</v>
      </c>
      <c r="E609" s="7" cm="1">
        <f t="array" ref="E609">SUMPRODUCT((pat_tech_bt_06[[client]:[client]]=syndicat_etude)*(pat_tech_bt_06[[annee]:[annee]]=Exercice[[Exercice N-2]:[Exercice N-2]])*(pat_tech_bt_06[acier_alu]))</f>
        <v>0</v>
      </c>
      <c r="F609" s="7" cm="1">
        <f t="array" ref="F609">SUMPRODUCT((pat_tech_bt_06[[client]:[client]]=syndicat_etude)*(pat_tech_bt_06[[annee]:[annee]]=Exercice[[Exercice N-1]:[Exercice N-1]])*(pat_tech_bt_06[acier_alu]))</f>
        <v>0</v>
      </c>
      <c r="G609" s="7" cm="1">
        <f t="array" ref="G609">SUMPRODUCT((pat_tech_bt_06[[client]:[client]]=syndicat_etude)*(pat_tech_bt_06[[annee]:[annee]]=Exercice[[Exercice N]:[Exercice N]])*(pat_tech_bt_06[acier_alu]))</f>
        <v>0</v>
      </c>
      <c r="H609" s="149" t="str">
        <f t="shared" si="18"/>
        <v>-</v>
      </c>
    </row>
    <row r="610" spans="1:8" ht="15" customHeight="1" x14ac:dyDescent="0.25">
      <c r="B610" s="50" t="s">
        <v>203</v>
      </c>
      <c r="C610" s="7" cm="1">
        <f t="array" ref="C610">SUMPRODUCT((pat_tech_bt_06[[client]:[client]]=syndicat_etude)*(pat_tech_bt_06[[annee]:[annee]]=Exercice[[Exercice N-4]:[Exercice N-4]])*(pat_tech_bt_06[aluminium]))</f>
        <v>3349.74</v>
      </c>
      <c r="D610" s="7" cm="1">
        <f t="array" ref="D610">SUMPRODUCT((pat_tech_bt_06[[client]:[client]]=syndicat_etude)*(pat_tech_bt_06[[annee]:[annee]]=Exercice[[Exercice N-3]:[Exercice N-3]])*(pat_tech_bt_06[aluminium]))</f>
        <v>3382.31</v>
      </c>
      <c r="E610" s="7" cm="1">
        <f t="array" ref="E610">SUMPRODUCT((pat_tech_bt_06[[client]:[client]]=syndicat_etude)*(pat_tech_bt_06[[annee]:[annee]]=Exercice[[Exercice N-2]:[Exercice N-2]])*(pat_tech_bt_06[aluminium]))</f>
        <v>3423.85</v>
      </c>
      <c r="F610" s="7" cm="1">
        <f t="array" ref="F610">SUMPRODUCT((pat_tech_bt_06[[client]:[client]]=syndicat_etude)*(pat_tech_bt_06[[annee]:[annee]]=Exercice[[Exercice N-1]:[Exercice N-1]])*(pat_tech_bt_06[aluminium]))</f>
        <v>3445.96</v>
      </c>
      <c r="G610" s="7" cm="1">
        <f t="array" ref="G610">SUMPRODUCT((pat_tech_bt_06[[client]:[client]]=syndicat_etude)*(pat_tech_bt_06[[annee]:[annee]]=Exercice[[Exercice N]:[Exercice N]])*(pat_tech_bt_06[aluminium]))</f>
        <v>3488.82</v>
      </c>
      <c r="H610" s="149">
        <f t="shared" si="18"/>
        <v>1.243775319504592E-2</v>
      </c>
    </row>
    <row r="611" spans="1:8" ht="15" customHeight="1" x14ac:dyDescent="0.25">
      <c r="B611" s="50" t="s">
        <v>204</v>
      </c>
      <c r="C611" s="7" cm="1">
        <f t="array" ref="C611">SUMPRODUCT((pat_tech_bt_06[[client]:[client]]=syndicat_etude)*(pat_tech_bt_06[[annee]:[annee]]=Exercice[[Exercice N-4]:[Exercice N-4]])*(pat_tech_bt_06[almelec]))</f>
        <v>9.67</v>
      </c>
      <c r="D611" s="7" cm="1">
        <f t="array" ref="D611">SUMPRODUCT((pat_tech_bt_06[[client]:[client]]=syndicat_etude)*(pat_tech_bt_06[[annee]:[annee]]=Exercice[[Exercice N-3]:[Exercice N-3]])*(pat_tech_bt_06[almelec]))</f>
        <v>8.82</v>
      </c>
      <c r="E611" s="7" cm="1">
        <f t="array" ref="E611">SUMPRODUCT((pat_tech_bt_06[[client]:[client]]=syndicat_etude)*(pat_tech_bt_06[[annee]:[annee]]=Exercice[[Exercice N-2]:[Exercice N-2]])*(pat_tech_bt_06[almelec]))</f>
        <v>8.82</v>
      </c>
      <c r="F611" s="7" cm="1">
        <f t="array" ref="F611">SUMPRODUCT((pat_tech_bt_06[[client]:[client]]=syndicat_etude)*(pat_tech_bt_06[[annee]:[annee]]=Exercice[[Exercice N-1]:[Exercice N-1]])*(pat_tech_bt_06[almelec]))</f>
        <v>8.82</v>
      </c>
      <c r="G611" s="7" cm="1">
        <f t="array" ref="G611">SUMPRODUCT((pat_tech_bt_06[[client]:[client]]=syndicat_etude)*(pat_tech_bt_06[[annee]:[annee]]=Exercice[[Exercice N]:[Exercice N]])*(pat_tech_bt_06[almelec]))</f>
        <v>8.7899999999999991</v>
      </c>
      <c r="H611" s="149">
        <f t="shared" si="18"/>
        <v>-3.4013605442178019E-3</v>
      </c>
    </row>
    <row r="612" spans="1:8" ht="15" customHeight="1" x14ac:dyDescent="0.25">
      <c r="B612" s="50" t="s">
        <v>205</v>
      </c>
      <c r="C612" s="7" cm="1">
        <f t="array" ref="C612">SUMPRODUCT((pat_tech_bt_06[[client]:[client]]=syndicat_etude)*(pat_tech_bt_06[[annee]:[annee]]=Exercice[[Exercice N-4]:[Exercice N-4]])*(pat_tech_bt_06[almelec_acier]))</f>
        <v>0</v>
      </c>
      <c r="D612" s="7" cm="1">
        <f t="array" ref="D612">SUMPRODUCT((pat_tech_bt_06[[client]:[client]]=syndicat_etude)*(pat_tech_bt_06[[annee]:[annee]]=Exercice[[Exercice N-3]:[Exercice N-3]])*(pat_tech_bt_06[almelec_acier]))</f>
        <v>0</v>
      </c>
      <c r="E612" s="7" cm="1">
        <f t="array" ref="E612">SUMPRODUCT((pat_tech_bt_06[[client]:[client]]=syndicat_etude)*(pat_tech_bt_06[[annee]:[annee]]=Exercice[[Exercice N-2]:[Exercice N-2]])*(pat_tech_bt_06[almelec_acier]))</f>
        <v>0</v>
      </c>
      <c r="F612" s="7" cm="1">
        <f t="array" ref="F612">SUMPRODUCT((pat_tech_bt_06[[client]:[client]]=syndicat_etude)*(pat_tech_bt_06[[annee]:[annee]]=Exercice[[Exercice N-1]:[Exercice N-1]])*(pat_tech_bt_06[almelec_acier]))</f>
        <v>0</v>
      </c>
      <c r="G612" s="7" cm="1">
        <f t="array" ref="G612">SUMPRODUCT((pat_tech_bt_06[[client]:[client]]=syndicat_etude)*(pat_tech_bt_06[[annee]:[annee]]=Exercice[[Exercice N]:[Exercice N]])*(pat_tech_bt_06[almelec_acier]))</f>
        <v>0</v>
      </c>
      <c r="H612" s="149" t="str">
        <f t="shared" si="18"/>
        <v>-</v>
      </c>
    </row>
    <row r="613" spans="1:8" ht="15" customHeight="1" x14ac:dyDescent="0.25">
      <c r="B613" s="50" t="s">
        <v>206</v>
      </c>
      <c r="C613" s="7" cm="1">
        <f t="array" ref="C613">SUMPRODUCT((pat_tech_bt_06[[client]:[client]]=syndicat_etude)*(pat_tech_bt_06[[annee]:[annee]]=Exercice[[Exercice N-4]:[Exercice N-4]])*(pat_tech_bt_06[cuivre]))</f>
        <v>278.62</v>
      </c>
      <c r="D613" s="7" cm="1">
        <f t="array" ref="D613">SUMPRODUCT((pat_tech_bt_06[[client]:[client]]=syndicat_etude)*(pat_tech_bt_06[[annee]:[annee]]=Exercice[[Exercice N-3]:[Exercice N-3]])*(pat_tech_bt_06[cuivre]))</f>
        <v>268.72000000000003</v>
      </c>
      <c r="E613" s="7" cm="1">
        <f t="array" ref="E613">SUMPRODUCT((pat_tech_bt_06[[client]:[client]]=syndicat_etude)*(pat_tech_bt_06[[annee]:[annee]]=Exercice[[Exercice N-2]:[Exercice N-2]])*(pat_tech_bt_06[cuivre]))</f>
        <v>258.54000000000002</v>
      </c>
      <c r="F613" s="7" cm="1">
        <f t="array" ref="F613">SUMPRODUCT((pat_tech_bt_06[[client]:[client]]=syndicat_etude)*(pat_tech_bt_06[[annee]:[annee]]=Exercice[[Exercice N-1]:[Exercice N-1]])*(pat_tech_bt_06[cuivre]))</f>
        <v>251.98</v>
      </c>
      <c r="G613" s="7" cm="1">
        <f t="array" ref="G613">SUMPRODUCT((pat_tech_bt_06[[client]:[client]]=syndicat_etude)*(pat_tech_bt_06[[annee]:[annee]]=Exercice[[Exercice N]:[Exercice N]])*(pat_tech_bt_06[cuivre]))</f>
        <v>242.3</v>
      </c>
      <c r="H613" s="149">
        <f t="shared" si="18"/>
        <v>-3.8415747281530188E-2</v>
      </c>
    </row>
    <row r="614" spans="1:8" ht="15" customHeight="1" x14ac:dyDescent="0.25">
      <c r="A614" s="25" t="s">
        <v>522</v>
      </c>
      <c r="B614" s="126" t="s">
        <v>523</v>
      </c>
      <c r="C614" s="331">
        <f>SUM(C615:C619)</f>
        <v>1170.8899999999999</v>
      </c>
      <c r="D614" s="331">
        <f>SUM(D615:D619)</f>
        <v>1181.05</v>
      </c>
      <c r="E614" s="331">
        <f>SUM(E615:E619)</f>
        <v>1229.46</v>
      </c>
      <c r="F614" s="331">
        <f>SUM(F615:F619)</f>
        <v>1238.4399999999998</v>
      </c>
      <c r="G614" s="331">
        <f>SUM(G615:G619)</f>
        <v>1250.77</v>
      </c>
      <c r="H614" s="149">
        <f t="shared" si="18"/>
        <v>9.956073770227114E-3</v>
      </c>
    </row>
    <row r="615" spans="1:8" ht="15" customHeight="1" x14ac:dyDescent="0.25">
      <c r="B615" s="50" t="s">
        <v>202</v>
      </c>
      <c r="C615" s="7" cm="1">
        <f t="array" ref="C615">SUMPRODUCT((pat_tech_bt_06_face[[client]:[client]]=syndicat_etude)*(pat_tech_bt_06_face[[face]:[face]]="U")*(pat_tech_bt_06_face[[annee]:[annee]]=Exercice[[Exercice N-4]:[Exercice N-4]])*(pat_tech_bt_06_face[acier_alu]))</f>
        <v>0</v>
      </c>
      <c r="D615" s="7" cm="1">
        <f t="array" ref="D615">SUMPRODUCT((pat_tech_bt_06_face[[client]:[client]]=syndicat_etude)*(pat_tech_bt_06_face[[face]:[face]]="U")*(pat_tech_bt_06_face[[annee]:[annee]]=Exercice[[Exercice N-3]:[Exercice N-3]])*(pat_tech_bt_06_face[acier_alu]))</f>
        <v>0</v>
      </c>
      <c r="E615" s="7" cm="1">
        <f t="array" ref="E615">SUMPRODUCT((pat_tech_bt_06_face[[client]:[client]]=syndicat_etude)*(pat_tech_bt_06_face[[face]:[face]]="U")*(pat_tech_bt_06_face[[annee]:[annee]]=Exercice[[Exercice N-2]:[Exercice N-2]])*(pat_tech_bt_06_face[acier_alu]))</f>
        <v>0</v>
      </c>
      <c r="F615" s="7" cm="1">
        <f t="array" ref="F615">SUMPRODUCT((pat_tech_bt_06_face[[client]:[client]]=syndicat_etude)*(pat_tech_bt_06_face[[face]:[face]]="U")*(pat_tech_bt_06_face[[annee]:[annee]]=Exercice[[Exercice N-1]:[Exercice N-1]])*(pat_tech_bt_06_face[acier_alu]))</f>
        <v>0</v>
      </c>
      <c r="G615" s="7" cm="1">
        <f t="array" ref="G615">SUMPRODUCT((pat_tech_bt_06_face[[client]:[client]]=syndicat_etude)*(pat_tech_bt_06_face[[face]:[face]]="U")*(pat_tech_bt_06_face[[annee]:[annee]]=Exercice[[Exercice N]:[Exercice N]])*(pat_tech_bt_06_face[acier_alu]))</f>
        <v>0</v>
      </c>
      <c r="H615" s="149" t="str">
        <f t="shared" si="18"/>
        <v>-</v>
      </c>
    </row>
    <row r="616" spans="1:8" ht="15" customHeight="1" x14ac:dyDescent="0.25">
      <c r="B616" s="50" t="s">
        <v>203</v>
      </c>
      <c r="C616" s="7" cm="1">
        <f t="array" ref="C616">SUMPRODUCT((pat_tech_bt_06_face[[client]:[client]]=syndicat_etude)*(pat_tech_bt_06_face[[face]:[face]]="U")*(pat_tech_bt_06_face[[annee]:[annee]]=Exercice[[Exercice N-4]:[Exercice N-4]])*(pat_tech_bt_06_face[aluminium]))</f>
        <v>999.54</v>
      </c>
      <c r="D616" s="7" cm="1">
        <f t="array" ref="D616">SUMPRODUCT((pat_tech_bt_06_face[[client]:[client]]=syndicat_etude)*(pat_tech_bt_06_face[[face]:[face]]="U")*(pat_tech_bt_06_face[[annee]:[annee]]=Exercice[[Exercice N-3]:[Exercice N-3]])*(pat_tech_bt_06_face[aluminium]))</f>
        <v>1011.92</v>
      </c>
      <c r="E616" s="7" cm="1">
        <f t="array" ref="E616">SUMPRODUCT((pat_tech_bt_06_face[[client]:[client]]=syndicat_etude)*(pat_tech_bt_06_face[[face]:[face]]="U")*(pat_tech_bt_06_face[[annee]:[annee]]=Exercice[[Exercice N-2]:[Exercice N-2]])*(pat_tech_bt_06_face[aluminium]))</f>
        <v>1068.17</v>
      </c>
      <c r="F616" s="7" cm="1">
        <f t="array" ref="F616">SUMPRODUCT((pat_tech_bt_06_face[[client]:[client]]=syndicat_etude)*(pat_tech_bt_06_face[[face]:[face]]="U")*(pat_tech_bt_06_face[[annee]:[annee]]=Exercice[[Exercice N-1]:[Exercice N-1]])*(pat_tech_bt_06_face[aluminium]))</f>
        <v>1080.1099999999999</v>
      </c>
      <c r="G616" s="7" cm="1">
        <f t="array" ref="G616">SUMPRODUCT((pat_tech_bt_06_face[[client]:[client]]=syndicat_etude)*(pat_tech_bt_06_face[[face]:[face]]="U")*(pat_tech_bt_06_face[[annee]:[annee]]=Exercice[[Exercice N]:[Exercice N]])*(pat_tech_bt_06_face[aluminium]))</f>
        <v>1099.8800000000001</v>
      </c>
      <c r="H616" s="149">
        <f t="shared" si="18"/>
        <v>1.8303691290701973E-2</v>
      </c>
    </row>
    <row r="617" spans="1:8" ht="15" customHeight="1" x14ac:dyDescent="0.25">
      <c r="B617" s="50" t="s">
        <v>204</v>
      </c>
      <c r="C617" s="7" cm="1">
        <f t="array" ref="C617">SUMPRODUCT((pat_tech_bt_06_face[[client]:[client]]=syndicat_etude)*(pat_tech_bt_06_face[[face]:[face]]="U")*(pat_tech_bt_06_face[[annee]:[annee]]=Exercice[[Exercice N-4]:[Exercice N-4]])*(pat_tech_bt_06_face[almelec]))</f>
        <v>1.46</v>
      </c>
      <c r="D617" s="7" cm="1">
        <f t="array" ref="D617">SUMPRODUCT((pat_tech_bt_06_face[[client]:[client]]=syndicat_etude)*(pat_tech_bt_06_face[[face]:[face]]="U")*(pat_tech_bt_06_face[[annee]:[annee]]=Exercice[[Exercice N-3]:[Exercice N-3]])*(pat_tech_bt_06_face[almelec]))</f>
        <v>1.46</v>
      </c>
      <c r="E617" s="7" cm="1">
        <f t="array" ref="E617">SUMPRODUCT((pat_tech_bt_06_face[[client]:[client]]=syndicat_etude)*(pat_tech_bt_06_face[[face]:[face]]="U")*(pat_tech_bt_06_face[[annee]:[annee]]=Exercice[[Exercice N-2]:[Exercice N-2]])*(pat_tech_bt_06_face[almelec]))</f>
        <v>0.36</v>
      </c>
      <c r="F617" s="7" cm="1">
        <f t="array" ref="F617">SUMPRODUCT((pat_tech_bt_06_face[[client]:[client]]=syndicat_etude)*(pat_tech_bt_06_face[[face]:[face]]="U")*(pat_tech_bt_06_face[[annee]:[annee]]=Exercice[[Exercice N-1]:[Exercice N-1]])*(pat_tech_bt_06_face[almelec]))</f>
        <v>0.36</v>
      </c>
      <c r="G617" s="7" cm="1">
        <f t="array" ref="G617">SUMPRODUCT((pat_tech_bt_06_face[[client]:[client]]=syndicat_etude)*(pat_tech_bt_06_face[[face]:[face]]="U")*(pat_tech_bt_06_face[[annee]:[annee]]=Exercice[[Exercice N]:[Exercice N]])*(pat_tech_bt_06_face[almelec]))</f>
        <v>0.36</v>
      </c>
      <c r="H617" s="149">
        <f t="shared" si="18"/>
        <v>0</v>
      </c>
    </row>
    <row r="618" spans="1:8" ht="15" customHeight="1" x14ac:dyDescent="0.25">
      <c r="B618" s="50" t="s">
        <v>205</v>
      </c>
      <c r="C618" s="7" cm="1">
        <f t="array" ref="C618">SUMPRODUCT((pat_tech_bt_06_face[[client]:[client]]=syndicat_etude)*(pat_tech_bt_06_face[[face]:[face]]="U")*(pat_tech_bt_06_face[[annee]:[annee]]=Exercice[[Exercice N-4]:[Exercice N-4]])*(pat_tech_bt_06_face[almelec_acier]))</f>
        <v>0</v>
      </c>
      <c r="D618" s="7" cm="1">
        <f t="array" ref="D618">SUMPRODUCT((pat_tech_bt_06_face[[client]:[client]]=syndicat_etude)*(pat_tech_bt_06_face[[face]:[face]]="U")*(pat_tech_bt_06_face[[annee]:[annee]]=Exercice[[Exercice N-3]:[Exercice N-3]])*(pat_tech_bt_06_face[almelec_acier]))</f>
        <v>0</v>
      </c>
      <c r="E618" s="7" cm="1">
        <f t="array" ref="E618">SUMPRODUCT((pat_tech_bt_06_face[[client]:[client]]=syndicat_etude)*(pat_tech_bt_06_face[[face]:[face]]="U")*(pat_tech_bt_06_face[[annee]:[annee]]=Exercice[[Exercice N-2]:[Exercice N-2]])*(pat_tech_bt_06_face[almelec_acier]))</f>
        <v>0</v>
      </c>
      <c r="F618" s="7" cm="1">
        <f t="array" ref="F618">SUMPRODUCT((pat_tech_bt_06_face[[client]:[client]]=syndicat_etude)*(pat_tech_bt_06_face[[face]:[face]]="U")*(pat_tech_bt_06_face[[annee]:[annee]]=Exercice[[Exercice N-1]:[Exercice N-1]])*(pat_tech_bt_06_face[almelec_acier]))</f>
        <v>0</v>
      </c>
      <c r="G618" s="7" cm="1">
        <f t="array" ref="G618">SUMPRODUCT((pat_tech_bt_06_face[[client]:[client]]=syndicat_etude)*(pat_tech_bt_06_face[[face]:[face]]="U")*(pat_tech_bt_06_face[[annee]:[annee]]=Exercice[[Exercice N]:[Exercice N]])*(pat_tech_bt_06_face[almelec_acier]))</f>
        <v>0</v>
      </c>
      <c r="H618" s="149" t="str">
        <f t="shared" si="18"/>
        <v>-</v>
      </c>
    </row>
    <row r="619" spans="1:8" ht="15" customHeight="1" x14ac:dyDescent="0.25">
      <c r="B619" s="50" t="s">
        <v>206</v>
      </c>
      <c r="C619" s="7" cm="1">
        <f t="array" ref="C619">SUMPRODUCT((pat_tech_bt_06_face[[client]:[client]]=syndicat_etude)*(pat_tech_bt_06_face[[face]:[face]]="U")*(pat_tech_bt_06_face[[annee]:[annee]]=Exercice[[Exercice N-4]:[Exercice N-4]])*(pat_tech_bt_06_face[cuivre]))</f>
        <v>169.89</v>
      </c>
      <c r="D619" s="7" cm="1">
        <f t="array" ref="D619">SUMPRODUCT((pat_tech_bt_06_face[[client]:[client]]=syndicat_etude)*(pat_tech_bt_06_face[[face]:[face]]="U")*(pat_tech_bt_06_face[[annee]:[annee]]=Exercice[[Exercice N-3]:[Exercice N-3]])*(pat_tech_bt_06_face[cuivre]))</f>
        <v>167.67</v>
      </c>
      <c r="E619" s="7" cm="1">
        <f t="array" ref="E619">SUMPRODUCT((pat_tech_bt_06_face[[client]:[client]]=syndicat_etude)*(pat_tech_bt_06_face[[face]:[face]]="U")*(pat_tech_bt_06_face[[annee]:[annee]]=Exercice[[Exercice N-2]:[Exercice N-2]])*(pat_tech_bt_06_face[cuivre]))</f>
        <v>160.93</v>
      </c>
      <c r="F619" s="7" cm="1">
        <f t="array" ref="F619">SUMPRODUCT((pat_tech_bt_06_face[[client]:[client]]=syndicat_etude)*(pat_tech_bt_06_face[[face]:[face]]="U")*(pat_tech_bt_06_face[[annee]:[annee]]=Exercice[[Exercice N-1]:[Exercice N-1]])*(pat_tech_bt_06_face[cuivre]))</f>
        <v>157.97</v>
      </c>
      <c r="G619" s="7" cm="1">
        <f t="array" ref="G619">SUMPRODUCT((pat_tech_bt_06_face[[client]:[client]]=syndicat_etude)*(pat_tech_bt_06_face[[face]:[face]]="U")*(pat_tech_bt_06_face[[annee]:[annee]]=Exercice[[Exercice N]:[Exercice N]])*(pat_tech_bt_06_face[cuivre]))</f>
        <v>150.53</v>
      </c>
      <c r="H619" s="149">
        <f t="shared" si="18"/>
        <v>-4.709755016775341E-2</v>
      </c>
    </row>
    <row r="620" spans="1:8" ht="15" customHeight="1" x14ac:dyDescent="0.25">
      <c r="A620" s="25" t="s">
        <v>522</v>
      </c>
      <c r="B620" s="126" t="s">
        <v>524</v>
      </c>
      <c r="C620" s="331">
        <f>SUM(C621:C624)</f>
        <v>2358.41</v>
      </c>
      <c r="D620" s="331">
        <f>SUM(D621:D624)</f>
        <v>2377.75</v>
      </c>
      <c r="E620" s="331">
        <f>SUM(E621:E624)</f>
        <v>2364.1299999999997</v>
      </c>
      <c r="F620" s="331">
        <f>SUM(F621:F624)</f>
        <v>2374.2999999999997</v>
      </c>
      <c r="G620" s="331">
        <f>SUM(G621:G624)</f>
        <v>2397.37</v>
      </c>
      <c r="H620" s="149">
        <f t="shared" si="18"/>
        <v>9.7165480352103817E-3</v>
      </c>
    </row>
    <row r="621" spans="1:8" ht="15" customHeight="1" x14ac:dyDescent="0.25">
      <c r="B621" s="50" t="s">
        <v>202</v>
      </c>
      <c r="C621" s="7" cm="1">
        <f t="array" ref="C621">SUMPRODUCT((pat_tech_bt_06_face[[client]:[client]]=syndicat_etude)*(pat_tech_bt_06_face[[face]:[face]]="R")*(pat_tech_bt_06_face[[annee]:[annee]]=Exercice[[Exercice N-4]:[Exercice N-4]])*(pat_tech_bt_06_face[acier_alu]))</f>
        <v>0</v>
      </c>
      <c r="D621" s="7" cm="1">
        <f t="array" ref="D621">SUMPRODUCT((pat_tech_bt_06_face[[client]:[client]]=syndicat_etude)*(pat_tech_bt_06_face[[face]:[face]]="R")*(pat_tech_bt_06_face[[annee]:[annee]]=Exercice[[Exercice N-3]:[Exercice N-3]])*(pat_tech_bt_06_face[acier_alu]))</f>
        <v>0</v>
      </c>
      <c r="E621" s="7" cm="1">
        <f t="array" ref="E621">SUMPRODUCT((pat_tech_bt_06_face[[client]:[client]]=syndicat_etude)*(pat_tech_bt_06_face[[face]:[face]]="R")*(pat_tech_bt_06_face[[annee]:[annee]]=Exercice[[Exercice N-2]:[Exercice N-2]])*(pat_tech_bt_06_face[acier_alu]))</f>
        <v>0</v>
      </c>
      <c r="F621" s="7" cm="1">
        <f t="array" ref="F621">SUMPRODUCT((pat_tech_bt_06_face[[client]:[client]]=syndicat_etude)*(pat_tech_bt_06_face[[face]:[face]]="R")*(pat_tech_bt_06_face[[annee]:[annee]]=Exercice[[Exercice N-1]:[Exercice N-1]])*(pat_tech_bt_06_face[acier_alu]))</f>
        <v>0</v>
      </c>
      <c r="G621" s="7" cm="1">
        <f t="array" ref="G621">SUMPRODUCT((pat_tech_bt_06_face[[client]:[client]]=syndicat_etude)*(pat_tech_bt_06_face[[face]:[face]]="R")*(pat_tech_bt_06_face[[annee]:[annee]]=Exercice[[Exercice N]:[Exercice N]])*(pat_tech_bt_06_face[acier_alu]))</f>
        <v>0</v>
      </c>
      <c r="H621" s="149" t="str">
        <f t="shared" si="18"/>
        <v>-</v>
      </c>
    </row>
    <row r="622" spans="1:8" ht="15" customHeight="1" x14ac:dyDescent="0.25">
      <c r="B622" s="50" t="s">
        <v>203</v>
      </c>
      <c r="C622" s="7" cm="1">
        <f t="array" ref="C622">SUMPRODUCT((pat_tech_bt_06_face[[client]:[client]]=syndicat_etude)*(pat_tech_bt_06_face[[face]:[face]]="R")*(pat_tech_bt_06_face[[annee]:[annee]]=Exercice[[Exercice N-4]:[Exercice N-4]])*(pat_tech_bt_06_face[aluminium]))</f>
        <v>2350.1999999999998</v>
      </c>
      <c r="D622" s="7" cm="1">
        <f t="array" ref="D622">SUMPRODUCT((pat_tech_bt_06_face[[client]:[client]]=syndicat_etude)*(pat_tech_bt_06_face[[face]:[face]]="R")*(pat_tech_bt_06_face[[annee]:[annee]]=Exercice[[Exercice N-3]:[Exercice N-3]])*(pat_tech_bt_06_face[aluminium]))</f>
        <v>2370.39</v>
      </c>
      <c r="E622" s="7" cm="1">
        <f t="array" ref="E622">SUMPRODUCT((pat_tech_bt_06_face[[client]:[client]]=syndicat_etude)*(pat_tech_bt_06_face[[face]:[face]]="R")*(pat_tech_bt_06_face[[annee]:[annee]]=Exercice[[Exercice N-2]:[Exercice N-2]])*(pat_tech_bt_06_face[aluminium]))</f>
        <v>2355.6799999999998</v>
      </c>
      <c r="F622" s="7" cm="1">
        <f t="array" ref="F622">SUMPRODUCT((pat_tech_bt_06_face[[client]:[client]]=syndicat_etude)*(pat_tech_bt_06_face[[face]:[face]]="R")*(pat_tech_bt_06_face[[annee]:[annee]]=Exercice[[Exercice N-1]:[Exercice N-1]])*(pat_tech_bt_06_face[aluminium]))</f>
        <v>2365.85</v>
      </c>
      <c r="G622" s="7" cm="1">
        <f t="array" ref="G622">SUMPRODUCT((pat_tech_bt_06_face[[client]:[client]]=syndicat_etude)*(pat_tech_bt_06_face[[face]:[face]]="R")*(pat_tech_bt_06_face[[annee]:[annee]]=Exercice[[Exercice N]:[Exercice N]])*(pat_tech_bt_06_face[aluminium]))</f>
        <v>2388.94</v>
      </c>
      <c r="H622" s="149">
        <f t="shared" si="18"/>
        <v>9.7597058139782256E-3</v>
      </c>
    </row>
    <row r="623" spans="1:8" ht="15" customHeight="1" x14ac:dyDescent="0.25">
      <c r="B623" s="50" t="s">
        <v>204</v>
      </c>
      <c r="C623" s="7" cm="1">
        <f t="array" ref="C623">SUMPRODUCT((pat_tech_bt_06_face[[client]:[client]]=syndicat_etude)*(pat_tech_bt_06_face[[face]:[face]]="R")*(pat_tech_bt_06_face[[annee]:[annee]]=Exercice[[Exercice N-4]:[Exercice N-4]])*(pat_tech_bt_06_face[almelec]))</f>
        <v>8.2100000000000009</v>
      </c>
      <c r="D623" s="7" cm="1">
        <f t="array" ref="D623">SUMPRODUCT((pat_tech_bt_06_face[[client]:[client]]=syndicat_etude)*(pat_tech_bt_06_face[[face]:[face]]="R")*(pat_tech_bt_06_face[[annee]:[annee]]=Exercice[[Exercice N-3]:[Exercice N-3]])*(pat_tech_bt_06_face[almelec]))</f>
        <v>7.36</v>
      </c>
      <c r="E623" s="7" cm="1">
        <f t="array" ref="E623">SUMPRODUCT((pat_tech_bt_06_face[[client]:[client]]=syndicat_etude)*(pat_tech_bt_06_face[[face]:[face]]="R")*(pat_tech_bt_06_face[[annee]:[annee]]=Exercice[[Exercice N-2]:[Exercice N-2]])*(pat_tech_bt_06_face[almelec]))</f>
        <v>8.4499999999999993</v>
      </c>
      <c r="F623" s="7" cm="1">
        <f t="array" ref="F623">SUMPRODUCT((pat_tech_bt_06_face[[client]:[client]]=syndicat_etude)*(pat_tech_bt_06_face[[face]:[face]]="R")*(pat_tech_bt_06_face[[annee]:[annee]]=Exercice[[Exercice N-1]:[Exercice N-1]])*(pat_tech_bt_06_face[almelec]))</f>
        <v>8.4499999999999993</v>
      </c>
      <c r="G623" s="7" cm="1">
        <f t="array" ref="G623">SUMPRODUCT((pat_tech_bt_06_face[[client]:[client]]=syndicat_etude)*(pat_tech_bt_06_face[[face]:[face]]="R")*(pat_tech_bt_06_face[[annee]:[annee]]=Exercice[[Exercice N]:[Exercice N]])*(pat_tech_bt_06_face[almelec]))</f>
        <v>8.43</v>
      </c>
      <c r="H623" s="149">
        <f t="shared" si="18"/>
        <v>-2.3668639053253671E-3</v>
      </c>
    </row>
    <row r="624" spans="1:8" ht="15" customHeight="1" x14ac:dyDescent="0.25">
      <c r="B624" s="50" t="s">
        <v>205</v>
      </c>
      <c r="C624" s="7" cm="1">
        <f t="array" ref="C624">SUMPRODUCT((pat_tech_bt_06_face[[client]:[client]]=syndicat_etude)*(pat_tech_bt_06_face[[face]:[face]]="R")*(pat_tech_bt_06_face[[annee]:[annee]]=Exercice[[Exercice N-4]:[Exercice N-4]])*(pat_tech_bt_06_face[almelec_acier]))</f>
        <v>0</v>
      </c>
      <c r="D624" s="7" cm="1">
        <f t="array" ref="D624">SUMPRODUCT((pat_tech_bt_06_face[[client]:[client]]=syndicat_etude)*(pat_tech_bt_06_face[[face]:[face]]="R")*(pat_tech_bt_06_face[[annee]:[annee]]=Exercice[[Exercice N-3]:[Exercice N-3]])*(pat_tech_bt_06_face[almelec_acier]))</f>
        <v>0</v>
      </c>
      <c r="E624" s="7" cm="1">
        <f t="array" ref="E624">SUMPRODUCT((pat_tech_bt_06_face[[client]:[client]]=syndicat_etude)*(pat_tech_bt_06_face[[face]:[face]]="R")*(pat_tech_bt_06_face[[annee]:[annee]]=Exercice[[Exercice N-2]:[Exercice N-2]])*(pat_tech_bt_06_face[almelec_acier]))</f>
        <v>0</v>
      </c>
      <c r="F624" s="7" cm="1">
        <f t="array" ref="F624">SUMPRODUCT((pat_tech_bt_06_face[[client]:[client]]=syndicat_etude)*(pat_tech_bt_06_face[[face]:[face]]="R")*(pat_tech_bt_06_face[[annee]:[annee]]=Exercice[[Exercice N-1]:[Exercice N-1]])*(pat_tech_bt_06_face[almelec_acier]))</f>
        <v>0</v>
      </c>
      <c r="G624" s="7" cm="1">
        <f t="array" ref="G624">SUMPRODUCT((pat_tech_bt_06_face[[client]:[client]]=syndicat_etude)*(pat_tech_bt_06_face[[face]:[face]]="R")*(pat_tech_bt_06_face[[annee]:[annee]]=Exercice[[Exercice N]:[Exercice N]])*(pat_tech_bt_06_face[almelec_acier]))</f>
        <v>0</v>
      </c>
      <c r="H624" s="149" t="str">
        <f t="shared" si="18"/>
        <v>-</v>
      </c>
    </row>
    <row r="625" spans="1:8" ht="15" customHeight="1" x14ac:dyDescent="0.25">
      <c r="B625" s="53" t="s">
        <v>206</v>
      </c>
      <c r="C625" s="88" cm="1">
        <f t="array" ref="C625">SUMPRODUCT((pat_tech_bt_06_face[[client]:[client]]=syndicat_etude)*(pat_tech_bt_06_face[[face]:[face]]="R")*(pat_tech_bt_06_face[[annee]:[annee]]=Exercice[[Exercice N-4]:[Exercice N-4]])*(pat_tech_bt_06_face[cuivre]))</f>
        <v>108.73</v>
      </c>
      <c r="D625" s="88" cm="1">
        <f t="array" ref="D625">SUMPRODUCT((pat_tech_bt_06_face[[client]:[client]]=syndicat_etude)*(pat_tech_bt_06_face[[face]:[face]]="R")*(pat_tech_bt_06_face[[annee]:[annee]]=Exercice[[Exercice N-3]:[Exercice N-3]])*(pat_tech_bt_06_face[cuivre]))</f>
        <v>101.06</v>
      </c>
      <c r="E625" s="88" cm="1">
        <f t="array" ref="E625">SUMPRODUCT((pat_tech_bt_06_face[[client]:[client]]=syndicat_etude)*(pat_tech_bt_06_face[[face]:[face]]="R")*(pat_tech_bt_06_face[[annee]:[annee]]=Exercice[[Exercice N-2]:[Exercice N-2]])*(pat_tech_bt_06_face[cuivre]))</f>
        <v>97.61</v>
      </c>
      <c r="F625" s="88" cm="1">
        <f t="array" ref="F625">SUMPRODUCT((pat_tech_bt_06_face[[client]:[client]]=syndicat_etude)*(pat_tech_bt_06_face[[face]:[face]]="R")*(pat_tech_bt_06_face[[annee]:[annee]]=Exercice[[Exercice N-1]:[Exercice N-1]])*(pat_tech_bt_06_face[cuivre]))</f>
        <v>94.01</v>
      </c>
      <c r="G625" s="88" cm="1">
        <f t="array" ref="G625">SUMPRODUCT((pat_tech_bt_06_face[[client]:[client]]=syndicat_etude)*(pat_tech_bt_06_face[[face]:[face]]="R")*(pat_tech_bt_06_face[[annee]:[annee]]=Exercice[[Exercice N]:[Exercice N]])*(pat_tech_bt_06_face[cuivre]))</f>
        <v>91.77</v>
      </c>
      <c r="H625" s="591">
        <f t="shared" si="18"/>
        <v>-2.3827252419955425E-2</v>
      </c>
    </row>
    <row r="626" spans="1:8" ht="15" customHeight="1" x14ac:dyDescent="0.25">
      <c r="B626" s="23"/>
      <c r="C626" s="7"/>
      <c r="D626" s="7"/>
      <c r="E626" s="7"/>
      <c r="F626" s="7"/>
      <c r="G626" s="7"/>
      <c r="H626" s="17"/>
    </row>
    <row r="627" spans="1:8" ht="30" customHeight="1" x14ac:dyDescent="0.25">
      <c r="A627" s="25" t="s">
        <v>525</v>
      </c>
      <c r="B627" s="66" t="s">
        <v>526</v>
      </c>
      <c r="C627" s="67" cm="1">
        <f t="array" ref="C627">Exercice[Exercice N-4]</f>
        <v>2019</v>
      </c>
      <c r="D627" s="67" cm="1">
        <f t="array" ref="D627">Exercice[Exercice N-3]</f>
        <v>2020</v>
      </c>
      <c r="E627" s="67" cm="1">
        <f t="array" ref="E627">Exercice[Exercice N-2]</f>
        <v>2021</v>
      </c>
      <c r="F627" s="67" cm="1">
        <f t="array" ref="F627">Exercice[Exercice N-1]</f>
        <v>2022</v>
      </c>
      <c r="G627" s="69" cm="1">
        <f t="array" ref="G627">Exercice[Exercice N]</f>
        <v>2023</v>
      </c>
    </row>
    <row r="628" spans="1:8" ht="15" customHeight="1" x14ac:dyDescent="0.25">
      <c r="B628" s="126" t="s">
        <v>527</v>
      </c>
      <c r="C628" s="134" cm="1">
        <f t="array" ref="C628">SUMPRODUCT((pat_tech_bt_07_face[[client]:[client]]=syndicat_etude)*(pat_tech_bt_07_face[[face]:[face]]="U")*(pat_tech_bt_07_face[[annee]:[annee]]=C$627)*(pat_tech_bt_07_face[nbr_depart_bt]))</f>
        <v>4796</v>
      </c>
      <c r="D628" s="134" cm="1">
        <f t="array" ref="D628">SUMPRODUCT((pat_tech_bt_07_face[[client]:[client]]=syndicat_etude)*(pat_tech_bt_07_face[[face]:[face]]="U")*(pat_tech_bt_07_face[[annee]:[annee]]=D$627)*(pat_tech_bt_07_face[nbr_depart_bt]))</f>
        <v>4828</v>
      </c>
      <c r="E628" s="134" cm="1">
        <f t="array" ref="E628">SUMPRODUCT((pat_tech_bt_07_face[[client]:[client]]=syndicat_etude)*(pat_tech_bt_07_face[[face]:[face]]="U")*(pat_tech_bt_07_face[[annee]:[annee]]=E$627)*(pat_tech_bt_07_face[nbr_depart_bt]))</f>
        <v>4958</v>
      </c>
      <c r="F628" s="134" cm="1">
        <f t="array" ref="F628">SUMPRODUCT((pat_tech_bt_07_face[[client]:[client]]=syndicat_etude)*(pat_tech_bt_07_face[[face]:[face]]="U")*(pat_tech_bt_07_face[[annee]:[annee]]=F$627)*(pat_tech_bt_07_face[nbr_depart_bt]))</f>
        <v>5002</v>
      </c>
      <c r="G628" s="148" cm="1">
        <f t="array" ref="G628">SUMPRODUCT((pat_tech_bt_07_face[[client]:[client]]=syndicat_etude)*(pat_tech_bt_07_face[[face]:[face]]="U")*(pat_tech_bt_07_face[[annee]:[annee]]=G$627)*(pat_tech_bt_07_face[nbr_depart_bt]))</f>
        <v>5047</v>
      </c>
    </row>
    <row r="629" spans="1:8" ht="15" customHeight="1" x14ac:dyDescent="0.25">
      <c r="B629" s="50" t="s">
        <v>429</v>
      </c>
      <c r="C629" s="11" cm="1">
        <f t="array" ref="C629">SUMPRODUCT((pat_tech_bt_07_face[[client]:[client]]=syndicat_etude)*(pat_tech_bt_07_face[[face]:[face]]="U")*(pat_tech_bt_07_face[[annee]:[annee]]=C$627)*(pat_tech_bt_07_face[long_moy_depart_bt]))</f>
        <v>244</v>
      </c>
      <c r="D629" s="11" cm="1">
        <f t="array" ref="D629">SUMPRODUCT((pat_tech_bt_07_face[[client]:[client]]=syndicat_etude)*(pat_tech_bt_07_face[[face]:[face]]="U")*(pat_tech_bt_07_face[[annee]:[annee]]=D$627)*(pat_tech_bt_07_face[long_moy_depart_bt]))</f>
        <v>244</v>
      </c>
      <c r="E629" s="11" cm="1">
        <f t="array" ref="E629">SUMPRODUCT((pat_tech_bt_07_face[[client]:[client]]=syndicat_etude)*(pat_tech_bt_07_face[[face]:[face]]="U")*(pat_tech_bt_07_face[[annee]:[annee]]=E$627)*(pat_tech_bt_07_face[long_moy_depart_bt]))</f>
        <v>248</v>
      </c>
      <c r="F629" s="11" cm="1">
        <f t="array" ref="F629">SUMPRODUCT((pat_tech_bt_07_face[[client]:[client]]=syndicat_etude)*(pat_tech_bt_07_face[[face]:[face]]="U")*(pat_tech_bt_07_face[[annee]:[annee]]=F$627)*(pat_tech_bt_07_face[long_moy_depart_bt]))</f>
        <v>248</v>
      </c>
      <c r="G629" s="93" cm="1">
        <f t="array" ref="G629">SUMPRODUCT((pat_tech_bt_07_face[[client]:[client]]=syndicat_etude)*(pat_tech_bt_07_face[[face]:[face]]="U")*(pat_tech_bt_07_face[[annee]:[annee]]=G$627)*(pat_tech_bt_07_face[long_moy_depart_bt]))</f>
        <v>247</v>
      </c>
    </row>
    <row r="630" spans="1:8" ht="15" customHeight="1" x14ac:dyDescent="0.25">
      <c r="B630" s="50" t="s">
        <v>430</v>
      </c>
      <c r="C630" s="11" cm="1">
        <f t="array" ref="C630">SUMPRODUCT((pat_tech_bt_07_face[[client]:[client]]=syndicat_etude)*(pat_tech_bt_07_face[[face]:[face]]="U")*(pat_tech_bt_07_face[[annee]:[annee]]=C$627)*(pat_tech_bt_07_face[nbr_depart_bt_sup_425m]))</f>
        <v>847</v>
      </c>
      <c r="D630" s="11" cm="1">
        <f t="array" ref="D630">SUMPRODUCT((pat_tech_bt_07_face[[client]:[client]]=syndicat_etude)*(pat_tech_bt_07_face[[face]:[face]]="U")*(pat_tech_bt_07_face[[annee]:[annee]]=D$627)*(pat_tech_bt_07_face[nbr_depart_bt_sup_425m]))</f>
        <v>856</v>
      </c>
      <c r="E630" s="11" cm="1">
        <f t="array" ref="E630">SUMPRODUCT((pat_tech_bt_07_face[[client]:[client]]=syndicat_etude)*(pat_tech_bt_07_face[[face]:[face]]="U")*(pat_tech_bt_07_face[[annee]:[annee]]=E$627)*(pat_tech_bt_07_face[nbr_depart_bt_sup_425m]))</f>
        <v>922</v>
      </c>
      <c r="F630" s="11" cm="1">
        <f t="array" ref="F630">SUMPRODUCT((pat_tech_bt_07_face[[client]:[client]]=syndicat_etude)*(pat_tech_bt_07_face[[face]:[face]]="U")*(pat_tech_bt_07_face[[annee]:[annee]]=F$627)*(pat_tech_bt_07_face[nbr_depart_bt_sup_425m]))</f>
        <v>935</v>
      </c>
      <c r="G630" s="93" cm="1">
        <f t="array" ref="G630">SUMPRODUCT((pat_tech_bt_07_face[[client]:[client]]=syndicat_etude)*(pat_tech_bt_07_face[[face]:[face]]="U")*(pat_tech_bt_07_face[[annee]:[annee]]=G$627)*(pat_tech_bt_07_face[nbr_depart_bt_sup_425m]))</f>
        <v>945</v>
      </c>
    </row>
    <row r="631" spans="1:8" ht="15" customHeight="1" x14ac:dyDescent="0.25">
      <c r="B631" s="50" t="s">
        <v>431</v>
      </c>
      <c r="C631" s="11" cm="1">
        <f t="array" ref="C631">SUMPRODUCT((pat_tech_bt_07_face[[client]:[client]]=syndicat_etude)*(pat_tech_bt_07_face[[face]:[face]]="U")*(pat_tech_bt_07_face[[annee]:[annee]]=C$627)*(pat_tech_bt_07_face[nbr_depart_bt_sup_1500m]))</f>
        <v>3</v>
      </c>
      <c r="D631" s="11" cm="1">
        <f t="array" ref="D631">SUMPRODUCT((pat_tech_bt_07_face[[client]:[client]]=syndicat_etude)*(pat_tech_bt_07_face[[face]:[face]]="U")*(pat_tech_bt_07_face[[annee]:[annee]]=D$627)*(pat_tech_bt_07_face[nbr_depart_bt_sup_1500m]))</f>
        <v>3</v>
      </c>
      <c r="E631" s="11" cm="1">
        <f t="array" ref="E631">SUMPRODUCT((pat_tech_bt_07_face[[client]:[client]]=syndicat_etude)*(pat_tech_bt_07_face[[face]:[face]]="U")*(pat_tech_bt_07_face[[annee]:[annee]]=E$627)*(pat_tech_bt_07_face[nbr_depart_bt_sup_1500m]))</f>
        <v>5</v>
      </c>
      <c r="F631" s="11" cm="1">
        <f t="array" ref="F631">SUMPRODUCT((pat_tech_bt_07_face[[client]:[client]]=syndicat_etude)*(pat_tech_bt_07_face[[face]:[face]]="U")*(pat_tech_bt_07_face[[annee]:[annee]]=F$627)*(pat_tech_bt_07_face[nbr_depart_bt_sup_1500m]))</f>
        <v>5</v>
      </c>
      <c r="G631" s="93" cm="1">
        <f t="array" ref="G631">SUMPRODUCT((pat_tech_bt_07_face[[client]:[client]]=syndicat_etude)*(pat_tech_bt_07_face[[face]:[face]]="U")*(pat_tech_bt_07_face[[annee]:[annee]]=G$627)*(pat_tech_bt_07_face[nbr_depart_bt_sup_1500m]))</f>
        <v>5</v>
      </c>
    </row>
    <row r="632" spans="1:8" ht="15" customHeight="1" x14ac:dyDescent="0.25">
      <c r="B632" s="50" t="s">
        <v>432</v>
      </c>
      <c r="C632" s="11" cm="1">
        <f t="array" ref="C632">SUMPRODUCT((pat_tech_bt_07_face[[client]:[client]]=syndicat_etude)*(pat_tech_bt_07_face[[face]:[face]]="U")*(pat_tech_bt_07_face[[annee]:[annee]]=C$627)*(pat_tech_bt_07_face[nbr_depart_bt_sup_2500m]))</f>
        <v>0</v>
      </c>
      <c r="D632" s="11" cm="1">
        <f t="array" ref="D632">SUMPRODUCT((pat_tech_bt_07_face[[client]:[client]]=syndicat_etude)*(pat_tech_bt_07_face[[face]:[face]]="U")*(pat_tech_bt_07_face[[annee]:[annee]]=D$627)*(pat_tech_bt_07_face[nbr_depart_bt_sup_2500m]))</f>
        <v>0</v>
      </c>
      <c r="E632" s="11" cm="1">
        <f t="array" ref="E632">SUMPRODUCT((pat_tech_bt_07_face[[client]:[client]]=syndicat_etude)*(pat_tech_bt_07_face[[face]:[face]]="U")*(pat_tech_bt_07_face[[annee]:[annee]]=E$627)*(pat_tech_bt_07_face[nbr_depart_bt_sup_2500m]))</f>
        <v>0</v>
      </c>
      <c r="F632" s="11" cm="1">
        <f t="array" ref="F632">SUMPRODUCT((pat_tech_bt_07_face[[client]:[client]]=syndicat_etude)*(pat_tech_bt_07_face[[face]:[face]]="U")*(pat_tech_bt_07_face[[annee]:[annee]]=F$627)*(pat_tech_bt_07_face[nbr_depart_bt_sup_2500m]))</f>
        <v>0</v>
      </c>
      <c r="G632" s="93" cm="1">
        <f t="array" ref="G632">SUMPRODUCT((pat_tech_bt_07_face[[client]:[client]]=syndicat_etude)*(pat_tech_bt_07_face[[face]:[face]]="U")*(pat_tech_bt_07_face[[annee]:[annee]]=G$627)*(pat_tech_bt_07_face[nbr_depart_bt_sup_2500m]))</f>
        <v>0</v>
      </c>
    </row>
    <row r="633" spans="1:8" ht="15" customHeight="1" x14ac:dyDescent="0.25">
      <c r="B633" s="126" t="s">
        <v>433</v>
      </c>
      <c r="C633" s="134" cm="1">
        <f t="array" ref="C633">SUMPRODUCT((pat_tech_bt_07_face[[client]:[client]]=syndicat_etude)*(pat_tech_bt_07_face[[face]:[face]]="U")*(pat_tech_bt_07_face[[annee]:[annee]]=C$627)*(pat_tech_bt_07_face[max_long_depart_bt]))</f>
        <v>2441</v>
      </c>
      <c r="D633" s="134" cm="1">
        <f t="array" ref="D633">SUMPRODUCT((pat_tech_bt_07_face[[client]:[client]]=syndicat_etude)*(pat_tech_bt_07_face[[face]:[face]]="U")*(pat_tech_bt_07_face[[annee]:[annee]]=D$627)*(pat_tech_bt_07_face[max_long_depart_bt]))</f>
        <v>2441</v>
      </c>
      <c r="E633" s="134" cm="1">
        <f t="array" ref="E633">SUMPRODUCT((pat_tech_bt_07_face[[client]:[client]]=syndicat_etude)*(pat_tech_bt_07_face[[face]:[face]]="U")*(pat_tech_bt_07_face[[annee]:[annee]]=E$627)*(pat_tech_bt_07_face[max_long_depart_bt]))</f>
        <v>1958</v>
      </c>
      <c r="F633" s="134" cm="1">
        <f t="array" ref="F633">SUMPRODUCT((pat_tech_bt_07_face[[client]:[client]]=syndicat_etude)*(pat_tech_bt_07_face[[face]:[face]]="U")*(pat_tech_bt_07_face[[annee]:[annee]]=F$627)*(pat_tech_bt_07_face[max_long_depart_bt]))</f>
        <v>1958</v>
      </c>
      <c r="G633" s="148" cm="1">
        <f t="array" ref="G633">SUMPRODUCT((pat_tech_bt_07_face[[client]:[client]]=syndicat_etude)*(pat_tech_bt_07_face[[face]:[face]]="U")*(pat_tech_bt_07_face[[annee]:[annee]]=G$627)*(pat_tech_bt_07_face[max_long_depart_bt]))</f>
        <v>1966</v>
      </c>
    </row>
    <row r="634" spans="1:8" ht="30" customHeight="1" x14ac:dyDescent="0.25">
      <c r="B634" s="127" t="s">
        <v>434</v>
      </c>
      <c r="C634" s="585" t="str">
        <f>IFERROR(VLOOKUP(C633,pat_tech_bt_07_face[[max_long_depart_bt]:[nom_depart_bt_plus_long]],2,FALSE),"-")</f>
        <v>ROMILLY-SUR-SEINE</v>
      </c>
      <c r="D634" s="585" t="str">
        <f>IFERROR(VLOOKUP(D633,pat_tech_bt_07_face[[max_long_depart_bt]:[nom_depart_bt_plus_long]],2,FALSE),"-")</f>
        <v>ROMILLY-SUR-SEINE</v>
      </c>
      <c r="E634" s="585" t="str">
        <f>IFERROR(VLOOKUP(E633,pat_tech_bt_07_face[[max_long_depart_bt]:[nom_depart_bt_plus_long]],2,FALSE),"-")</f>
        <v>BARBEREY-SAINT-SULPICE</v>
      </c>
      <c r="F634" s="585" t="str">
        <f>IFERROR(VLOOKUP(F633,pat_tech_bt_07_face[[max_long_depart_bt]:[nom_depart_bt_plus_long]],2,FALSE),"-")</f>
        <v>BARBEREY-SAINT-SULPICE</v>
      </c>
      <c r="G634" s="586" t="str">
        <f>IFERROR(VLOOKUP(G633,pat_tech_bt_07_face[[max_long_depart_bt]:[nom_depart_bt_plus_long]],2,FALSE),"-")</f>
        <v>BARBEREY-SAINT-SULPICE</v>
      </c>
    </row>
    <row r="636" spans="1:8" ht="30" customHeight="1" x14ac:dyDescent="0.25">
      <c r="B636" s="66" t="s">
        <v>528</v>
      </c>
      <c r="C636" s="67" cm="1">
        <f t="array" ref="C636">Exercice[Exercice N-4]</f>
        <v>2019</v>
      </c>
      <c r="D636" s="67" cm="1">
        <f t="array" ref="D636">Exercice[Exercice N-3]</f>
        <v>2020</v>
      </c>
      <c r="E636" s="67" cm="1">
        <f t="array" ref="E636">Exercice[Exercice N-2]</f>
        <v>2021</v>
      </c>
      <c r="F636" s="67" cm="1">
        <f t="array" ref="F636">Exercice[Exercice N-1]</f>
        <v>2022</v>
      </c>
      <c r="G636" s="69" cm="1">
        <f t="array" ref="G636">Exercice[Exercice N]</f>
        <v>2023</v>
      </c>
    </row>
    <row r="637" spans="1:8" ht="15" customHeight="1" x14ac:dyDescent="0.25">
      <c r="B637" s="126" t="s">
        <v>527</v>
      </c>
      <c r="C637" s="134" cm="1">
        <f t="array" ref="C637">SUMPRODUCT((pat_tech_bt_07_face[[client]:[client]]=syndicat_etude)*(pat_tech_bt_07_face[[face]:[face]]="R")*(pat_tech_bt_07_face[[annee]:[annee]]=C$636)*(pat_tech_bt_07_face[nbr_depart_bt]))</f>
        <v>5888</v>
      </c>
      <c r="D637" s="134" cm="1">
        <f t="array" ref="D637">SUMPRODUCT((pat_tech_bt_07_face[[client]:[client]]=syndicat_etude)*(pat_tech_bt_07_face[[face]:[face]]="R")*(pat_tech_bt_07_face[[annee]:[annee]]=D$636)*(pat_tech_bt_07_face[nbr_depart_bt]))</f>
        <v>5952</v>
      </c>
      <c r="E637" s="134" cm="1">
        <f t="array" ref="E637">SUMPRODUCT((pat_tech_bt_07_face[[client]:[client]]=syndicat_etude)*(pat_tech_bt_07_face[[face]:[face]]="R")*(pat_tech_bt_07_face[[annee]:[annee]]=E$636)*(pat_tech_bt_07_face[nbr_depart_bt]))</f>
        <v>5944</v>
      </c>
      <c r="F637" s="134" cm="1">
        <f t="array" ref="F637">SUMPRODUCT((pat_tech_bt_07_face[[client]:[client]]=syndicat_etude)*(pat_tech_bt_07_face[[face]:[face]]="R")*(pat_tech_bt_07_face[[annee]:[annee]]=F$636)*(pat_tech_bt_07_face[nbr_depart_bt]))</f>
        <v>6020</v>
      </c>
      <c r="G637" s="148" cm="1">
        <f t="array" ref="G637">SUMPRODUCT((pat_tech_bt_07_face[[client]:[client]]=syndicat_etude)*(pat_tech_bt_07_face[[face]:[face]]="R")*(pat_tech_bt_07_face[[annee]:[annee]]=G$636)*(pat_tech_bt_07_face[nbr_depart_bt]))</f>
        <v>6125</v>
      </c>
    </row>
    <row r="638" spans="1:8" ht="15" customHeight="1" x14ac:dyDescent="0.25">
      <c r="B638" s="50" t="s">
        <v>429</v>
      </c>
      <c r="C638" s="11" cm="1">
        <f t="array" ref="C638">SUMPRODUCT((pat_tech_bt_07_face[[client]:[client]]=syndicat_etude)*(pat_tech_bt_07_face[[face]:[face]]="R")*(pat_tech_bt_07_face[[annee]:[annee]]=C$636)*(pat_tech_bt_07_face[long_moy_depart_bt]))</f>
        <v>419</v>
      </c>
      <c r="D638" s="11" cm="1">
        <f t="array" ref="D638">SUMPRODUCT((pat_tech_bt_07_face[[client]:[client]]=syndicat_etude)*(pat_tech_bt_07_face[[face]:[face]]="R")*(pat_tech_bt_07_face[[annee]:[annee]]=D$636)*(pat_tech_bt_07_face[long_moy_depart_bt]))</f>
        <v>415</v>
      </c>
      <c r="E638" s="11" cm="1">
        <f t="array" ref="E638">SUMPRODUCT((pat_tech_bt_07_face[[client]:[client]]=syndicat_etude)*(pat_tech_bt_07_face[[face]:[face]]="R")*(pat_tech_bt_07_face[[annee]:[annee]]=E$636)*(pat_tech_bt_07_face[long_moy_depart_bt]))</f>
        <v>411</v>
      </c>
      <c r="F638" s="11" cm="1">
        <f t="array" ref="F638">SUMPRODUCT((pat_tech_bt_07_face[[client]:[client]]=syndicat_etude)*(pat_tech_bt_07_face[[face]:[face]]="R")*(pat_tech_bt_07_face[[annee]:[annee]]=F$636)*(pat_tech_bt_07_face[long_moy_depart_bt]))</f>
        <v>408</v>
      </c>
      <c r="G638" s="93" cm="1">
        <f t="array" ref="G638">SUMPRODUCT((pat_tech_bt_07_face[[client]:[client]]=syndicat_etude)*(pat_tech_bt_07_face[[face]:[face]]="R")*(pat_tech_bt_07_face[[annee]:[annee]]=G$636)*(pat_tech_bt_07_face[long_moy_depart_bt]))</f>
        <v>403</v>
      </c>
    </row>
    <row r="639" spans="1:8" ht="15" customHeight="1" x14ac:dyDescent="0.25">
      <c r="B639" s="287" t="s">
        <v>529</v>
      </c>
      <c r="C639" s="11" cm="1">
        <f t="array" ref="C639">SUMPRODUCT((pat_tech_bt_07_face[[client]:[client]]=syndicat_etude)*(pat_tech_bt_07_face[[face]:[face]]="R")*(pat_tech_bt_07_face[[annee]:[annee]]=C$636)*(pat_tech_bt_07_face[nbr_depart_bt_sup_425m]))</f>
        <v>2398</v>
      </c>
      <c r="D639" s="11" cm="1">
        <f t="array" ref="D639">SUMPRODUCT((pat_tech_bt_07_face[[client]:[client]]=syndicat_etude)*(pat_tech_bt_07_face[[face]:[face]]="R")*(pat_tech_bt_07_face[[annee]:[annee]]=D$636)*(pat_tech_bt_07_face[nbr_depart_bt_sup_425m]))</f>
        <v>2403</v>
      </c>
      <c r="E639" s="11" cm="1">
        <f t="array" ref="E639">SUMPRODUCT((pat_tech_bt_07_face[[client]:[client]]=syndicat_etude)*(pat_tech_bt_07_face[[face]:[face]]="R")*(pat_tech_bt_07_face[[annee]:[annee]]=E$636)*(pat_tech_bt_07_face[nbr_depart_bt_sup_425m]))</f>
        <v>2363</v>
      </c>
      <c r="F639" s="11" cm="1">
        <f t="array" ref="F639">SUMPRODUCT((pat_tech_bt_07_face[[client]:[client]]=syndicat_etude)*(pat_tech_bt_07_face[[face]:[face]]="R")*(pat_tech_bt_07_face[[annee]:[annee]]=F$636)*(pat_tech_bt_07_face[nbr_depart_bt_sup_425m]))</f>
        <v>2376</v>
      </c>
      <c r="G639" s="93" cm="1">
        <f t="array" ref="G639">SUMPRODUCT((pat_tech_bt_07_face[[client]:[client]]=syndicat_etude)*(pat_tech_bt_07_face[[face]:[face]]="R")*(pat_tech_bt_07_face[[annee]:[annee]]=G$636)*(pat_tech_bt_07_face[nbr_depart_bt_sup_425m]))</f>
        <v>2398</v>
      </c>
    </row>
    <row r="640" spans="1:8" ht="15" customHeight="1" x14ac:dyDescent="0.25">
      <c r="B640" s="287" t="s">
        <v>530</v>
      </c>
      <c r="C640" s="11" cm="1">
        <f t="array" ref="C640">SUMPRODUCT((pat_tech_bt_07_face[[client]:[client]]=syndicat_etude)*(pat_tech_bt_07_face[[face]:[face]]="R")*(pat_tech_bt_07_face[[annee]:[annee]]=C$636)*(pat_tech_bt_07_face[nbr_depart_bt_sup_1500m]))</f>
        <v>71</v>
      </c>
      <c r="D640" s="11" cm="1">
        <f t="array" ref="D640">SUMPRODUCT((pat_tech_bt_07_face[[client]:[client]]=syndicat_etude)*(pat_tech_bt_07_face[[face]:[face]]="R")*(pat_tech_bt_07_face[[annee]:[annee]]=D$636)*(pat_tech_bt_07_face[nbr_depart_bt_sup_1500m]))</f>
        <v>70</v>
      </c>
      <c r="E640" s="11" cm="1">
        <f t="array" ref="E640">SUMPRODUCT((pat_tech_bt_07_face[[client]:[client]]=syndicat_etude)*(pat_tech_bt_07_face[[face]:[face]]="R")*(pat_tech_bt_07_face[[annee]:[annee]]=E$636)*(pat_tech_bt_07_face[nbr_depart_bt_sup_1500m]))</f>
        <v>64</v>
      </c>
      <c r="F640" s="11" cm="1">
        <f t="array" ref="F640">SUMPRODUCT((pat_tech_bt_07_face[[client]:[client]]=syndicat_etude)*(pat_tech_bt_07_face[[face]:[face]]="R")*(pat_tech_bt_07_face[[annee]:[annee]]=F$636)*(pat_tech_bt_07_face[nbr_depart_bt_sup_1500m]))</f>
        <v>64</v>
      </c>
      <c r="G640" s="93" cm="1">
        <f t="array" ref="G640">SUMPRODUCT((pat_tech_bt_07_face[[client]:[client]]=syndicat_etude)*(pat_tech_bt_07_face[[face]:[face]]="R")*(pat_tech_bt_07_face[[annee]:[annee]]=G$636)*(pat_tech_bt_07_face[nbr_depart_bt_sup_1500m]))</f>
        <v>61</v>
      </c>
    </row>
    <row r="641" spans="1:13" ht="15" customHeight="1" x14ac:dyDescent="0.25">
      <c r="B641" s="287" t="s">
        <v>531</v>
      </c>
      <c r="C641" s="11" cm="1">
        <f t="array" ref="C641">SUMPRODUCT((pat_tech_bt_07_face[[client]:[client]]=syndicat_etude)*(pat_tech_bt_07_face[[face]:[face]]="R")*(pat_tech_bt_07_face[[annee]:[annee]]=C$636)*(pat_tech_bt_07_face[nbr_depart_bt_sup_2500m]))</f>
        <v>2</v>
      </c>
      <c r="D641" s="11" cm="1">
        <f t="array" ref="D641">SUMPRODUCT((pat_tech_bt_07_face[[client]:[client]]=syndicat_etude)*(pat_tech_bt_07_face[[face]:[face]]="R")*(pat_tech_bt_07_face[[annee]:[annee]]=D$636)*(pat_tech_bt_07_face[nbr_depart_bt_sup_2500m]))</f>
        <v>2</v>
      </c>
      <c r="E641" s="11" cm="1">
        <f t="array" ref="E641">SUMPRODUCT((pat_tech_bt_07_face[[client]:[client]]=syndicat_etude)*(pat_tech_bt_07_face[[face]:[face]]="R")*(pat_tech_bt_07_face[[annee]:[annee]]=E$636)*(pat_tech_bt_07_face[nbr_depart_bt_sup_2500m]))</f>
        <v>2</v>
      </c>
      <c r="F641" s="11" cm="1">
        <f t="array" ref="F641">SUMPRODUCT((pat_tech_bt_07_face[[client]:[client]]=syndicat_etude)*(pat_tech_bt_07_face[[face]:[face]]="R")*(pat_tech_bt_07_face[[annee]:[annee]]=F$636)*(pat_tech_bt_07_face[nbr_depart_bt_sup_2500m]))</f>
        <v>2</v>
      </c>
      <c r="G641" s="93" cm="1">
        <f t="array" ref="G641">SUMPRODUCT((pat_tech_bt_07_face[[client]:[client]]=syndicat_etude)*(pat_tech_bt_07_face[[face]:[face]]="R")*(pat_tech_bt_07_face[[annee]:[annee]]=G$636)*(pat_tech_bt_07_face[nbr_depart_bt_sup_2500m]))</f>
        <v>2</v>
      </c>
    </row>
    <row r="642" spans="1:13" ht="15" customHeight="1" x14ac:dyDescent="0.25">
      <c r="B642" s="301" t="s">
        <v>433</v>
      </c>
      <c r="C642" s="134" cm="1">
        <f t="array" ref="C642">SUMPRODUCT((pat_tech_bt_07_face[[client]:[client]]=syndicat_etude)*(pat_tech_bt_07_face[[face]:[face]]="R")*(pat_tech_bt_07_face[[annee]:[annee]]=C$636)*(pat_tech_bt_07_face[max_long_depart_bt]))</f>
        <v>2793</v>
      </c>
      <c r="D642" s="134" cm="1">
        <f t="array" ref="D642">SUMPRODUCT((pat_tech_bt_07_face[[client]:[client]]=syndicat_etude)*(pat_tech_bt_07_face[[face]:[face]]="R")*(pat_tech_bt_07_face[[annee]:[annee]]=D$636)*(pat_tech_bt_07_face[max_long_depart_bt]))</f>
        <v>2793</v>
      </c>
      <c r="E642" s="134" cm="1">
        <f t="array" ref="E642">SUMPRODUCT((pat_tech_bt_07_face[[client]:[client]]=syndicat_etude)*(pat_tech_bt_07_face[[face]:[face]]="R")*(pat_tech_bt_07_face[[annee]:[annee]]=E$636)*(pat_tech_bt_07_face[max_long_depart_bt]))</f>
        <v>2793</v>
      </c>
      <c r="F642" s="134" cm="1">
        <f t="array" ref="F642">SUMPRODUCT((pat_tech_bt_07_face[[client]:[client]]=syndicat_etude)*(pat_tech_bt_07_face[[face]:[face]]="R")*(pat_tech_bt_07_face[[annee]:[annee]]=F$636)*(pat_tech_bt_07_face[max_long_depart_bt]))</f>
        <v>2793</v>
      </c>
      <c r="G642" s="148" cm="1">
        <f t="array" ref="G642">SUMPRODUCT((pat_tech_bt_07_face[[client]:[client]]=syndicat_etude)*(pat_tech_bt_07_face[[face]:[face]]="R")*(pat_tech_bt_07_face[[annee]:[annee]]=G$636)*(pat_tech_bt_07_face[max_long_depart_bt]))</f>
        <v>2793</v>
      </c>
    </row>
    <row r="643" spans="1:13" ht="30" customHeight="1" x14ac:dyDescent="0.25">
      <c r="B643" s="127" t="s">
        <v>434</v>
      </c>
      <c r="C643" s="571" t="str">
        <f>IFERROR(VLOOKUP(C642,pat_tech_bt_07_face[[max_long_depart_bt]:[nom_depart_bt_plus_long]],2,FALSE),"-")</f>
        <v>CRESPY-LE-NEUF</v>
      </c>
      <c r="D643" s="571" t="str">
        <f>IFERROR(VLOOKUP(D642,pat_tech_bt_07_face[[max_long_depart_bt]:[nom_depart_bt_plus_long]],2,FALSE),"-")</f>
        <v>CRESPY-LE-NEUF</v>
      </c>
      <c r="E643" s="571" t="str">
        <f>IFERROR(VLOOKUP(E642,pat_tech_bt_07_face[[max_long_depart_bt]:[nom_depart_bt_plus_long]],2,FALSE),"-")</f>
        <v>CRESPY-LE-NEUF</v>
      </c>
      <c r="F643" s="571" t="str">
        <f>IFERROR(VLOOKUP(F642,pat_tech_bt_07_face[[max_long_depart_bt]:[nom_depart_bt_plus_long]],2,FALSE),"-")</f>
        <v>CRESPY-LE-NEUF</v>
      </c>
      <c r="G643" s="572" t="str">
        <f>IFERROR(VLOOKUP(G642,pat_tech_bt_07_face[[max_long_depart_bt]:[nom_depart_bt_plus_long]],2,FALSE),"-")</f>
        <v>CRESPY-LE-NEUF</v>
      </c>
    </row>
    <row r="645" spans="1:13" ht="30" customHeight="1" x14ac:dyDescent="0.25">
      <c r="A645" s="25" t="s">
        <v>532</v>
      </c>
      <c r="B645" s="54" t="s">
        <v>533</v>
      </c>
      <c r="C645" s="764" cm="1">
        <f t="array" ref="C645">Exercice[Exercice N-4]</f>
        <v>2019</v>
      </c>
      <c r="D645" s="764"/>
      <c r="E645" s="764" cm="1">
        <f t="array" ref="E645">Exercice[Exercice N-3]</f>
        <v>2020</v>
      </c>
      <c r="F645" s="764"/>
      <c r="G645" s="764" cm="1">
        <f t="array" ref="G645">Exercice[Exercice N-2]</f>
        <v>2021</v>
      </c>
      <c r="H645" s="764"/>
      <c r="I645" s="764" cm="1">
        <f t="array" ref="I645">Exercice[Exercice N-1]</f>
        <v>2022</v>
      </c>
      <c r="J645" s="764"/>
      <c r="K645" s="764" cm="1">
        <f t="array" ref="K645">Exercice[Exercice N]</f>
        <v>2023</v>
      </c>
      <c r="L645" s="765"/>
    </row>
    <row r="646" spans="1:13" ht="15" customHeight="1" x14ac:dyDescent="0.25">
      <c r="B646" s="61" t="s">
        <v>534</v>
      </c>
      <c r="C646" s="761" cm="1">
        <f t="array" ref="C646">SUMPRODUCT((pat_tech_bt_08[client]=syndicat_etude)*(pat_tech_bt_08[annee]=Exercice[Exercice N-4])*(pat_tech_bt_08[long_tot]))</f>
        <v>3638.03</v>
      </c>
      <c r="D646" s="761"/>
      <c r="E646" s="761" cm="1">
        <f t="array" ref="E646">SUMPRODUCT((pat_tech_bt_08[client]=syndicat_etude)*(pat_tech_bt_08[annee]=Exercice[Exercice N-3])*(pat_tech_bt_08[long_tot]))</f>
        <v>3659.85</v>
      </c>
      <c r="F646" s="761"/>
      <c r="G646" s="761" cm="1">
        <f t="array" ref="G646">SUMPRODUCT((pat_tech_bt_08[client]=syndicat_etude)*(pat_tech_bt_08[annee]=Exercice[Exercice N-2])*(pat_tech_bt_08[long_tot]))</f>
        <v>3691.21</v>
      </c>
      <c r="H646" s="761"/>
      <c r="I646" s="761" cm="1">
        <f t="array" ref="I646">SUMPRODUCT((pat_tech_bt_08[client]=syndicat_etude)*(pat_tech_bt_08[annee]=Exercice[Exercice N-1])*(pat_tech_bt_08[long_tot]))</f>
        <v>3706.75</v>
      </c>
      <c r="J646" s="761"/>
      <c r="K646" s="761" cm="1">
        <f t="array" ref="K646">SUMPRODUCT((pat_tech_bt_08[client]=syndicat_etude)*(pat_tech_bt_08[annee]=Exercice[Exercice N])*(pat_tech_bt_08[long_tot]))</f>
        <v>3739.91</v>
      </c>
      <c r="L646" s="762"/>
    </row>
    <row r="647" spans="1:13" ht="15" customHeight="1" x14ac:dyDescent="0.25">
      <c r="A647" s="28" t="s">
        <v>133</v>
      </c>
      <c r="B647" s="110" t="s">
        <v>535</v>
      </c>
      <c r="C647" s="767" cm="1">
        <f t="array" ref="C647">SUMPRODUCT((pat_tech_bt_08[client]=syndicat_etude)*(pat_tech_bt_08[annee]=Exercice[Exercice N-4])*(pat_tech_bt_08[non_date]))</f>
        <v>175.78</v>
      </c>
      <c r="D647" s="767"/>
      <c r="E647" s="767" cm="1">
        <f t="array" ref="E647">SUMPRODUCT((pat_tech_bt_08[client]=syndicat_etude)*(pat_tech_bt_08[annee]=Exercice[Exercice N-3])*(pat_tech_bt_08[non_date]))</f>
        <v>171.26</v>
      </c>
      <c r="F647" s="767"/>
      <c r="G647" s="767" cm="1">
        <f t="array" ref="G647">SUMPRODUCT((pat_tech_bt_08[client]=syndicat_etude)*(pat_tech_bt_08[annee]=Exercice[Exercice N-2])*(pat_tech_bt_08[non_date]))</f>
        <v>168.65</v>
      </c>
      <c r="H647" s="767"/>
      <c r="I647" s="767" cm="1">
        <f t="array" ref="I647">SUMPRODUCT((pat_tech_bt_08[client]=syndicat_etude)*(pat_tech_bt_08[annee]=Exercice[Exercice N-1])*(pat_tech_bt_08[non_date]))</f>
        <v>164.21</v>
      </c>
      <c r="J647" s="767"/>
      <c r="K647" s="767" cm="1">
        <f t="array" ref="K647">SUMPRODUCT((pat_tech_bt_08[client]=syndicat_etude)*(pat_tech_bt_08[annee]=Exercice[Exercice N])*(pat_tech_bt_08[non_date]))</f>
        <v>160.72</v>
      </c>
      <c r="L647" s="768"/>
      <c r="M647" s="65"/>
    </row>
    <row r="648" spans="1:13" ht="15" customHeight="1" x14ac:dyDescent="0.25">
      <c r="B648" s="53" t="s">
        <v>536</v>
      </c>
      <c r="C648" s="759" cm="1">
        <f t="array" ref="C648">SUMPRODUCT((pat_tech_bt_08[client]=syndicat_etude)*(pat_tech_bt_08[annee]=Exercice[Exercice N-4])*(pat_tech_bt_08[age_moyen]))</f>
        <v>19.75</v>
      </c>
      <c r="D648" s="759"/>
      <c r="E648" s="759" cm="1">
        <f t="array" ref="E648">SUMPRODUCT((pat_tech_bt_08[client]=syndicat_etude)*(pat_tech_bt_08[annee]=Exercice[Exercice N-3])*(pat_tech_bt_08[age_moyen]))</f>
        <v>20.41</v>
      </c>
      <c r="F648" s="759"/>
      <c r="G648" s="759" cm="1">
        <f t="array" ref="G648">SUMPRODUCT((pat_tech_bt_08[client]=syndicat_etude)*(pat_tech_bt_08[annee]=Exercice[Exercice N-2])*(pat_tech_bt_08[age_moyen]))</f>
        <v>21.03</v>
      </c>
      <c r="H648" s="759"/>
      <c r="I648" s="759" cm="1">
        <f t="array" ref="I648">SUMPRODUCT((pat_tech_bt_08[client]=syndicat_etude)*(pat_tech_bt_08[annee]=Exercice[Exercice N-1])*(pat_tech_bt_08[age_moyen]))</f>
        <v>21.68</v>
      </c>
      <c r="J648" s="759"/>
      <c r="K648" s="759" cm="1">
        <f t="array" ref="K648">SUMPRODUCT((pat_tech_bt_08[client]=syndicat_etude)*(pat_tech_bt_08[annee]=Exercice[Exercice N])*(pat_tech_bt_08[age_moyen]))</f>
        <v>22.26</v>
      </c>
      <c r="L648" s="770"/>
      <c r="M648" s="65"/>
    </row>
    <row r="649" spans="1:13" ht="15" customHeight="1" x14ac:dyDescent="0.25">
      <c r="B649" s="50" t="s">
        <v>229</v>
      </c>
      <c r="C649" s="13" cm="1">
        <f t="array" ref="C649">SUMPRODUCT((pat_tech_bt_08[client]=syndicat_etude)*(pat_tech_bt_08[annee]=Exercice[Exercice N-4])*(pat_tech_bt_08[long_inf_10_ans]))</f>
        <v>667.4</v>
      </c>
      <c r="D649" s="147" cm="1">
        <f t="array" ref="D649">SUMPRODUCT((pat_tech_bt_08[client]=syndicat_etude)*(pat_tech_bt_08[annee]=Exercice[Exercice N-4])*(pat_tech_bt_08[pourcent_long_inf_10_ans]))</f>
        <v>0.1835</v>
      </c>
      <c r="E649" s="13" cm="1">
        <f t="array" ref="E649">SUMPRODUCT((pat_tech_bt_08[client]=syndicat_etude)*(pat_tech_bt_08[annee]=Exercice[Exercice N-3])*(pat_tech_bt_08[long_inf_10_ans]))</f>
        <v>630.87</v>
      </c>
      <c r="F649" s="147" cm="1">
        <f t="array" ref="F649">SUMPRODUCT((pat_tech_bt_08[client]=syndicat_etude)*(pat_tech_bt_08[annee]=Exercice[Exercice N-3])*(pat_tech_bt_08[pourcent_long_inf_10_ans]))</f>
        <v>0.1724</v>
      </c>
      <c r="G649" s="13" cm="1">
        <f t="array" ref="G649">SUMPRODUCT((pat_tech_bt_08[client]=syndicat_etude)*(pat_tech_bt_08[annee]=Exercice[Exercice N-2])*(pat_tech_bt_08[long_inf_10_ans]))</f>
        <v>597.80999999999995</v>
      </c>
      <c r="H649" s="147" cm="1">
        <f t="array" ref="H649">SUMPRODUCT((pat_tech_bt_08[client]=syndicat_etude)*(pat_tech_bt_08[annee]=Exercice[Exercice N-2])*(pat_tech_bt_08[pourcent_long_inf_10_ans]))</f>
        <v>0.16200000000000001</v>
      </c>
      <c r="I649" s="13" cm="1">
        <f t="array" ref="I649">SUMPRODUCT((pat_tech_bt_08[client]=syndicat_etude)*(pat_tech_bt_08[annee]=Exercice[Exercice N-1])*(pat_tech_bt_08[long_inf_10_ans]))</f>
        <v>565.41999999999996</v>
      </c>
      <c r="J649" s="147" cm="1">
        <f t="array" ref="J649">SUMPRODUCT((pat_tech_bt_08[client]=syndicat_etude)*(pat_tech_bt_08[annee]=Exercice[Exercice N-1])*(pat_tech_bt_08[pourcent_long_inf_10_ans]))</f>
        <v>0.1525</v>
      </c>
      <c r="K649" s="13" cm="1">
        <f t="array" ref="K649">SUMPRODUCT((pat_tech_bt_08[client]=syndicat_etude)*(pat_tech_bt_08[annee]=Exercice[Exercice N])*(pat_tech_bt_08[long_inf_10_ans]))</f>
        <v>557.71</v>
      </c>
      <c r="L649" s="686" cm="1">
        <f t="array" ref="L649">SUMPRODUCT((pat_tech_bt_08[client]=syndicat_etude)*(pat_tech_bt_08[annee]=Exercice[Exercice N])*(pat_tech_bt_08[pourcent_long_inf_10_ans]))</f>
        <v>0.14910000000000001</v>
      </c>
      <c r="M649" s="65"/>
    </row>
    <row r="650" spans="1:13" ht="15" customHeight="1" x14ac:dyDescent="0.25">
      <c r="B650" s="50" t="s">
        <v>230</v>
      </c>
      <c r="C650" s="13" cm="1">
        <f t="array" ref="C650">SUMPRODUCT((pat_tech_bt_08[client]=syndicat_etude)*(pat_tech_bt_08[annee]=Exercice[Exercice N-4])*(pat_tech_bt_08[long_btw_10_20_ans]))</f>
        <v>894.42</v>
      </c>
      <c r="D650" s="137" cm="1">
        <f t="array" ref="D650">SUMPRODUCT((pat_tech_bt_08[client]=syndicat_etude)*(pat_tech_bt_08[annee]=Exercice[Exercice N-4])*(pat_tech_bt_08[pourcent_long_btw_10_20_ans]))</f>
        <v>0.24590000000000001</v>
      </c>
      <c r="E650" s="13" cm="1">
        <f t="array" ref="E650">SUMPRODUCT((pat_tech_bt_08[client]=syndicat_etude)*(pat_tech_bt_08[annee]=Exercice[Exercice N-3])*(pat_tech_bt_08[long_btw_10_20_ans]))</f>
        <v>902.87</v>
      </c>
      <c r="F650" s="137" cm="1">
        <f t="array" ref="F650">SUMPRODUCT((pat_tech_bt_08[client]=syndicat_etude)*(pat_tech_bt_08[annee]=Exercice[Exercice N-3])*(pat_tech_bt_08[pourcent_long_btw_10_20_ans]))</f>
        <v>0.2467</v>
      </c>
      <c r="G650" s="13" cm="1">
        <f t="array" ref="G650">SUMPRODUCT((pat_tech_bt_08[client]=syndicat_etude)*(pat_tech_bt_08[annee]=Exercice[Exercice N-2])*(pat_tech_bt_08[long_btw_10_20_ans]))</f>
        <v>877.12</v>
      </c>
      <c r="H650" s="137" cm="1">
        <f t="array" ref="H650">SUMPRODUCT((pat_tech_bt_08[client]=syndicat_etude)*(pat_tech_bt_08[annee]=Exercice[Exercice N-2])*(pat_tech_bt_08[pourcent_long_btw_10_20_ans]))</f>
        <v>0.23760000000000001</v>
      </c>
      <c r="I650" s="13" cm="1">
        <f t="array" ref="I650">SUMPRODUCT((pat_tech_bt_08[client]=syndicat_etude)*(pat_tech_bt_08[annee]=Exercice[Exercice N-1])*(pat_tech_bt_08[long_btw_10_20_ans]))</f>
        <v>859.7</v>
      </c>
      <c r="J650" s="137" cm="1">
        <f t="array" ref="J650">SUMPRODUCT((pat_tech_bt_08[client]=syndicat_etude)*(pat_tech_bt_08[annee]=Exercice[Exercice N-1])*(pat_tech_bt_08[pourcent_long_btw_10_20_ans]))</f>
        <v>0.2319</v>
      </c>
      <c r="K650" s="13" cm="1">
        <f t="array" ref="K650">SUMPRODUCT((pat_tech_bt_08[client]=syndicat_etude)*(pat_tech_bt_08[annee]=Exercice[Exercice N])*(pat_tech_bt_08[long_btw_10_20_ans]))</f>
        <v>807.29</v>
      </c>
      <c r="L650" s="137" cm="1">
        <f t="array" ref="L650">SUMPRODUCT((pat_tech_bt_08[client]=syndicat_etude)*(pat_tech_bt_08[annee]=Exercice[Exercice N])*(pat_tech_bt_08[pourcent_long_btw_10_20_ans]))</f>
        <v>0.21590000000000001</v>
      </c>
      <c r="M650" s="65"/>
    </row>
    <row r="651" spans="1:13" ht="15" customHeight="1" x14ac:dyDescent="0.25">
      <c r="B651" s="50" t="s">
        <v>231</v>
      </c>
      <c r="C651" s="13" cm="1">
        <f t="array" ref="C651">SUMPRODUCT((pat_tech_bt_08[client]=syndicat_etude)*(pat_tech_bt_08[annee]=Exercice[Exercice N-4])*(pat_tech_bt_08[long_btw_20_30_ans]))</f>
        <v>1437.69</v>
      </c>
      <c r="D651" s="137" cm="1">
        <f t="array" ref="D651">SUMPRODUCT((pat_tech_bt_08[client]=syndicat_etude)*(pat_tech_bt_08[annee]=Exercice[Exercice N-4])*(pat_tech_bt_08[pourcent_long_btw_20_30_ans]))</f>
        <v>0.3952</v>
      </c>
      <c r="E651" s="13" cm="1">
        <f t="array" ref="E651">SUMPRODUCT((pat_tech_bt_08[client]=syndicat_etude)*(pat_tech_bt_08[annee]=Exercice[Exercice N-3])*(pat_tech_bt_08[long_btw_20_30_ans]))</f>
        <v>1387.51</v>
      </c>
      <c r="F651" s="137" cm="1">
        <f t="array" ref="F651">SUMPRODUCT((pat_tech_bt_08[client]=syndicat_etude)*(pat_tech_bt_08[annee]=Exercice[Exercice N-3])*(pat_tech_bt_08[pourcent_long_btw_20_30_ans]))</f>
        <v>0.37909999999999999</v>
      </c>
      <c r="G651" s="13" cm="1">
        <f t="array" ref="G651">SUMPRODUCT((pat_tech_bt_08[client]=syndicat_etude)*(pat_tech_bt_08[annee]=Exercice[Exercice N-2])*(pat_tech_bt_08[long_btw_20_30_ans]))</f>
        <v>1172.82</v>
      </c>
      <c r="H651" s="137" cm="1">
        <f t="array" ref="H651">SUMPRODUCT((pat_tech_bt_08[client]=syndicat_etude)*(pat_tech_bt_08[annee]=Exercice[Exercice N-2])*(pat_tech_bt_08[pourcent_long_btw_20_30_ans]))</f>
        <v>0.31769999999999998</v>
      </c>
      <c r="I651" s="13" cm="1">
        <f t="array" ref="I651">SUMPRODUCT((pat_tech_bt_08[client]=syndicat_etude)*(pat_tech_bt_08[annee]=Exercice[Exercice N-1])*(pat_tech_bt_08[long_btw_20_30_ans]))</f>
        <v>946.69</v>
      </c>
      <c r="J651" s="137" cm="1">
        <f t="array" ref="J651">SUMPRODUCT((pat_tech_bt_08[client]=syndicat_etude)*(pat_tech_bt_08[annee]=Exercice[Exercice N-1])*(pat_tech_bt_08[pourcent_long_btw_20_30_ans]))</f>
        <v>0.25540000000000002</v>
      </c>
      <c r="K651" s="13" cm="1">
        <f t="array" ref="K651">SUMPRODUCT((pat_tech_bt_08[client]=syndicat_etude)*(pat_tech_bt_08[annee]=Exercice[Exercice N])*(pat_tech_bt_08[long_btw_20_30_ans]))</f>
        <v>943.22</v>
      </c>
      <c r="L651" s="137" cm="1">
        <f t="array" ref="L651">SUMPRODUCT((pat_tech_bt_08[client]=syndicat_etude)*(pat_tech_bt_08[annee]=Exercice[Exercice N])*(pat_tech_bt_08[pourcent_long_btw_20_30_ans]))</f>
        <v>0.25219999999999998</v>
      </c>
      <c r="M651" s="65"/>
    </row>
    <row r="652" spans="1:13" ht="15" customHeight="1" x14ac:dyDescent="0.25">
      <c r="B652" s="50" t="s">
        <v>232</v>
      </c>
      <c r="C652" s="13" cm="1">
        <f t="array" ref="C652">SUMPRODUCT((pat_tech_bt_08[client]=syndicat_etude)*(pat_tech_bt_08[annee]=Exercice[Exercice N-4])*(pat_tech_bt_08[long_btw_30_40_ans]))</f>
        <v>449.31</v>
      </c>
      <c r="D652" s="137" cm="1">
        <f t="array" ref="D652">SUMPRODUCT((pat_tech_bt_08[client]=syndicat_etude)*(pat_tech_bt_08[annee]=Exercice[Exercice N-4])*(pat_tech_bt_08[pourcent_long_btw_30_40_ans]))</f>
        <v>0.1235</v>
      </c>
      <c r="E652" s="13" cm="1">
        <f t="array" ref="E652">SUMPRODUCT((pat_tech_bt_08[client]=syndicat_etude)*(pat_tech_bt_08[annee]=Exercice[Exercice N-3])*(pat_tech_bt_08[long_btw_30_40_ans]))</f>
        <v>554.17999999999995</v>
      </c>
      <c r="F652" s="137" cm="1">
        <f t="array" ref="F652">SUMPRODUCT((pat_tech_bt_08[client]=syndicat_etude)*(pat_tech_bt_08[annee]=Exercice[Exercice N-3])*(pat_tech_bt_08[pourcent_long_btw_30_40_ans]))</f>
        <v>0.15140000000000001</v>
      </c>
      <c r="G652" s="13" cm="1">
        <f t="array" ref="G652">SUMPRODUCT((pat_tech_bt_08[client]=syndicat_etude)*(pat_tech_bt_08[annee]=Exercice[Exercice N-2])*(pat_tech_bt_08[long_btw_30_40_ans]))</f>
        <v>861.53</v>
      </c>
      <c r="H652" s="137" cm="1">
        <f t="array" ref="H652">SUMPRODUCT((pat_tech_bt_08[client]=syndicat_etude)*(pat_tech_bt_08[annee]=Exercice[Exercice N-2])*(pat_tech_bt_08[pourcent_long_btw_30_40_ans]))</f>
        <v>0.2334</v>
      </c>
      <c r="I652" s="13" cm="1">
        <f t="array" ref="I652">SUMPRODUCT((pat_tech_bt_08[client]=syndicat_etude)*(pat_tech_bt_08[annee]=Exercice[Exercice N-1])*(pat_tech_bt_08[long_btw_30_40_ans]))</f>
        <v>1157.49</v>
      </c>
      <c r="J652" s="137" cm="1">
        <f t="array" ref="J652">SUMPRODUCT((pat_tech_bt_08[client]=syndicat_etude)*(pat_tech_bt_08[annee]=Exercice[Exercice N-1])*(pat_tech_bt_08[pourcent_long_btw_30_40_ans]))</f>
        <v>0.31230000000000002</v>
      </c>
      <c r="K652" s="13" cm="1">
        <f t="array" ref="K652">SUMPRODUCT((pat_tech_bt_08[client]=syndicat_etude)*(pat_tech_bt_08[annee]=Exercice[Exercice N])*(pat_tech_bt_08[long_btw_30_40_ans]))</f>
        <v>1255.6300000000001</v>
      </c>
      <c r="L652" s="137" cm="1">
        <f t="array" ref="L652">SUMPRODUCT((pat_tech_bt_08[client]=syndicat_etude)*(pat_tech_bt_08[annee]=Exercice[Exercice N])*(pat_tech_bt_08[pourcent_long_btw_30_40_ans]))</f>
        <v>0.3357</v>
      </c>
      <c r="M652" s="65"/>
    </row>
    <row r="653" spans="1:13" ht="15" customHeight="1" x14ac:dyDescent="0.25">
      <c r="B653" s="50" t="s">
        <v>233</v>
      </c>
      <c r="C653" s="13" cm="1">
        <f t="array" ref="C653">SUMPRODUCT((pat_tech_bt_08[client]=syndicat_etude)*(pat_tech_bt_08[annee]=Exercice[Exercice N-4])*(pat_tech_bt_08[long_btw_40_50_ans]))</f>
        <v>5.18</v>
      </c>
      <c r="D653" s="137" cm="1">
        <f t="array" ref="D653">SUMPRODUCT((pat_tech_bt_08[client]=syndicat_etude)*(pat_tech_bt_08[annee]=Exercice[Exercice N-4])*(pat_tech_bt_08[pourcent_long_btw_40_50_ans]))</f>
        <v>1.4E-3</v>
      </c>
      <c r="E653" s="13" cm="1">
        <f t="array" ref="E653">SUMPRODUCT((pat_tech_bt_08[client]=syndicat_etude)*(pat_tech_bt_08[annee]=Exercice[Exercice N-3])*(pat_tech_bt_08[pourcent_long_btw_40_50_ans]))</f>
        <v>1.1000000000000001E-3</v>
      </c>
      <c r="F653" s="137" cm="1">
        <f t="array" ref="F653">SUMPRODUCT((pat_tech_bt_08[client]=syndicat_etude)*(pat_tech_bt_08[annee]=Exercice[Exercice N-3])*(pat_tech_bt_08[pourcent_long_btw_40_50_ans]))</f>
        <v>1.1000000000000001E-3</v>
      </c>
      <c r="G653" s="13" cm="1">
        <f t="array" ref="G653">SUMPRODUCT((pat_tech_bt_08[client]=syndicat_etude)*(pat_tech_bt_08[annee]=Exercice[Exercice N-2])*(pat_tech_bt_08[long_btw_40_50_ans]))</f>
        <v>3.65</v>
      </c>
      <c r="H653" s="137" cm="1">
        <f t="array" ref="H653">SUMPRODUCT((pat_tech_bt_08[client]=syndicat_etude)*(pat_tech_bt_08[annee]=Exercice[Exercice N-2])*(pat_tech_bt_08[pourcent_long_btw_40_50_ans]))</f>
        <v>1E-3</v>
      </c>
      <c r="I653" s="13" cm="1">
        <f t="array" ref="I653">SUMPRODUCT((pat_tech_bt_08[client]=syndicat_etude)*(pat_tech_bt_08[annee]=Exercice[Exercice N-1])*(pat_tech_bt_08[long_btw_40_50_ans]))</f>
        <v>3.32</v>
      </c>
      <c r="J653" s="137" cm="1">
        <f t="array" ref="J653">SUMPRODUCT((pat_tech_bt_08[client]=syndicat_etude)*(pat_tech_bt_08[annee]=Exercice[Exercice N-1])*(pat_tech_bt_08[pourcent_long_btw_40_50_ans]))</f>
        <v>8.9999999999999998E-4</v>
      </c>
      <c r="K653" s="13" cm="1">
        <f t="array" ref="K653">SUMPRODUCT((pat_tech_bt_08[client]=syndicat_etude)*(pat_tech_bt_08[annee]=Exercice[Exercice N])*(pat_tech_bt_08[long_btw_40_50_ans]))</f>
        <v>4.87</v>
      </c>
      <c r="L653" s="137" cm="1">
        <f t="array" ref="L653">SUMPRODUCT((pat_tech_bt_08[client]=syndicat_etude)*(pat_tech_bt_08[annee]=Exercice[Exercice N])*(pat_tech_bt_08[pourcent_long_btw_40_50_ans]))</f>
        <v>1.2999999999999999E-3</v>
      </c>
      <c r="M653" s="65"/>
    </row>
    <row r="654" spans="1:13" ht="15" customHeight="1" x14ac:dyDescent="0.25">
      <c r="B654" s="50" t="s">
        <v>234</v>
      </c>
      <c r="C654" s="13" cm="1">
        <f t="array" ref="C654">SUMPRODUCT((pat_tech_bt_08[client]=syndicat_etude)*(pat_tech_bt_08[annee]=Exercice[Exercice N-4])*(pat_tech_bt_08[long_btw_50_60_ans]))</f>
        <v>1.63</v>
      </c>
      <c r="D654" s="137" cm="1">
        <f t="array" ref="D654">SUMPRODUCT((pat_tech_bt_08[client]=syndicat_etude)*(pat_tech_bt_08[annee]=Exercice[Exercice N-4])*(pat_tech_bt_08[pourcent_long_btw_50_60_ans]))</f>
        <v>4.0000000000000002E-4</v>
      </c>
      <c r="E654" s="13" cm="1">
        <f t="array" ref="E654">SUMPRODUCT((pat_tech_bt_08[client]=syndicat_etude)*(pat_tech_bt_08[annee]=Exercice[Exercice N-3])*(pat_tech_bt_08[long_btw_50_60_ans]))</f>
        <v>2.9</v>
      </c>
      <c r="F654" s="137" cm="1">
        <f t="array" ref="F654">SUMPRODUCT((pat_tech_bt_08[client]=syndicat_etude)*(pat_tech_bt_08[annee]=Exercice[Exercice N-3])*(pat_tech_bt_08[pourcent_long_btw_50_60_ans]))</f>
        <v>8.0000000000000004E-4</v>
      </c>
      <c r="G654" s="13" cm="1">
        <f t="array" ref="G654">SUMPRODUCT((pat_tech_bt_08[client]=syndicat_etude)*(pat_tech_bt_08[annee]=Exercice[Exercice N-2])*(pat_tech_bt_08[long_btw_50_60_ans]))</f>
        <v>3.32</v>
      </c>
      <c r="H654" s="137" cm="1">
        <f t="array" ref="H654">SUMPRODUCT((pat_tech_bt_08[client]=syndicat_etude)*(pat_tech_bt_08[annee]=Exercice[Exercice N-2])*(pat_tech_bt_08[pourcent_long_btw_50_60_ans]))</f>
        <v>8.9999999999999998E-4</v>
      </c>
      <c r="I654" s="13" cm="1">
        <f t="array" ref="I654">SUMPRODUCT((pat_tech_bt_08[client]=syndicat_etude)*(pat_tech_bt_08[annee]=Exercice[Exercice N-1])*(pat_tech_bt_08[long_btw_50_60_ans]))</f>
        <v>3.51</v>
      </c>
      <c r="J654" s="137" cm="1">
        <f t="array" ref="J654">SUMPRODUCT((pat_tech_bt_08[client]=syndicat_etude)*(pat_tech_bt_08[annee]=Exercice[Exercice N-1])*(pat_tech_bt_08[pourcent_long_btw_50_60_ans]))</f>
        <v>8.9999999999999998E-4</v>
      </c>
      <c r="K654" s="13" cm="1">
        <f t="array" ref="K654">SUMPRODUCT((pat_tech_bt_08[client]=syndicat_etude)*(pat_tech_bt_08[annee]=Exercice[Exercice N])*(pat_tech_bt_08[long_btw_50_60_ans]))</f>
        <v>4.1500000000000004</v>
      </c>
      <c r="L654" s="137" cm="1">
        <f t="array" ref="L654">SUMPRODUCT((pat_tech_bt_08[client]=syndicat_etude)*(pat_tech_bt_08[annee]=Exercice[Exercice N])*(pat_tech_bt_08[pourcent_long_btw_50_60_ans]))</f>
        <v>1.1000000000000001E-3</v>
      </c>
      <c r="M654" s="65"/>
    </row>
    <row r="655" spans="1:13" ht="15" customHeight="1" x14ac:dyDescent="0.25">
      <c r="B655" s="53" t="s">
        <v>235</v>
      </c>
      <c r="C655" s="684" cm="1">
        <f t="array" ref="C655">SUMPRODUCT((pat_tech_bt_08[client]=syndicat_etude)*(pat_tech_bt_08[annee]=Exercice[Exercice N-4])*(pat_tech_bt_08[long_sup_60_ans]))</f>
        <v>182.4</v>
      </c>
      <c r="D655" s="685" cm="1">
        <f t="array" ref="D655">SUMPRODUCT((pat_tech_bt_08[client]=syndicat_etude)*(pat_tech_bt_08[annee]=Exercice[Exercice N-4])*(pat_tech_bt_08[pourcent_sup_60_ans]))</f>
        <v>5.0099999999999999E-2</v>
      </c>
      <c r="E655" s="684" cm="1">
        <f t="array" ref="E655">SUMPRODUCT((pat_tech_bt_08[client]=syndicat_etude)*(pat_tech_bt_08[annee]=Exercice[Exercice N-3])*(pat_tech_bt_08[long_sup_60_ans]))</f>
        <v>177.59</v>
      </c>
      <c r="F655" s="685" cm="1">
        <f t="array" ref="F655">SUMPRODUCT((pat_tech_bt_08[client]=syndicat_etude)*(pat_tech_bt_08[annee]=Exercice[Exercice N-3])*(pat_tech_bt_08[pourcent_sup_60_ans]))</f>
        <v>4.8500000000000001E-2</v>
      </c>
      <c r="G655" s="684" cm="1">
        <f t="array" ref="G655">SUMPRODUCT((pat_tech_bt_08[client]=syndicat_etude)*(pat_tech_bt_08[annee]=Exercice[Exercice N-2])*(pat_tech_bt_08[long_sup_60_ans]))</f>
        <v>174.95</v>
      </c>
      <c r="H655" s="685" cm="1">
        <f t="array" ref="H655">SUMPRODUCT((pat_tech_bt_08[client]=syndicat_etude)*(pat_tech_bt_08[annee]=Exercice[Exercice N-2])*(pat_tech_bt_08[pourcent_sup_60_ans]))</f>
        <v>4.7399999999999998E-2</v>
      </c>
      <c r="I655" s="684" cm="1">
        <f t="array" ref="I655">SUMPRODUCT((pat_tech_bt_08[client]=syndicat_etude)*(pat_tech_bt_08[annee]=Exercice[Exercice N-1])*(pat_tech_bt_08[long_sup_60_ans]))</f>
        <v>170.64</v>
      </c>
      <c r="J655" s="685" cm="1">
        <f t="array" ref="J655">SUMPRODUCT((pat_tech_bt_08[client]=syndicat_etude)*(pat_tech_bt_08[annee]=Exercice[Exercice N-1])*(pat_tech_bt_08[pourcent_sup_60_ans]))</f>
        <v>4.5999999999999999E-2</v>
      </c>
      <c r="K655" s="684" cm="1">
        <f t="array" ref="K655">SUMPRODUCT((pat_tech_bt_08[client]=syndicat_etude)*(pat_tech_bt_08[annee]=Exercice[Exercice N])*(pat_tech_bt_08[long_sup_60_ans]))</f>
        <v>167.04</v>
      </c>
      <c r="L655" s="138" cm="1">
        <f t="array" ref="L655">SUMPRODUCT((pat_tech_bt_08[client]=syndicat_etude)*(pat_tech_bt_08[annee]=Exercice[Exercice N])*(pat_tech_bt_08[pourcent_sup_60_ans]))</f>
        <v>4.4699999999999997E-2</v>
      </c>
      <c r="M655" s="65"/>
    </row>
    <row r="656" spans="1:13" ht="15" customHeight="1" x14ac:dyDescent="0.25">
      <c r="B656" s="29" t="s">
        <v>537</v>
      </c>
      <c r="C656" s="13"/>
      <c r="D656" s="30"/>
      <c r="E656" s="13"/>
      <c r="F656" s="30"/>
      <c r="G656" s="13"/>
      <c r="H656" s="30"/>
      <c r="I656" s="13"/>
      <c r="J656" s="30"/>
      <c r="K656" s="13"/>
      <c r="L656" s="30"/>
    </row>
    <row r="658" spans="1:13" ht="30" customHeight="1" x14ac:dyDescent="0.25">
      <c r="A658" s="25" t="s">
        <v>538</v>
      </c>
      <c r="B658" s="54" t="s">
        <v>539</v>
      </c>
      <c r="C658" s="764" cm="1">
        <f t="array" ref="C658">Exercice[Exercice N-4]</f>
        <v>2019</v>
      </c>
      <c r="D658" s="764"/>
      <c r="E658" s="764" cm="1">
        <f t="array" ref="E658">Exercice[Exercice N-3]</f>
        <v>2020</v>
      </c>
      <c r="F658" s="764"/>
      <c r="G658" s="764" cm="1">
        <f t="array" ref="G658">Exercice[Exercice N-2]</f>
        <v>2021</v>
      </c>
      <c r="H658" s="764"/>
      <c r="I658" s="764" cm="1">
        <f t="array" ref="I658">Exercice[Exercice N-1]</f>
        <v>2022</v>
      </c>
      <c r="J658" s="764"/>
      <c r="K658" s="764" cm="1">
        <f t="array" ref="K658">Exercice[Exercice N]</f>
        <v>2023</v>
      </c>
      <c r="L658" s="765"/>
    </row>
    <row r="659" spans="1:13" ht="15" customHeight="1" x14ac:dyDescent="0.25">
      <c r="A659" s="25" t="s">
        <v>133</v>
      </c>
      <c r="B659" s="61" t="s">
        <v>534</v>
      </c>
      <c r="C659" s="761" cm="1">
        <f t="array" ref="C659">SUMPRODUCT((pat_tech_bt_08_face[client]=syndicat_etude)*(pat_tech_bt_08_face[annee]=Exercice[Exercice N-4])*(pat_tech_bt_08_face[long_tot])*(pat_tech_bt_08_face[face]="U")*(pat_tech_bt_08_face[face]="U"))</f>
        <v>1170.8900000000001</v>
      </c>
      <c r="D659" s="761"/>
      <c r="E659" s="761" cm="1">
        <f t="array" ref="E659">SUMPRODUCT((pat_tech_bt_08_face[client]=syndicat_etude)*(pat_tech_bt_08_face[annee]=Exercice[Exercice N-3])*(pat_tech_bt_08_face[long_tot])*(pat_tech_bt_08_face[face]="U"))</f>
        <v>1181.04</v>
      </c>
      <c r="F659" s="761"/>
      <c r="G659" s="761" cm="1">
        <f t="array" ref="G659">SUMPRODUCT((pat_tech_bt_08_face[client]=syndicat_etude)*(pat_tech_bt_08_face[annee]=Exercice[Exercice N-2])*(pat_tech_bt_08_face[long_tot])*(pat_tech_bt_08_face[face]="U"))</f>
        <v>1229.46</v>
      </c>
      <c r="H659" s="761"/>
      <c r="I659" s="761" cm="1">
        <f t="array" ref="I659">SUMPRODUCT((pat_tech_bt_08_face[client]=syndicat_etude)*(pat_tech_bt_08_face[annee]=Exercice[Exercice N-1])*(pat_tech_bt_08_face[long_tot])*(pat_tech_bt_08_face[face]="U"))</f>
        <v>1238.44</v>
      </c>
      <c r="J659" s="761"/>
      <c r="K659" s="761" cm="1">
        <f t="array" ref="K659">SUMPRODUCT((pat_tech_bt_08_face[client]=syndicat_etude)*(pat_tech_bt_08_face[annee]=Exercice[Exercice N])*(pat_tech_bt_08_face[long_tot])*(pat_tech_bt_08_face[face]="U"))</f>
        <v>1250.77</v>
      </c>
      <c r="L659" s="762"/>
    </row>
    <row r="660" spans="1:13" ht="15" customHeight="1" x14ac:dyDescent="0.25">
      <c r="A660" s="28"/>
      <c r="B660" s="110" t="s">
        <v>535</v>
      </c>
      <c r="C660" s="767" cm="1">
        <f t="array" ref="C660">SUMPRODUCT((pat_tech_bt_08_face[client]=syndicat_etude)*(pat_tech_bt_08_face[annee]=Exercice[Exercice N-4])*(pat_tech_bt_08_face[non_date])*(pat_tech_bt_08_face[face]="U"))</f>
        <v>72.05</v>
      </c>
      <c r="D660" s="767"/>
      <c r="E660" s="767" cm="1">
        <f t="array" ref="E660">SUMPRODUCT((pat_tech_bt_08_face[client]=syndicat_etude)*(pat_tech_bt_08_face[annee]=Exercice[Exercice N-3])*(pat_tech_bt_08_face[non_date])*(pat_tech_bt_08_face[face]="U"))</f>
        <v>71.05</v>
      </c>
      <c r="F660" s="767"/>
      <c r="G660" s="767" cm="1">
        <f t="array" ref="G660">SUMPRODUCT((pat_tech_bt_08_face[client]=syndicat_etude)*(pat_tech_bt_08_face[annee]=Exercice[Exercice N-2])*(pat_tech_bt_08_face[non_date])*(pat_tech_bt_08_face[face]="U"))</f>
        <v>94.42</v>
      </c>
      <c r="H660" s="767"/>
      <c r="I660" s="767" cm="1">
        <f t="array" ref="I660">SUMPRODUCT((pat_tech_bt_08_face[client]=syndicat_etude)*(pat_tech_bt_08_face[annee]=Exercice[Exercice N-1])*(pat_tech_bt_08_face[non_date])*(pat_tech_bt_08_face[face]="U"))</f>
        <v>92.36</v>
      </c>
      <c r="J660" s="767"/>
      <c r="K660" s="767" cm="1">
        <f t="array" ref="K660">SUMPRODUCT((pat_tech_bt_08_face[client]=syndicat_etude)*(pat_tech_bt_08_face[annee]=Exercice[Exercice N])*(pat_tech_bt_08_face[non_date])*(pat_tech_bt_08_face[face]="U"))</f>
        <v>90.45</v>
      </c>
      <c r="L660" s="769"/>
      <c r="M660" s="65"/>
    </row>
    <row r="661" spans="1:13" ht="15" customHeight="1" x14ac:dyDescent="0.25">
      <c r="A661" s="28"/>
      <c r="B661" s="53" t="s">
        <v>536</v>
      </c>
      <c r="C661" s="759" cm="1">
        <f t="array" ref="C661">SUMPRODUCT((pat_tech_bt_08_face[client]=syndicat_etude)*(pat_tech_bt_08_face[annee]=Exercice[Exercice N-4])*(pat_tech_bt_08_face[age_moyen])*(pat_tech_bt_08_face[face]="U"))</f>
        <v>22.05</v>
      </c>
      <c r="D661" s="759"/>
      <c r="E661" s="759" cm="1">
        <f t="array" ref="E661">SUMPRODUCT((pat_tech_bt_08_face[client]=syndicat_etude)*(pat_tech_bt_08_face[annee]=Exercice[Exercice N-3])*(pat_tech_bt_08_face[age_moyen])*(pat_tech_bt_08_face[face]="U"))</f>
        <v>22.72</v>
      </c>
      <c r="F661" s="759"/>
      <c r="G661" s="759" cm="1">
        <f t="array" ref="G661">SUMPRODUCT((pat_tech_bt_08_face[client]=syndicat_etude)*(pat_tech_bt_08_face[annee]=Exercice[Exercice N-2])*(pat_tech_bt_08_face[age_moyen])*(pat_tech_bt_08_face[face]="U"))</f>
        <v>22.85</v>
      </c>
      <c r="H661" s="759"/>
      <c r="I661" s="759" cm="1">
        <f t="array" ref="I661">SUMPRODUCT((pat_tech_bt_08_face[client]=syndicat_etude)*(pat_tech_bt_08_face[annee]=Exercice[Exercice N-1])*(pat_tech_bt_08_face[age_moyen])*(pat_tech_bt_08_face[face]="U"))</f>
        <v>23.52</v>
      </c>
      <c r="J661" s="759"/>
      <c r="K661" s="759" cm="1">
        <f t="array" ref="K661">SUMPRODUCT((pat_tech_bt_08_face[client]=syndicat_etude)*(pat_tech_bt_08_face[annee]=Exercice[Exercice N])*(pat_tech_bt_08_face[age_moyen])*(pat_tech_bt_08_face[face]="U"))</f>
        <v>23.93</v>
      </c>
      <c r="L661" s="760"/>
      <c r="M661" s="65"/>
    </row>
    <row r="662" spans="1:13" ht="15" customHeight="1" x14ac:dyDescent="0.25">
      <c r="B662" s="50" t="s">
        <v>229</v>
      </c>
      <c r="C662" s="13" cm="1">
        <f t="array" ref="C662">SUMPRODUCT((pat_tech_bt_08_face[client]=syndicat_etude)*(pat_tech_bt_08_face[annee]=Exercice[Exercice N-4])*(pat_tech_bt_08_face[long_inf_10_ans])*(pat_tech_bt_08_face[face]="U"))</f>
        <v>195.96</v>
      </c>
      <c r="D662" s="135" cm="1">
        <f t="array" ref="D662">SUMPRODUCT((pat_tech_bt_08_face[client]=syndicat_etude)*(pat_tech_bt_08_face[annee]=Exercice[Exercice N-4])*(pat_tech_bt_08_face[pourcent_long_inf_10_ans])*(pat_tech_bt_08_face[face]="U"))</f>
        <v>0.16739999999999999</v>
      </c>
      <c r="E662" s="109" cm="1">
        <f t="array" ref="E662">SUMPRODUCT((pat_tech_bt_08_face[client]=syndicat_etude)*(pat_tech_bt_08_face[annee]=Exercice[Exercice N-3])*(pat_tech_bt_08_face[long_inf_10_ans])*(pat_tech_bt_08_face[face]="U"))</f>
        <v>190.34</v>
      </c>
      <c r="F662" s="147" cm="1">
        <f t="array" ref="F662">SUMPRODUCT((pat_tech_bt_08_face[client]=syndicat_etude)*(pat_tech_bt_08_face[annee]=Exercice[Exercice N-3])*(pat_tech_bt_08_face[pourcent_long_inf_10_ans])*(pat_tech_bt_08_face[face]="U"))</f>
        <v>0.16120000000000001</v>
      </c>
      <c r="G662" s="109" cm="1">
        <f t="array" ref="G662">SUMPRODUCT((pat_tech_bt_08_face[client]=syndicat_etude)*(pat_tech_bt_08_face[annee]=Exercice[Exercice N-2])*(pat_tech_bt_08_face[long_inf_10_ans])*(pat_tech_bt_08_face[face]="U"))</f>
        <v>198.89</v>
      </c>
      <c r="H662" s="147" cm="1">
        <f t="array" ref="H662">SUMPRODUCT((pat_tech_bt_08_face[client]=syndicat_etude)*(pat_tech_bt_08_face[annee]=Exercice[Exercice N-2])*(pat_tech_bt_08_face[pourcent_long_inf_10_ans])*(pat_tech_bt_08_face[face]="U"))</f>
        <v>0.1618</v>
      </c>
      <c r="I662" s="109" cm="1">
        <f t="array" ref="I662">SUMPRODUCT((pat_tech_bt_08_face[client]=syndicat_etude)*(pat_tech_bt_08_face[annee]=Exercice[Exercice N-1])*(pat_tech_bt_08_face[long_inf_10_ans])*(pat_tech_bt_08_face[face]="U"))</f>
        <v>182.06</v>
      </c>
      <c r="J662" s="147" cm="1">
        <f t="array" ref="J662">SUMPRODUCT((pat_tech_bt_08_face[client]=syndicat_etude)*(pat_tech_bt_08_face[annee]=Exercice[Exercice N-1])*(pat_tech_bt_08_face[pourcent_long_inf_10_ans])*(pat_tech_bt_08_face[face]="U"))</f>
        <v>0.14699999999999999</v>
      </c>
      <c r="K662" s="13" cm="1">
        <f t="array" ref="K662">SUMPRODUCT((pat_tech_bt_08_face[client]=syndicat_etude)*(pat_tech_bt_08_face[annee]=Exercice[Exercice N])*(pat_tech_bt_08_face[long_inf_10_ans])*(pat_tech_bt_08_face[face]="U"))</f>
        <v>184.37</v>
      </c>
      <c r="L662" s="137" cm="1">
        <f t="array" ref="L662">SUMPRODUCT((pat_tech_bt_08_face[client]=syndicat_etude)*(pat_tech_bt_08_face[annee]=Exercice[Exercice N])*(pat_tech_bt_08_face[pourcent_long_inf_10_ans])*(pat_tech_bt_08_face[face]="U"))</f>
        <v>0.1474</v>
      </c>
      <c r="M662" s="65"/>
    </row>
    <row r="663" spans="1:13" ht="15" customHeight="1" x14ac:dyDescent="0.25">
      <c r="B663" s="50" t="s">
        <v>230</v>
      </c>
      <c r="C663" s="13" cm="1">
        <f t="array" ref="C663">SUMPRODUCT((pat_tech_bt_08_face[client]=syndicat_etude)*(pat_tech_bt_08_face[annee]=Exercice[Exercice N-4])*(pat_tech_bt_08_face[long_btw_10_20_ans])*(pat_tech_bt_08_face[face]="U"))</f>
        <v>187.84</v>
      </c>
      <c r="D663" s="135" cm="1">
        <f t="array" ref="D663">SUMPRODUCT((pat_tech_bt_08_face[client]=syndicat_etude)*(pat_tech_bt_08_face[annee]=Exercice[Exercice N-4])*(pat_tech_bt_08_face[pourcent_long_btw_10_20_ans])*(pat_tech_bt_08_face[face]="U"))</f>
        <v>0.16039999999999999</v>
      </c>
      <c r="E663" s="107" cm="1">
        <f t="array" ref="E663">SUMPRODUCT((pat_tech_bt_08_face[client]=syndicat_etude)*(pat_tech_bt_08_face[annee]=Exercice[Exercice N-3])*(pat_tech_bt_08_face[long_btw_10_20_ans])*(pat_tech_bt_08_face[face]="U"))</f>
        <v>190.97</v>
      </c>
      <c r="F663" s="137" cm="1">
        <f t="array" ref="F663">SUMPRODUCT((pat_tech_bt_08_face[client]=syndicat_etude)*(pat_tech_bt_08_face[annee]=Exercice[Exercice N-3])*(pat_tech_bt_08_face[pourcent_long_btw_10_20_ans])*(pat_tech_bt_08_face[face]="U"))</f>
        <v>0.16170000000000001</v>
      </c>
      <c r="G663" s="107" cm="1">
        <f t="array" ref="G663">SUMPRODUCT((pat_tech_bt_08_face[client]=syndicat_etude)*(pat_tech_bt_08_face[annee]=Exercice[Exercice N-2])*(pat_tech_bt_08_face[long_btw_10_20_ans])*(pat_tech_bt_08_face[face]="U"))</f>
        <v>219.04</v>
      </c>
      <c r="H663" s="137" cm="1">
        <f t="array" ref="H663">SUMPRODUCT((pat_tech_bt_08_face[client]=syndicat_etude)*(pat_tech_bt_08_face[annee]=Exercice[Exercice N-2])*(pat_tech_bt_08_face[pourcent_long_btw_10_20_ans])*(pat_tech_bt_08_face[face]="U"))</f>
        <v>0.1782</v>
      </c>
      <c r="I663" s="107" cm="1">
        <f t="array" ref="I663">SUMPRODUCT((pat_tech_bt_08_face[client]=syndicat_etude)*(pat_tech_bt_08_face[annee]=Exercice[Exercice N-1])*(pat_tech_bt_08_face[long_btw_10_20_ans])*(pat_tech_bt_08_face[face]="U"))</f>
        <v>234.04</v>
      </c>
      <c r="J663" s="137" cm="1">
        <f t="array" ref="J663">SUMPRODUCT((pat_tech_bt_08_face[client]=syndicat_etude)*(pat_tech_bt_08_face[annee]=Exercice[Exercice N-1])*(pat_tech_bt_08_face[pourcent_long_btw_10_20_ans])*(pat_tech_bt_08_face[face]="U"))</f>
        <v>0.189</v>
      </c>
      <c r="K663" s="13" cm="1">
        <f t="array" ref="K663">SUMPRODUCT((pat_tech_bt_08_face[client]=syndicat_etude)*(pat_tech_bt_08_face[annee]=Exercice[Exercice N])*(pat_tech_bt_08_face[long_btw_10_20_ans])*(pat_tech_bt_08_face[face]="U"))</f>
        <v>238.74</v>
      </c>
      <c r="L663" s="137" cm="1">
        <f t="array" ref="L663">SUMPRODUCT((pat_tech_bt_08_face[client]=syndicat_etude)*(pat_tech_bt_08_face[annee]=Exercice[Exercice N])*(pat_tech_bt_08_face[pourcent_long_btw_10_20_ans])*(pat_tech_bt_08_face[face]="U"))</f>
        <v>0.19089999999999999</v>
      </c>
      <c r="M663" s="65"/>
    </row>
    <row r="664" spans="1:13" ht="15" customHeight="1" x14ac:dyDescent="0.25">
      <c r="B664" s="50" t="s">
        <v>231</v>
      </c>
      <c r="C664" s="13" cm="1">
        <f t="array" ref="C664">SUMPRODUCT((pat_tech_bt_08_face[client]=syndicat_etude)*(pat_tech_bt_08_face[annee]=Exercice[Exercice N-4])*(pat_tech_bt_08_face[long_btw_20_30_ans])*(pat_tech_bt_08_face[face]="U"))</f>
        <v>378.91</v>
      </c>
      <c r="D664" s="135" cm="1">
        <f t="array" ref="D664">SUMPRODUCT((pat_tech_bt_08_face[client]=syndicat_etude)*(pat_tech_bt_08_face[annee]=Exercice[Exercice N-4])*(pat_tech_bt_08_face[pourcent_long_btw_20_30_ans])*(pat_tech_bt_08_face[face]="U"))</f>
        <v>0.3236</v>
      </c>
      <c r="E664" s="107" cm="1">
        <f t="array" ref="E664">SUMPRODUCT((pat_tech_bt_08_face[client]=syndicat_etude)*(pat_tech_bt_08_face[annee]=Exercice[Exercice N-3])*(pat_tech_bt_08_face[long_btw_20_30_ans])*(pat_tech_bt_08_face[face]="U"))</f>
        <v>370.71</v>
      </c>
      <c r="F664" s="137" cm="1">
        <f t="array" ref="F664">SUMPRODUCT((pat_tech_bt_08_face[client]=syndicat_etude)*(pat_tech_bt_08_face[annee]=Exercice[Exercice N-3])*(pat_tech_bt_08_face[pourcent_long_btw_20_30_ans])*(pat_tech_bt_08_face[face]="U"))</f>
        <v>0.31390000000000001</v>
      </c>
      <c r="G664" s="107" cm="1">
        <f t="array" ref="G664">SUMPRODUCT((pat_tech_bt_08_face[client]=syndicat_etude)*(pat_tech_bt_08_face[annee]=Exercice[Exercice N-2])*(pat_tech_bt_08_face[long_btw_20_30_ans])*(pat_tech_bt_08_face[face]="U"))</f>
        <v>318.47000000000003</v>
      </c>
      <c r="H664" s="137" cm="1">
        <f t="array" ref="H664">SUMPRODUCT((pat_tech_bt_08_face[client]=syndicat_etude)*(pat_tech_bt_08_face[annee]=Exercice[Exercice N-2])*(pat_tech_bt_08_face[pourcent_long_btw_20_30_ans])*(pat_tech_bt_08_face[face]="U"))</f>
        <v>0.25900000000000001</v>
      </c>
      <c r="I664" s="107" cm="1">
        <f t="array" ref="I664">SUMPRODUCT((pat_tech_bt_08_face[client]=syndicat_etude)*(pat_tech_bt_08_face[annee]=Exercice[Exercice N-1])*(pat_tech_bt_08_face[long_btw_20_30_ans])*(pat_tech_bt_08_face[face]="U"))</f>
        <v>253.36</v>
      </c>
      <c r="J664" s="137" cm="1">
        <f t="array" ref="J664">SUMPRODUCT((pat_tech_bt_08_face[client]=syndicat_etude)*(pat_tech_bt_08_face[annee]=Exercice[Exercice N-1])*(pat_tech_bt_08_face[pourcent_long_btw_20_30_ans])*(pat_tech_bt_08_face[face]="U"))</f>
        <v>0.2046</v>
      </c>
      <c r="K664" s="13" cm="1">
        <f t="array" ref="K664">SUMPRODUCT((pat_tech_bt_08_face[client]=syndicat_etude)*(pat_tech_bt_08_face[annee]=Exercice[Exercice N])*(pat_tech_bt_08_face[long_btw_20_30_ans])*(pat_tech_bt_08_face[face]="U"))</f>
        <v>201.62</v>
      </c>
      <c r="L664" s="137" cm="1">
        <f t="array" ref="L664">SUMPRODUCT((pat_tech_bt_08_face[client]=syndicat_etude)*(pat_tech_bt_08_face[annee]=Exercice[Exercice N])*(pat_tech_bt_08_face[pourcent_long_btw_20_30_ans])*(pat_tech_bt_08_face[face]="U"))</f>
        <v>0.16120000000000001</v>
      </c>
      <c r="M664" s="65"/>
    </row>
    <row r="665" spans="1:13" ht="15" customHeight="1" x14ac:dyDescent="0.25">
      <c r="B665" s="50" t="s">
        <v>232</v>
      </c>
      <c r="C665" s="13" cm="1">
        <f t="array" ref="C665">SUMPRODUCT((pat_tech_bt_08_face[client]=syndicat_etude)*(pat_tech_bt_08_face[annee]=Exercice[Exercice N-4])*(pat_tech_bt_08_face[long_btw_30_40_ans])*(pat_tech_bt_08_face[face]="U"))</f>
        <v>328.16</v>
      </c>
      <c r="D665" s="135" cm="1">
        <f t="array" ref="D665">SUMPRODUCT((pat_tech_bt_08_face[client]=syndicat_etude)*(pat_tech_bt_08_face[annee]=Exercice[Exercice N-4])*(pat_tech_bt_08_face[pourcent_long_btw_30_40_ans])*(pat_tech_bt_08_face[face]="U"))</f>
        <v>0.28029999999999999</v>
      </c>
      <c r="E665" s="107" cm="1">
        <f t="array" ref="E665">SUMPRODUCT((pat_tech_bt_08_face[client]=syndicat_etude)*(pat_tech_bt_08_face[annee]=Exercice[Exercice N-3])*(pat_tech_bt_08_face[long_btw_30_40_ans])*(pat_tech_bt_08_face[face]="U"))</f>
        <v>349.8</v>
      </c>
      <c r="F665" s="137" cm="1">
        <f t="array" ref="F665">SUMPRODUCT((pat_tech_bt_08_face[client]=syndicat_etude)*(pat_tech_bt_08_face[annee]=Exercice[Exercice N-3])*(pat_tech_bt_08_face[pourcent_long_btw_30_40_ans])*(pat_tech_bt_08_face[face]="U"))</f>
        <v>0.29620000000000002</v>
      </c>
      <c r="G665" s="107" cm="1">
        <f t="array" ref="G665">SUMPRODUCT((pat_tech_bt_08_face[client]=syndicat_etude)*(pat_tech_bt_08_face[annee]=Exercice[Exercice N-2])*(pat_tech_bt_08_face[long_btw_30_40_ans])*(pat_tech_bt_08_face[face]="U"))</f>
        <v>389.3</v>
      </c>
      <c r="H665" s="137" cm="1">
        <f t="array" ref="H665">SUMPRODUCT((pat_tech_bt_08_face[client]=syndicat_etude)*(pat_tech_bt_08_face[annee]=Exercice[Exercice N-2])*(pat_tech_bt_08_face[pourcent_long_btw_30_40_ans])*(pat_tech_bt_08_face[face]="U"))</f>
        <v>0.31659999999999999</v>
      </c>
      <c r="I665" s="107" cm="1">
        <f t="array" ref="I665">SUMPRODUCT((pat_tech_bt_08_face[client]=syndicat_etude)*(pat_tech_bt_08_face[annee]=Exercice[Exercice N-1])*(pat_tech_bt_08_face[long_btw_30_40_ans])*(pat_tech_bt_08_face[face]="U"))</f>
        <v>467.6</v>
      </c>
      <c r="J665" s="137" cm="1">
        <f t="array" ref="J665">SUMPRODUCT((pat_tech_bt_08_face[client]=syndicat_etude)*(pat_tech_bt_08_face[annee]=Exercice[Exercice N-1])*(pat_tech_bt_08_face[pourcent_long_btw_30_40_ans])*(pat_tech_bt_08_face[face]="U"))</f>
        <v>0.37759999999999999</v>
      </c>
      <c r="K665" s="13" cm="1">
        <f t="array" ref="K665">SUMPRODUCT((pat_tech_bt_08_face[client]=syndicat_etude)*(pat_tech_bt_08_face[annee]=Exercice[Exercice N])*(pat_tech_bt_08_face[long_btw_30_40_ans])*(pat_tech_bt_08_face[face]="U"))</f>
        <v>525.37</v>
      </c>
      <c r="L665" s="137" cm="1">
        <f t="array" ref="L665">SUMPRODUCT((pat_tech_bt_08_face[client]=syndicat_etude)*(pat_tech_bt_08_face[annee]=Exercice[Exercice N])*(pat_tech_bt_08_face[pourcent_long_btw_30_40_ans])*(pat_tech_bt_08_face[face]="U"))</f>
        <v>0.42</v>
      </c>
      <c r="M665" s="65"/>
    </row>
    <row r="666" spans="1:13" ht="15" customHeight="1" x14ac:dyDescent="0.25">
      <c r="B666" s="50" t="s">
        <v>233</v>
      </c>
      <c r="C666" s="13" cm="1">
        <f t="array" ref="C666">SUMPRODUCT((pat_tech_bt_08_face[client]=syndicat_etude)*(pat_tech_bt_08_face[annee]=Exercice[Exercice N-4])*(pat_tech_bt_08_face[long_btw_40_50_ans])*(pat_tech_bt_08_face[face]="U"))</f>
        <v>3.39</v>
      </c>
      <c r="D666" s="135" cm="1">
        <f t="array" ref="D666">SUMPRODUCT((pat_tech_bt_08_face[client]=syndicat_etude)*(pat_tech_bt_08_face[annee]=Exercice[Exercice N-4])*(pat_tech_bt_08_face[pourcent_long_btw_40_50_ans])*(pat_tech_bt_08_face[face]="U"))</f>
        <v>2.8999999999999998E-3</v>
      </c>
      <c r="E666" s="107" cm="1">
        <f t="array" ref="E666">SUMPRODUCT((pat_tech_bt_08_face[client]=syndicat_etude)*(pat_tech_bt_08_face[annee]=Exercice[Exercice N-3])*(pat_tech_bt_08_face[pourcent_long_btw_40_50_ans])*(pat_tech_bt_08_face[face]="U"))</f>
        <v>2E-3</v>
      </c>
      <c r="F666" s="137" cm="1">
        <f t="array" ref="F666">SUMPRODUCT((pat_tech_bt_08_face[client]=syndicat_etude)*(pat_tech_bt_08_face[annee]=Exercice[Exercice N-3])*(pat_tech_bt_08_face[pourcent_long_btw_40_50_ans])*(pat_tech_bt_08_face[face]="U"))</f>
        <v>2E-3</v>
      </c>
      <c r="G666" s="107" cm="1">
        <f t="array" ref="G666">SUMPRODUCT((pat_tech_bt_08_face[client]=syndicat_etude)*(pat_tech_bt_08_face[annee]=Exercice[Exercice N-2])*(pat_tech_bt_08_face[long_btw_40_50_ans])*(pat_tech_bt_08_face[face]="U"))</f>
        <v>3.23</v>
      </c>
      <c r="H666" s="137" cm="1">
        <f t="array" ref="H666">SUMPRODUCT((pat_tech_bt_08_face[client]=syndicat_etude)*(pat_tech_bt_08_face[annee]=Exercice[Exercice N-2])*(pat_tech_bt_08_face[pourcent_long_btw_40_50_ans])*(pat_tech_bt_08_face[face]="U"))</f>
        <v>2.5999999999999999E-3</v>
      </c>
      <c r="I666" s="107" cm="1">
        <f t="array" ref="I666">SUMPRODUCT((pat_tech_bt_08_face[client]=syndicat_etude)*(pat_tech_bt_08_face[annee]=Exercice[Exercice N-1])*(pat_tech_bt_08_face[long_btw_40_50_ans])*(pat_tech_bt_08_face[face]="U"))</f>
        <v>2.59</v>
      </c>
      <c r="J666" s="137" cm="1">
        <f t="array" ref="J666">SUMPRODUCT((pat_tech_bt_08_face[client]=syndicat_etude)*(pat_tech_bt_08_face[annee]=Exercice[Exercice N-1])*(pat_tech_bt_08_face[pourcent_long_btw_40_50_ans])*(pat_tech_bt_08_face[face]="U"))</f>
        <v>2.0999999999999999E-3</v>
      </c>
      <c r="K666" s="13" cm="1">
        <f t="array" ref="K666">SUMPRODUCT((pat_tech_bt_08_face[client]=syndicat_etude)*(pat_tech_bt_08_face[annee]=Exercice[Exercice N])*(pat_tech_bt_08_face[long_btw_40_50_ans])*(pat_tech_bt_08_face[face]="U"))</f>
        <v>3.34</v>
      </c>
      <c r="L666" s="137" cm="1">
        <f t="array" ref="L666">SUMPRODUCT((pat_tech_bt_08_face[client]=syndicat_etude)*(pat_tech_bt_08_face[annee]=Exercice[Exercice N])*(pat_tech_bt_08_face[pourcent_long_btw_40_50_ans])*(pat_tech_bt_08_face[face]="U"))</f>
        <v>2.7000000000000001E-3</v>
      </c>
      <c r="M666" s="65"/>
    </row>
    <row r="667" spans="1:13" ht="15" customHeight="1" x14ac:dyDescent="0.25">
      <c r="B667" s="50" t="s">
        <v>234</v>
      </c>
      <c r="C667" s="13" cm="1">
        <f t="array" ref="C667">SUMPRODUCT((pat_tech_bt_08_face[client]=syndicat_etude)*(pat_tech_bt_08_face[annee]=Exercice[Exercice N-4])*(pat_tech_bt_08_face[long_btw_50_60_ans])*(pat_tech_bt_08_face[face]="U"))</f>
        <v>1.34</v>
      </c>
      <c r="D667" s="135" cm="1">
        <f t="array" ref="D667">SUMPRODUCT((pat_tech_bt_08_face[client]=syndicat_etude)*(pat_tech_bt_08_face[annee]=Exercice[Exercice N-4])*(pat_tech_bt_08_face[pourcent_long_btw_50_60_ans])*(pat_tech_bt_08_face[face]="U"))</f>
        <v>1.1000000000000001E-3</v>
      </c>
      <c r="E667" s="107" cm="1">
        <f t="array" ref="E667">SUMPRODUCT((pat_tech_bt_08_face[client]=syndicat_etude)*(pat_tech_bt_08_face[annee]=Exercice[Exercice N-3])*(pat_tech_bt_08_face[long_btw_50_60_ans])*(pat_tech_bt_08_face[face]="U"))</f>
        <v>2.56</v>
      </c>
      <c r="F667" s="137" cm="1">
        <f t="array" ref="F667">SUMPRODUCT((pat_tech_bt_08_face[client]=syndicat_etude)*(pat_tech_bt_08_face[annee]=Exercice[Exercice N-3])*(pat_tech_bt_08_face[pourcent_long_btw_50_60_ans])*(pat_tech_bt_08_face[face]="U"))</f>
        <v>2.2000000000000001E-3</v>
      </c>
      <c r="G667" s="107" cm="1">
        <f t="array" ref="G667">SUMPRODUCT((pat_tech_bt_08_face[client]=syndicat_etude)*(pat_tech_bt_08_face[annee]=Exercice[Exercice N-2])*(pat_tech_bt_08_face[long_btw_50_60_ans])*(pat_tech_bt_08_face[face]="U"))</f>
        <v>3.01</v>
      </c>
      <c r="H667" s="137" cm="1">
        <f t="array" ref="H667">SUMPRODUCT((pat_tech_bt_08_face[client]=syndicat_etude)*(pat_tech_bt_08_face[annee]=Exercice[Exercice N-2])*(pat_tech_bt_08_face[pourcent_long_btw_50_60_ans])*(pat_tech_bt_08_face[face]="U"))</f>
        <v>2.3999999999999998E-3</v>
      </c>
      <c r="I667" s="107" cm="1">
        <f t="array" ref="I667">SUMPRODUCT((pat_tech_bt_08_face[client]=syndicat_etude)*(pat_tech_bt_08_face[annee]=Exercice[Exercice N-1])*(pat_tech_bt_08_face[long_btw_50_60_ans])*(pat_tech_bt_08_face[face]="U"))</f>
        <v>3.2</v>
      </c>
      <c r="J667" s="137" cm="1">
        <f t="array" ref="J667">SUMPRODUCT((pat_tech_bt_08_face[client]=syndicat_etude)*(pat_tech_bt_08_face[annee]=Exercice[Exercice N-1])*(pat_tech_bt_08_face[pourcent_long_btw_50_60_ans])*(pat_tech_bt_08_face[face]="U"))</f>
        <v>2.5999999999999999E-3</v>
      </c>
      <c r="K667" s="13" cm="1">
        <f t="array" ref="K667">SUMPRODUCT((pat_tech_bt_08_face[client]=syndicat_etude)*(pat_tech_bt_08_face[annee]=Exercice[Exercice N])*(pat_tech_bt_08_face[long_btw_50_60_ans])*(pat_tech_bt_08_face[face]="U"))</f>
        <v>3.76</v>
      </c>
      <c r="L667" s="137" cm="1">
        <f t="array" ref="L667">SUMPRODUCT((pat_tech_bt_08_face[client]=syndicat_etude)*(pat_tech_bt_08_face[annee]=Exercice[Exercice N])*(pat_tech_bt_08_face[pourcent_long_btw_50_60_ans])*(pat_tech_bt_08_face[face]="U"))</f>
        <v>3.0000000000000001E-3</v>
      </c>
      <c r="M667" s="65"/>
    </row>
    <row r="668" spans="1:13" ht="15" customHeight="1" x14ac:dyDescent="0.25">
      <c r="B668" s="53" t="s">
        <v>235</v>
      </c>
      <c r="C668" s="89" cm="1">
        <f t="array" ref="C668">SUMPRODUCT((pat_tech_bt_08_face[client]=syndicat_etude)*(pat_tech_bt_08_face[annee]=Exercice[Exercice N-4])*(pat_tech_bt_08_face[long_sup_60_ans])*(pat_tech_bt_08_face[face]="U"))</f>
        <v>3.25</v>
      </c>
      <c r="D668" s="136" cm="1">
        <f t="array" ref="D668">SUMPRODUCT((pat_tech_bt_08_face[client]=syndicat_etude)*(pat_tech_bt_08_face[annee]=Exercice[Exercice N-4])*(pat_tech_bt_08_face[pourcent_sup_60_ans])*(pat_tech_bt_08_face[face]="U"))</f>
        <v>2.8E-3</v>
      </c>
      <c r="E668" s="108" cm="1">
        <f t="array" ref="E668">SUMPRODUCT((pat_tech_bt_08_face[client]=syndicat_etude)*(pat_tech_bt_08_face[annee]=Exercice[Exercice N-3])*(pat_tech_bt_08_face[long_sup_60_ans])*(pat_tech_bt_08_face[face]="U"))</f>
        <v>3.25</v>
      </c>
      <c r="F668" s="138" cm="1">
        <f t="array" ref="F668">SUMPRODUCT((pat_tech_bt_08_face[client]=syndicat_etude)*(pat_tech_bt_08_face[annee]=Exercice[Exercice N-3])*(pat_tech_bt_08_face[pourcent_sup_60_ans])*(pat_tech_bt_08_face[face]="U"))</f>
        <v>2.8E-3</v>
      </c>
      <c r="G668" s="108" cm="1">
        <f t="array" ref="G668">SUMPRODUCT((pat_tech_bt_08_face[client]=syndicat_etude)*(pat_tech_bt_08_face[annee]=Exercice[Exercice N-2])*(pat_tech_bt_08_face[long_sup_60_ans])*(pat_tech_bt_08_face[face]="U"))</f>
        <v>3.11</v>
      </c>
      <c r="H668" s="138" cm="1">
        <f t="array" ref="H668">SUMPRODUCT((pat_tech_bt_08_face[client]=syndicat_etude)*(pat_tech_bt_08_face[annee]=Exercice[Exercice N-2])*(pat_tech_bt_08_face[pourcent_sup_60_ans])*(pat_tech_bt_08_face[face]="U"))</f>
        <v>2.5000000000000001E-3</v>
      </c>
      <c r="I668" s="108" cm="1">
        <f t="array" ref="I668">SUMPRODUCT((pat_tech_bt_08_face[client]=syndicat_etude)*(pat_tech_bt_08_face[annee]=Exercice[Exercice N-1])*(pat_tech_bt_08_face[long_sup_60_ans])*(pat_tech_bt_08_face[face]="U"))</f>
        <v>3.23</v>
      </c>
      <c r="J668" s="138" cm="1">
        <f t="array" ref="J668">SUMPRODUCT((pat_tech_bt_08_face[client]=syndicat_etude)*(pat_tech_bt_08_face[annee]=Exercice[Exercice N-1])*(pat_tech_bt_08_face[pourcent_sup_60_ans])*(pat_tech_bt_08_face[face]="U"))</f>
        <v>2.5999999999999999E-3</v>
      </c>
      <c r="K668" s="89" cm="1">
        <f t="array" ref="K668">SUMPRODUCT((pat_tech_bt_08_face[client]=syndicat_etude)*(pat_tech_bt_08_face[annee]=Exercice[Exercice N])*(pat_tech_bt_08_face[long_sup_60_ans])*(pat_tech_bt_08_face[face]="U"))</f>
        <v>3.13</v>
      </c>
      <c r="L668" s="138" cm="1">
        <f t="array" ref="L668">SUMPRODUCT((pat_tech_bt_08_face[client]=syndicat_etude)*(pat_tech_bt_08_face[annee]=Exercice[Exercice N])*(pat_tech_bt_08_face[pourcent_sup_60_ans])*(pat_tech_bt_08_face[face]="U"))</f>
        <v>2.5000000000000001E-3</v>
      </c>
      <c r="M668" s="65"/>
    </row>
    <row r="670" spans="1:13" ht="30" customHeight="1" x14ac:dyDescent="0.25">
      <c r="B670" s="54" t="s">
        <v>540</v>
      </c>
      <c r="C670" s="106" cm="1">
        <f t="array" ref="C670">Exercice[Exercice N-4]</f>
        <v>2019</v>
      </c>
      <c r="D670" s="70"/>
      <c r="E670" s="764" cm="1">
        <f t="array" ref="E670">Exercice[Exercice N-3]</f>
        <v>2020</v>
      </c>
      <c r="F670" s="764"/>
      <c r="G670" s="764" cm="1">
        <f t="array" ref="G670">Exercice[Exercice N-2]</f>
        <v>2021</v>
      </c>
      <c r="H670" s="764"/>
      <c r="I670" s="764" cm="1">
        <f t="array" ref="I670">Exercice[Exercice N-1]</f>
        <v>2022</v>
      </c>
      <c r="J670" s="764"/>
      <c r="K670" s="764" cm="1">
        <f t="array" ref="K670">Exercice[Exercice N]</f>
        <v>2023</v>
      </c>
      <c r="L670" s="765"/>
    </row>
    <row r="671" spans="1:13" ht="15" customHeight="1" x14ac:dyDescent="0.25">
      <c r="B671" s="61" t="s">
        <v>541</v>
      </c>
      <c r="C671" s="761" cm="1">
        <f t="array" ref="C671">SUMPRODUCT((pat_tech_bt_08_face[client]=syndicat_etude)*(pat_tech_bt_08_face[annee]=Exercice[Exercice N-4])*(pat_tech_bt_08_face[long_tot])*(pat_tech_bt_08_face[face]="R")*(pat_tech_bt_08_face[face]="R"))</f>
        <v>2467.14</v>
      </c>
      <c r="D671" s="761"/>
      <c r="E671" s="761" cm="1">
        <f t="array" ref="E671">SUMPRODUCT((pat_tech_bt_08_face[client]=syndicat_etude)*(pat_tech_bt_08_face[annee]=Exercice[Exercice N-3])*(pat_tech_bt_08_face[long_tot])*(pat_tech_bt_08_face[face]="R"))</f>
        <v>2478.81</v>
      </c>
      <c r="F671" s="761"/>
      <c r="G671" s="761" cm="1">
        <f t="array" ref="G671">SUMPRODUCT((pat_tech_bt_08_face[client]=syndicat_etude)*(pat_tech_bt_08_face[annee]=Exercice[Exercice N-2])*(pat_tech_bt_08_face[long_tot])*(pat_tech_bt_08_face[face]="R"))</f>
        <v>2461.75</v>
      </c>
      <c r="H671" s="761"/>
      <c r="I671" s="761" cm="1">
        <f t="array" ref="I671">SUMPRODUCT((pat_tech_bt_08_face[client]=syndicat_etude)*(pat_tech_bt_08_face[annee]=Exercice[Exercice N-1])*(pat_tech_bt_08_face[long_tot])*(pat_tech_bt_08_face[face]="R"))</f>
        <v>2468.3200000000002</v>
      </c>
      <c r="J671" s="761"/>
      <c r="K671" s="761" cm="1">
        <f t="array" ref="K671">SUMPRODUCT((pat_tech_bt_08_face[client]=syndicat_etude)*(pat_tech_bt_08_face[annee]=Exercice[Exercice N])*(pat_tech_bt_08_face[long_tot])*(pat_tech_bt_08_face[face]="R"))</f>
        <v>2489.14</v>
      </c>
      <c r="L671" s="762"/>
    </row>
    <row r="672" spans="1:13" ht="15" customHeight="1" x14ac:dyDescent="0.25">
      <c r="A672" s="28" t="s">
        <v>133</v>
      </c>
      <c r="B672" s="110" t="s">
        <v>535</v>
      </c>
      <c r="C672" s="767" cm="1">
        <f t="array" ref="C672">SUMPRODUCT((pat_tech_bt_08_face[client]=syndicat_etude)*(pat_tech_bt_08_face[annee]=Exercice[Exercice N-4])*(pat_tech_bt_08_face[non_date])*(pat_tech_bt_08_face[face]="R"))</f>
        <v>103.73</v>
      </c>
      <c r="D672" s="767"/>
      <c r="E672" s="767" cm="1">
        <f t="array" ref="E672">SUMPRODUCT((pat_tech_bt_08_face[client]=syndicat_etude)*(pat_tech_bt_08_face[annee]=Exercice[Exercice N-3])*(pat_tech_bt_08_face[non_date])*(pat_tech_bt_08_face[face]="R"))</f>
        <v>100.21</v>
      </c>
      <c r="F672" s="767"/>
      <c r="G672" s="767" cm="1">
        <f t="array" ref="G672">SUMPRODUCT((pat_tech_bt_08_face[client]=syndicat_etude)*(pat_tech_bt_08_face[annee]=Exercice[Exercice N-2])*(pat_tech_bt_08_face[non_date])*(pat_tech_bt_08_face[face]="R"))</f>
        <v>74.23</v>
      </c>
      <c r="H672" s="767"/>
      <c r="I672" s="767" cm="1">
        <f t="array" ref="I672">SUMPRODUCT((pat_tech_bt_08_face[client]=syndicat_etude)*(pat_tech_bt_08_face[annee]=Exercice[Exercice N-1])*(pat_tech_bt_08_face[non_date])*(pat_tech_bt_08_face[face]="R"))</f>
        <v>71.849999999999994</v>
      </c>
      <c r="J672" s="767"/>
      <c r="K672" s="767" cm="1">
        <f t="array" ref="K672">SUMPRODUCT((pat_tech_bt_08_face[client]=syndicat_etude)*(pat_tech_bt_08_face[annee]=Exercice[Exercice N])*(pat_tech_bt_08_face[non_date])*(pat_tech_bt_08_face[face]="R"))</f>
        <v>70.27</v>
      </c>
      <c r="L672" s="769"/>
      <c r="M672" s="65"/>
    </row>
    <row r="673" spans="1:13" ht="15" customHeight="1" x14ac:dyDescent="0.25">
      <c r="A673" s="28"/>
      <c r="B673" s="53" t="s">
        <v>536</v>
      </c>
      <c r="C673" s="759" cm="1">
        <f t="array" ref="C673">SUMPRODUCT((pat_tech_bt_08_face[client]=syndicat_etude)*(pat_tech_bt_08_face[annee]=Exercice[Exercice N-4])*(pat_tech_bt_08_face[age_moyen])*(pat_tech_bt_08_face[face]="R"))</f>
        <v>18.68</v>
      </c>
      <c r="D673" s="759"/>
      <c r="E673" s="759" cm="1">
        <f t="array" ref="E673">SUMPRODUCT((pat_tech_bt_08_face[client]=syndicat_etude)*(pat_tech_bt_08_face[annee]=Exercice[Exercice N-3])*(pat_tech_bt_08_face[age_moyen])*(pat_tech_bt_08_face[face]="R"))</f>
        <v>19.329999999999998</v>
      </c>
      <c r="F673" s="759"/>
      <c r="G673" s="759" cm="1">
        <f t="array" ref="G673">SUMPRODUCT((pat_tech_bt_08_face[client]=syndicat_etude)*(pat_tech_bt_08_face[annee]=Exercice[Exercice N-2])*(pat_tech_bt_08_face[age_moyen])*(pat_tech_bt_08_face[face]="R"))</f>
        <v>20.16</v>
      </c>
      <c r="H673" s="759"/>
      <c r="I673" s="759" cm="1">
        <f t="array" ref="I673">SUMPRODUCT((pat_tech_bt_08_face[client]=syndicat_etude)*(pat_tech_bt_08_face[annee]=Exercice[Exercice N-1])*(pat_tech_bt_08_face[age_moyen])*(pat_tech_bt_08_face[face]="R"))</f>
        <v>20.8</v>
      </c>
      <c r="J673" s="759"/>
      <c r="K673" s="759" cm="1">
        <f t="array" ref="K673">SUMPRODUCT((pat_tech_bt_08_face[client]=syndicat_etude)*(pat_tech_bt_08_face[annee]=Exercice[Exercice N])*(pat_tech_bt_08_face[age_moyen])*(pat_tech_bt_08_face[face]="R"))</f>
        <v>21.46</v>
      </c>
      <c r="L673" s="760"/>
      <c r="M673" s="65"/>
    </row>
    <row r="674" spans="1:13" ht="15" customHeight="1" x14ac:dyDescent="0.25">
      <c r="B674" s="50" t="s">
        <v>229</v>
      </c>
      <c r="C674" s="13" cm="1">
        <f t="array" ref="C674">SUMPRODUCT((pat_tech_bt_08_face[client]=syndicat_etude)*(pat_tech_bt_08_face[annee]=Exercice[Exercice N-4])*(pat_tech_bt_08_face[long_inf_10_ans])*(pat_tech_bt_08_face[face]="R"))</f>
        <v>471.44</v>
      </c>
      <c r="D674" s="135" cm="1">
        <f t="array" ref="D674">SUMPRODUCT((pat_tech_bt_08_face[client]=syndicat_etude)*(pat_tech_bt_08_face[annee]=Exercice[Exercice N-4])*(pat_tech_bt_08_face[pourcent_long_inf_10_ans])*(pat_tech_bt_08_face[face]="R"))</f>
        <v>0.19109999999999999</v>
      </c>
      <c r="E674" s="109" cm="1">
        <f t="array" ref="E674">SUMPRODUCT((pat_tech_bt_08_face[client]=syndicat_etude)*(pat_tech_bt_08_face[annee]=Exercice[Exercice N-3])*(pat_tech_bt_08_face[long_inf_10_ans])*(pat_tech_bt_08_face[face]="R"))</f>
        <v>440.53</v>
      </c>
      <c r="F674" s="147" cm="1">
        <f t="array" ref="F674">SUMPRODUCT((pat_tech_bt_08_face[client]=syndicat_etude)*(pat_tech_bt_08_face[annee]=Exercice[Exercice N-3])*(pat_tech_bt_08_face[pourcent_long_inf_10_ans])*(pat_tech_bt_08_face[face]="R"))</f>
        <v>0.1777</v>
      </c>
      <c r="G674" s="109" cm="1">
        <f t="array" ref="G674">SUMPRODUCT((pat_tech_bt_08_face[client]=syndicat_etude)*(pat_tech_bt_08_face[annee]=Exercice[Exercice N-2])*(pat_tech_bt_08_face[long_inf_10_ans])*(pat_tech_bt_08_face[face]="R"))</f>
        <v>398.92</v>
      </c>
      <c r="H674" s="147" cm="1">
        <f t="array" ref="H674">SUMPRODUCT((pat_tech_bt_08_face[client]=syndicat_etude)*(pat_tech_bt_08_face[annee]=Exercice[Exercice N-2])*(pat_tech_bt_08_face[pourcent_long_inf_10_ans])*(pat_tech_bt_08_face[face]="R"))</f>
        <v>0.16200000000000001</v>
      </c>
      <c r="I674" s="109" cm="1">
        <f t="array" ref="I674">SUMPRODUCT((pat_tech_bt_08_face[client]=syndicat_etude)*(pat_tech_bt_08_face[annee]=Exercice[Exercice N-1])*(pat_tech_bt_08_face[long_inf_10_ans])*(pat_tech_bt_08_face[face]="R"))</f>
        <v>383.36</v>
      </c>
      <c r="J674" s="147" cm="1">
        <f t="array" ref="J674">SUMPRODUCT((pat_tech_bt_08_face[client]=syndicat_etude)*(pat_tech_bt_08_face[annee]=Exercice[Exercice N-1])*(pat_tech_bt_08_face[pourcent_long_inf_10_ans])*(pat_tech_bt_08_face[face]="R"))</f>
        <v>0.15529999999999999</v>
      </c>
      <c r="K674" s="13" cm="1">
        <f t="array" ref="K674">SUMPRODUCT((pat_tech_bt_08_face[client]=syndicat_etude)*(pat_tech_bt_08_face[annee]=Exercice[Exercice N])*(pat_tech_bt_08_face[long_inf_10_ans])*(pat_tech_bt_08_face[face]="R"))</f>
        <v>373.34</v>
      </c>
      <c r="L674" s="137" cm="1">
        <f t="array" ref="L674">SUMPRODUCT((pat_tech_bt_08_face[client]=syndicat_etude)*(pat_tech_bt_08_face[annee]=Exercice[Exercice N])*(pat_tech_bt_08_face[pourcent_long_inf_10_ans])*(pat_tech_bt_08_face[face]="R"))</f>
        <v>0.15</v>
      </c>
      <c r="M674" s="65"/>
    </row>
    <row r="675" spans="1:13" ht="15" customHeight="1" x14ac:dyDescent="0.25">
      <c r="B675" s="50" t="s">
        <v>230</v>
      </c>
      <c r="C675" s="13" cm="1">
        <f t="array" ref="C675">SUMPRODUCT((pat_tech_bt_08_face[client]=syndicat_etude)*(pat_tech_bt_08_face[annee]=Exercice[Exercice N-4])*(pat_tech_bt_08_face[long_btw_10_20_ans])*(pat_tech_bt_08_face[face]="R"))</f>
        <v>706.58</v>
      </c>
      <c r="D675" s="135" cm="1">
        <f t="array" ref="D675">SUMPRODUCT((pat_tech_bt_08_face[client]=syndicat_etude)*(pat_tech_bt_08_face[annee]=Exercice[Exercice N-4])*(pat_tech_bt_08_face[pourcent_long_btw_10_20_ans])*(pat_tech_bt_08_face[face]="R"))</f>
        <v>0.28639999999999999</v>
      </c>
      <c r="E675" s="107" cm="1">
        <f t="array" ref="E675">SUMPRODUCT((pat_tech_bt_08_face[client]=syndicat_etude)*(pat_tech_bt_08_face[annee]=Exercice[Exercice N-3])*(pat_tech_bt_08_face[long_btw_10_20_ans])*(pat_tech_bt_08_face[face]="R"))</f>
        <v>711.9</v>
      </c>
      <c r="F675" s="137" cm="1">
        <f t="array" ref="F675">SUMPRODUCT((pat_tech_bt_08_face[client]=syndicat_etude)*(pat_tech_bt_08_face[annee]=Exercice[Exercice N-3])*(pat_tech_bt_08_face[pourcent_long_btw_10_20_ans])*(pat_tech_bt_08_face[face]="R"))</f>
        <v>0.28720000000000001</v>
      </c>
      <c r="G675" s="107" cm="1">
        <f t="array" ref="G675">SUMPRODUCT((pat_tech_bt_08_face[client]=syndicat_etude)*(pat_tech_bt_08_face[annee]=Exercice[Exercice N-2])*(pat_tech_bt_08_face[long_btw_10_20_ans])*(pat_tech_bt_08_face[face]="R"))</f>
        <v>658.08</v>
      </c>
      <c r="H675" s="137" cm="1">
        <f t="array" ref="H675">SUMPRODUCT((pat_tech_bt_08_face[client]=syndicat_etude)*(pat_tech_bt_08_face[annee]=Exercice[Exercice N-2])*(pat_tech_bt_08_face[pourcent_long_btw_10_20_ans])*(pat_tech_bt_08_face[face]="R"))</f>
        <v>0.26729999999999998</v>
      </c>
      <c r="I675" s="107" cm="1">
        <f t="array" ref="I675">SUMPRODUCT((pat_tech_bt_08_face[client]=syndicat_etude)*(pat_tech_bt_08_face[annee]=Exercice[Exercice N-1])*(pat_tech_bt_08_face[long_btw_10_20_ans])*(pat_tech_bt_08_face[face]="R"))</f>
        <v>625.66</v>
      </c>
      <c r="J675" s="137" cm="1">
        <f t="array" ref="J675">SUMPRODUCT((pat_tech_bt_08_face[client]=syndicat_etude)*(pat_tech_bt_08_face[annee]=Exercice[Exercice N-1])*(pat_tech_bt_08_face[pourcent_long_btw_10_20_ans])*(pat_tech_bt_08_face[face]="R"))</f>
        <v>0.2535</v>
      </c>
      <c r="K675" s="13" cm="1">
        <f t="array" ref="K675">SUMPRODUCT((pat_tech_bt_08_face[client]=syndicat_etude)*(pat_tech_bt_08_face[annee]=Exercice[Exercice N])*(pat_tech_bt_08_face[long_btw_10_20_ans])*(pat_tech_bt_08_face[face]="R"))</f>
        <v>568.54</v>
      </c>
      <c r="L675" s="137" cm="1">
        <f t="array" ref="L675">SUMPRODUCT((pat_tech_bt_08_face[client]=syndicat_etude)*(pat_tech_bt_08_face[annee]=Exercice[Exercice N])*(pat_tech_bt_08_face[pourcent_long_btw_10_20_ans])*(pat_tech_bt_08_face[face]="R"))</f>
        <v>0.22839999999999999</v>
      </c>
      <c r="M675" s="65"/>
    </row>
    <row r="676" spans="1:13" ht="15" customHeight="1" x14ac:dyDescent="0.25">
      <c r="B676" s="50" t="s">
        <v>231</v>
      </c>
      <c r="C676" s="13" cm="1">
        <f t="array" ref="C676">SUMPRODUCT((pat_tech_bt_08_face[client]=syndicat_etude)*(pat_tech_bt_08_face[annee]=Exercice[Exercice N-4])*(pat_tech_bt_08_face[long_btw_20_30_ans])*(pat_tech_bt_08_face[face]="R"))</f>
        <v>1058.78</v>
      </c>
      <c r="D676" s="135" cm="1">
        <f t="array" ref="D676">SUMPRODUCT((pat_tech_bt_08_face[client]=syndicat_etude)*(pat_tech_bt_08_face[annee]=Exercice[Exercice N-4])*(pat_tech_bt_08_face[pourcent_long_btw_20_30_ans])*(pat_tech_bt_08_face[face]="R"))</f>
        <v>0.42920000000000003</v>
      </c>
      <c r="E676" s="107" cm="1">
        <f t="array" ref="E676">SUMPRODUCT((pat_tech_bt_08_face[client]=syndicat_etude)*(pat_tech_bt_08_face[annee]=Exercice[Exercice N-3])*(pat_tech_bt_08_face[long_btw_20_30_ans])*(pat_tech_bt_08_face[face]="R"))</f>
        <v>1016.8</v>
      </c>
      <c r="F676" s="137" cm="1">
        <f t="array" ref="F676">SUMPRODUCT((pat_tech_bt_08_face[client]=syndicat_etude)*(pat_tech_bt_08_face[annee]=Exercice[Exercice N-3])*(pat_tech_bt_08_face[pourcent_long_btw_20_30_ans])*(pat_tech_bt_08_face[face]="R"))</f>
        <v>0.41020000000000001</v>
      </c>
      <c r="G676" s="107" cm="1">
        <f t="array" ref="G676">SUMPRODUCT((pat_tech_bt_08_face[client]=syndicat_etude)*(pat_tech_bt_08_face[annee]=Exercice[Exercice N-2])*(pat_tech_bt_08_face[long_btw_20_30_ans])*(pat_tech_bt_08_face[face]="R"))</f>
        <v>854.36</v>
      </c>
      <c r="H676" s="137" cm="1">
        <f t="array" ref="H676">SUMPRODUCT((pat_tech_bt_08_face[client]=syndicat_etude)*(pat_tech_bt_08_face[annee]=Exercice[Exercice N-2])*(pat_tech_bt_08_face[pourcent_long_btw_20_30_ans])*(pat_tech_bt_08_face[face]="R"))</f>
        <v>0.34710000000000002</v>
      </c>
      <c r="I676" s="107" cm="1">
        <f t="array" ref="I676">SUMPRODUCT((pat_tech_bt_08_face[client]=syndicat_etude)*(pat_tech_bt_08_face[annee]=Exercice[Exercice N-1])*(pat_tech_bt_08_face[long_btw_20_30_ans])*(pat_tech_bt_08_face[face]="R"))</f>
        <v>693.33</v>
      </c>
      <c r="J676" s="137" cm="1">
        <f t="array" ref="J676">SUMPRODUCT((pat_tech_bt_08_face[client]=syndicat_etude)*(pat_tech_bt_08_face[annee]=Exercice[Exercice N-1])*(pat_tech_bt_08_face[pourcent_long_btw_20_30_ans])*(pat_tech_bt_08_face[face]="R"))</f>
        <v>0.28089999999999998</v>
      </c>
      <c r="K676" s="13" cm="1">
        <f t="array" ref="K676">SUMPRODUCT((pat_tech_bt_08_face[client]=syndicat_etude)*(pat_tech_bt_08_face[annee]=Exercice[Exercice N])*(pat_tech_bt_08_face[long_btw_20_30_ans])*(pat_tech_bt_08_face[face]="R"))</f>
        <v>741.6</v>
      </c>
      <c r="L676" s="137" cm="1">
        <f t="array" ref="L676">SUMPRODUCT((pat_tech_bt_08_face[client]=syndicat_etude)*(pat_tech_bt_08_face[annee]=Exercice[Exercice N])*(pat_tech_bt_08_face[pourcent_long_btw_20_30_ans])*(pat_tech_bt_08_face[face]="R"))</f>
        <v>0.2979</v>
      </c>
      <c r="M676" s="65"/>
    </row>
    <row r="677" spans="1:13" ht="15" customHeight="1" x14ac:dyDescent="0.25">
      <c r="B677" s="50" t="s">
        <v>232</v>
      </c>
      <c r="C677" s="13" cm="1">
        <f t="array" ref="C677">SUMPRODUCT((pat_tech_bt_08_face[client]=syndicat_etude)*(pat_tech_bt_08_face[annee]=Exercice[Exercice N-4])*(pat_tech_bt_08_face[long_btw_30_40_ans])*(pat_tech_bt_08_face[face]="R"))</f>
        <v>121.15</v>
      </c>
      <c r="D677" s="135" cm="1">
        <f t="array" ref="D677">SUMPRODUCT((pat_tech_bt_08_face[client]=syndicat_etude)*(pat_tech_bt_08_face[annee]=Exercice[Exercice N-4])*(pat_tech_bt_08_face[pourcent_long_btw_30_40_ans])*(pat_tech_bt_08_face[face]="R"))</f>
        <v>4.9099999999999998E-2</v>
      </c>
      <c r="E677" s="107" cm="1">
        <f t="array" ref="E677">SUMPRODUCT((pat_tech_bt_08_face[client]=syndicat_etude)*(pat_tech_bt_08_face[annee]=Exercice[Exercice N-3])*(pat_tech_bt_08_face[long_btw_30_40_ans])*(pat_tech_bt_08_face[face]="R"))</f>
        <v>204.38</v>
      </c>
      <c r="F677" s="137" cm="1">
        <f t="array" ref="F677">SUMPRODUCT((pat_tech_bt_08_face[client]=syndicat_etude)*(pat_tech_bt_08_face[annee]=Exercice[Exercice N-3])*(pat_tech_bt_08_face[pourcent_long_btw_30_40_ans])*(pat_tech_bt_08_face[face]="R"))</f>
        <v>8.2500000000000004E-2</v>
      </c>
      <c r="G677" s="107" cm="1">
        <f t="array" ref="G677">SUMPRODUCT((pat_tech_bt_08_face[client]=syndicat_etude)*(pat_tech_bt_08_face[annee]=Exercice[Exercice N-2])*(pat_tech_bt_08_face[long_btw_30_40_ans])*(pat_tech_bt_08_face[face]="R"))</f>
        <v>472.24</v>
      </c>
      <c r="H677" s="137" cm="1">
        <f t="array" ref="H677">SUMPRODUCT((pat_tech_bt_08_face[client]=syndicat_etude)*(pat_tech_bt_08_face[annee]=Exercice[Exercice N-2])*(pat_tech_bt_08_face[pourcent_long_btw_30_40_ans])*(pat_tech_bt_08_face[face]="R"))</f>
        <v>0.1918</v>
      </c>
      <c r="I677" s="107" cm="1">
        <f t="array" ref="I677">SUMPRODUCT((pat_tech_bt_08_face[client]=syndicat_etude)*(pat_tech_bt_08_face[annee]=Exercice[Exercice N-1])*(pat_tech_bt_08_face[long_btw_30_40_ans])*(pat_tech_bt_08_face[face]="R"))</f>
        <v>689.89</v>
      </c>
      <c r="J677" s="137" cm="1">
        <f t="array" ref="J677">SUMPRODUCT((pat_tech_bt_08_face[client]=syndicat_etude)*(pat_tech_bt_08_face[annee]=Exercice[Exercice N-1])*(pat_tech_bt_08_face[pourcent_long_btw_30_40_ans])*(pat_tech_bt_08_face[face]="R"))</f>
        <v>0.27950000000000003</v>
      </c>
      <c r="K677" s="13" cm="1">
        <f t="array" ref="K677">SUMPRODUCT((pat_tech_bt_08_face[client]=syndicat_etude)*(pat_tech_bt_08_face[annee]=Exercice[Exercice N])*(pat_tech_bt_08_face[long_btw_30_40_ans])*(pat_tech_bt_08_face[face]="R"))</f>
        <v>730.26</v>
      </c>
      <c r="L677" s="137" cm="1">
        <f t="array" ref="L677">SUMPRODUCT((pat_tech_bt_08_face[client]=syndicat_etude)*(pat_tech_bt_08_face[annee]=Exercice[Exercice N])*(pat_tech_bt_08_face[pourcent_long_btw_30_40_ans])*(pat_tech_bt_08_face[face]="R"))</f>
        <v>0.29339999999999999</v>
      </c>
      <c r="M677" s="65"/>
    </row>
    <row r="678" spans="1:13" ht="15" customHeight="1" x14ac:dyDescent="0.25">
      <c r="B678" s="50" t="s">
        <v>233</v>
      </c>
      <c r="C678" s="13" cm="1">
        <f t="array" ref="C678">SUMPRODUCT((pat_tech_bt_08_face[client]=syndicat_etude)*(pat_tech_bt_08_face[annee]=Exercice[Exercice N-4])*(pat_tech_bt_08_face[long_btw_40_50_ans])*(pat_tech_bt_08_face[face]="R"))</f>
        <v>1.8</v>
      </c>
      <c r="D678" s="135" cm="1">
        <f t="array" ref="D678">SUMPRODUCT((pat_tech_bt_08_face[client]=syndicat_etude)*(pat_tech_bt_08_face[annee]=Exercice[Exercice N-4])*(pat_tech_bt_08_face[pourcent_long_btw_40_50_ans])*(pat_tech_bt_08_face[face]="R"))</f>
        <v>6.9999999999999999E-4</v>
      </c>
      <c r="E678" s="107" cm="1">
        <f t="array" ref="E678">SUMPRODUCT((pat_tech_bt_08_face[client]=syndicat_etude)*(pat_tech_bt_08_face[annee]=Exercice[Exercice N-3])*(pat_tech_bt_08_face[pourcent_long_btw_40_50_ans])*(pat_tech_bt_08_face[face]="R"))</f>
        <v>5.9999999999999995E-4</v>
      </c>
      <c r="F678" s="137" cm="1">
        <f t="array" ref="F678">SUMPRODUCT((pat_tech_bt_08_face[client]=syndicat_etude)*(pat_tech_bt_08_face[annee]=Exercice[Exercice N-3])*(pat_tech_bt_08_face[pourcent_long_btw_40_50_ans])*(pat_tech_bt_08_face[face]="R"))</f>
        <v>5.9999999999999995E-4</v>
      </c>
      <c r="G678" s="107" cm="1">
        <f t="array" ref="G678">SUMPRODUCT((pat_tech_bt_08_face[client]=syndicat_etude)*(pat_tech_bt_08_face[annee]=Exercice[Exercice N-2])*(pat_tech_bt_08_face[long_btw_40_50_ans])*(pat_tech_bt_08_face[face]="R"))</f>
        <v>0.42</v>
      </c>
      <c r="H678" s="137" cm="1">
        <f t="array" ref="H678">SUMPRODUCT((pat_tech_bt_08_face[client]=syndicat_etude)*(pat_tech_bt_08_face[annee]=Exercice[Exercice N-2])*(pat_tech_bt_08_face[pourcent_long_btw_40_50_ans])*(pat_tech_bt_08_face[face]="R"))</f>
        <v>2.0000000000000001E-4</v>
      </c>
      <c r="I678" s="107" cm="1">
        <f t="array" ref="I678">SUMPRODUCT((pat_tech_bt_08_face[client]=syndicat_etude)*(pat_tech_bt_08_face[annee]=Exercice[Exercice N-1])*(pat_tech_bt_08_face[long_btw_40_50_ans])*(pat_tech_bt_08_face[face]="R"))</f>
        <v>0.73</v>
      </c>
      <c r="J678" s="137" cm="1">
        <f t="array" ref="J678">SUMPRODUCT((pat_tech_bt_08_face[client]=syndicat_etude)*(pat_tech_bt_08_face[annee]=Exercice[Exercice N-1])*(pat_tech_bt_08_face[pourcent_long_btw_40_50_ans])*(pat_tech_bt_08_face[face]="R"))</f>
        <v>2.9999999999999997E-4</v>
      </c>
      <c r="K678" s="13" cm="1">
        <f t="array" ref="K678">SUMPRODUCT((pat_tech_bt_08_face[client]=syndicat_etude)*(pat_tech_bt_08_face[annee]=Exercice[Exercice N])*(pat_tech_bt_08_face[long_btw_40_50_ans])*(pat_tech_bt_08_face[face]="R"))</f>
        <v>1.54</v>
      </c>
      <c r="L678" s="137" cm="1">
        <f t="array" ref="L678">SUMPRODUCT((pat_tech_bt_08_face[client]=syndicat_etude)*(pat_tech_bt_08_face[annee]=Exercice[Exercice N])*(pat_tech_bt_08_face[pourcent_long_btw_40_50_ans])*(pat_tech_bt_08_face[face]="R"))</f>
        <v>5.9999999999999995E-4</v>
      </c>
      <c r="M678" s="65"/>
    </row>
    <row r="679" spans="1:13" ht="15" customHeight="1" x14ac:dyDescent="0.25">
      <c r="B679" s="50" t="s">
        <v>234</v>
      </c>
      <c r="C679" s="13" cm="1">
        <f t="array" ref="C679">SUMPRODUCT((pat_tech_bt_08_face[client]=syndicat_etude)*(pat_tech_bt_08_face[annee]=Exercice[Exercice N-4])*(pat_tech_bt_08_face[long_btw_50_60_ans])*(pat_tech_bt_08_face[face]="R"))</f>
        <v>0.28999999999999998</v>
      </c>
      <c r="D679" s="135" cm="1">
        <f t="array" ref="D679">SUMPRODUCT((pat_tech_bt_08_face[client]=syndicat_etude)*(pat_tech_bt_08_face[annee]=Exercice[Exercice N-4])*(pat_tech_bt_08_face[pourcent_long_btw_50_60_ans])*(pat_tech_bt_08_face[face]="R"))</f>
        <v>1E-4</v>
      </c>
      <c r="E679" s="107" cm="1">
        <f t="array" ref="E679">SUMPRODUCT((pat_tech_bt_08_face[client]=syndicat_etude)*(pat_tech_bt_08_face[annee]=Exercice[Exercice N-3])*(pat_tech_bt_08_face[long_btw_50_60_ans])*(pat_tech_bt_08_face[face]="R"))</f>
        <v>0.33</v>
      </c>
      <c r="F679" s="137" cm="1">
        <f t="array" ref="F679">SUMPRODUCT((pat_tech_bt_08_face[client]=syndicat_etude)*(pat_tech_bt_08_face[annee]=Exercice[Exercice N-3])*(pat_tech_bt_08_face[pourcent_long_btw_50_60_ans])*(pat_tech_bt_08_face[face]="R"))</f>
        <v>1E-4</v>
      </c>
      <c r="G679" s="107" cm="1">
        <f t="array" ref="G679">SUMPRODUCT((pat_tech_bt_08_face[client]=syndicat_etude)*(pat_tech_bt_08_face[annee]=Exercice[Exercice N-2])*(pat_tech_bt_08_face[long_btw_50_60_ans])*(pat_tech_bt_08_face[face]="R"))</f>
        <v>0.32</v>
      </c>
      <c r="H679" s="137" cm="1">
        <f t="array" ref="H679">SUMPRODUCT((pat_tech_bt_08_face[client]=syndicat_etude)*(pat_tech_bt_08_face[annee]=Exercice[Exercice N-2])*(pat_tech_bt_08_face[pourcent_long_btw_50_60_ans])*(pat_tech_bt_08_face[face]="R"))</f>
        <v>1E-4</v>
      </c>
      <c r="I679" s="107" cm="1">
        <f t="array" ref="I679">SUMPRODUCT((pat_tech_bt_08_face[client]=syndicat_etude)*(pat_tech_bt_08_face[annee]=Exercice[Exercice N-1])*(pat_tech_bt_08_face[long_btw_50_60_ans])*(pat_tech_bt_08_face[face]="R"))</f>
        <v>0.32</v>
      </c>
      <c r="J679" s="137" cm="1">
        <f t="array" ref="J679">SUMPRODUCT((pat_tech_bt_08_face[client]=syndicat_etude)*(pat_tech_bt_08_face[annee]=Exercice[Exercice N-1])*(pat_tech_bt_08_face[pourcent_long_btw_50_60_ans])*(pat_tech_bt_08_face[face]="R"))</f>
        <v>1E-4</v>
      </c>
      <c r="K679" s="13" cm="1">
        <f t="array" ref="K679">SUMPRODUCT((pat_tech_bt_08_face[client]=syndicat_etude)*(pat_tech_bt_08_face[annee]=Exercice[Exercice N])*(pat_tech_bt_08_face[long_btw_50_60_ans])*(pat_tech_bt_08_face[face]="R"))</f>
        <v>0.39</v>
      </c>
      <c r="L679" s="137" cm="1">
        <f t="array" ref="L679">SUMPRODUCT((pat_tech_bt_08_face[client]=syndicat_etude)*(pat_tech_bt_08_face[annee]=Exercice[Exercice N])*(pat_tech_bt_08_face[pourcent_long_btw_50_60_ans])*(pat_tech_bt_08_face[face]="R"))</f>
        <v>2.0000000000000001E-4</v>
      </c>
      <c r="M679" s="65"/>
    </row>
    <row r="680" spans="1:13" ht="15" customHeight="1" x14ac:dyDescent="0.25">
      <c r="B680" s="53" t="s">
        <v>235</v>
      </c>
      <c r="C680" s="89" cm="1">
        <f t="array" ref="C680">SUMPRODUCT((pat_tech_bt_08_face[client]=syndicat_etude)*(pat_tech_bt_08_face[annee]=Exercice[Exercice N-4])*(pat_tech_bt_08_face[long_sup_60_ans])*(pat_tech_bt_08_face[face]="R"))</f>
        <v>3.37</v>
      </c>
      <c r="D680" s="136" cm="1">
        <f t="array" ref="D680">SUMPRODUCT((pat_tech_bt_08_face[client]=syndicat_etude)*(pat_tech_bt_08_face[annee]=Exercice[Exercice N-4])*(pat_tech_bt_08_face[pourcent_sup_60_ans])*(pat_tech_bt_08_face[face]="R"))</f>
        <v>1.4E-3</v>
      </c>
      <c r="E680" s="108" cm="1">
        <f t="array" ref="E680">SUMPRODUCT((pat_tech_bt_08_face[client]=syndicat_etude)*(pat_tech_bt_08_face[annee]=Exercice[Exercice N-3])*(pat_tech_bt_08_face[long_sup_60_ans])*(pat_tech_bt_08_face[face]="R"))</f>
        <v>3.08</v>
      </c>
      <c r="F680" s="138" cm="1">
        <f t="array" ref="F680">SUMPRODUCT((pat_tech_bt_08_face[client]=syndicat_etude)*(pat_tech_bt_08_face[annee]=Exercice[Exercice N-3])*(pat_tech_bt_08_face[pourcent_sup_60_ans])*(pat_tech_bt_08_face[face]="R"))</f>
        <v>1.1999999999999999E-3</v>
      </c>
      <c r="G680" s="108" cm="1">
        <f t="array" ref="G680">SUMPRODUCT((pat_tech_bt_08_face[client]=syndicat_etude)*(pat_tech_bt_08_face[annee]=Exercice[Exercice N-2])*(pat_tech_bt_08_face[long_sup_60_ans])*(pat_tech_bt_08_face[face]="R"))</f>
        <v>3.2</v>
      </c>
      <c r="H680" s="138" cm="1">
        <f t="array" ref="H680">SUMPRODUCT((pat_tech_bt_08_face[client]=syndicat_etude)*(pat_tech_bt_08_face[annee]=Exercice[Exercice N-2])*(pat_tech_bt_08_face[pourcent_sup_60_ans])*(pat_tech_bt_08_face[face]="R"))</f>
        <v>1.2999999999999999E-3</v>
      </c>
      <c r="I680" s="108" cm="1">
        <f t="array" ref="I680">SUMPRODUCT((pat_tech_bt_08_face[client]=syndicat_etude)*(pat_tech_bt_08_face[annee]=Exercice[Exercice N-1])*(pat_tech_bt_08_face[long_sup_60_ans])*(pat_tech_bt_08_face[face]="R"))</f>
        <v>3.2</v>
      </c>
      <c r="J680" s="138" cm="1">
        <f t="array" ref="J680">SUMPRODUCT((pat_tech_bt_08_face[client]=syndicat_etude)*(pat_tech_bt_08_face[annee]=Exercice[Exercice N-1])*(pat_tech_bt_08_face[pourcent_sup_60_ans])*(pat_tech_bt_08_face[face]="R"))</f>
        <v>1.2999999999999999E-3</v>
      </c>
      <c r="K680" s="89" cm="1">
        <f t="array" ref="K680">SUMPRODUCT((pat_tech_bt_08_face[client]=syndicat_etude)*(pat_tech_bt_08_face[annee]=Exercice[Exercice N])*(pat_tech_bt_08_face[long_sup_60_ans])*(pat_tech_bt_08_face[face]="R"))</f>
        <v>3.2</v>
      </c>
      <c r="L680" s="138" cm="1">
        <f t="array" ref="L680">SUMPRODUCT((pat_tech_bt_08_face[client]=syndicat_etude)*(pat_tech_bt_08_face[annee]=Exercice[Exercice N])*(pat_tech_bt_08_face[pourcent_sup_60_ans])*(pat_tech_bt_08_face[face]="R"))</f>
        <v>1.2999999999999999E-3</v>
      </c>
      <c r="M680" s="65"/>
    </row>
    <row r="682" spans="1:13" ht="30" customHeight="1" x14ac:dyDescent="0.25">
      <c r="A682" s="25" t="s">
        <v>542</v>
      </c>
      <c r="B682" s="66" t="s">
        <v>543</v>
      </c>
      <c r="C682" s="67" cm="1">
        <f t="array" ref="C682">Exercice[Exercice N-4]</f>
        <v>2019</v>
      </c>
      <c r="D682" s="67" cm="1">
        <f t="array" ref="D682">Exercice[Exercice N-3]</f>
        <v>2020</v>
      </c>
      <c r="E682" s="67" cm="1">
        <f t="array" ref="E682">Exercice[Exercice N-2]</f>
        <v>2021</v>
      </c>
      <c r="F682" s="67" cm="1">
        <f t="array" ref="F682">Exercice[Exercice N-1]</f>
        <v>2022</v>
      </c>
      <c r="G682" s="69" cm="1">
        <f t="array" ref="G682">Exercice[Exercice N]</f>
        <v>2023</v>
      </c>
    </row>
    <row r="683" spans="1:13" ht="15" customHeight="1" x14ac:dyDescent="0.25">
      <c r="A683" s="28" t="s">
        <v>133</v>
      </c>
      <c r="B683" s="50" t="s">
        <v>113</v>
      </c>
      <c r="C683" s="670" cm="1">
        <f t="array" ref="C683">SUMPRODUCT((pat_tech_bt_10[[client]:[client]]=syndicat_etude)*(pat_tech_bt_10[[annee]:[annee]]=annee_CRAC-4)*(pat_tech_bt_10[tech_age_moyen_aerien_nu]))</f>
        <v>39.700000000000003</v>
      </c>
      <c r="D683" s="670" cm="1">
        <f t="array" ref="D683">SUMPRODUCT((pat_tech_bt_10[[client]:[client]]=syndicat_etude)*(pat_tech_bt_10[[annee]:[annee]]=annee_CRAC-3)*(pat_tech_bt_10[tech_age_moyen_aerien_nu]))</f>
        <v>40.6</v>
      </c>
      <c r="E683" s="670" cm="1">
        <f t="array" ref="E683">SUMPRODUCT((pat_tech_bt_10[[client]:[client]]=syndicat_etude)*(pat_tech_bt_10[[annee]:[annee]]=annee_CRAC-2)*(pat_tech_bt_10[tech_age_moyen_aerien_nu]))</f>
        <v>41.72</v>
      </c>
      <c r="F683" s="670" cm="1">
        <f t="array" ref="F683">SUMPRODUCT((pat_tech_bt_10[[client]:[client]]=syndicat_etude)*(pat_tech_bt_10[[annee]:[annee]]=annee_CRAC-1)*(pat_tech_bt_10[tech_age_moyen_aerien_nu]))</f>
        <v>42.34</v>
      </c>
      <c r="G683" s="671" cm="1">
        <f t="array" ref="G683">SUMPRODUCT((pat_tech_bt_10[[client]:[client]]=syndicat_etude)*(pat_tech_bt_10[[annee]:[annee]]=annee_CRAC)*(pat_tech_bt_10[tech_age_moyen_aerien_nu]))</f>
        <v>43.2</v>
      </c>
      <c r="H683" s="65"/>
    </row>
    <row r="684" spans="1:13" ht="15" customHeight="1" x14ac:dyDescent="0.25">
      <c r="B684" s="288" t="s">
        <v>544</v>
      </c>
      <c r="C684" s="20" cm="1">
        <f t="array" ref="C684">SUMPRODUCT((pat_tech_bt_10[[client]:[client]]=syndicat_etude)*(pat_tech_bt_10[[annee]:[annee]]=annee_CRAC-4)*(pat_tech_bt_10[[age_moyen_aerien_nu_fs]:[age_moyen_aerien_nu_fs]]))</f>
        <v>38.99</v>
      </c>
      <c r="D684" s="20" cm="1">
        <f t="array" ref="D684">SUMPRODUCT((pat_tech_bt_10[[client]:[client]]=syndicat_etude)*(pat_tech_bt_10[[annee]:[annee]]=annee_CRAC-3)*(pat_tech_bt_10[[age_moyen_aerien_nu_fs]:[age_moyen_aerien_nu_fs]]))</f>
        <v>39.880000000000003</v>
      </c>
      <c r="E684" s="20" cm="1">
        <f t="array" ref="E684">SUMPRODUCT((pat_tech_bt_10[[client]:[client]]=syndicat_etude)*(pat_tech_bt_10[[annee]:[annee]]=annee_CRAC-2)*(pat_tech_bt_10[[age_moyen_aerien_nu_fs]:[age_moyen_aerien_nu_fs]]))</f>
        <v>41.54</v>
      </c>
      <c r="F684" s="20" cm="1">
        <f t="array" ref="F684">SUMPRODUCT((pat_tech_bt_10[[client]:[client]]=syndicat_etude)*(pat_tech_bt_10[[annee]:[annee]]=annee_CRAC-1)*(pat_tech_bt_10[[age_moyen_aerien_nu_fs]:[age_moyen_aerien_nu_fs]]))</f>
        <v>42.02</v>
      </c>
      <c r="G684" s="166" cm="1">
        <f t="array" ref="G684">SUMPRODUCT((pat_tech_bt_10[[client]:[client]]=syndicat_etude)*(pat_tech_bt_10[[annee]:[annee]]=annee_CRAC)*(pat_tech_bt_10[[age_moyen_aerien_nu_fs]:[age_moyen_aerien_nu_fs]]))</f>
        <v>43.12</v>
      </c>
      <c r="H684" s="164"/>
    </row>
    <row r="685" spans="1:13" ht="15" customHeight="1" x14ac:dyDescent="0.25">
      <c r="A685" s="28"/>
      <c r="B685" s="50" t="s">
        <v>114</v>
      </c>
      <c r="C685" s="670" cm="1">
        <f t="array" ref="C685">SUMPRODUCT((pat_tech_bt_10[[client]:[client]]=syndicat_etude)*(pat_tech_bt_10[[annee]:[annee]]=annee_CRAC-4)*(pat_tech_bt_10[tech_age_moyen_aerien_torsade]))</f>
        <v>26.01</v>
      </c>
      <c r="D685" s="670" cm="1">
        <f t="array" ref="D685">SUMPRODUCT((pat_tech_bt_10[[client]:[client]]=syndicat_etude)*(pat_tech_bt_10[[annee]:[annee]]=annee_CRAC-3)*(pat_tech_bt_10[tech_age_moyen_aerien_torsade]))</f>
        <v>26.85</v>
      </c>
      <c r="E685" s="670" cm="1">
        <f t="array" ref="E685">SUMPRODUCT((pat_tech_bt_10[[client]:[client]]=syndicat_etude)*(pat_tech_bt_10[[annee]:[annee]]=annee_CRAC-2)*(pat_tech_bt_10[tech_age_moyen_aerien_torsade]))</f>
        <v>27.72</v>
      </c>
      <c r="F685" s="670" cm="1">
        <f t="array" ref="F685">SUMPRODUCT((pat_tech_bt_10[[client]:[client]]=syndicat_etude)*(pat_tech_bt_10[[annee]:[annee]]=annee_CRAC-1)*(pat_tech_bt_10[tech_age_moyen_aerien_torsade]))</f>
        <v>28.55</v>
      </c>
      <c r="G685" s="671" cm="1">
        <f t="array" ref="G685">SUMPRODUCT((pat_tech_bt_10[[client]:[client]]=syndicat_etude)*(pat_tech_bt_10[[annee]:[annee]]=annee_CRAC)*(pat_tech_bt_10[tech_age_moyen_aerien_torsade]))</f>
        <v>29.4</v>
      </c>
      <c r="H685" s="65"/>
    </row>
    <row r="686" spans="1:13" ht="15" customHeight="1" x14ac:dyDescent="0.25">
      <c r="A686" s="28"/>
      <c r="B686" s="53" t="s">
        <v>115</v>
      </c>
      <c r="C686" s="687" cm="1">
        <f t="array" ref="C686">SUMPRODUCT((pat_tech_bt_10[[client]:[client]]=syndicat_etude)*(pat_tech_bt_10[[annee]:[annee]]=annee_CRAC-4)*(pat_tech_bt_10[tech_age_moyen_souterrain]))</f>
        <v>18.14</v>
      </c>
      <c r="D686" s="687" cm="1">
        <f t="array" ref="D686">SUMPRODUCT((pat_tech_bt_10[[client]:[client]]=syndicat_etude)*(pat_tech_bt_10[[annee]:[annee]]=annee_CRAC-3)*(pat_tech_bt_10[tech_age_moyen_souterrain]))</f>
        <v>18.739999999999998</v>
      </c>
      <c r="E686" s="687" cm="1">
        <f t="array" ref="E686">SUMPRODUCT((pat_tech_bt_10[[client]:[client]]=syndicat_etude)*(pat_tech_bt_10[[annee]:[annee]]=annee_CRAC-2)*(pat_tech_bt_10[tech_age_moyen_souterrain]))</f>
        <v>19.27</v>
      </c>
      <c r="F686" s="687" cm="1">
        <f t="array" ref="F686">SUMPRODUCT((pat_tech_bt_10[[client]:[client]]=syndicat_etude)*(pat_tech_bt_10[[annee]:[annee]]=annee_CRAC-1)*(pat_tech_bt_10[tech_age_moyen_souterrain]))</f>
        <v>19.89</v>
      </c>
      <c r="G686" s="688" cm="1">
        <f t="array" ref="G686">SUMPRODUCT((pat_tech_bt_10[[client]:[client]]=syndicat_etude)*(pat_tech_bt_10[[annee]:[annee]]=annee_CRAC)*(pat_tech_bt_10[tech_age_moyen_souterrain]))</f>
        <v>20.39</v>
      </c>
      <c r="H686" s="65"/>
    </row>
    <row r="688" spans="1:13" ht="30" customHeight="1" x14ac:dyDescent="0.25">
      <c r="B688" s="66" t="s">
        <v>545</v>
      </c>
      <c r="C688" s="67" cm="1">
        <f t="array" ref="C688">Exercice[Exercice N-4]</f>
        <v>2019</v>
      </c>
      <c r="D688" s="67" cm="1">
        <f t="array" ref="D688">Exercice[Exercice N-3]</f>
        <v>2020</v>
      </c>
      <c r="E688" s="67" cm="1">
        <f t="array" ref="E688">Exercice[Exercice N-2]</f>
        <v>2021</v>
      </c>
      <c r="F688" s="67" cm="1">
        <f t="array" ref="F688">Exercice[Exercice N-1]</f>
        <v>2022</v>
      </c>
      <c r="G688" s="69" cm="1">
        <f t="array" ref="G688">Exercice[Exercice N]</f>
        <v>2023</v>
      </c>
    </row>
    <row r="689" spans="1:84" ht="15" customHeight="1" x14ac:dyDescent="0.25">
      <c r="B689" s="50" t="s">
        <v>113</v>
      </c>
      <c r="C689" s="7" cm="1">
        <f t="array" ref="C689">SUMPRODUCT((pat_tech_bt_10[[client]:[client]]=syndicat_etude)*(pat_tech_bt_10[[annee]:[annee]]=annee_CRAC-4)*(pat_tech_bt_10[[age_moyen_aerien_nu]:[age_moyen_aerien_nu]]))</f>
        <v>53.62</v>
      </c>
      <c r="D689" s="7" cm="1">
        <f t="array" ref="D689">SUMPRODUCT((pat_tech_bt_10[[client]:[client]]=syndicat_etude)*(pat_tech_bt_10[[annee]:[annee]]=annee_CRAC-3)*(pat_tech_bt_10[[age_moyen_aerien_nu]:[age_moyen_aerien_nu]]))</f>
        <v>54.69</v>
      </c>
      <c r="E689" s="7" cm="1">
        <f t="array" ref="E689">SUMPRODUCT((pat_tech_bt_10[[client]:[client]]=syndicat_etude)*(pat_tech_bt_10[[annee]:[annee]]=annee_CRAC-2)*(pat_tech_bt_10[[age_moyen_aerien_nu]:[age_moyen_aerien_nu]]))</f>
        <v>55.62</v>
      </c>
      <c r="F689" s="7" cm="1">
        <f t="array" ref="F689">SUMPRODUCT((pat_tech_bt_10[[client]:[client]]=syndicat_etude)*(pat_tech_bt_10[[annee]:[annee]]=annee_CRAC-1)*(pat_tech_bt_10[[age_moyen_aerien_nu]:[age_moyen_aerien_nu]]))</f>
        <v>56.57</v>
      </c>
      <c r="G689" s="83" cm="1">
        <f t="array" ref="G689">SUMPRODUCT((pat_tech_bt_10[[client]:[client]]=syndicat_etude)*(pat_tech_bt_10[[annee]:[annee]]=annee_CRAC)*(pat_tech_bt_10[[age_moyen_aerien_nu]:[age_moyen_aerien_nu]]))</f>
        <v>57.46</v>
      </c>
      <c r="H689" s="164" t="s">
        <v>546</v>
      </c>
    </row>
    <row r="690" spans="1:84" ht="15" customHeight="1" x14ac:dyDescent="0.25">
      <c r="B690" s="50" t="s">
        <v>114</v>
      </c>
      <c r="C690" s="7" cm="1">
        <f t="array" ref="C690">SUMPRODUCT((pat_tech_bt_10[[client]:[client]]=syndicat_etude)*(pat_tech_bt_10[[annee]:[annee]]=annee_CRAC-4)*(pat_tech_bt_10[[age_moyen_aerien_torsade]:[age_moyen_aerien_torsade]]))</f>
        <v>26.94</v>
      </c>
      <c r="D690" s="7" cm="1">
        <f t="array" ref="D690">SUMPRODUCT((pat_tech_bt_10[[client]:[client]]=syndicat_etude)*(pat_tech_bt_10[[annee]:[annee]]=annee_CRAC-3)*(pat_tech_bt_10[[age_moyen_aerien_torsade]:[age_moyen_aerien_torsade]]))</f>
        <v>27.76</v>
      </c>
      <c r="E690" s="7" cm="1">
        <f t="array" ref="E690">SUMPRODUCT((pat_tech_bt_10[[client]:[client]]=syndicat_etude)*(pat_tech_bt_10[[annee]:[annee]]=annee_CRAC-2)*(pat_tech_bt_10[[age_moyen_aerien_torsade]:[age_moyen_aerien_torsade]]))</f>
        <v>28.53</v>
      </c>
      <c r="F690" s="7" cm="1">
        <f t="array" ref="F690">SUMPRODUCT((pat_tech_bt_10[[client]:[client]]=syndicat_etude)*(pat_tech_bt_10[[annee]:[annee]]=annee_CRAC-1)*(pat_tech_bt_10[[age_moyen_aerien_torsade]:[age_moyen_aerien_torsade]]))</f>
        <v>29.28</v>
      </c>
      <c r="G690" s="83" cm="1">
        <f t="array" ref="G690">SUMPRODUCT((pat_tech_bt_10[[client]:[client]]=syndicat_etude)*(pat_tech_bt_10[[annee]:[annee]]=annee_CRAC)*(pat_tech_bt_10[[age_moyen_aerien_torsade]:[age_moyen_aerien_torsade]]))</f>
        <v>30.04</v>
      </c>
      <c r="H690" s="164" t="s">
        <v>546</v>
      </c>
    </row>
    <row r="691" spans="1:84" ht="15" customHeight="1" x14ac:dyDescent="0.25">
      <c r="B691" s="53" t="s">
        <v>115</v>
      </c>
      <c r="C691" s="88" cm="1">
        <f t="array" ref="C691">SUMPRODUCT((pat_tech_bt_10[[client]:[client]]=syndicat_etude)*(pat_tech_bt_10[[annee]:[annee]]=annee_CRAC-4)*(pat_tech_bt_10[[age_moyen_souterrain]:[age_moyen_souterrain]]))</f>
        <v>18.78</v>
      </c>
      <c r="D691" s="88" cm="1">
        <f t="array" ref="D691">SUMPRODUCT((pat_tech_bt_10[[client]:[client]]=syndicat_etude)*(pat_tech_bt_10[[annee]:[annee]]=annee_CRAC-3)*(pat_tech_bt_10[[age_moyen_souterrain]:[age_moyen_souterrain]]))</f>
        <v>19.37</v>
      </c>
      <c r="E691" s="88" cm="1">
        <f t="array" ref="E691">SUMPRODUCT((pat_tech_bt_10[[client]:[client]]=syndicat_etude)*(pat_tech_bt_10[[annee]:[annee]]=annee_CRAC-2)*(pat_tech_bt_10[[age_moyen_souterrain]:[age_moyen_souterrain]]))</f>
        <v>19.88</v>
      </c>
      <c r="F691" s="88" cm="1">
        <f t="array" ref="F691">SUMPRODUCT((pat_tech_bt_10[[client]:[client]]=syndicat_etude)*(pat_tech_bt_10[[annee]:[annee]]=annee_CRAC-1)*(pat_tech_bt_10[[age_moyen_souterrain]:[age_moyen_souterrain]]))</f>
        <v>20.47</v>
      </c>
      <c r="G691" s="92" cm="1">
        <f t="array" ref="G691">SUMPRODUCT((pat_tech_bt_10[[client]:[client]]=syndicat_etude)*(pat_tech_bt_10[[annee]:[annee]]=annee_CRAC)*(pat_tech_bt_10[[age_moyen_souterrain]:[age_moyen_souterrain]]))</f>
        <v>20.94</v>
      </c>
      <c r="H691" s="164" t="s">
        <v>546</v>
      </c>
    </row>
    <row r="693" spans="1:84" ht="30" customHeight="1" x14ac:dyDescent="0.25">
      <c r="A693" s="25" t="s">
        <v>547</v>
      </c>
      <c r="B693" s="66" t="s">
        <v>548</v>
      </c>
      <c r="C693" s="67">
        <v>1946</v>
      </c>
      <c r="D693" s="67">
        <v>1947</v>
      </c>
      <c r="E693" s="67">
        <v>1948</v>
      </c>
      <c r="F693" s="67">
        <v>1949</v>
      </c>
      <c r="G693" s="67">
        <v>1950</v>
      </c>
      <c r="H693" s="67">
        <v>1951</v>
      </c>
      <c r="I693" s="67">
        <v>1952</v>
      </c>
      <c r="J693" s="67">
        <v>1953</v>
      </c>
      <c r="K693" s="67">
        <v>1954</v>
      </c>
      <c r="L693" s="67">
        <v>1955</v>
      </c>
      <c r="M693" s="67">
        <v>1956</v>
      </c>
      <c r="N693" s="67">
        <v>1957</v>
      </c>
      <c r="O693" s="67">
        <v>1958</v>
      </c>
      <c r="P693" s="67">
        <v>1959</v>
      </c>
      <c r="Q693" s="67">
        <v>1960</v>
      </c>
      <c r="R693" s="67">
        <v>1961</v>
      </c>
      <c r="S693" s="67">
        <v>1962</v>
      </c>
      <c r="T693" s="67">
        <v>1963</v>
      </c>
      <c r="U693" s="67">
        <v>1964</v>
      </c>
      <c r="V693" s="67">
        <v>1965</v>
      </c>
      <c r="W693" s="67">
        <v>1966</v>
      </c>
      <c r="X693" s="67">
        <v>1967</v>
      </c>
      <c r="Y693" s="67">
        <v>1968</v>
      </c>
      <c r="Z693" s="67">
        <v>1969</v>
      </c>
      <c r="AA693" s="67">
        <v>1970</v>
      </c>
      <c r="AB693" s="67">
        <v>1971</v>
      </c>
      <c r="AC693" s="67">
        <v>1972</v>
      </c>
      <c r="AD693" s="67">
        <v>1973</v>
      </c>
      <c r="AE693" s="67">
        <v>1974</v>
      </c>
      <c r="AF693" s="67">
        <v>1975</v>
      </c>
      <c r="AG693" s="67">
        <v>1976</v>
      </c>
      <c r="AH693" s="67">
        <v>1977</v>
      </c>
      <c r="AI693" s="67">
        <v>1978</v>
      </c>
      <c r="AJ693" s="67">
        <v>1979</v>
      </c>
      <c r="AK693" s="67">
        <v>1980</v>
      </c>
      <c r="AL693" s="67">
        <v>1981</v>
      </c>
      <c r="AM693" s="67">
        <v>1982</v>
      </c>
      <c r="AN693" s="67">
        <v>1983</v>
      </c>
      <c r="AO693" s="67">
        <v>1984</v>
      </c>
      <c r="AP693" s="67">
        <v>1985</v>
      </c>
      <c r="AQ693" s="67">
        <v>1986</v>
      </c>
      <c r="AR693" s="67">
        <v>1987</v>
      </c>
      <c r="AS693" s="67">
        <v>1988</v>
      </c>
      <c r="AT693" s="67">
        <v>1989</v>
      </c>
      <c r="AU693" s="67">
        <v>1990</v>
      </c>
      <c r="AV693" s="67">
        <v>1991</v>
      </c>
      <c r="AW693" s="67">
        <v>1992</v>
      </c>
      <c r="AX693" s="67">
        <v>1993</v>
      </c>
      <c r="AY693" s="67">
        <v>1994</v>
      </c>
      <c r="AZ693" s="67">
        <v>1995</v>
      </c>
      <c r="BA693" s="67">
        <v>1996</v>
      </c>
      <c r="BB693" s="67">
        <v>1997</v>
      </c>
      <c r="BC693" s="67">
        <v>1998</v>
      </c>
      <c r="BD693" s="67">
        <v>1999</v>
      </c>
      <c r="BE693" s="67">
        <v>2000</v>
      </c>
      <c r="BF693" s="67">
        <v>2001</v>
      </c>
      <c r="BG693" s="67">
        <v>2002</v>
      </c>
      <c r="BH693" s="67">
        <v>2003</v>
      </c>
      <c r="BI693" s="67">
        <v>2004</v>
      </c>
      <c r="BJ693" s="67">
        <v>2005</v>
      </c>
      <c r="BK693" s="67">
        <v>2006</v>
      </c>
      <c r="BL693" s="67">
        <v>2007</v>
      </c>
      <c r="BM693" s="67">
        <v>2008</v>
      </c>
      <c r="BN693" s="67">
        <v>2009</v>
      </c>
      <c r="BO693" s="67">
        <v>2010</v>
      </c>
      <c r="BP693" s="67">
        <v>2011</v>
      </c>
      <c r="BQ693" s="67">
        <v>2012</v>
      </c>
      <c r="BR693" s="67">
        <v>2013</v>
      </c>
      <c r="BS693" s="67">
        <v>2014</v>
      </c>
      <c r="BT693" s="67">
        <v>2015</v>
      </c>
      <c r="BU693" s="67">
        <v>2016</v>
      </c>
      <c r="BV693" s="67">
        <v>2017</v>
      </c>
      <c r="BW693" s="67">
        <v>2018</v>
      </c>
      <c r="BX693" s="67">
        <v>2019</v>
      </c>
      <c r="BY693" s="67">
        <v>2020</v>
      </c>
      <c r="BZ693" s="67">
        <v>2021</v>
      </c>
      <c r="CA693" s="67">
        <v>2022</v>
      </c>
      <c r="CB693" s="67">
        <v>2023</v>
      </c>
      <c r="CC693" s="67">
        <v>2024</v>
      </c>
      <c r="CD693" s="67">
        <v>2025</v>
      </c>
      <c r="CE693" s="67">
        <v>2026</v>
      </c>
      <c r="CF693" s="69">
        <v>2027</v>
      </c>
    </row>
    <row r="694" spans="1:84" ht="15" customHeight="1" x14ac:dyDescent="0.25">
      <c r="B694" s="126" t="s">
        <v>115</v>
      </c>
      <c r="C694" s="134" cm="1">
        <f t="array" ref="C694">SUMPRODUCT((pat_tech_bt_11[[Client]:[Client]]=syndicat_etude)*(pat_tech_bt_11[[Annee]:[Annee]]=annee_CRAC)*(pat_tech_bt_11[[Annee Construction]:[Annee Construction]]=C$693)*(pat_tech_bt_11[[souterrain_km]:[souterrain_km]]))</f>
        <v>45.4</v>
      </c>
      <c r="D694" s="134" cm="1">
        <f t="array" ref="D694">SUMPRODUCT((pat_tech_bt_11[[Client]:[Client]]=syndicat_etude)*(pat_tech_bt_11[[Annee]:[Annee]]=annee_CRAC)*(pat_tech_bt_11[[Annee Construction]:[Annee Construction]]=D$693)*(pat_tech_bt_11[[souterrain_km]:[souterrain_km]]))</f>
        <v>0.34</v>
      </c>
      <c r="E694" s="134" cm="1">
        <f t="array" ref="E694">SUMPRODUCT((pat_tech_bt_11[[Client]:[Client]]=syndicat_etude)*(pat_tech_bt_11[[Annee]:[Annee]]=annee_CRAC)*(pat_tech_bt_11[[Annee Construction]:[Annee Construction]]=E$693)*(pat_tech_bt_11[[souterrain_km]:[souterrain_km]]))</f>
        <v>0</v>
      </c>
      <c r="F694" s="134" cm="1">
        <f t="array" ref="F694">SUMPRODUCT((pat_tech_bt_11[[Client]:[Client]]=syndicat_etude)*(pat_tech_bt_11[[Annee]:[Annee]]=annee_CRAC)*(pat_tech_bt_11[[Annee Construction]:[Annee Construction]]=F$693)*(pat_tech_bt_11[[souterrain_km]:[souterrain_km]]))</f>
        <v>0</v>
      </c>
      <c r="G694" s="134" cm="1">
        <f t="array" ref="G694">SUMPRODUCT((pat_tech_bt_11[[Client]:[Client]]=syndicat_etude)*(pat_tech_bt_11[[Annee]:[Annee]]=annee_CRAC)*(pat_tech_bt_11[[Annee Construction]:[Annee Construction]]=G$693)*(pat_tech_bt_11[[souterrain_km]:[souterrain_km]]))</f>
        <v>1.17</v>
      </c>
      <c r="H694" s="134" cm="1">
        <f t="array" ref="H694">SUMPRODUCT((pat_tech_bt_11[[Client]:[Client]]=syndicat_etude)*(pat_tech_bt_11[[Annee]:[Annee]]=annee_CRAC)*(pat_tech_bt_11[[Annee Construction]:[Annee Construction]]=H$693)*(pat_tech_bt_11[[souterrain_km]:[souterrain_km]]))</f>
        <v>0</v>
      </c>
      <c r="I694" s="134" cm="1">
        <f t="array" ref="I694">SUMPRODUCT((pat_tech_bt_11[[Client]:[Client]]=syndicat_etude)*(pat_tech_bt_11[[Annee]:[Annee]]=annee_CRAC)*(pat_tech_bt_11[[Annee Construction]:[Annee Construction]]=I$693)*(pat_tech_bt_11[[souterrain_km]:[souterrain_km]]))</f>
        <v>0</v>
      </c>
      <c r="J694" s="134" cm="1">
        <f t="array" ref="J694">SUMPRODUCT((pat_tech_bt_11[[Client]:[Client]]=syndicat_etude)*(pat_tech_bt_11[[Annee]:[Annee]]=annee_CRAC)*(pat_tech_bt_11[[Annee Construction]:[Annee Construction]]=J$693)*(pat_tech_bt_11[[souterrain_km]:[souterrain_km]]))</f>
        <v>0</v>
      </c>
      <c r="K694" s="134" cm="1">
        <f t="array" ref="K694">SUMPRODUCT((pat_tech_bt_11[[Client]:[Client]]=syndicat_etude)*(pat_tech_bt_11[[Annee]:[Annee]]=annee_CRAC)*(pat_tech_bt_11[[Annee Construction]:[Annee Construction]]=K$693)*(pat_tech_bt_11[[souterrain_km]:[souterrain_km]]))</f>
        <v>0</v>
      </c>
      <c r="L694" s="134" cm="1">
        <f t="array" ref="L694">SUMPRODUCT((pat_tech_bt_11[[Client]:[Client]]=syndicat_etude)*(pat_tech_bt_11[[Annee]:[Annee]]=annee_CRAC)*(pat_tech_bt_11[[Annee Construction]:[Annee Construction]]=L$693)*(pat_tech_bt_11[[souterrain_km]:[souterrain_km]]))</f>
        <v>0.14000000000000001</v>
      </c>
      <c r="M694" s="134" cm="1">
        <f t="array" ref="M694">SUMPRODUCT((pat_tech_bt_11[[Client]:[Client]]=syndicat_etude)*(pat_tech_bt_11[[Annee]:[Annee]]=annee_CRAC)*(pat_tech_bt_11[[Annee Construction]:[Annee Construction]]=M$693)*(pat_tech_bt_11[[souterrain_km]:[souterrain_km]]))</f>
        <v>0</v>
      </c>
      <c r="N694" s="134" cm="1">
        <f t="array" ref="N694">SUMPRODUCT((pat_tech_bt_11[[Client]:[Client]]=syndicat_etude)*(pat_tech_bt_11[[Annee]:[Annee]]=annee_CRAC)*(pat_tech_bt_11[[Annee Construction]:[Annee Construction]]=N$693)*(pat_tech_bt_11[[souterrain_km]:[souterrain_km]]))</f>
        <v>0</v>
      </c>
      <c r="O694" s="134" cm="1">
        <f t="array" ref="O694">SUMPRODUCT((pat_tech_bt_11[[Client]:[Client]]=syndicat_etude)*(pat_tech_bt_11[[Annee]:[Annee]]=annee_CRAC)*(pat_tech_bt_11[[Annee Construction]:[Annee Construction]]=O$693)*(pat_tech_bt_11[[souterrain_km]:[souterrain_km]]))</f>
        <v>0</v>
      </c>
      <c r="P694" s="134" cm="1">
        <f t="array" ref="P694">SUMPRODUCT((pat_tech_bt_11[[Client]:[Client]]=syndicat_etude)*(pat_tech_bt_11[[Annee]:[Annee]]=annee_CRAC)*(pat_tech_bt_11[[Annee Construction]:[Annee Construction]]=P$693)*(pat_tech_bt_11[[souterrain_km]:[souterrain_km]]))</f>
        <v>0.39</v>
      </c>
      <c r="Q694" s="134" cm="1">
        <f t="array" ref="Q694">SUMPRODUCT((pat_tech_bt_11[[Client]:[Client]]=syndicat_etude)*(pat_tech_bt_11[[Annee]:[Annee]]=annee_CRAC)*(pat_tech_bt_11[[Annee Construction]:[Annee Construction]]=Q$693)*(pat_tech_bt_11[[souterrain_km]:[souterrain_km]]))</f>
        <v>0</v>
      </c>
      <c r="R694" s="134" cm="1">
        <f t="array" ref="R694">SUMPRODUCT((pat_tech_bt_11[[Client]:[Client]]=syndicat_etude)*(pat_tech_bt_11[[Annee]:[Annee]]=annee_CRAC)*(pat_tech_bt_11[[Annee Construction]:[Annee Construction]]=R$693)*(pat_tech_bt_11[[souterrain_km]:[souterrain_km]]))</f>
        <v>0</v>
      </c>
      <c r="S694" s="134" cm="1">
        <f t="array" ref="S694">SUMPRODUCT((pat_tech_bt_11[[Client]:[Client]]=syndicat_etude)*(pat_tech_bt_11[[Annee]:[Annee]]=annee_CRAC)*(pat_tech_bt_11[[Annee Construction]:[Annee Construction]]=S$693)*(pat_tech_bt_11[[souterrain_km]:[souterrain_km]]))</f>
        <v>0.09</v>
      </c>
      <c r="T694" s="134" cm="1">
        <f t="array" ref="T694">SUMPRODUCT((pat_tech_bt_11[[Client]:[Client]]=syndicat_etude)*(pat_tech_bt_11[[Annee]:[Annee]]=annee_CRAC)*(pat_tech_bt_11[[Annee Construction]:[Annee Construction]]=T$693)*(pat_tech_bt_11[[souterrain_km]:[souterrain_km]]))</f>
        <v>0</v>
      </c>
      <c r="U694" s="134" cm="1">
        <f t="array" ref="U694">SUMPRODUCT((pat_tech_bt_11[[Client]:[Client]]=syndicat_etude)*(pat_tech_bt_11[[Annee]:[Annee]]=annee_CRAC)*(pat_tech_bt_11[[Annee Construction]:[Annee Construction]]=U$693)*(pat_tech_bt_11[[souterrain_km]:[souterrain_km]]))</f>
        <v>0.25</v>
      </c>
      <c r="V694" s="134" cm="1">
        <f t="array" ref="V694">SUMPRODUCT((pat_tech_bt_11[[Client]:[Client]]=syndicat_etude)*(pat_tech_bt_11[[Annee]:[Annee]]=annee_CRAC)*(pat_tech_bt_11[[Annee Construction]:[Annee Construction]]=V$693)*(pat_tech_bt_11[[souterrain_km]:[souterrain_km]]))</f>
        <v>0</v>
      </c>
      <c r="W694" s="134" cm="1">
        <f t="array" ref="W694">SUMPRODUCT((pat_tech_bt_11[[Client]:[Client]]=syndicat_etude)*(pat_tech_bt_11[[Annee]:[Annee]]=annee_CRAC)*(pat_tech_bt_11[[Annee Construction]:[Annee Construction]]=W$693)*(pat_tech_bt_11[[souterrain_km]:[souterrain_km]]))</f>
        <v>0.64</v>
      </c>
      <c r="X694" s="134" cm="1">
        <f t="array" ref="X694">SUMPRODUCT((pat_tech_bt_11[[Client]:[Client]]=syndicat_etude)*(pat_tech_bt_11[[Annee]:[Annee]]=annee_CRAC)*(pat_tech_bt_11[[Annee Construction]:[Annee Construction]]=X$693)*(pat_tech_bt_11[[souterrain_km]:[souterrain_km]]))</f>
        <v>0</v>
      </c>
      <c r="Y694" s="134" cm="1">
        <f t="array" ref="Y694">SUMPRODUCT((pat_tech_bt_11[[Client]:[Client]]=syndicat_etude)*(pat_tech_bt_11[[Annee]:[Annee]]=annee_CRAC)*(pat_tech_bt_11[[Annee Construction]:[Annee Construction]]=Y$693)*(pat_tech_bt_11[[souterrain_km]:[souterrain_km]]))</f>
        <v>0.02</v>
      </c>
      <c r="Z694" s="134" cm="1">
        <f t="array" ref="Z694">SUMPRODUCT((pat_tech_bt_11[[Client]:[Client]]=syndicat_etude)*(pat_tech_bt_11[[Annee]:[Annee]]=annee_CRAC)*(pat_tech_bt_11[[Annee Construction]:[Annee Construction]]=Z$693)*(pat_tech_bt_11[[souterrain_km]:[souterrain_km]]))</f>
        <v>0</v>
      </c>
      <c r="AA694" s="134" cm="1">
        <f t="array" ref="AA694">SUMPRODUCT((pat_tech_bt_11[[Client]:[Client]]=syndicat_etude)*(pat_tech_bt_11[[Annee]:[Annee]]=annee_CRAC)*(pat_tech_bt_11[[Annee Construction]:[Annee Construction]]=AA$693)*(pat_tech_bt_11[[souterrain_km]:[souterrain_km]]))</f>
        <v>1.2</v>
      </c>
      <c r="AB694" s="134" cm="1">
        <f t="array" ref="AB694">SUMPRODUCT((pat_tech_bt_11[[Client]:[Client]]=syndicat_etude)*(pat_tech_bt_11[[Annee]:[Annee]]=annee_CRAC)*(pat_tech_bt_11[[Annee Construction]:[Annee Construction]]=AB$693)*(pat_tech_bt_11[[souterrain_km]:[souterrain_km]]))</f>
        <v>0.03</v>
      </c>
      <c r="AC694" s="134" cm="1">
        <f t="array" ref="AC694">SUMPRODUCT((pat_tech_bt_11[[Client]:[Client]]=syndicat_etude)*(pat_tech_bt_11[[Annee]:[Annee]]=annee_CRAC)*(pat_tech_bt_11[[Annee Construction]:[Annee Construction]]=AC$693)*(pat_tech_bt_11[[souterrain_km]:[souterrain_km]]))</f>
        <v>0</v>
      </c>
      <c r="AD694" s="134" cm="1">
        <f t="array" ref="AD694">SUMPRODUCT((pat_tech_bt_11[[Client]:[Client]]=syndicat_etude)*(pat_tech_bt_11[[Annee]:[Annee]]=annee_CRAC)*(pat_tech_bt_11[[Annee Construction]:[Annee Construction]]=AD$693)*(pat_tech_bt_11[[souterrain_km]:[souterrain_km]]))</f>
        <v>0.62</v>
      </c>
      <c r="AE694" s="134" cm="1">
        <f t="array" ref="AE694">SUMPRODUCT((pat_tech_bt_11[[Client]:[Client]]=syndicat_etude)*(pat_tech_bt_11[[Annee]:[Annee]]=annee_CRAC)*(pat_tech_bt_11[[Annee Construction]:[Annee Construction]]=AE$693)*(pat_tech_bt_11[[souterrain_km]:[souterrain_km]]))</f>
        <v>0</v>
      </c>
      <c r="AF694" s="134" cm="1">
        <f t="array" ref="AF694">SUMPRODUCT((pat_tech_bt_11[[Client]:[Client]]=syndicat_etude)*(pat_tech_bt_11[[Annee]:[Annee]]=annee_CRAC)*(pat_tech_bt_11[[Annee Construction]:[Annee Construction]]=AF$693)*(pat_tech_bt_11[[souterrain_km]:[souterrain_km]]))</f>
        <v>7.0000000000000007E-2</v>
      </c>
      <c r="AG694" s="134" cm="1">
        <f t="array" ref="AG694">SUMPRODUCT((pat_tech_bt_11[[Client]:[Client]]=syndicat_etude)*(pat_tech_bt_11[[Annee]:[Annee]]=annee_CRAC)*(pat_tech_bt_11[[Annee Construction]:[Annee Construction]]=AG$693)*(pat_tech_bt_11[[souterrain_km]:[souterrain_km]]))</f>
        <v>0</v>
      </c>
      <c r="AH694" s="134" cm="1">
        <f t="array" ref="AH694">SUMPRODUCT((pat_tech_bt_11[[Client]:[Client]]=syndicat_etude)*(pat_tech_bt_11[[Annee]:[Annee]]=annee_CRAC)*(pat_tech_bt_11[[Annee Construction]:[Annee Construction]]=AH$693)*(pat_tech_bt_11[[souterrain_km]:[souterrain_km]]))</f>
        <v>0.01</v>
      </c>
      <c r="AI694" s="134" cm="1">
        <f t="array" ref="AI694">SUMPRODUCT((pat_tech_bt_11[[Client]:[Client]]=syndicat_etude)*(pat_tech_bt_11[[Annee]:[Annee]]=annee_CRAC)*(pat_tech_bt_11[[Annee Construction]:[Annee Construction]]=AI$693)*(pat_tech_bt_11[[souterrain_km]:[souterrain_km]]))</f>
        <v>0.87</v>
      </c>
      <c r="AJ694" s="134" cm="1">
        <f t="array" ref="AJ694">SUMPRODUCT((pat_tech_bt_11[[Client]:[Client]]=syndicat_etude)*(pat_tech_bt_11[[Annee]:[Annee]]=annee_CRAC)*(pat_tech_bt_11[[Annee Construction]:[Annee Construction]]=AJ$693)*(pat_tech_bt_11[[souterrain_km]:[souterrain_km]]))</f>
        <v>0.37</v>
      </c>
      <c r="AK694" s="134" cm="1">
        <f t="array" ref="AK694">SUMPRODUCT((pat_tech_bt_11[[Client]:[Client]]=syndicat_etude)*(pat_tech_bt_11[[Annee]:[Annee]]=annee_CRAC)*(pat_tech_bt_11[[Annee Construction]:[Annee Construction]]=AK$693)*(pat_tech_bt_11[[souterrain_km]:[souterrain_km]]))</f>
        <v>0.46</v>
      </c>
      <c r="AL694" s="134" cm="1">
        <f t="array" ref="AL694">SUMPRODUCT((pat_tech_bt_11[[Client]:[Client]]=syndicat_etude)*(pat_tech_bt_11[[Annee]:[Annee]]=annee_CRAC)*(pat_tech_bt_11[[Annee Construction]:[Annee Construction]]=AL$693)*(pat_tech_bt_11[[souterrain_km]:[souterrain_km]]))</f>
        <v>0.14000000000000001</v>
      </c>
      <c r="AM694" s="134" cm="1">
        <f t="array" ref="AM694">SUMPRODUCT((pat_tech_bt_11[[Client]:[Client]]=syndicat_etude)*(pat_tech_bt_11[[Annee]:[Annee]]=annee_CRAC)*(pat_tech_bt_11[[Annee Construction]:[Annee Construction]]=AM$693)*(pat_tech_bt_11[[souterrain_km]:[souterrain_km]]))</f>
        <v>0.26</v>
      </c>
      <c r="AN694" s="134" cm="1">
        <f t="array" ref="AN694">SUMPRODUCT((pat_tech_bt_11[[Client]:[Client]]=syndicat_etude)*(pat_tech_bt_11[[Annee]:[Annee]]=annee_CRAC)*(pat_tech_bt_11[[Annee Construction]:[Annee Construction]]=AN$693)*(pat_tech_bt_11[[souterrain_km]:[souterrain_km]]))</f>
        <v>1.1200000000000001</v>
      </c>
      <c r="AO694" s="134" cm="1">
        <f t="array" ref="AO694">SUMPRODUCT((pat_tech_bt_11[[Client]:[Client]]=syndicat_etude)*(pat_tech_bt_11[[Annee]:[Annee]]=annee_CRAC)*(pat_tech_bt_11[[Annee Construction]:[Annee Construction]]=AO$693)*(pat_tech_bt_11[[souterrain_km]:[souterrain_km]]))</f>
        <v>2.5499999999999998</v>
      </c>
      <c r="AP694" s="134" cm="1">
        <f t="array" ref="AP694">SUMPRODUCT((pat_tech_bt_11[[Client]:[Client]]=syndicat_etude)*(pat_tech_bt_11[[Annee]:[Annee]]=annee_CRAC)*(pat_tech_bt_11[[Annee Construction]:[Annee Construction]]=AP$693)*(pat_tech_bt_11[[souterrain_km]:[souterrain_km]]))</f>
        <v>9.33</v>
      </c>
      <c r="AQ694" s="134" cm="1">
        <f t="array" ref="AQ694">SUMPRODUCT((pat_tech_bt_11[[Client]:[Client]]=syndicat_etude)*(pat_tech_bt_11[[Annee]:[Annee]]=annee_CRAC)*(pat_tech_bt_11[[Annee Construction]:[Annee Construction]]=AQ$693)*(pat_tech_bt_11[[souterrain_km]:[souterrain_km]]))</f>
        <v>50</v>
      </c>
      <c r="AR694" s="134" cm="1">
        <f t="array" ref="AR694">SUMPRODUCT((pat_tech_bt_11[[Client]:[Client]]=syndicat_etude)*(pat_tech_bt_11[[Annee]:[Annee]]=annee_CRAC)*(pat_tech_bt_11[[Annee Construction]:[Annee Construction]]=AR$693)*(pat_tech_bt_11[[souterrain_km]:[souterrain_km]]))</f>
        <v>90.65</v>
      </c>
      <c r="AS694" s="134" cm="1">
        <f t="array" ref="AS694">SUMPRODUCT((pat_tech_bt_11[[Client]:[Client]]=syndicat_etude)*(pat_tech_bt_11[[Annee]:[Annee]]=annee_CRAC)*(pat_tech_bt_11[[Annee Construction]:[Annee Construction]]=AS$693)*(pat_tech_bt_11[[souterrain_km]:[souterrain_km]]))</f>
        <v>0.24</v>
      </c>
      <c r="AT694" s="134" cm="1">
        <f t="array" ref="AT694">SUMPRODUCT((pat_tech_bt_11[[Client]:[Client]]=syndicat_etude)*(pat_tech_bt_11[[Annee]:[Annee]]=annee_CRAC)*(pat_tech_bt_11[[Annee Construction]:[Annee Construction]]=AT$693)*(pat_tech_bt_11[[souterrain_km]:[souterrain_km]]))</f>
        <v>62.56</v>
      </c>
      <c r="AU694" s="134" cm="1">
        <f t="array" ref="AU694">SUMPRODUCT((pat_tech_bt_11[[Client]:[Client]]=syndicat_etude)*(pat_tech_bt_11[[Annee]:[Annee]]=annee_CRAC)*(pat_tech_bt_11[[Annee Construction]:[Annee Construction]]=AU$693)*(pat_tech_bt_11[[souterrain_km]:[souterrain_km]]))</f>
        <v>35.01</v>
      </c>
      <c r="AV694" s="134" cm="1">
        <f t="array" ref="AV694">SUMPRODUCT((pat_tech_bt_11[[Client]:[Client]]=syndicat_etude)*(pat_tech_bt_11[[Annee]:[Annee]]=annee_CRAC)*(pat_tech_bt_11[[Annee Construction]:[Annee Construction]]=AV$693)*(pat_tech_bt_11[[souterrain_km]:[souterrain_km]]))</f>
        <v>71.569999999999993</v>
      </c>
      <c r="AW694" s="134" cm="1">
        <f t="array" ref="AW694">SUMPRODUCT((pat_tech_bt_11[[Client]:[Client]]=syndicat_etude)*(pat_tech_bt_11[[Annee]:[Annee]]=annee_CRAC)*(pat_tech_bt_11[[Annee Construction]:[Annee Construction]]=AW$693)*(pat_tech_bt_11[[souterrain_km]:[souterrain_km]]))</f>
        <v>110.38</v>
      </c>
      <c r="AX694" s="134" cm="1">
        <f t="array" ref="AX694">SUMPRODUCT((pat_tech_bt_11[[Client]:[Client]]=syndicat_etude)*(pat_tech_bt_11[[Annee]:[Annee]]=annee_CRAC)*(pat_tech_bt_11[[Annee Construction]:[Annee Construction]]=AX$693)*(pat_tech_bt_11[[souterrain_km]:[souterrain_km]]))</f>
        <v>50.07</v>
      </c>
      <c r="AY694" s="134" cm="1">
        <f t="array" ref="AY694">SUMPRODUCT((pat_tech_bt_11[[Client]:[Client]]=syndicat_etude)*(pat_tech_bt_11[[Annee]:[Annee]]=annee_CRAC)*(pat_tech_bt_11[[Annee Construction]:[Annee Construction]]=AY$693)*(pat_tech_bt_11[[souterrain_km]:[souterrain_km]]))</f>
        <v>59.54</v>
      </c>
      <c r="AZ694" s="134" cm="1">
        <f t="array" ref="AZ694">SUMPRODUCT((pat_tech_bt_11[[Client]:[Client]]=syndicat_etude)*(pat_tech_bt_11[[Annee]:[Annee]]=annee_CRAC)*(pat_tech_bt_11[[Annee Construction]:[Annee Construction]]=AZ$693)*(pat_tech_bt_11[[souterrain_km]:[souterrain_km]]))</f>
        <v>55.77</v>
      </c>
      <c r="BA694" s="134" cm="1">
        <f t="array" ref="BA694">SUMPRODUCT((pat_tech_bt_11[[Client]:[Client]]=syndicat_etude)*(pat_tech_bt_11[[Annee]:[Annee]]=annee_CRAC)*(pat_tech_bt_11[[Annee Construction]:[Annee Construction]]=BA$693)*(pat_tech_bt_11[[souterrain_km]:[souterrain_km]]))</f>
        <v>68.290000000000006</v>
      </c>
      <c r="BB694" s="134" cm="1">
        <f t="array" ref="BB694">SUMPRODUCT((pat_tech_bt_11[[Client]:[Client]]=syndicat_etude)*(pat_tech_bt_11[[Annee]:[Annee]]=annee_CRAC)*(pat_tech_bt_11[[Annee Construction]:[Annee Construction]]=BB$693)*(pat_tech_bt_11[[souterrain_km]:[souterrain_km]]))</f>
        <v>58.6</v>
      </c>
      <c r="BC694" s="134" cm="1">
        <f t="array" ref="BC694">SUMPRODUCT((pat_tech_bt_11[[Client]:[Client]]=syndicat_etude)*(pat_tech_bt_11[[Annee]:[Annee]]=annee_CRAC)*(pat_tech_bt_11[[Annee Construction]:[Annee Construction]]=BC$693)*(pat_tech_bt_11[[souterrain_km]:[souterrain_km]]))</f>
        <v>73.900000000000006</v>
      </c>
      <c r="BD694" s="134" cm="1">
        <f t="array" ref="BD694">SUMPRODUCT((pat_tech_bt_11[[Client]:[Client]]=syndicat_etude)*(pat_tech_bt_11[[Annee]:[Annee]]=annee_CRAC)*(pat_tech_bt_11[[Annee Construction]:[Annee Construction]]=BD$693)*(pat_tech_bt_11[[souterrain_km]:[souterrain_km]]))</f>
        <v>64.41</v>
      </c>
      <c r="BE694" s="134" cm="1">
        <f t="array" ref="BE694">SUMPRODUCT((pat_tech_bt_11[[Client]:[Client]]=syndicat_etude)*(pat_tech_bt_11[[Annee]:[Annee]]=annee_CRAC)*(pat_tech_bt_11[[Annee Construction]:[Annee Construction]]=BE$693)*(pat_tech_bt_11[[souterrain_km]:[souterrain_km]]))</f>
        <v>57.33</v>
      </c>
      <c r="BF694" s="134" cm="1">
        <f t="array" ref="BF694">SUMPRODUCT((pat_tech_bt_11[[Client]:[Client]]=syndicat_etude)*(pat_tech_bt_11[[Annee]:[Annee]]=annee_CRAC)*(pat_tech_bt_11[[Annee Construction]:[Annee Construction]]=BF$693)*(pat_tech_bt_11[[souterrain_km]:[souterrain_km]]))</f>
        <v>68.88</v>
      </c>
      <c r="BG694" s="134" cm="1">
        <f t="array" ref="BG694">SUMPRODUCT((pat_tech_bt_11[[Client]:[Client]]=syndicat_etude)*(pat_tech_bt_11[[Annee]:[Annee]]=annee_CRAC)*(pat_tech_bt_11[[Annee Construction]:[Annee Construction]]=BG$693)*(pat_tech_bt_11[[souterrain_km]:[souterrain_km]]))</f>
        <v>53.42</v>
      </c>
      <c r="BH694" s="134" cm="1">
        <f t="array" ref="BH694">SUMPRODUCT((pat_tech_bt_11[[Client]:[Client]]=syndicat_etude)*(pat_tech_bt_11[[Annee]:[Annee]]=annee_CRAC)*(pat_tech_bt_11[[Annee Construction]:[Annee Construction]]=BH$693)*(pat_tech_bt_11[[souterrain_km]:[souterrain_km]]))</f>
        <v>64.489999999999995</v>
      </c>
      <c r="BI694" s="134" cm="1">
        <f t="array" ref="BI694">SUMPRODUCT((pat_tech_bt_11[[Client]:[Client]]=syndicat_etude)*(pat_tech_bt_11[[Annee]:[Annee]]=annee_CRAC)*(pat_tech_bt_11[[Annee Construction]:[Annee Construction]]=BI$693)*(pat_tech_bt_11[[souterrain_km]:[souterrain_km]]))</f>
        <v>54.55</v>
      </c>
      <c r="BJ694" s="134" cm="1">
        <f t="array" ref="BJ694">SUMPRODUCT((pat_tech_bt_11[[Client]:[Client]]=syndicat_etude)*(pat_tech_bt_11[[Annee]:[Annee]]=annee_CRAC)*(pat_tech_bt_11[[Annee Construction]:[Annee Construction]]=BJ$693)*(pat_tech_bt_11[[souterrain_km]:[souterrain_km]]))</f>
        <v>66.430000000000007</v>
      </c>
      <c r="BK694" s="134" cm="1">
        <f t="array" ref="BK694">SUMPRODUCT((pat_tech_bt_11[[Client]:[Client]]=syndicat_etude)*(pat_tech_bt_11[[Annee]:[Annee]]=annee_CRAC)*(pat_tech_bt_11[[Annee Construction]:[Annee Construction]]=BK$693)*(pat_tech_bt_11[[souterrain_km]:[souterrain_km]]))</f>
        <v>63.41</v>
      </c>
      <c r="BL694" s="134" cm="1">
        <f t="array" ref="BL694">SUMPRODUCT((pat_tech_bt_11[[Client]:[Client]]=syndicat_etude)*(pat_tech_bt_11[[Annee]:[Annee]]=annee_CRAC)*(pat_tech_bt_11[[Annee Construction]:[Annee Construction]]=BL$693)*(pat_tech_bt_11[[souterrain_km]:[souterrain_km]]))</f>
        <v>88.61</v>
      </c>
      <c r="BM694" s="134" cm="1">
        <f t="array" ref="BM694">SUMPRODUCT((pat_tech_bt_11[[Client]:[Client]]=syndicat_etude)*(pat_tech_bt_11[[Annee]:[Annee]]=annee_CRAC)*(pat_tech_bt_11[[Annee Construction]:[Annee Construction]]=BM$693)*(pat_tech_bt_11[[souterrain_km]:[souterrain_km]]))</f>
        <v>76.58</v>
      </c>
      <c r="BN694" s="134" cm="1">
        <f t="array" ref="BN694">SUMPRODUCT((pat_tech_bt_11[[Client]:[Client]]=syndicat_etude)*(pat_tech_bt_11[[Annee]:[Annee]]=annee_CRAC)*(pat_tech_bt_11[[Annee Construction]:[Annee Construction]]=BN$693)*(pat_tech_bt_11[[souterrain_km]:[souterrain_km]]))</f>
        <v>65.05</v>
      </c>
      <c r="BO694" s="134" cm="1">
        <f t="array" ref="BO694">SUMPRODUCT((pat_tech_bt_11[[Client]:[Client]]=syndicat_etude)*(pat_tech_bt_11[[Annee]:[Annee]]=annee_CRAC)*(pat_tech_bt_11[[Annee Construction]:[Annee Construction]]=BO$693)*(pat_tech_bt_11[[souterrain_km]:[souterrain_km]]))</f>
        <v>70.52</v>
      </c>
      <c r="BP694" s="134" cm="1">
        <f t="array" ref="BP694">SUMPRODUCT((pat_tech_bt_11[[Client]:[Client]]=syndicat_etude)*(pat_tech_bt_11[[Annee]:[Annee]]=annee_CRAC)*(pat_tech_bt_11[[Annee Construction]:[Annee Construction]]=BP$693)*(pat_tech_bt_11[[souterrain_km]:[souterrain_km]]))</f>
        <v>75.87</v>
      </c>
      <c r="BQ694" s="134" cm="1">
        <f t="array" ref="BQ694">SUMPRODUCT((pat_tech_bt_11[[Client]:[Client]]=syndicat_etude)*(pat_tech_bt_11[[Annee]:[Annee]]=annee_CRAC)*(pat_tech_bt_11[[Annee Construction]:[Annee Construction]]=BQ$693)*(pat_tech_bt_11[[souterrain_km]:[souterrain_km]]))</f>
        <v>71.739999999999995</v>
      </c>
      <c r="BR694" s="134" cm="1">
        <f t="array" ref="BR694">SUMPRODUCT((pat_tech_bt_11[[Client]:[Client]]=syndicat_etude)*(pat_tech_bt_11[[Annee]:[Annee]]=annee_CRAC)*(pat_tech_bt_11[[Annee Construction]:[Annee Construction]]=BR$693)*(pat_tech_bt_11[[souterrain_km]:[souterrain_km]]))</f>
        <v>57.03</v>
      </c>
      <c r="BS694" s="134" cm="1">
        <f t="array" ref="BS694">SUMPRODUCT((pat_tech_bt_11[[Client]:[Client]]=syndicat_etude)*(pat_tech_bt_11[[Annee]:[Annee]]=annee_CRAC)*(pat_tech_bt_11[[Annee Construction]:[Annee Construction]]=BS$693)*(pat_tech_bt_11[[souterrain_km]:[souterrain_km]]))</f>
        <v>59.44</v>
      </c>
      <c r="BT694" s="134" cm="1">
        <f t="array" ref="BT694">SUMPRODUCT((pat_tech_bt_11[[Client]:[Client]]=syndicat_etude)*(pat_tech_bt_11[[Annee]:[Annee]]=annee_CRAC)*(pat_tech_bt_11[[Annee Construction]:[Annee Construction]]=BT$693)*(pat_tech_bt_11[[souterrain_km]:[souterrain_km]]))</f>
        <v>41.3</v>
      </c>
      <c r="BU694" s="134" cm="1">
        <f t="array" ref="BU694">SUMPRODUCT((pat_tech_bt_11[[Client]:[Client]]=syndicat_etude)*(pat_tech_bt_11[[Annee]:[Annee]]=annee_CRAC)*(pat_tech_bt_11[[Annee Construction]:[Annee Construction]]=BU$693)*(pat_tech_bt_11[[souterrain_km]:[souterrain_km]]))</f>
        <v>43.3</v>
      </c>
      <c r="BV694" s="134" cm="1">
        <f t="array" ref="BV694">SUMPRODUCT((pat_tech_bt_11[[Client]:[Client]]=syndicat_etude)*(pat_tech_bt_11[[Annee]:[Annee]]=annee_CRAC)*(pat_tech_bt_11[[Annee Construction]:[Annee Construction]]=BV$693)*(pat_tech_bt_11[[souterrain_km]:[souterrain_km]]))</f>
        <v>55.46</v>
      </c>
      <c r="BW694" s="134" cm="1">
        <f t="array" ref="BW694">SUMPRODUCT((pat_tech_bt_11[[Client]:[Client]]=syndicat_etude)*(pat_tech_bt_11[[Annee]:[Annee]]=annee_CRAC)*(pat_tech_bt_11[[Annee Construction]:[Annee Construction]]=BW$693)*(pat_tech_bt_11[[souterrain_km]:[souterrain_km]]))</f>
        <v>43.81</v>
      </c>
      <c r="BX694" s="134" cm="1">
        <f t="array" ref="BX694">SUMPRODUCT((pat_tech_bt_11[[Client]:[Client]]=syndicat_etude)*(pat_tech_bt_11[[Annee]:[Annee]]=annee_CRAC)*(pat_tech_bt_11[[Annee Construction]:[Annee Construction]]=BX$693)*(pat_tech_bt_11[[souterrain_km]:[souterrain_km]]))</f>
        <v>51.32</v>
      </c>
      <c r="BY694" s="134" cm="1">
        <f t="array" ref="BY694">SUMPRODUCT((pat_tech_bt_11[[Client]:[Client]]=syndicat_etude)*(pat_tech_bt_11[[Annee]:[Annee]]=annee_CRAC)*(pat_tech_bt_11[[Annee Construction]:[Annee Construction]]=BY$693)*(pat_tech_bt_11[[souterrain_km]:[souterrain_km]]))</f>
        <v>45.67</v>
      </c>
      <c r="BZ694" s="134" cm="1">
        <f t="array" ref="BZ694">SUMPRODUCT((pat_tech_bt_11[[Client]:[Client]]=syndicat_etude)*(pat_tech_bt_11[[Annee]:[Annee]]=annee_CRAC)*(pat_tech_bt_11[[Annee Construction]:[Annee Construction]]=BZ$693)*(pat_tech_bt_11[[souterrain_km]:[souterrain_km]]))</f>
        <v>48.35</v>
      </c>
      <c r="CA694" s="134" cm="1">
        <f t="array" ref="CA694">SUMPRODUCT((pat_tech_bt_11[[Client]:[Client]]=syndicat_etude)*(pat_tech_bt_11[[Annee]:[Annee]]=annee_CRAC)*(pat_tech_bt_11[[Annee Construction]:[Annee Construction]]=CA$693)*(pat_tech_bt_11[[souterrain_km]:[souterrain_km]]))</f>
        <v>44.57</v>
      </c>
      <c r="CB694" s="134" cm="1">
        <f t="array" ref="CB694">SUMPRODUCT((pat_tech_bt_11[[Client]:[Client]]=syndicat_etude)*(pat_tech_bt_11[[Annee]:[Annee]]=annee_CRAC)*(pat_tech_bt_11[[Annee Construction]:[Annee Construction]]=CB$693)*(pat_tech_bt_11[[souterrain_km]:[souterrain_km]]))</f>
        <v>45.09</v>
      </c>
      <c r="CC694" s="134" cm="1">
        <f t="array" ref="CC694">SUMPRODUCT((pat_tech_bt_11[[Client]:[Client]]=syndicat_etude)*(pat_tech_bt_11[[Annee]:[Annee]]=annee_CRAC)*(pat_tech_bt_11[[Annee Construction]:[Annee Construction]]=CC$693)*(pat_tech_bt_11[[souterrain_km]:[souterrain_km]]))</f>
        <v>0</v>
      </c>
      <c r="CD694" s="134" cm="1">
        <f t="array" ref="CD694">SUMPRODUCT((pat_tech_bt_11[[Client]:[Client]]=syndicat_etude)*(pat_tech_bt_11[[Annee]:[Annee]]=annee_CRAC)*(pat_tech_bt_11[[Annee Construction]:[Annee Construction]]=CD$693)*(pat_tech_bt_11[[souterrain_km]:[souterrain_km]]))</f>
        <v>0</v>
      </c>
      <c r="CE694" s="134" cm="1">
        <f t="array" ref="CE694">SUMPRODUCT((pat_tech_bt_11[[Client]:[Client]]=syndicat_etude)*(pat_tech_bt_11[[Annee]:[Annee]]=annee_CRAC)*(pat_tech_bt_11[[Annee Construction]:[Annee Construction]]=CE$693)*(pat_tech_bt_11[[souterrain_km]:[souterrain_km]]))</f>
        <v>0</v>
      </c>
      <c r="CF694" s="735" cm="1">
        <f t="array" ref="CF694">SUMPRODUCT((pat_tech_bt_11[[Client]:[Client]]=syndicat_etude)*(pat_tech_bt_11[[Annee]:[Annee]]=annee_CRAC)*(pat_tech_bt_11[[Annee Construction]:[Annee Construction]]=CF$693)*(pat_tech_bt_11[[souterrain_km]:[souterrain_km]]))</f>
        <v>0</v>
      </c>
    </row>
    <row r="695" spans="1:84" s="164" customFormat="1" ht="15" customHeight="1" x14ac:dyDescent="0.25">
      <c r="B695" s="288" t="s">
        <v>549</v>
      </c>
      <c r="C695" s="15" cm="1">
        <f t="array" ref="C695">SUMPRODUCT((pat_tech_bt_11[[Client]:[Client]]=syndicat_etude)*(pat_tech_bt_11[[Annee]:[Annee]]=annee_CRAC)*(pat_tech_bt_11[[Annee Construction]:[Annee Construction]]=C$693)*(pat_tech_bt_11[[dont_cpi_km]:[dont_cpi_km]]))</f>
        <v>45.4</v>
      </c>
      <c r="D695" s="15" cm="1">
        <f t="array" ref="D695">SUMPRODUCT((pat_tech_bt_11[[Client]:[Client]]=syndicat_etude)*(pat_tech_bt_11[[Annee]:[Annee]]=annee_CRAC)*(pat_tech_bt_11[[Annee Construction]:[Annee Construction]]=D$693)*(pat_tech_bt_11[[dont_cpi_km]:[dont_cpi_km]]))</f>
        <v>0.34</v>
      </c>
      <c r="E695" s="15" cm="1">
        <f t="array" ref="E695">SUMPRODUCT((pat_tech_bt_11[[Client]:[Client]]=syndicat_etude)*(pat_tech_bt_11[[Annee]:[Annee]]=annee_CRAC)*(pat_tech_bt_11[[Annee Construction]:[Annee Construction]]=E$693)*(pat_tech_bt_11[[dont_cpi_km]:[dont_cpi_km]]))</f>
        <v>0</v>
      </c>
      <c r="F695" s="15" cm="1">
        <f t="array" ref="F695">SUMPRODUCT((pat_tech_bt_11[[Client]:[Client]]=syndicat_etude)*(pat_tech_bt_11[[Annee]:[Annee]]=annee_CRAC)*(pat_tech_bt_11[[Annee Construction]:[Annee Construction]]=F$693)*(pat_tech_bt_11[[dont_cpi_km]:[dont_cpi_km]]))</f>
        <v>0</v>
      </c>
      <c r="G695" s="15" cm="1">
        <f t="array" ref="G695">SUMPRODUCT((pat_tech_bt_11[[Client]:[Client]]=syndicat_etude)*(pat_tech_bt_11[[Annee]:[Annee]]=annee_CRAC)*(pat_tech_bt_11[[Annee Construction]:[Annee Construction]]=G$693)*(pat_tech_bt_11[[dont_cpi_km]:[dont_cpi_km]]))</f>
        <v>1.17</v>
      </c>
      <c r="H695" s="15" cm="1">
        <f t="array" ref="H695">SUMPRODUCT((pat_tech_bt_11[[Client]:[Client]]=syndicat_etude)*(pat_tech_bt_11[[Annee]:[Annee]]=annee_CRAC)*(pat_tech_bt_11[[Annee Construction]:[Annee Construction]]=H$693)*(pat_tech_bt_11[[dont_cpi_km]:[dont_cpi_km]]))</f>
        <v>0</v>
      </c>
      <c r="I695" s="15" cm="1">
        <f t="array" ref="I695">SUMPRODUCT((pat_tech_bt_11[[Client]:[Client]]=syndicat_etude)*(pat_tech_bt_11[[Annee]:[Annee]]=annee_CRAC)*(pat_tech_bt_11[[Annee Construction]:[Annee Construction]]=I$693)*(pat_tech_bt_11[[dont_cpi_km]:[dont_cpi_km]]))</f>
        <v>0</v>
      </c>
      <c r="J695" s="15" cm="1">
        <f t="array" ref="J695">SUMPRODUCT((pat_tech_bt_11[[Client]:[Client]]=syndicat_etude)*(pat_tech_bt_11[[Annee]:[Annee]]=annee_CRAC)*(pat_tech_bt_11[[Annee Construction]:[Annee Construction]]=J$693)*(pat_tech_bt_11[[dont_cpi_km]:[dont_cpi_km]]))</f>
        <v>0</v>
      </c>
      <c r="K695" s="15" cm="1">
        <f t="array" ref="K695">SUMPRODUCT((pat_tech_bt_11[[Client]:[Client]]=syndicat_etude)*(pat_tech_bt_11[[Annee]:[Annee]]=annee_CRAC)*(pat_tech_bt_11[[Annee Construction]:[Annee Construction]]=K$693)*(pat_tech_bt_11[[dont_cpi_km]:[dont_cpi_km]]))</f>
        <v>0</v>
      </c>
      <c r="L695" s="15" cm="1">
        <f t="array" ref="L695">SUMPRODUCT((pat_tech_bt_11[[Client]:[Client]]=syndicat_etude)*(pat_tech_bt_11[[Annee]:[Annee]]=annee_CRAC)*(pat_tech_bt_11[[Annee Construction]:[Annee Construction]]=L$693)*(pat_tech_bt_11[[dont_cpi_km]:[dont_cpi_km]]))</f>
        <v>0.14000000000000001</v>
      </c>
      <c r="M695" s="15" cm="1">
        <f t="array" ref="M695">SUMPRODUCT((pat_tech_bt_11[[Client]:[Client]]=syndicat_etude)*(pat_tech_bt_11[[Annee]:[Annee]]=annee_CRAC)*(pat_tech_bt_11[[Annee Construction]:[Annee Construction]]=M$693)*(pat_tech_bt_11[[dont_cpi_km]:[dont_cpi_km]]))</f>
        <v>0</v>
      </c>
      <c r="N695" s="15" cm="1">
        <f t="array" ref="N695">SUMPRODUCT((pat_tech_bt_11[[Client]:[Client]]=syndicat_etude)*(pat_tech_bt_11[[Annee]:[Annee]]=annee_CRAC)*(pat_tech_bt_11[[Annee Construction]:[Annee Construction]]=N$693)*(pat_tech_bt_11[[dont_cpi_km]:[dont_cpi_km]]))</f>
        <v>0</v>
      </c>
      <c r="O695" s="15" cm="1">
        <f t="array" ref="O695">SUMPRODUCT((pat_tech_bt_11[[Client]:[Client]]=syndicat_etude)*(pat_tech_bt_11[[Annee]:[Annee]]=annee_CRAC)*(pat_tech_bt_11[[Annee Construction]:[Annee Construction]]=O$693)*(pat_tech_bt_11[[dont_cpi_km]:[dont_cpi_km]]))</f>
        <v>0</v>
      </c>
      <c r="P695" s="15" cm="1">
        <f t="array" ref="P695">SUMPRODUCT((pat_tech_bt_11[[Client]:[Client]]=syndicat_etude)*(pat_tech_bt_11[[Annee]:[Annee]]=annee_CRAC)*(pat_tech_bt_11[[Annee Construction]:[Annee Construction]]=P$693)*(pat_tech_bt_11[[dont_cpi_km]:[dont_cpi_km]]))</f>
        <v>0.39</v>
      </c>
      <c r="Q695" s="15" cm="1">
        <f t="array" ref="Q695">SUMPRODUCT((pat_tech_bt_11[[Client]:[Client]]=syndicat_etude)*(pat_tech_bt_11[[Annee]:[Annee]]=annee_CRAC)*(pat_tech_bt_11[[Annee Construction]:[Annee Construction]]=Q$693)*(pat_tech_bt_11[[dont_cpi_km]:[dont_cpi_km]]))</f>
        <v>0</v>
      </c>
      <c r="R695" s="15" cm="1">
        <f t="array" ref="R695">SUMPRODUCT((pat_tech_bt_11[[Client]:[Client]]=syndicat_etude)*(pat_tech_bt_11[[Annee]:[Annee]]=annee_CRAC)*(pat_tech_bt_11[[Annee Construction]:[Annee Construction]]=R$693)*(pat_tech_bt_11[[dont_cpi_km]:[dont_cpi_km]]))</f>
        <v>0</v>
      </c>
      <c r="S695" s="15" cm="1">
        <f t="array" ref="S695">SUMPRODUCT((pat_tech_bt_11[[Client]:[Client]]=syndicat_etude)*(pat_tech_bt_11[[Annee]:[Annee]]=annee_CRAC)*(pat_tech_bt_11[[Annee Construction]:[Annee Construction]]=S$693)*(pat_tech_bt_11[[dont_cpi_km]:[dont_cpi_km]]))</f>
        <v>0.09</v>
      </c>
      <c r="T695" s="15" cm="1">
        <f t="array" ref="T695">SUMPRODUCT((pat_tech_bt_11[[Client]:[Client]]=syndicat_etude)*(pat_tech_bt_11[[Annee]:[Annee]]=annee_CRAC)*(pat_tech_bt_11[[Annee Construction]:[Annee Construction]]=T$693)*(pat_tech_bt_11[[dont_cpi_km]:[dont_cpi_km]]))</f>
        <v>0</v>
      </c>
      <c r="U695" s="15" cm="1">
        <f t="array" ref="U695">SUMPRODUCT((pat_tech_bt_11[[Client]:[Client]]=syndicat_etude)*(pat_tech_bt_11[[Annee]:[Annee]]=annee_CRAC)*(pat_tech_bt_11[[Annee Construction]:[Annee Construction]]=U$693)*(pat_tech_bt_11[[dont_cpi_km]:[dont_cpi_km]]))</f>
        <v>0.25</v>
      </c>
      <c r="V695" s="15" cm="1">
        <f t="array" ref="V695">SUMPRODUCT((pat_tech_bt_11[[Client]:[Client]]=syndicat_etude)*(pat_tech_bt_11[[Annee]:[Annee]]=annee_CRAC)*(pat_tech_bt_11[[Annee Construction]:[Annee Construction]]=V$693)*(pat_tech_bt_11[[dont_cpi_km]:[dont_cpi_km]]))</f>
        <v>0</v>
      </c>
      <c r="W695" s="15" cm="1">
        <f t="array" ref="W695">SUMPRODUCT((pat_tech_bt_11[[Client]:[Client]]=syndicat_etude)*(pat_tech_bt_11[[Annee]:[Annee]]=annee_CRAC)*(pat_tech_bt_11[[Annee Construction]:[Annee Construction]]=W$693)*(pat_tech_bt_11[[dont_cpi_km]:[dont_cpi_km]]))</f>
        <v>0.64</v>
      </c>
      <c r="X695" s="15" cm="1">
        <f t="array" ref="X695">SUMPRODUCT((pat_tech_bt_11[[Client]:[Client]]=syndicat_etude)*(pat_tech_bt_11[[Annee]:[Annee]]=annee_CRAC)*(pat_tech_bt_11[[Annee Construction]:[Annee Construction]]=X$693)*(pat_tech_bt_11[[dont_cpi_km]:[dont_cpi_km]]))</f>
        <v>0</v>
      </c>
      <c r="Y695" s="15" cm="1">
        <f t="array" ref="Y695">SUMPRODUCT((pat_tech_bt_11[[Client]:[Client]]=syndicat_etude)*(pat_tech_bt_11[[Annee]:[Annee]]=annee_CRAC)*(pat_tech_bt_11[[Annee Construction]:[Annee Construction]]=Y$693)*(pat_tech_bt_11[[dont_cpi_km]:[dont_cpi_km]]))</f>
        <v>0.02</v>
      </c>
      <c r="Z695" s="15" cm="1">
        <f t="array" ref="Z695">SUMPRODUCT((pat_tech_bt_11[[Client]:[Client]]=syndicat_etude)*(pat_tech_bt_11[[Annee]:[Annee]]=annee_CRAC)*(pat_tech_bt_11[[Annee Construction]:[Annee Construction]]=Z$693)*(pat_tech_bt_11[[dont_cpi_km]:[dont_cpi_km]]))</f>
        <v>0</v>
      </c>
      <c r="AA695" s="15" cm="1">
        <f t="array" ref="AA695">SUMPRODUCT((pat_tech_bt_11[[Client]:[Client]]=syndicat_etude)*(pat_tech_bt_11[[Annee]:[Annee]]=annee_CRAC)*(pat_tech_bt_11[[Annee Construction]:[Annee Construction]]=AA$693)*(pat_tech_bt_11[[dont_cpi_km]:[dont_cpi_km]]))</f>
        <v>1.2</v>
      </c>
      <c r="AB695" s="15" cm="1">
        <f t="array" ref="AB695">SUMPRODUCT((pat_tech_bt_11[[Client]:[Client]]=syndicat_etude)*(pat_tech_bt_11[[Annee]:[Annee]]=annee_CRAC)*(pat_tech_bt_11[[Annee Construction]:[Annee Construction]]=AB$693)*(pat_tech_bt_11[[dont_cpi_km]:[dont_cpi_km]]))</f>
        <v>0.03</v>
      </c>
      <c r="AC695" s="15" cm="1">
        <f t="array" ref="AC695">SUMPRODUCT((pat_tech_bt_11[[Client]:[Client]]=syndicat_etude)*(pat_tech_bt_11[[Annee]:[Annee]]=annee_CRAC)*(pat_tech_bt_11[[Annee Construction]:[Annee Construction]]=AC$693)*(pat_tech_bt_11[[dont_cpi_km]:[dont_cpi_km]]))</f>
        <v>0</v>
      </c>
      <c r="AD695" s="15" cm="1">
        <f t="array" ref="AD695">SUMPRODUCT((pat_tech_bt_11[[Client]:[Client]]=syndicat_etude)*(pat_tech_bt_11[[Annee]:[Annee]]=annee_CRAC)*(pat_tech_bt_11[[Annee Construction]:[Annee Construction]]=AD$693)*(pat_tech_bt_11[[dont_cpi_km]:[dont_cpi_km]]))</f>
        <v>0.62</v>
      </c>
      <c r="AE695" s="15" cm="1">
        <f t="array" ref="AE695">SUMPRODUCT((pat_tech_bt_11[[Client]:[Client]]=syndicat_etude)*(pat_tech_bt_11[[Annee]:[Annee]]=annee_CRAC)*(pat_tech_bt_11[[Annee Construction]:[Annee Construction]]=AE$693)*(pat_tech_bt_11[[dont_cpi_km]:[dont_cpi_km]]))</f>
        <v>0</v>
      </c>
      <c r="AF695" s="15" cm="1">
        <f t="array" ref="AF695">SUMPRODUCT((pat_tech_bt_11[[Client]:[Client]]=syndicat_etude)*(pat_tech_bt_11[[Annee]:[Annee]]=annee_CRAC)*(pat_tech_bt_11[[Annee Construction]:[Annee Construction]]=AF$693)*(pat_tech_bt_11[[dont_cpi_km]:[dont_cpi_km]]))</f>
        <v>7.0000000000000007E-2</v>
      </c>
      <c r="AG695" s="15" cm="1">
        <f t="array" ref="AG695">SUMPRODUCT((pat_tech_bt_11[[Client]:[Client]]=syndicat_etude)*(pat_tech_bt_11[[Annee]:[Annee]]=annee_CRAC)*(pat_tech_bt_11[[Annee Construction]:[Annee Construction]]=AG$693)*(pat_tech_bt_11[[dont_cpi_km]:[dont_cpi_km]]))</f>
        <v>0</v>
      </c>
      <c r="AH695" s="15" cm="1">
        <f t="array" ref="AH695">SUMPRODUCT((pat_tech_bt_11[[Client]:[Client]]=syndicat_etude)*(pat_tech_bt_11[[Annee]:[Annee]]=annee_CRAC)*(pat_tech_bt_11[[Annee Construction]:[Annee Construction]]=AH$693)*(pat_tech_bt_11[[dont_cpi_km]:[dont_cpi_km]]))</f>
        <v>0.01</v>
      </c>
      <c r="AI695" s="15" cm="1">
        <f t="array" ref="AI695">SUMPRODUCT((pat_tech_bt_11[[Client]:[Client]]=syndicat_etude)*(pat_tech_bt_11[[Annee]:[Annee]]=annee_CRAC)*(pat_tech_bt_11[[Annee Construction]:[Annee Construction]]=AI$693)*(pat_tech_bt_11[[dont_cpi_km]:[dont_cpi_km]]))</f>
        <v>0</v>
      </c>
      <c r="AJ695" s="15" cm="1">
        <f t="array" ref="AJ695">SUMPRODUCT((pat_tech_bt_11[[Client]:[Client]]=syndicat_etude)*(pat_tech_bt_11[[Annee]:[Annee]]=annee_CRAC)*(pat_tech_bt_11[[Annee Construction]:[Annee Construction]]=AJ$693)*(pat_tech_bt_11[[dont_cpi_km]:[dont_cpi_km]]))</f>
        <v>0</v>
      </c>
      <c r="AK695" s="15" cm="1">
        <f t="array" ref="AK695">SUMPRODUCT((pat_tech_bt_11[[Client]:[Client]]=syndicat_etude)*(pat_tech_bt_11[[Annee]:[Annee]]=annee_CRAC)*(pat_tech_bt_11[[Annee Construction]:[Annee Construction]]=AK$693)*(pat_tech_bt_11[[dont_cpi_km]:[dont_cpi_km]]))</f>
        <v>0</v>
      </c>
      <c r="AL695" s="15" cm="1">
        <f t="array" ref="AL695">SUMPRODUCT((pat_tech_bt_11[[Client]:[Client]]=syndicat_etude)*(pat_tech_bt_11[[Annee]:[Annee]]=annee_CRAC)*(pat_tech_bt_11[[Annee Construction]:[Annee Construction]]=AL$693)*(pat_tech_bt_11[[dont_cpi_km]:[dont_cpi_km]]))</f>
        <v>0</v>
      </c>
      <c r="AM695" s="15" cm="1">
        <f t="array" ref="AM695">SUMPRODUCT((pat_tech_bt_11[[Client]:[Client]]=syndicat_etude)*(pat_tech_bt_11[[Annee]:[Annee]]=annee_CRAC)*(pat_tech_bt_11[[Annee Construction]:[Annee Construction]]=AM$693)*(pat_tech_bt_11[[dont_cpi_km]:[dont_cpi_km]]))</f>
        <v>0</v>
      </c>
      <c r="AN695" s="15" cm="1">
        <f t="array" ref="AN695">SUMPRODUCT((pat_tech_bt_11[[Client]:[Client]]=syndicat_etude)*(pat_tech_bt_11[[Annee]:[Annee]]=annee_CRAC)*(pat_tech_bt_11[[Annee Construction]:[Annee Construction]]=AN$693)*(pat_tech_bt_11[[dont_cpi_km]:[dont_cpi_km]]))</f>
        <v>0</v>
      </c>
      <c r="AO695" s="15" cm="1">
        <f t="array" ref="AO695">SUMPRODUCT((pat_tech_bt_11[[Client]:[Client]]=syndicat_etude)*(pat_tech_bt_11[[Annee]:[Annee]]=annee_CRAC)*(pat_tech_bt_11[[Annee Construction]:[Annee Construction]]=AO$693)*(pat_tech_bt_11[[dont_cpi_km]:[dont_cpi_km]]))</f>
        <v>0</v>
      </c>
      <c r="AP695" s="15" cm="1">
        <f t="array" ref="AP695">SUMPRODUCT((pat_tech_bt_11[[Client]:[Client]]=syndicat_etude)*(pat_tech_bt_11[[Annee]:[Annee]]=annee_CRAC)*(pat_tech_bt_11[[Annee Construction]:[Annee Construction]]=AP$693)*(pat_tech_bt_11[[dont_cpi_km]:[dont_cpi_km]]))</f>
        <v>0</v>
      </c>
      <c r="AQ695" s="15" cm="1">
        <f t="array" ref="AQ695">SUMPRODUCT((pat_tech_bt_11[[Client]:[Client]]=syndicat_etude)*(pat_tech_bt_11[[Annee]:[Annee]]=annee_CRAC)*(pat_tech_bt_11[[Annee Construction]:[Annee Construction]]=AQ$693)*(pat_tech_bt_11[[dont_cpi_km]:[dont_cpi_km]]))</f>
        <v>0</v>
      </c>
      <c r="AR695" s="15" cm="1">
        <f t="array" ref="AR695">SUMPRODUCT((pat_tech_bt_11[[Client]:[Client]]=syndicat_etude)*(pat_tech_bt_11[[Annee]:[Annee]]=annee_CRAC)*(pat_tech_bt_11[[Annee Construction]:[Annee Construction]]=AR$693)*(pat_tech_bt_11[[dont_cpi_km]:[dont_cpi_km]]))</f>
        <v>0</v>
      </c>
      <c r="AS695" s="15" cm="1">
        <f t="array" ref="AS695">SUMPRODUCT((pat_tech_bt_11[[Client]:[Client]]=syndicat_etude)*(pat_tech_bt_11[[Annee]:[Annee]]=annee_CRAC)*(pat_tech_bt_11[[Annee Construction]:[Annee Construction]]=AS$693)*(pat_tech_bt_11[[dont_cpi_km]:[dont_cpi_km]]))</f>
        <v>0</v>
      </c>
      <c r="AT695" s="15" cm="1">
        <f t="array" ref="AT695">SUMPRODUCT((pat_tech_bt_11[[Client]:[Client]]=syndicat_etude)*(pat_tech_bt_11[[Annee]:[Annee]]=annee_CRAC)*(pat_tech_bt_11[[Annee Construction]:[Annee Construction]]=AT$693)*(pat_tech_bt_11[[dont_cpi_km]:[dont_cpi_km]]))</f>
        <v>0</v>
      </c>
      <c r="AU695" s="15" cm="1">
        <f t="array" ref="AU695">SUMPRODUCT((pat_tech_bt_11[[Client]:[Client]]=syndicat_etude)*(pat_tech_bt_11[[Annee]:[Annee]]=annee_CRAC)*(pat_tech_bt_11[[Annee Construction]:[Annee Construction]]=AU$693)*(pat_tech_bt_11[[dont_cpi_km]:[dont_cpi_km]]))</f>
        <v>0</v>
      </c>
      <c r="AV695" s="15" cm="1">
        <f t="array" ref="AV695">SUMPRODUCT((pat_tech_bt_11[[Client]:[Client]]=syndicat_etude)*(pat_tech_bt_11[[Annee]:[Annee]]=annee_CRAC)*(pat_tech_bt_11[[Annee Construction]:[Annee Construction]]=AV$693)*(pat_tech_bt_11[[dont_cpi_km]:[dont_cpi_km]]))</f>
        <v>0</v>
      </c>
      <c r="AW695" s="15" cm="1">
        <f t="array" ref="AW695">SUMPRODUCT((pat_tech_bt_11[[Client]:[Client]]=syndicat_etude)*(pat_tech_bt_11[[Annee]:[Annee]]=annee_CRAC)*(pat_tech_bt_11[[Annee Construction]:[Annee Construction]]=AW$693)*(pat_tech_bt_11[[dont_cpi_km]:[dont_cpi_km]]))</f>
        <v>0</v>
      </c>
      <c r="AX695" s="15" cm="1">
        <f t="array" ref="AX695">SUMPRODUCT((pat_tech_bt_11[[Client]:[Client]]=syndicat_etude)*(pat_tech_bt_11[[Annee]:[Annee]]=annee_CRAC)*(pat_tech_bt_11[[Annee Construction]:[Annee Construction]]=AX$693)*(pat_tech_bt_11[[dont_cpi_km]:[dont_cpi_km]]))</f>
        <v>0</v>
      </c>
      <c r="AY695" s="15" cm="1">
        <f t="array" ref="AY695">SUMPRODUCT((pat_tech_bt_11[[Client]:[Client]]=syndicat_etude)*(pat_tech_bt_11[[Annee]:[Annee]]=annee_CRAC)*(pat_tech_bt_11[[Annee Construction]:[Annee Construction]]=AY$693)*(pat_tech_bt_11[[dont_cpi_km]:[dont_cpi_km]]))</f>
        <v>0</v>
      </c>
      <c r="AZ695" s="15" cm="1">
        <f t="array" ref="AZ695">SUMPRODUCT((pat_tech_bt_11[[Client]:[Client]]=syndicat_etude)*(pat_tech_bt_11[[Annee]:[Annee]]=annee_CRAC)*(pat_tech_bt_11[[Annee Construction]:[Annee Construction]]=AZ$693)*(pat_tech_bt_11[[dont_cpi_km]:[dont_cpi_km]]))</f>
        <v>0</v>
      </c>
      <c r="BA695" s="15" cm="1">
        <f t="array" ref="BA695">SUMPRODUCT((pat_tech_bt_11[[Client]:[Client]]=syndicat_etude)*(pat_tech_bt_11[[Annee]:[Annee]]=annee_CRAC)*(pat_tech_bt_11[[Annee Construction]:[Annee Construction]]=BA$693)*(pat_tech_bt_11[[dont_cpi_km]:[dont_cpi_km]]))</f>
        <v>0</v>
      </c>
      <c r="BB695" s="15" cm="1">
        <f t="array" ref="BB695">SUMPRODUCT((pat_tech_bt_11[[Client]:[Client]]=syndicat_etude)*(pat_tech_bt_11[[Annee]:[Annee]]=annee_CRAC)*(pat_tech_bt_11[[Annee Construction]:[Annee Construction]]=BB$693)*(pat_tech_bt_11[[dont_cpi_km]:[dont_cpi_km]]))</f>
        <v>0</v>
      </c>
      <c r="BC695" s="15" cm="1">
        <f t="array" ref="BC695">SUMPRODUCT((pat_tech_bt_11[[Client]:[Client]]=syndicat_etude)*(pat_tech_bt_11[[Annee]:[Annee]]=annee_CRAC)*(pat_tech_bt_11[[Annee Construction]:[Annee Construction]]=BC$693)*(pat_tech_bt_11[[dont_cpi_km]:[dont_cpi_km]]))</f>
        <v>0</v>
      </c>
      <c r="BD695" s="15" cm="1">
        <f t="array" ref="BD695">SUMPRODUCT((pat_tech_bt_11[[Client]:[Client]]=syndicat_etude)*(pat_tech_bt_11[[Annee]:[Annee]]=annee_CRAC)*(pat_tech_bt_11[[Annee Construction]:[Annee Construction]]=BD$693)*(pat_tech_bt_11[[dont_cpi_km]:[dont_cpi_km]]))</f>
        <v>0</v>
      </c>
      <c r="BE695" s="15" cm="1">
        <f t="array" ref="BE695">SUMPRODUCT((pat_tech_bt_11[[Client]:[Client]]=syndicat_etude)*(pat_tech_bt_11[[Annee]:[Annee]]=annee_CRAC)*(pat_tech_bt_11[[Annee Construction]:[Annee Construction]]=BE$693)*(pat_tech_bt_11[[dont_cpi_km]:[dont_cpi_km]]))</f>
        <v>0</v>
      </c>
      <c r="BF695" s="15" cm="1">
        <f t="array" ref="BF695">SUMPRODUCT((pat_tech_bt_11[[Client]:[Client]]=syndicat_etude)*(pat_tech_bt_11[[Annee]:[Annee]]=annee_CRAC)*(pat_tech_bt_11[[Annee Construction]:[Annee Construction]]=BF$693)*(pat_tech_bt_11[[dont_cpi_km]:[dont_cpi_km]]))</f>
        <v>0</v>
      </c>
      <c r="BG695" s="15" cm="1">
        <f t="array" ref="BG695">SUMPRODUCT((pat_tech_bt_11[[Client]:[Client]]=syndicat_etude)*(pat_tech_bt_11[[Annee]:[Annee]]=annee_CRAC)*(pat_tech_bt_11[[Annee Construction]:[Annee Construction]]=BG$693)*(pat_tech_bt_11[[dont_cpi_km]:[dont_cpi_km]]))</f>
        <v>0</v>
      </c>
      <c r="BH695" s="15" cm="1">
        <f t="array" ref="BH695">SUMPRODUCT((pat_tech_bt_11[[Client]:[Client]]=syndicat_etude)*(pat_tech_bt_11[[Annee]:[Annee]]=annee_CRAC)*(pat_tech_bt_11[[Annee Construction]:[Annee Construction]]=BH$693)*(pat_tech_bt_11[[dont_cpi_km]:[dont_cpi_km]]))</f>
        <v>0</v>
      </c>
      <c r="BI695" s="15" cm="1">
        <f t="array" ref="BI695">SUMPRODUCT((pat_tech_bt_11[[Client]:[Client]]=syndicat_etude)*(pat_tech_bt_11[[Annee]:[Annee]]=annee_CRAC)*(pat_tech_bt_11[[Annee Construction]:[Annee Construction]]=BI$693)*(pat_tech_bt_11[[dont_cpi_km]:[dont_cpi_km]]))</f>
        <v>0</v>
      </c>
      <c r="BJ695" s="15" cm="1">
        <f t="array" ref="BJ695">SUMPRODUCT((pat_tech_bt_11[[Client]:[Client]]=syndicat_etude)*(pat_tech_bt_11[[Annee]:[Annee]]=annee_CRAC)*(pat_tech_bt_11[[Annee Construction]:[Annee Construction]]=BJ$693)*(pat_tech_bt_11[[dont_cpi_km]:[dont_cpi_km]]))</f>
        <v>0</v>
      </c>
      <c r="BK695" s="15" cm="1">
        <f t="array" ref="BK695">SUMPRODUCT((pat_tech_bt_11[[Client]:[Client]]=syndicat_etude)*(pat_tech_bt_11[[Annee]:[Annee]]=annee_CRAC)*(pat_tech_bt_11[[Annee Construction]:[Annee Construction]]=BK$693)*(pat_tech_bt_11[[dont_cpi_km]:[dont_cpi_km]]))</f>
        <v>0</v>
      </c>
      <c r="BL695" s="15" cm="1">
        <f t="array" ref="BL695">SUMPRODUCT((pat_tech_bt_11[[Client]:[Client]]=syndicat_etude)*(pat_tech_bt_11[[Annee]:[Annee]]=annee_CRAC)*(pat_tech_bt_11[[Annee Construction]:[Annee Construction]]=BL$693)*(pat_tech_bt_11[[dont_cpi_km]:[dont_cpi_km]]))</f>
        <v>0</v>
      </c>
      <c r="BM695" s="15" cm="1">
        <f t="array" ref="BM695">SUMPRODUCT((pat_tech_bt_11[[Client]:[Client]]=syndicat_etude)*(pat_tech_bt_11[[Annee]:[Annee]]=annee_CRAC)*(pat_tech_bt_11[[Annee Construction]:[Annee Construction]]=BM$693)*(pat_tech_bt_11[[dont_cpi_km]:[dont_cpi_km]]))</f>
        <v>0</v>
      </c>
      <c r="BN695" s="15" cm="1">
        <f t="array" ref="BN695">SUMPRODUCT((pat_tech_bt_11[[Client]:[Client]]=syndicat_etude)*(pat_tech_bt_11[[Annee]:[Annee]]=annee_CRAC)*(pat_tech_bt_11[[Annee Construction]:[Annee Construction]]=BN$693)*(pat_tech_bt_11[[dont_cpi_km]:[dont_cpi_km]]))</f>
        <v>0</v>
      </c>
      <c r="BO695" s="15" cm="1">
        <f t="array" ref="BO695">SUMPRODUCT((pat_tech_bt_11[[Client]:[Client]]=syndicat_etude)*(pat_tech_bt_11[[Annee]:[Annee]]=annee_CRAC)*(pat_tech_bt_11[[Annee Construction]:[Annee Construction]]=BO$693)*(pat_tech_bt_11[[dont_cpi_km]:[dont_cpi_km]]))</f>
        <v>0</v>
      </c>
      <c r="BP695" s="15" cm="1">
        <f t="array" ref="BP695">SUMPRODUCT((pat_tech_bt_11[[Client]:[Client]]=syndicat_etude)*(pat_tech_bt_11[[Annee]:[Annee]]=annee_CRAC)*(pat_tech_bt_11[[Annee Construction]:[Annee Construction]]=BP$693)*(pat_tech_bt_11[[dont_cpi_km]:[dont_cpi_km]]))</f>
        <v>0</v>
      </c>
      <c r="BQ695" s="15" cm="1">
        <f t="array" ref="BQ695">SUMPRODUCT((pat_tech_bt_11[[Client]:[Client]]=syndicat_etude)*(pat_tech_bt_11[[Annee]:[Annee]]=annee_CRAC)*(pat_tech_bt_11[[Annee Construction]:[Annee Construction]]=BQ$693)*(pat_tech_bt_11[[dont_cpi_km]:[dont_cpi_km]]))</f>
        <v>0</v>
      </c>
      <c r="BR695" s="15" cm="1">
        <f t="array" ref="BR695">SUMPRODUCT((pat_tech_bt_11[[Client]:[Client]]=syndicat_etude)*(pat_tech_bt_11[[Annee]:[Annee]]=annee_CRAC)*(pat_tech_bt_11[[Annee Construction]:[Annee Construction]]=BR$693)*(pat_tech_bt_11[[dont_cpi_km]:[dont_cpi_km]]))</f>
        <v>0</v>
      </c>
      <c r="BS695" s="15" cm="1">
        <f t="array" ref="BS695">SUMPRODUCT((pat_tech_bt_11[[Client]:[Client]]=syndicat_etude)*(pat_tech_bt_11[[Annee]:[Annee]]=annee_CRAC)*(pat_tech_bt_11[[Annee Construction]:[Annee Construction]]=BS$693)*(pat_tech_bt_11[[dont_cpi_km]:[dont_cpi_km]]))</f>
        <v>0</v>
      </c>
      <c r="BT695" s="15" cm="1">
        <f t="array" ref="BT695">SUMPRODUCT((pat_tech_bt_11[[Client]:[Client]]=syndicat_etude)*(pat_tech_bt_11[[Annee]:[Annee]]=annee_CRAC)*(pat_tech_bt_11[[Annee Construction]:[Annee Construction]]=BT$693)*(pat_tech_bt_11[[dont_cpi_km]:[dont_cpi_km]]))</f>
        <v>0</v>
      </c>
      <c r="BU695" s="15" cm="1">
        <f t="array" ref="BU695">SUMPRODUCT((pat_tech_bt_11[[Client]:[Client]]=syndicat_etude)*(pat_tech_bt_11[[Annee]:[Annee]]=annee_CRAC)*(pat_tech_bt_11[[Annee Construction]:[Annee Construction]]=BU$693)*(pat_tech_bt_11[[dont_cpi_km]:[dont_cpi_km]]))</f>
        <v>0</v>
      </c>
      <c r="BV695" s="15" cm="1">
        <f t="array" ref="BV695">SUMPRODUCT((pat_tech_bt_11[[Client]:[Client]]=syndicat_etude)*(pat_tech_bt_11[[Annee]:[Annee]]=annee_CRAC)*(pat_tech_bt_11[[Annee Construction]:[Annee Construction]]=BV$693)*(pat_tech_bt_11[[dont_cpi_km]:[dont_cpi_km]]))</f>
        <v>0</v>
      </c>
      <c r="BW695" s="15" cm="1">
        <f t="array" ref="BW695">SUMPRODUCT((pat_tech_bt_11[[Client]:[Client]]=syndicat_etude)*(pat_tech_bt_11[[Annee]:[Annee]]=annee_CRAC)*(pat_tech_bt_11[[Annee Construction]:[Annee Construction]]=BW$693)*(pat_tech_bt_11[[dont_cpi_km]:[dont_cpi_km]]))</f>
        <v>0</v>
      </c>
      <c r="BX695" s="15" cm="1">
        <f t="array" ref="BX695">SUMPRODUCT((pat_tech_bt_11[[Client]:[Client]]=syndicat_etude)*(pat_tech_bt_11[[Annee]:[Annee]]=annee_CRAC)*(pat_tech_bt_11[[Annee Construction]:[Annee Construction]]=BX$693)*(pat_tech_bt_11[[dont_cpi_km]:[dont_cpi_km]]))</f>
        <v>0</v>
      </c>
      <c r="BY695" s="15" cm="1">
        <f t="array" ref="BY695">SUMPRODUCT((pat_tech_bt_11[[Client]:[Client]]=syndicat_etude)*(pat_tech_bt_11[[Annee]:[Annee]]=annee_CRAC)*(pat_tech_bt_11[[Annee Construction]:[Annee Construction]]=BY$693)*(pat_tech_bt_11[[dont_cpi_km]:[dont_cpi_km]]))</f>
        <v>0</v>
      </c>
      <c r="BZ695" s="15" cm="1">
        <f t="array" ref="BZ695">SUMPRODUCT((pat_tech_bt_11[[Client]:[Client]]=syndicat_etude)*(pat_tech_bt_11[[Annee]:[Annee]]=annee_CRAC)*(pat_tech_bt_11[[Annee Construction]:[Annee Construction]]=BZ$693)*(pat_tech_bt_11[[dont_cpi_km]:[dont_cpi_km]]))</f>
        <v>0</v>
      </c>
      <c r="CA695" s="15" cm="1">
        <f t="array" ref="CA695">SUMPRODUCT((pat_tech_bt_11[[Client]:[Client]]=syndicat_etude)*(pat_tech_bt_11[[Annee]:[Annee]]=annee_CRAC)*(pat_tech_bt_11[[Annee Construction]:[Annee Construction]]=CA$693)*(pat_tech_bt_11[[dont_cpi_km]:[dont_cpi_km]]))</f>
        <v>0</v>
      </c>
      <c r="CB695" s="15" cm="1">
        <f t="array" ref="CB695">SUMPRODUCT((pat_tech_bt_11[[Client]:[Client]]=syndicat_etude)*(pat_tech_bt_11[[Annee]:[Annee]]=annee_CRAC)*(pat_tech_bt_11[[Annee Construction]:[Annee Construction]]=CB$693)*(pat_tech_bt_11[[dont_cpi_km]:[dont_cpi_km]]))</f>
        <v>0</v>
      </c>
      <c r="CC695" s="15" cm="1">
        <f t="array" ref="CC695">SUMPRODUCT((pat_tech_bt_11[[Client]:[Client]]=syndicat_etude)*(pat_tech_bt_11[[Annee]:[Annee]]=annee_CRAC)*(pat_tech_bt_11[[Annee Construction]:[Annee Construction]]=CC$693)*(pat_tech_bt_11[[dont_cpi_km]:[dont_cpi_km]]))</f>
        <v>0</v>
      </c>
      <c r="CD695" s="15" cm="1">
        <f t="array" ref="CD695">SUMPRODUCT((pat_tech_bt_11[[Client]:[Client]]=syndicat_etude)*(pat_tech_bt_11[[Annee]:[Annee]]=annee_CRAC)*(pat_tech_bt_11[[Annee Construction]:[Annee Construction]]=CD$693)*(pat_tech_bt_11[[dont_cpi_km]:[dont_cpi_km]]))</f>
        <v>0</v>
      </c>
      <c r="CE695" s="15" cm="1">
        <f t="array" ref="CE695">SUMPRODUCT((pat_tech_bt_11[[Client]:[Client]]=syndicat_etude)*(pat_tech_bt_11[[Annee]:[Annee]]=annee_CRAC)*(pat_tech_bt_11[[Annee Construction]:[Annee Construction]]=CE$693)*(pat_tech_bt_11[[dont_cpi_km]:[dont_cpi_km]]))</f>
        <v>0</v>
      </c>
      <c r="CF695" s="734" cm="1">
        <f t="array" ref="CF695">SUMPRODUCT((pat_tech_bt_11[[Client]:[Client]]=syndicat_etude)*(pat_tech_bt_11[[Annee]:[Annee]]=annee_CRAC)*(pat_tech_bt_11[[Annee Construction]:[Annee Construction]]=CF$693)*(pat_tech_bt_11[[dont_cpi_km]:[dont_cpi_km]]))</f>
        <v>0</v>
      </c>
    </row>
    <row r="696" spans="1:84" s="164" customFormat="1" ht="15" customHeight="1" x14ac:dyDescent="0.25">
      <c r="B696" s="288" t="s">
        <v>550</v>
      </c>
      <c r="C696" s="15">
        <f>C694-C695</f>
        <v>0</v>
      </c>
      <c r="D696" s="15">
        <f t="shared" ref="D696:BO696" si="19">D694-D695</f>
        <v>0</v>
      </c>
      <c r="E696" s="15">
        <f t="shared" si="19"/>
        <v>0</v>
      </c>
      <c r="F696" s="15">
        <f t="shared" si="19"/>
        <v>0</v>
      </c>
      <c r="G696" s="15">
        <f t="shared" si="19"/>
        <v>0</v>
      </c>
      <c r="H696" s="15">
        <f t="shared" si="19"/>
        <v>0</v>
      </c>
      <c r="I696" s="15">
        <f t="shared" si="19"/>
        <v>0</v>
      </c>
      <c r="J696" s="15">
        <f t="shared" si="19"/>
        <v>0</v>
      </c>
      <c r="K696" s="15">
        <f t="shared" si="19"/>
        <v>0</v>
      </c>
      <c r="L696" s="15">
        <f t="shared" si="19"/>
        <v>0</v>
      </c>
      <c r="M696" s="15">
        <f t="shared" si="19"/>
        <v>0</v>
      </c>
      <c r="N696" s="15">
        <f t="shared" si="19"/>
        <v>0</v>
      </c>
      <c r="O696" s="15">
        <f t="shared" si="19"/>
        <v>0</v>
      </c>
      <c r="P696" s="15">
        <f t="shared" si="19"/>
        <v>0</v>
      </c>
      <c r="Q696" s="15">
        <f t="shared" si="19"/>
        <v>0</v>
      </c>
      <c r="R696" s="15">
        <f t="shared" si="19"/>
        <v>0</v>
      </c>
      <c r="S696" s="15">
        <f t="shared" si="19"/>
        <v>0</v>
      </c>
      <c r="T696" s="15">
        <f t="shared" si="19"/>
        <v>0</v>
      </c>
      <c r="U696" s="15">
        <f t="shared" si="19"/>
        <v>0</v>
      </c>
      <c r="V696" s="15">
        <f t="shared" si="19"/>
        <v>0</v>
      </c>
      <c r="W696" s="15">
        <f t="shared" si="19"/>
        <v>0</v>
      </c>
      <c r="X696" s="15">
        <f t="shared" si="19"/>
        <v>0</v>
      </c>
      <c r="Y696" s="15">
        <f t="shared" si="19"/>
        <v>0</v>
      </c>
      <c r="Z696" s="15">
        <f t="shared" si="19"/>
        <v>0</v>
      </c>
      <c r="AA696" s="15">
        <f t="shared" si="19"/>
        <v>0</v>
      </c>
      <c r="AB696" s="15">
        <f t="shared" si="19"/>
        <v>0</v>
      </c>
      <c r="AC696" s="15">
        <f t="shared" si="19"/>
        <v>0</v>
      </c>
      <c r="AD696" s="15">
        <f t="shared" si="19"/>
        <v>0</v>
      </c>
      <c r="AE696" s="15">
        <f t="shared" si="19"/>
        <v>0</v>
      </c>
      <c r="AF696" s="15">
        <f t="shared" si="19"/>
        <v>0</v>
      </c>
      <c r="AG696" s="15">
        <f t="shared" si="19"/>
        <v>0</v>
      </c>
      <c r="AH696" s="15">
        <f t="shared" si="19"/>
        <v>0</v>
      </c>
      <c r="AI696" s="15">
        <f t="shared" si="19"/>
        <v>0.87</v>
      </c>
      <c r="AJ696" s="15">
        <f t="shared" si="19"/>
        <v>0.37</v>
      </c>
      <c r="AK696" s="15">
        <f t="shared" si="19"/>
        <v>0.46</v>
      </c>
      <c r="AL696" s="15">
        <f t="shared" si="19"/>
        <v>0.14000000000000001</v>
      </c>
      <c r="AM696" s="15">
        <f t="shared" si="19"/>
        <v>0.26</v>
      </c>
      <c r="AN696" s="15">
        <f t="shared" si="19"/>
        <v>1.1200000000000001</v>
      </c>
      <c r="AO696" s="15">
        <f t="shared" si="19"/>
        <v>2.5499999999999998</v>
      </c>
      <c r="AP696" s="15">
        <f t="shared" si="19"/>
        <v>9.33</v>
      </c>
      <c r="AQ696" s="15">
        <f t="shared" si="19"/>
        <v>50</v>
      </c>
      <c r="AR696" s="15">
        <f t="shared" si="19"/>
        <v>90.65</v>
      </c>
      <c r="AS696" s="15">
        <f t="shared" si="19"/>
        <v>0.24</v>
      </c>
      <c r="AT696" s="15">
        <f t="shared" si="19"/>
        <v>62.56</v>
      </c>
      <c r="AU696" s="15">
        <f t="shared" si="19"/>
        <v>35.01</v>
      </c>
      <c r="AV696" s="15">
        <f t="shared" si="19"/>
        <v>71.569999999999993</v>
      </c>
      <c r="AW696" s="15">
        <f t="shared" si="19"/>
        <v>110.38</v>
      </c>
      <c r="AX696" s="15">
        <f t="shared" si="19"/>
        <v>50.07</v>
      </c>
      <c r="AY696" s="15">
        <f t="shared" si="19"/>
        <v>59.54</v>
      </c>
      <c r="AZ696" s="15">
        <f t="shared" si="19"/>
        <v>55.77</v>
      </c>
      <c r="BA696" s="15">
        <f t="shared" si="19"/>
        <v>68.290000000000006</v>
      </c>
      <c r="BB696" s="15">
        <f t="shared" si="19"/>
        <v>58.6</v>
      </c>
      <c r="BC696" s="15">
        <f t="shared" si="19"/>
        <v>73.900000000000006</v>
      </c>
      <c r="BD696" s="15">
        <f t="shared" si="19"/>
        <v>64.41</v>
      </c>
      <c r="BE696" s="15">
        <f t="shared" si="19"/>
        <v>57.33</v>
      </c>
      <c r="BF696" s="15">
        <f t="shared" si="19"/>
        <v>68.88</v>
      </c>
      <c r="BG696" s="15">
        <f t="shared" si="19"/>
        <v>53.42</v>
      </c>
      <c r="BH696" s="15">
        <f t="shared" si="19"/>
        <v>64.489999999999995</v>
      </c>
      <c r="BI696" s="15">
        <f t="shared" si="19"/>
        <v>54.55</v>
      </c>
      <c r="BJ696" s="15">
        <f t="shared" si="19"/>
        <v>66.430000000000007</v>
      </c>
      <c r="BK696" s="15">
        <f t="shared" si="19"/>
        <v>63.41</v>
      </c>
      <c r="BL696" s="15">
        <f t="shared" si="19"/>
        <v>88.61</v>
      </c>
      <c r="BM696" s="15">
        <f t="shared" si="19"/>
        <v>76.58</v>
      </c>
      <c r="BN696" s="15">
        <f t="shared" si="19"/>
        <v>65.05</v>
      </c>
      <c r="BO696" s="15">
        <f t="shared" si="19"/>
        <v>70.52</v>
      </c>
      <c r="BP696" s="15">
        <f t="shared" ref="BP696:CF696" si="20">BP694-BP695</f>
        <v>75.87</v>
      </c>
      <c r="BQ696" s="15">
        <f t="shared" si="20"/>
        <v>71.739999999999995</v>
      </c>
      <c r="BR696" s="15">
        <f t="shared" si="20"/>
        <v>57.03</v>
      </c>
      <c r="BS696" s="15">
        <f t="shared" si="20"/>
        <v>59.44</v>
      </c>
      <c r="BT696" s="15">
        <f t="shared" si="20"/>
        <v>41.3</v>
      </c>
      <c r="BU696" s="15">
        <f t="shared" si="20"/>
        <v>43.3</v>
      </c>
      <c r="BV696" s="15">
        <f t="shared" si="20"/>
        <v>55.46</v>
      </c>
      <c r="BW696" s="15">
        <f t="shared" si="20"/>
        <v>43.81</v>
      </c>
      <c r="BX696" s="15">
        <f t="shared" si="20"/>
        <v>51.32</v>
      </c>
      <c r="BY696" s="15">
        <f t="shared" si="20"/>
        <v>45.67</v>
      </c>
      <c r="BZ696" s="15">
        <f t="shared" si="20"/>
        <v>48.35</v>
      </c>
      <c r="CA696" s="15">
        <f t="shared" si="20"/>
        <v>44.57</v>
      </c>
      <c r="CB696" s="15">
        <f t="shared" si="20"/>
        <v>45.09</v>
      </c>
      <c r="CC696" s="15">
        <f t="shared" si="20"/>
        <v>0</v>
      </c>
      <c r="CD696" s="15">
        <f t="shared" si="20"/>
        <v>0</v>
      </c>
      <c r="CE696" s="15">
        <f t="shared" si="20"/>
        <v>0</v>
      </c>
      <c r="CF696" s="587">
        <f t="shared" si="20"/>
        <v>0</v>
      </c>
    </row>
    <row r="697" spans="1:84" ht="15" customHeight="1" x14ac:dyDescent="0.25">
      <c r="B697" s="50" t="s">
        <v>113</v>
      </c>
      <c r="C697" s="11" cm="1">
        <f t="array" ref="C697">SUMPRODUCT((pat_tech_bt_11[[Client]:[Client]]=syndicat_etude)*(pat_tech_bt_11[[Annee]:[Annee]]=annee_CRAC)*(pat_tech_bt_11[[Annee Construction]:[Annee Construction]]=C$693)*(pat_tech_bt_11[[aerien_nu_km]:[aerien_nu_km]]))</f>
        <v>51.27</v>
      </c>
      <c r="D697" s="11" cm="1">
        <f t="array" ref="D697">SUMPRODUCT((pat_tech_bt_11[[Client]:[Client]]=syndicat_etude)*(pat_tech_bt_11[[Annee]:[Annee]]=annee_CRAC)*(pat_tech_bt_11[[Annee Construction]:[Annee Construction]]=D$693)*(pat_tech_bt_11[[aerien_nu_km]:[aerien_nu_km]]))</f>
        <v>0.23</v>
      </c>
      <c r="E697" s="11" cm="1">
        <f t="array" ref="E697">SUMPRODUCT((pat_tech_bt_11[[Client]:[Client]]=syndicat_etude)*(pat_tech_bt_11[[Annee]:[Annee]]=annee_CRAC)*(pat_tech_bt_11[[Annee Construction]:[Annee Construction]]=E$693)*(pat_tech_bt_11[[aerien_nu_km]:[aerien_nu_km]]))</f>
        <v>0</v>
      </c>
      <c r="F697" s="11" cm="1">
        <f t="array" ref="F697">SUMPRODUCT((pat_tech_bt_11[[Client]:[Client]]=syndicat_etude)*(pat_tech_bt_11[[Annee]:[Annee]]=annee_CRAC)*(pat_tech_bt_11[[Annee Construction]:[Annee Construction]]=F$693)*(pat_tech_bt_11[[aerien_nu_km]:[aerien_nu_km]]))</f>
        <v>0</v>
      </c>
      <c r="G697" s="11" cm="1">
        <f t="array" ref="G697">SUMPRODUCT((pat_tech_bt_11[[Client]:[Client]]=syndicat_etude)*(pat_tech_bt_11[[Annee]:[Annee]]=annee_CRAC)*(pat_tech_bt_11[[Annee Construction]:[Annee Construction]]=G$693)*(pat_tech_bt_11[[aerien_nu_km]:[aerien_nu_km]]))</f>
        <v>0</v>
      </c>
      <c r="H697" s="11" cm="1">
        <f t="array" ref="H697">SUMPRODUCT((pat_tech_bt_11[[Client]:[Client]]=syndicat_etude)*(pat_tech_bt_11[[Annee]:[Annee]]=annee_CRAC)*(pat_tech_bt_11[[Annee Construction]:[Annee Construction]]=H$693)*(pat_tech_bt_11[[aerien_nu_km]:[aerien_nu_km]]))</f>
        <v>0</v>
      </c>
      <c r="I697" s="11" cm="1">
        <f t="array" ref="I697">SUMPRODUCT((pat_tech_bt_11[[Client]:[Client]]=syndicat_etude)*(pat_tech_bt_11[[Annee]:[Annee]]=annee_CRAC)*(pat_tech_bt_11[[Annee Construction]:[Annee Construction]]=I$693)*(pat_tech_bt_11[[aerien_nu_km]:[aerien_nu_km]]))</f>
        <v>0</v>
      </c>
      <c r="J697" s="11" cm="1">
        <f t="array" ref="J697">SUMPRODUCT((pat_tech_bt_11[[Client]:[Client]]=syndicat_etude)*(pat_tech_bt_11[[Annee]:[Annee]]=annee_CRAC)*(pat_tech_bt_11[[Annee Construction]:[Annee Construction]]=J$693)*(pat_tech_bt_11[[aerien_nu_km]:[aerien_nu_km]]))</f>
        <v>0.04</v>
      </c>
      <c r="K697" s="11" cm="1">
        <f t="array" ref="K697">SUMPRODUCT((pat_tech_bt_11[[Client]:[Client]]=syndicat_etude)*(pat_tech_bt_11[[Annee]:[Annee]]=annee_CRAC)*(pat_tech_bt_11[[Annee Construction]:[Annee Construction]]=K$693)*(pat_tech_bt_11[[aerien_nu_km]:[aerien_nu_km]]))</f>
        <v>0</v>
      </c>
      <c r="L697" s="11" cm="1">
        <f t="array" ref="L697">SUMPRODUCT((pat_tech_bt_11[[Client]:[Client]]=syndicat_etude)*(pat_tech_bt_11[[Annee]:[Annee]]=annee_CRAC)*(pat_tech_bt_11[[Annee Construction]:[Annee Construction]]=L$693)*(pat_tech_bt_11[[aerien_nu_km]:[aerien_nu_km]]))</f>
        <v>0.04</v>
      </c>
      <c r="M697" s="11" cm="1">
        <f t="array" ref="M697">SUMPRODUCT((pat_tech_bt_11[[Client]:[Client]]=syndicat_etude)*(pat_tech_bt_11[[Annee]:[Annee]]=annee_CRAC)*(pat_tech_bt_11[[Annee Construction]:[Annee Construction]]=M$693)*(pat_tech_bt_11[[aerien_nu_km]:[aerien_nu_km]]))</f>
        <v>0</v>
      </c>
      <c r="N697" s="11" cm="1">
        <f t="array" ref="N697">SUMPRODUCT((pat_tech_bt_11[[Client]:[Client]]=syndicat_etude)*(pat_tech_bt_11[[Annee]:[Annee]]=annee_CRAC)*(pat_tech_bt_11[[Annee Construction]:[Annee Construction]]=N$693)*(pat_tech_bt_11[[aerien_nu_km]:[aerien_nu_km]]))</f>
        <v>0</v>
      </c>
      <c r="O697" s="11" cm="1">
        <f t="array" ref="O697">SUMPRODUCT((pat_tech_bt_11[[Client]:[Client]]=syndicat_etude)*(pat_tech_bt_11[[Annee]:[Annee]]=annee_CRAC)*(pat_tech_bt_11[[Annee Construction]:[Annee Construction]]=O$693)*(pat_tech_bt_11[[aerien_nu_km]:[aerien_nu_km]]))</f>
        <v>0</v>
      </c>
      <c r="P697" s="11" cm="1">
        <f t="array" ref="P697">SUMPRODUCT((pat_tech_bt_11[[Client]:[Client]]=syndicat_etude)*(pat_tech_bt_11[[Annee]:[Annee]]=annee_CRAC)*(pat_tech_bt_11[[Annee Construction]:[Annee Construction]]=P$693)*(pat_tech_bt_11[[aerien_nu_km]:[aerien_nu_km]]))</f>
        <v>0.21</v>
      </c>
      <c r="Q697" s="11" cm="1">
        <f t="array" ref="Q697">SUMPRODUCT((pat_tech_bt_11[[Client]:[Client]]=syndicat_etude)*(pat_tech_bt_11[[Annee]:[Annee]]=annee_CRAC)*(pat_tech_bt_11[[Annee Construction]:[Annee Construction]]=Q$693)*(pat_tech_bt_11[[aerien_nu_km]:[aerien_nu_km]]))</f>
        <v>0</v>
      </c>
      <c r="R697" s="11" cm="1">
        <f t="array" ref="R697">SUMPRODUCT((pat_tech_bt_11[[Client]:[Client]]=syndicat_etude)*(pat_tech_bt_11[[Annee]:[Annee]]=annee_CRAC)*(pat_tech_bt_11[[Annee Construction]:[Annee Construction]]=R$693)*(pat_tech_bt_11[[aerien_nu_km]:[aerien_nu_km]]))</f>
        <v>0</v>
      </c>
      <c r="S697" s="11" cm="1">
        <f t="array" ref="S697">SUMPRODUCT((pat_tech_bt_11[[Client]:[Client]]=syndicat_etude)*(pat_tech_bt_11[[Annee]:[Annee]]=annee_CRAC)*(pat_tech_bt_11[[Annee Construction]:[Annee Construction]]=S$693)*(pat_tech_bt_11[[aerien_nu_km]:[aerien_nu_km]]))</f>
        <v>0</v>
      </c>
      <c r="T697" s="11" cm="1">
        <f t="array" ref="T697">SUMPRODUCT((pat_tech_bt_11[[Client]:[Client]]=syndicat_etude)*(pat_tech_bt_11[[Annee]:[Annee]]=annee_CRAC)*(pat_tech_bt_11[[Annee Construction]:[Annee Construction]]=T$693)*(pat_tech_bt_11[[aerien_nu_km]:[aerien_nu_km]]))</f>
        <v>0</v>
      </c>
      <c r="U697" s="11" cm="1">
        <f t="array" ref="U697">SUMPRODUCT((pat_tech_bt_11[[Client]:[Client]]=syndicat_etude)*(pat_tech_bt_11[[Annee]:[Annee]]=annee_CRAC)*(pat_tech_bt_11[[Annee Construction]:[Annee Construction]]=U$693)*(pat_tech_bt_11[[aerien_nu_km]:[aerien_nu_km]]))</f>
        <v>0</v>
      </c>
      <c r="V697" s="11" cm="1">
        <f t="array" ref="V697">SUMPRODUCT((pat_tech_bt_11[[Client]:[Client]]=syndicat_etude)*(pat_tech_bt_11[[Annee]:[Annee]]=annee_CRAC)*(pat_tech_bt_11[[Annee Construction]:[Annee Construction]]=V$693)*(pat_tech_bt_11[[aerien_nu_km]:[aerien_nu_km]]))</f>
        <v>0</v>
      </c>
      <c r="W697" s="11" cm="1">
        <f t="array" ref="W697">SUMPRODUCT((pat_tech_bt_11[[Client]:[Client]]=syndicat_etude)*(pat_tech_bt_11[[Annee]:[Annee]]=annee_CRAC)*(pat_tech_bt_11[[Annee Construction]:[Annee Construction]]=W$693)*(pat_tech_bt_11[[aerien_nu_km]:[aerien_nu_km]]))</f>
        <v>0</v>
      </c>
      <c r="X697" s="11" cm="1">
        <f t="array" ref="X697">SUMPRODUCT((pat_tech_bt_11[[Client]:[Client]]=syndicat_etude)*(pat_tech_bt_11[[Annee]:[Annee]]=annee_CRAC)*(pat_tech_bt_11[[Annee Construction]:[Annee Construction]]=X$693)*(pat_tech_bt_11[[aerien_nu_km]:[aerien_nu_km]]))</f>
        <v>0.02</v>
      </c>
      <c r="Y697" s="11" cm="1">
        <f t="array" ref="Y697">SUMPRODUCT((pat_tech_bt_11[[Client]:[Client]]=syndicat_etude)*(pat_tech_bt_11[[Annee]:[Annee]]=annee_CRAC)*(pat_tech_bt_11[[Annee Construction]:[Annee Construction]]=Y$693)*(pat_tech_bt_11[[aerien_nu_km]:[aerien_nu_km]]))</f>
        <v>0</v>
      </c>
      <c r="Z697" s="11" cm="1">
        <f t="array" ref="Z697">SUMPRODUCT((pat_tech_bt_11[[Client]:[Client]]=syndicat_etude)*(pat_tech_bt_11[[Annee]:[Annee]]=annee_CRAC)*(pat_tech_bt_11[[Annee Construction]:[Annee Construction]]=Z$693)*(pat_tech_bt_11[[aerien_nu_km]:[aerien_nu_km]]))</f>
        <v>0</v>
      </c>
      <c r="AA697" s="11" cm="1">
        <f t="array" ref="AA697">SUMPRODUCT((pat_tech_bt_11[[Client]:[Client]]=syndicat_etude)*(pat_tech_bt_11[[Annee]:[Annee]]=annee_CRAC)*(pat_tech_bt_11[[Annee Construction]:[Annee Construction]]=AA$693)*(pat_tech_bt_11[[aerien_nu_km]:[aerien_nu_km]]))</f>
        <v>0</v>
      </c>
      <c r="AB697" s="11" cm="1">
        <f t="array" ref="AB697">SUMPRODUCT((pat_tech_bt_11[[Client]:[Client]]=syndicat_etude)*(pat_tech_bt_11[[Annee]:[Annee]]=annee_CRAC)*(pat_tech_bt_11[[Annee Construction]:[Annee Construction]]=AB$693)*(pat_tech_bt_11[[aerien_nu_km]:[aerien_nu_km]]))</f>
        <v>0.33</v>
      </c>
      <c r="AC697" s="11" cm="1">
        <f t="array" ref="AC697">SUMPRODUCT((pat_tech_bt_11[[Client]:[Client]]=syndicat_etude)*(pat_tech_bt_11[[Annee]:[Annee]]=annee_CRAC)*(pat_tech_bt_11[[Annee Construction]:[Annee Construction]]=AC$693)*(pat_tech_bt_11[[aerien_nu_km]:[aerien_nu_km]]))</f>
        <v>0</v>
      </c>
      <c r="AD697" s="11" cm="1">
        <f t="array" ref="AD697">SUMPRODUCT((pat_tech_bt_11[[Client]:[Client]]=syndicat_etude)*(pat_tech_bt_11[[Annee]:[Annee]]=annee_CRAC)*(pat_tech_bt_11[[Annee Construction]:[Annee Construction]]=AD$693)*(pat_tech_bt_11[[aerien_nu_km]:[aerien_nu_km]]))</f>
        <v>0</v>
      </c>
      <c r="AE697" s="11" cm="1">
        <f t="array" ref="AE697">SUMPRODUCT((pat_tech_bt_11[[Client]:[Client]]=syndicat_etude)*(pat_tech_bt_11[[Annee]:[Annee]]=annee_CRAC)*(pat_tech_bt_11[[Annee Construction]:[Annee Construction]]=AE$693)*(pat_tech_bt_11[[aerien_nu_km]:[aerien_nu_km]]))</f>
        <v>0.1</v>
      </c>
      <c r="AF697" s="11" cm="1">
        <f t="array" ref="AF697">SUMPRODUCT((pat_tech_bt_11[[Client]:[Client]]=syndicat_etude)*(pat_tech_bt_11[[Annee]:[Annee]]=annee_CRAC)*(pat_tech_bt_11[[Annee Construction]:[Annee Construction]]=AF$693)*(pat_tech_bt_11[[aerien_nu_km]:[aerien_nu_km]]))</f>
        <v>0</v>
      </c>
      <c r="AG697" s="11" cm="1">
        <f t="array" ref="AG697">SUMPRODUCT((pat_tech_bt_11[[Client]:[Client]]=syndicat_etude)*(pat_tech_bt_11[[Annee]:[Annee]]=annee_CRAC)*(pat_tech_bt_11[[Annee Construction]:[Annee Construction]]=AG$693)*(pat_tech_bt_11[[aerien_nu_km]:[aerien_nu_km]]))</f>
        <v>0</v>
      </c>
      <c r="AH697" s="11" cm="1">
        <f t="array" ref="AH697">SUMPRODUCT((pat_tech_bt_11[[Client]:[Client]]=syndicat_etude)*(pat_tech_bt_11[[Annee]:[Annee]]=annee_CRAC)*(pat_tech_bt_11[[Annee Construction]:[Annee Construction]]=AH$693)*(pat_tech_bt_11[[aerien_nu_km]:[aerien_nu_km]]))</f>
        <v>0</v>
      </c>
      <c r="AI697" s="11" cm="1">
        <f t="array" ref="AI697">SUMPRODUCT((pat_tech_bt_11[[Client]:[Client]]=syndicat_etude)*(pat_tech_bt_11[[Annee]:[Annee]]=annee_CRAC)*(pat_tech_bt_11[[Annee Construction]:[Annee Construction]]=AI$693)*(pat_tech_bt_11[[aerien_nu_km]:[aerien_nu_km]]))</f>
        <v>0</v>
      </c>
      <c r="AJ697" s="11" cm="1">
        <f t="array" ref="AJ697">SUMPRODUCT((pat_tech_bt_11[[Client]:[Client]]=syndicat_etude)*(pat_tech_bt_11[[Annee]:[Annee]]=annee_CRAC)*(pat_tech_bt_11[[Annee Construction]:[Annee Construction]]=AJ$693)*(pat_tech_bt_11[[aerien_nu_km]:[aerien_nu_km]]))</f>
        <v>0</v>
      </c>
      <c r="AK697" s="11" cm="1">
        <f t="array" ref="AK697">SUMPRODUCT((pat_tech_bt_11[[Client]:[Client]]=syndicat_etude)*(pat_tech_bt_11[[Annee]:[Annee]]=annee_CRAC)*(pat_tech_bt_11[[Annee Construction]:[Annee Construction]]=AK$693)*(pat_tech_bt_11[[aerien_nu_km]:[aerien_nu_km]]))</f>
        <v>0</v>
      </c>
      <c r="AL697" s="11" cm="1">
        <f t="array" ref="AL697">SUMPRODUCT((pat_tech_bt_11[[Client]:[Client]]=syndicat_etude)*(pat_tech_bt_11[[Annee]:[Annee]]=annee_CRAC)*(pat_tech_bt_11[[Annee Construction]:[Annee Construction]]=AL$693)*(pat_tech_bt_11[[aerien_nu_km]:[aerien_nu_km]]))</f>
        <v>0</v>
      </c>
      <c r="AM697" s="11" cm="1">
        <f t="array" ref="AM697">SUMPRODUCT((pat_tech_bt_11[[Client]:[Client]]=syndicat_etude)*(pat_tech_bt_11[[Annee]:[Annee]]=annee_CRAC)*(pat_tech_bt_11[[Annee Construction]:[Annee Construction]]=AM$693)*(pat_tech_bt_11[[aerien_nu_km]:[aerien_nu_km]]))</f>
        <v>0.03</v>
      </c>
      <c r="AN697" s="11" cm="1">
        <f t="array" ref="AN697">SUMPRODUCT((pat_tech_bt_11[[Client]:[Client]]=syndicat_etude)*(pat_tech_bt_11[[Annee]:[Annee]]=annee_CRAC)*(pat_tech_bt_11[[Annee Construction]:[Annee Construction]]=AN$693)*(pat_tech_bt_11[[aerien_nu_km]:[aerien_nu_km]]))</f>
        <v>0.08</v>
      </c>
      <c r="AO697" s="11" cm="1">
        <f t="array" ref="AO697">SUMPRODUCT((pat_tech_bt_11[[Client]:[Client]]=syndicat_etude)*(pat_tech_bt_11[[Annee]:[Annee]]=annee_CRAC)*(pat_tech_bt_11[[Annee Construction]:[Annee Construction]]=AO$693)*(pat_tech_bt_11[[aerien_nu_km]:[aerien_nu_km]]))</f>
        <v>0.1</v>
      </c>
      <c r="AP697" s="11" cm="1">
        <f t="array" ref="AP697">SUMPRODUCT((pat_tech_bt_11[[Client]:[Client]]=syndicat_etude)*(pat_tech_bt_11[[Annee]:[Annee]]=annee_CRAC)*(pat_tech_bt_11[[Annee Construction]:[Annee Construction]]=AP$693)*(pat_tech_bt_11[[aerien_nu_km]:[aerien_nu_km]]))</f>
        <v>5.34</v>
      </c>
      <c r="AQ697" s="11" cm="1">
        <f t="array" ref="AQ697">SUMPRODUCT((pat_tech_bt_11[[Client]:[Client]]=syndicat_etude)*(pat_tech_bt_11[[Annee]:[Annee]]=annee_CRAC)*(pat_tech_bt_11[[Annee Construction]:[Annee Construction]]=AQ$693)*(pat_tech_bt_11[[aerien_nu_km]:[aerien_nu_km]]))</f>
        <v>27.6</v>
      </c>
      <c r="AR697" s="11" cm="1">
        <f t="array" ref="AR697">SUMPRODUCT((pat_tech_bt_11[[Client]:[Client]]=syndicat_etude)*(pat_tech_bt_11[[Annee]:[Annee]]=annee_CRAC)*(pat_tech_bt_11[[Annee Construction]:[Annee Construction]]=AR$693)*(pat_tech_bt_11[[aerien_nu_km]:[aerien_nu_km]]))</f>
        <v>6.38</v>
      </c>
      <c r="AS697" s="11" cm="1">
        <f t="array" ref="AS697">SUMPRODUCT((pat_tech_bt_11[[Client]:[Client]]=syndicat_etude)*(pat_tech_bt_11[[Annee]:[Annee]]=annee_CRAC)*(pat_tech_bt_11[[Annee Construction]:[Annee Construction]]=AS$693)*(pat_tech_bt_11[[aerien_nu_km]:[aerien_nu_km]]))</f>
        <v>0</v>
      </c>
      <c r="AT697" s="11" cm="1">
        <f t="array" ref="AT697">SUMPRODUCT((pat_tech_bt_11[[Client]:[Client]]=syndicat_etude)*(pat_tech_bt_11[[Annee]:[Annee]]=annee_CRAC)*(pat_tech_bt_11[[Annee Construction]:[Annee Construction]]=AT$693)*(pat_tech_bt_11[[aerien_nu_km]:[aerien_nu_km]]))</f>
        <v>27.18</v>
      </c>
      <c r="AU697" s="11" cm="1">
        <f t="array" ref="AU697">SUMPRODUCT((pat_tech_bt_11[[Client]:[Client]]=syndicat_etude)*(pat_tech_bt_11[[Annee]:[Annee]]=annee_CRAC)*(pat_tech_bt_11[[Annee Construction]:[Annee Construction]]=AU$693)*(pat_tech_bt_11[[aerien_nu_km]:[aerien_nu_km]]))</f>
        <v>9.43</v>
      </c>
      <c r="AV697" s="11" cm="1">
        <f t="array" ref="AV697">SUMPRODUCT((pat_tech_bt_11[[Client]:[Client]]=syndicat_etude)*(pat_tech_bt_11[[Annee]:[Annee]]=annee_CRAC)*(pat_tech_bt_11[[Annee Construction]:[Annee Construction]]=AV$693)*(pat_tech_bt_11[[aerien_nu_km]:[aerien_nu_km]]))</f>
        <v>34.83</v>
      </c>
      <c r="AW697" s="11" cm="1">
        <f t="array" ref="AW697">SUMPRODUCT((pat_tech_bt_11[[Client]:[Client]]=syndicat_etude)*(pat_tech_bt_11[[Annee]:[Annee]]=annee_CRAC)*(pat_tech_bt_11[[Annee Construction]:[Annee Construction]]=AW$693)*(pat_tech_bt_11[[aerien_nu_km]:[aerien_nu_km]]))</f>
        <v>44.74</v>
      </c>
      <c r="AX697" s="11" cm="1">
        <f t="array" ref="AX697">SUMPRODUCT((pat_tech_bt_11[[Client]:[Client]]=syndicat_etude)*(pat_tech_bt_11[[Annee]:[Annee]]=annee_CRAC)*(pat_tech_bt_11[[Annee Construction]:[Annee Construction]]=AX$693)*(pat_tech_bt_11[[aerien_nu_km]:[aerien_nu_km]]))</f>
        <v>11.9</v>
      </c>
      <c r="AY697" s="11" cm="1">
        <f t="array" ref="AY697">SUMPRODUCT((pat_tech_bt_11[[Client]:[Client]]=syndicat_etude)*(pat_tech_bt_11[[Annee]:[Annee]]=annee_CRAC)*(pat_tech_bt_11[[Annee Construction]:[Annee Construction]]=AY$693)*(pat_tech_bt_11[[aerien_nu_km]:[aerien_nu_km]]))</f>
        <v>2.1800000000000002</v>
      </c>
      <c r="AZ697" s="11" cm="1">
        <f t="array" ref="AZ697">SUMPRODUCT((pat_tech_bt_11[[Client]:[Client]]=syndicat_etude)*(pat_tech_bt_11[[Annee]:[Annee]]=annee_CRAC)*(pat_tech_bt_11[[Annee Construction]:[Annee Construction]]=AZ$693)*(pat_tech_bt_11[[aerien_nu_km]:[aerien_nu_km]]))</f>
        <v>1.99</v>
      </c>
      <c r="BA697" s="11" cm="1">
        <f t="array" ref="BA697">SUMPRODUCT((pat_tech_bt_11[[Client]:[Client]]=syndicat_etude)*(pat_tech_bt_11[[Annee]:[Annee]]=annee_CRAC)*(pat_tech_bt_11[[Annee Construction]:[Annee Construction]]=BA$693)*(pat_tech_bt_11[[aerien_nu_km]:[aerien_nu_km]]))</f>
        <v>0.25</v>
      </c>
      <c r="BB697" s="11" cm="1">
        <f t="array" ref="BB697">SUMPRODUCT((pat_tech_bt_11[[Client]:[Client]]=syndicat_etude)*(pat_tech_bt_11[[Annee]:[Annee]]=annee_CRAC)*(pat_tech_bt_11[[Annee Construction]:[Annee Construction]]=BB$693)*(pat_tech_bt_11[[aerien_nu_km]:[aerien_nu_km]]))</f>
        <v>0</v>
      </c>
      <c r="BC697" s="11" cm="1">
        <f t="array" ref="BC697">SUMPRODUCT((pat_tech_bt_11[[Client]:[Client]]=syndicat_etude)*(pat_tech_bt_11[[Annee]:[Annee]]=annee_CRAC)*(pat_tech_bt_11[[Annee Construction]:[Annee Construction]]=BC$693)*(pat_tech_bt_11[[aerien_nu_km]:[aerien_nu_km]]))</f>
        <v>0</v>
      </c>
      <c r="BD697" s="11" cm="1">
        <f t="array" ref="BD697">SUMPRODUCT((pat_tech_bt_11[[Client]:[Client]]=syndicat_etude)*(pat_tech_bt_11[[Annee]:[Annee]]=annee_CRAC)*(pat_tech_bt_11[[Annee Construction]:[Annee Construction]]=BD$693)*(pat_tech_bt_11[[aerien_nu_km]:[aerien_nu_km]]))</f>
        <v>0</v>
      </c>
      <c r="BE697" s="11" cm="1">
        <f t="array" ref="BE697">SUMPRODUCT((pat_tech_bt_11[[Client]:[Client]]=syndicat_etude)*(pat_tech_bt_11[[Annee]:[Annee]]=annee_CRAC)*(pat_tech_bt_11[[Annee Construction]:[Annee Construction]]=BE$693)*(pat_tech_bt_11[[aerien_nu_km]:[aerien_nu_km]]))</f>
        <v>0</v>
      </c>
      <c r="BF697" s="11" cm="1">
        <f t="array" ref="BF697">SUMPRODUCT((pat_tech_bt_11[[Client]:[Client]]=syndicat_etude)*(pat_tech_bt_11[[Annee]:[Annee]]=annee_CRAC)*(pat_tech_bt_11[[Annee Construction]:[Annee Construction]]=BF$693)*(pat_tech_bt_11[[aerien_nu_km]:[aerien_nu_km]]))</f>
        <v>0</v>
      </c>
      <c r="BG697" s="11" cm="1">
        <f t="array" ref="BG697">SUMPRODUCT((pat_tech_bt_11[[Client]:[Client]]=syndicat_etude)*(pat_tech_bt_11[[Annee]:[Annee]]=annee_CRAC)*(pat_tech_bt_11[[Annee Construction]:[Annee Construction]]=BG$693)*(pat_tech_bt_11[[aerien_nu_km]:[aerien_nu_km]]))</f>
        <v>0</v>
      </c>
      <c r="BH697" s="11" cm="1">
        <f t="array" ref="BH697">SUMPRODUCT((pat_tech_bt_11[[Client]:[Client]]=syndicat_etude)*(pat_tech_bt_11[[Annee]:[Annee]]=annee_CRAC)*(pat_tech_bt_11[[Annee Construction]:[Annee Construction]]=BH$693)*(pat_tech_bt_11[[aerien_nu_km]:[aerien_nu_km]]))</f>
        <v>0</v>
      </c>
      <c r="BI697" s="11" cm="1">
        <f t="array" ref="BI697">SUMPRODUCT((pat_tech_bt_11[[Client]:[Client]]=syndicat_etude)*(pat_tech_bt_11[[Annee]:[Annee]]=annee_CRAC)*(pat_tech_bt_11[[Annee Construction]:[Annee Construction]]=BI$693)*(pat_tech_bt_11[[aerien_nu_km]:[aerien_nu_km]]))</f>
        <v>0</v>
      </c>
      <c r="BJ697" s="11" cm="1">
        <f t="array" ref="BJ697">SUMPRODUCT((pat_tech_bt_11[[Client]:[Client]]=syndicat_etude)*(pat_tech_bt_11[[Annee]:[Annee]]=annee_CRAC)*(pat_tech_bt_11[[Annee Construction]:[Annee Construction]]=BJ$693)*(pat_tech_bt_11[[aerien_nu_km]:[aerien_nu_km]]))</f>
        <v>0</v>
      </c>
      <c r="BK697" s="11" cm="1">
        <f t="array" ref="BK697">SUMPRODUCT((pat_tech_bt_11[[Client]:[Client]]=syndicat_etude)*(pat_tech_bt_11[[Annee]:[Annee]]=annee_CRAC)*(pat_tech_bt_11[[Annee Construction]:[Annee Construction]]=BK$693)*(pat_tech_bt_11[[aerien_nu_km]:[aerien_nu_km]]))</f>
        <v>0</v>
      </c>
      <c r="BL697" s="11" cm="1">
        <f t="array" ref="BL697">SUMPRODUCT((pat_tech_bt_11[[Client]:[Client]]=syndicat_etude)*(pat_tech_bt_11[[Annee]:[Annee]]=annee_CRAC)*(pat_tech_bt_11[[Annee Construction]:[Annee Construction]]=BL$693)*(pat_tech_bt_11[[aerien_nu_km]:[aerien_nu_km]]))</f>
        <v>0</v>
      </c>
      <c r="BM697" s="11" cm="1">
        <f t="array" ref="BM697">SUMPRODUCT((pat_tech_bt_11[[Client]:[Client]]=syndicat_etude)*(pat_tech_bt_11[[Annee]:[Annee]]=annee_CRAC)*(pat_tech_bt_11[[Annee Construction]:[Annee Construction]]=BM$693)*(pat_tech_bt_11[[aerien_nu_km]:[aerien_nu_km]]))</f>
        <v>0</v>
      </c>
      <c r="BN697" s="11" cm="1">
        <f t="array" ref="BN697">SUMPRODUCT((pat_tech_bt_11[[Client]:[Client]]=syndicat_etude)*(pat_tech_bt_11[[Annee]:[Annee]]=annee_CRAC)*(pat_tech_bt_11[[Annee Construction]:[Annee Construction]]=BN$693)*(pat_tech_bt_11[[aerien_nu_km]:[aerien_nu_km]]))</f>
        <v>0</v>
      </c>
      <c r="BO697" s="11" cm="1">
        <f t="array" ref="BO697">SUMPRODUCT((pat_tech_bt_11[[Client]:[Client]]=syndicat_etude)*(pat_tech_bt_11[[Annee]:[Annee]]=annee_CRAC)*(pat_tech_bt_11[[Annee Construction]:[Annee Construction]]=BO$693)*(pat_tech_bt_11[[aerien_nu_km]:[aerien_nu_km]]))</f>
        <v>0</v>
      </c>
      <c r="BP697" s="11" cm="1">
        <f t="array" ref="BP697">SUMPRODUCT((pat_tech_bt_11[[Client]:[Client]]=syndicat_etude)*(pat_tech_bt_11[[Annee]:[Annee]]=annee_CRAC)*(pat_tech_bt_11[[Annee Construction]:[Annee Construction]]=BP$693)*(pat_tech_bt_11[[aerien_nu_km]:[aerien_nu_km]]))</f>
        <v>0</v>
      </c>
      <c r="BQ697" s="11" cm="1">
        <f t="array" ref="BQ697">SUMPRODUCT((pat_tech_bt_11[[Client]:[Client]]=syndicat_etude)*(pat_tech_bt_11[[Annee]:[Annee]]=annee_CRAC)*(pat_tech_bt_11[[Annee Construction]:[Annee Construction]]=BQ$693)*(pat_tech_bt_11[[aerien_nu_km]:[aerien_nu_km]]))</f>
        <v>0</v>
      </c>
      <c r="BR697" s="11" cm="1">
        <f t="array" ref="BR697">SUMPRODUCT((pat_tech_bt_11[[Client]:[Client]]=syndicat_etude)*(pat_tech_bt_11[[Annee]:[Annee]]=annee_CRAC)*(pat_tech_bt_11[[Annee Construction]:[Annee Construction]]=BR$693)*(pat_tech_bt_11[[aerien_nu_km]:[aerien_nu_km]]))</f>
        <v>0</v>
      </c>
      <c r="BS697" s="11" cm="1">
        <f t="array" ref="BS697">SUMPRODUCT((pat_tech_bt_11[[Client]:[Client]]=syndicat_etude)*(pat_tech_bt_11[[Annee]:[Annee]]=annee_CRAC)*(pat_tech_bt_11[[Annee Construction]:[Annee Construction]]=BS$693)*(pat_tech_bt_11[[aerien_nu_km]:[aerien_nu_km]]))</f>
        <v>0</v>
      </c>
      <c r="BT697" s="11" cm="1">
        <f t="array" ref="BT697">SUMPRODUCT((pat_tech_bt_11[[Client]:[Client]]=syndicat_etude)*(pat_tech_bt_11[[Annee]:[Annee]]=annee_CRAC)*(pat_tech_bt_11[[Annee Construction]:[Annee Construction]]=BT$693)*(pat_tech_bt_11[[aerien_nu_km]:[aerien_nu_km]]))</f>
        <v>0</v>
      </c>
      <c r="BU697" s="11" cm="1">
        <f t="array" ref="BU697">SUMPRODUCT((pat_tech_bt_11[[Client]:[Client]]=syndicat_etude)*(pat_tech_bt_11[[Annee]:[Annee]]=annee_CRAC)*(pat_tech_bt_11[[Annee Construction]:[Annee Construction]]=BU$693)*(pat_tech_bt_11[[aerien_nu_km]:[aerien_nu_km]]))</f>
        <v>0</v>
      </c>
      <c r="BV697" s="11" cm="1">
        <f t="array" ref="BV697">SUMPRODUCT((pat_tech_bt_11[[Client]:[Client]]=syndicat_etude)*(pat_tech_bt_11[[Annee]:[Annee]]=annee_CRAC)*(pat_tech_bt_11[[Annee Construction]:[Annee Construction]]=BV$693)*(pat_tech_bt_11[[aerien_nu_km]:[aerien_nu_km]]))</f>
        <v>0</v>
      </c>
      <c r="BW697" s="11" cm="1">
        <f t="array" ref="BW697">SUMPRODUCT((pat_tech_bt_11[[Client]:[Client]]=syndicat_etude)*(pat_tech_bt_11[[Annee]:[Annee]]=annee_CRAC)*(pat_tech_bt_11[[Annee Construction]:[Annee Construction]]=BW$693)*(pat_tech_bt_11[[aerien_nu_km]:[aerien_nu_km]]))</f>
        <v>0</v>
      </c>
      <c r="BX697" s="11" cm="1">
        <f t="array" ref="BX697">SUMPRODUCT((pat_tech_bt_11[[Client]:[Client]]=syndicat_etude)*(pat_tech_bt_11[[Annee]:[Annee]]=annee_CRAC)*(pat_tech_bt_11[[Annee Construction]:[Annee Construction]]=BX$693)*(pat_tech_bt_11[[aerien_nu_km]:[aerien_nu_km]]))</f>
        <v>0</v>
      </c>
      <c r="BY697" s="11" cm="1">
        <f t="array" ref="BY697">SUMPRODUCT((pat_tech_bt_11[[Client]:[Client]]=syndicat_etude)*(pat_tech_bt_11[[Annee]:[Annee]]=annee_CRAC)*(pat_tech_bt_11[[Annee Construction]:[Annee Construction]]=BY$693)*(pat_tech_bt_11[[aerien_nu_km]:[aerien_nu_km]]))</f>
        <v>0</v>
      </c>
      <c r="BZ697" s="11" cm="1">
        <f t="array" ref="BZ697">SUMPRODUCT((pat_tech_bt_11[[Client]:[Client]]=syndicat_etude)*(pat_tech_bt_11[[Annee]:[Annee]]=annee_CRAC)*(pat_tech_bt_11[[Annee Construction]:[Annee Construction]]=BZ$693)*(pat_tech_bt_11[[aerien_nu_km]:[aerien_nu_km]]))</f>
        <v>0</v>
      </c>
      <c r="CA697" s="11" cm="1">
        <f t="array" ref="CA697">SUMPRODUCT((pat_tech_bt_11[[Client]:[Client]]=syndicat_etude)*(pat_tech_bt_11[[Annee]:[Annee]]=annee_CRAC)*(pat_tech_bt_11[[Annee Construction]:[Annee Construction]]=CA$693)*(pat_tech_bt_11[[aerien_nu_km]:[aerien_nu_km]]))</f>
        <v>0</v>
      </c>
      <c r="CB697" s="11" cm="1">
        <f t="array" ref="CB697">SUMPRODUCT((pat_tech_bt_11[[Client]:[Client]]=syndicat_etude)*(pat_tech_bt_11[[Annee]:[Annee]]=annee_CRAC)*(pat_tech_bt_11[[Annee Construction]:[Annee Construction]]=CB$693)*(pat_tech_bt_11[[aerien_nu_km]:[aerien_nu_km]]))</f>
        <v>0</v>
      </c>
      <c r="CC697" s="11" cm="1">
        <f t="array" ref="CC697">SUMPRODUCT((pat_tech_bt_11[[Client]:[Client]]=syndicat_etude)*(pat_tech_bt_11[[Annee]:[Annee]]=annee_CRAC)*(pat_tech_bt_11[[Annee Construction]:[Annee Construction]]=CC$693)*(pat_tech_bt_11[[aerien_nu_km]:[aerien_nu_km]]))</f>
        <v>0</v>
      </c>
      <c r="CD697" s="11" cm="1">
        <f t="array" ref="CD697">SUMPRODUCT((pat_tech_bt_11[[Client]:[Client]]=syndicat_etude)*(pat_tech_bt_11[[Annee]:[Annee]]=annee_CRAC)*(pat_tech_bt_11[[Annee Construction]:[Annee Construction]]=CD$693)*(pat_tech_bt_11[[aerien_nu_km]:[aerien_nu_km]]))</f>
        <v>0</v>
      </c>
      <c r="CE697" s="11" cm="1">
        <f t="array" ref="CE697">SUMPRODUCT((pat_tech_bt_11[[Client]:[Client]]=syndicat_etude)*(pat_tech_bt_11[[Annee]:[Annee]]=annee_CRAC)*(pat_tech_bt_11[[Annee Construction]:[Annee Construction]]=CE$693)*(pat_tech_bt_11[[aerien_nu_km]:[aerien_nu_km]]))</f>
        <v>0</v>
      </c>
      <c r="CF697" s="93" cm="1">
        <f t="array" ref="CF697">SUMPRODUCT((pat_tech_bt_11[[Client]:[Client]]=syndicat_etude)*(pat_tech_bt_11[[Annee]:[Annee]]=annee_CRAC)*(pat_tech_bt_11[[Annee Construction]:[Annee Construction]]=CF$693)*(pat_tech_bt_11[[aerien_nu_km]:[aerien_nu_km]]))</f>
        <v>0</v>
      </c>
    </row>
    <row r="698" spans="1:84" s="164" customFormat="1" ht="15" customHeight="1" x14ac:dyDescent="0.25">
      <c r="B698" s="288" t="s">
        <v>247</v>
      </c>
      <c r="C698" s="15" cm="1">
        <f t="array" ref="C698">SUMPRODUCT((pat_tech_bt_11[[Client]:[Client]]=syndicat_etude)*(pat_tech_bt_11[[Annee]:[Annee]]=annee_CRAC)*(pat_tech_bt_11[[Annee Construction]:[Annee Construction]]=C$693)*(pat_tech_bt_11[[lineaire_bt_aerien_nu_fs]:[lineaire_bt_aerien_nu_fs]]))</f>
        <v>7.16</v>
      </c>
      <c r="D698" s="15" cm="1">
        <f t="array" ref="D698">SUMPRODUCT((pat_tech_bt_11[[Client]:[Client]]=syndicat_etude)*(pat_tech_bt_11[[Annee]:[Annee]]=annee_CRAC)*(pat_tech_bt_11[[Annee Construction]:[Annee Construction]]=D$693)*(pat_tech_bt_11[[lineaire_bt_aerien_nu_fs]:[lineaire_bt_aerien_nu_fs]]))</f>
        <v>0.08</v>
      </c>
      <c r="E698" s="15" cm="1">
        <f t="array" ref="E698">SUMPRODUCT((pat_tech_bt_11[[Client]:[Client]]=syndicat_etude)*(pat_tech_bt_11[[Annee]:[Annee]]=annee_CRAC)*(pat_tech_bt_11[[Annee Construction]:[Annee Construction]]=E$693)*(pat_tech_bt_11[[lineaire_bt_aerien_nu_fs]:[lineaire_bt_aerien_nu_fs]]))</f>
        <v>0</v>
      </c>
      <c r="F698" s="15" cm="1">
        <f t="array" ref="F698">SUMPRODUCT((pat_tech_bt_11[[Client]:[Client]]=syndicat_etude)*(pat_tech_bt_11[[Annee]:[Annee]]=annee_CRAC)*(pat_tech_bt_11[[Annee Construction]:[Annee Construction]]=F$693)*(pat_tech_bt_11[[lineaire_bt_aerien_nu_fs]:[lineaire_bt_aerien_nu_fs]]))</f>
        <v>0</v>
      </c>
      <c r="G698" s="15" cm="1">
        <f t="array" ref="G698">SUMPRODUCT((pat_tech_bt_11[[Client]:[Client]]=syndicat_etude)*(pat_tech_bt_11[[Annee]:[Annee]]=annee_CRAC)*(pat_tech_bt_11[[Annee Construction]:[Annee Construction]]=G$693)*(pat_tech_bt_11[[lineaire_bt_aerien_nu_fs]:[lineaire_bt_aerien_nu_fs]]))</f>
        <v>0</v>
      </c>
      <c r="H698" s="15" cm="1">
        <f t="array" ref="H698">SUMPRODUCT((pat_tech_bt_11[[Client]:[Client]]=syndicat_etude)*(pat_tech_bt_11[[Annee]:[Annee]]=annee_CRAC)*(pat_tech_bt_11[[Annee Construction]:[Annee Construction]]=H$693)*(pat_tech_bt_11[[lineaire_bt_aerien_nu_fs]:[lineaire_bt_aerien_nu_fs]]))</f>
        <v>0</v>
      </c>
      <c r="I698" s="15" cm="1">
        <f t="array" ref="I698">SUMPRODUCT((pat_tech_bt_11[[Client]:[Client]]=syndicat_etude)*(pat_tech_bt_11[[Annee]:[Annee]]=annee_CRAC)*(pat_tech_bt_11[[Annee Construction]:[Annee Construction]]=I$693)*(pat_tech_bt_11[[lineaire_bt_aerien_nu_fs]:[lineaire_bt_aerien_nu_fs]]))</f>
        <v>0</v>
      </c>
      <c r="J698" s="15" cm="1">
        <f t="array" ref="J698">SUMPRODUCT((pat_tech_bt_11[[Client]:[Client]]=syndicat_etude)*(pat_tech_bt_11[[Annee]:[Annee]]=annee_CRAC)*(pat_tech_bt_11[[Annee Construction]:[Annee Construction]]=J$693)*(pat_tech_bt_11[[lineaire_bt_aerien_nu_fs]:[lineaire_bt_aerien_nu_fs]]))</f>
        <v>0</v>
      </c>
      <c r="K698" s="15" cm="1">
        <f t="array" ref="K698">SUMPRODUCT((pat_tech_bt_11[[Client]:[Client]]=syndicat_etude)*(pat_tech_bt_11[[Annee]:[Annee]]=annee_CRAC)*(pat_tech_bt_11[[Annee Construction]:[Annee Construction]]=K$693)*(pat_tech_bt_11[[lineaire_bt_aerien_nu_fs]:[lineaire_bt_aerien_nu_fs]]))</f>
        <v>0</v>
      </c>
      <c r="L698" s="15" cm="1">
        <f t="array" ref="L698">SUMPRODUCT((pat_tech_bt_11[[Client]:[Client]]=syndicat_etude)*(pat_tech_bt_11[[Annee]:[Annee]]=annee_CRAC)*(pat_tech_bt_11[[Annee Construction]:[Annee Construction]]=L$693)*(pat_tech_bt_11[[lineaire_bt_aerien_nu_fs]:[lineaire_bt_aerien_nu_fs]]))</f>
        <v>0.04</v>
      </c>
      <c r="M698" s="15" cm="1">
        <f t="array" ref="M698">SUMPRODUCT((pat_tech_bt_11[[Client]:[Client]]=syndicat_etude)*(pat_tech_bt_11[[Annee]:[Annee]]=annee_CRAC)*(pat_tech_bt_11[[Annee Construction]:[Annee Construction]]=M$693)*(pat_tech_bt_11[[lineaire_bt_aerien_nu_fs]:[lineaire_bt_aerien_nu_fs]]))</f>
        <v>0</v>
      </c>
      <c r="N698" s="15" cm="1">
        <f t="array" ref="N698">SUMPRODUCT((pat_tech_bt_11[[Client]:[Client]]=syndicat_etude)*(pat_tech_bt_11[[Annee]:[Annee]]=annee_CRAC)*(pat_tech_bt_11[[Annee Construction]:[Annee Construction]]=N$693)*(pat_tech_bt_11[[lineaire_bt_aerien_nu_fs]:[lineaire_bt_aerien_nu_fs]]))</f>
        <v>0</v>
      </c>
      <c r="O698" s="15" cm="1">
        <f t="array" ref="O698">SUMPRODUCT((pat_tech_bt_11[[Client]:[Client]]=syndicat_etude)*(pat_tech_bt_11[[Annee]:[Annee]]=annee_CRAC)*(pat_tech_bt_11[[Annee Construction]:[Annee Construction]]=O$693)*(pat_tech_bt_11[[lineaire_bt_aerien_nu_fs]:[lineaire_bt_aerien_nu_fs]]))</f>
        <v>0</v>
      </c>
      <c r="P698" s="15" cm="1">
        <f t="array" ref="P698">SUMPRODUCT((pat_tech_bt_11[[Client]:[Client]]=syndicat_etude)*(pat_tech_bt_11[[Annee]:[Annee]]=annee_CRAC)*(pat_tech_bt_11[[Annee Construction]:[Annee Construction]]=P$693)*(pat_tech_bt_11[[lineaire_bt_aerien_nu_fs]:[lineaire_bt_aerien_nu_fs]]))</f>
        <v>0</v>
      </c>
      <c r="Q698" s="15" cm="1">
        <f t="array" ref="Q698">SUMPRODUCT((pat_tech_bt_11[[Client]:[Client]]=syndicat_etude)*(pat_tech_bt_11[[Annee]:[Annee]]=annee_CRAC)*(pat_tech_bt_11[[Annee Construction]:[Annee Construction]]=Q$693)*(pat_tech_bt_11[[lineaire_bt_aerien_nu_fs]:[lineaire_bt_aerien_nu_fs]]))</f>
        <v>0</v>
      </c>
      <c r="R698" s="15" cm="1">
        <f t="array" ref="R698">SUMPRODUCT((pat_tech_bt_11[[Client]:[Client]]=syndicat_etude)*(pat_tech_bt_11[[Annee]:[Annee]]=annee_CRAC)*(pat_tech_bt_11[[Annee Construction]:[Annee Construction]]=R$693)*(pat_tech_bt_11[[lineaire_bt_aerien_nu_fs]:[lineaire_bt_aerien_nu_fs]]))</f>
        <v>0</v>
      </c>
      <c r="S698" s="15" cm="1">
        <f t="array" ref="S698">SUMPRODUCT((pat_tech_bt_11[[Client]:[Client]]=syndicat_etude)*(pat_tech_bt_11[[Annee]:[Annee]]=annee_CRAC)*(pat_tech_bt_11[[Annee Construction]:[Annee Construction]]=S$693)*(pat_tech_bt_11[[lineaire_bt_aerien_nu_fs]:[lineaire_bt_aerien_nu_fs]]))</f>
        <v>0</v>
      </c>
      <c r="T698" s="15" cm="1">
        <f t="array" ref="T698">SUMPRODUCT((pat_tech_bt_11[[Client]:[Client]]=syndicat_etude)*(pat_tech_bt_11[[Annee]:[Annee]]=annee_CRAC)*(pat_tech_bt_11[[Annee Construction]:[Annee Construction]]=T$693)*(pat_tech_bt_11[[lineaire_bt_aerien_nu_fs]:[lineaire_bt_aerien_nu_fs]]))</f>
        <v>0</v>
      </c>
      <c r="U698" s="15" cm="1">
        <f t="array" ref="U698">SUMPRODUCT((pat_tech_bt_11[[Client]:[Client]]=syndicat_etude)*(pat_tech_bt_11[[Annee]:[Annee]]=annee_CRAC)*(pat_tech_bt_11[[Annee Construction]:[Annee Construction]]=U$693)*(pat_tech_bt_11[[lineaire_bt_aerien_nu_fs]:[lineaire_bt_aerien_nu_fs]]))</f>
        <v>0</v>
      </c>
      <c r="V698" s="15" cm="1">
        <f t="array" ref="V698">SUMPRODUCT((pat_tech_bt_11[[Client]:[Client]]=syndicat_etude)*(pat_tech_bt_11[[Annee]:[Annee]]=annee_CRAC)*(pat_tech_bt_11[[Annee Construction]:[Annee Construction]]=V$693)*(pat_tech_bt_11[[lineaire_bt_aerien_nu_fs]:[lineaire_bt_aerien_nu_fs]]))</f>
        <v>0</v>
      </c>
      <c r="W698" s="15" cm="1">
        <f t="array" ref="W698">SUMPRODUCT((pat_tech_bt_11[[Client]:[Client]]=syndicat_etude)*(pat_tech_bt_11[[Annee]:[Annee]]=annee_CRAC)*(pat_tech_bt_11[[Annee Construction]:[Annee Construction]]=W$693)*(pat_tech_bt_11[[lineaire_bt_aerien_nu_fs]:[lineaire_bt_aerien_nu_fs]]))</f>
        <v>0</v>
      </c>
      <c r="X698" s="15" cm="1">
        <f t="array" ref="X698">SUMPRODUCT((pat_tech_bt_11[[Client]:[Client]]=syndicat_etude)*(pat_tech_bt_11[[Annee]:[Annee]]=annee_CRAC)*(pat_tech_bt_11[[Annee Construction]:[Annee Construction]]=X$693)*(pat_tech_bt_11[[lineaire_bt_aerien_nu_fs]:[lineaire_bt_aerien_nu_fs]]))</f>
        <v>0</v>
      </c>
      <c r="Y698" s="15" cm="1">
        <f t="array" ref="Y698">SUMPRODUCT((pat_tech_bt_11[[Client]:[Client]]=syndicat_etude)*(pat_tech_bt_11[[Annee]:[Annee]]=annee_CRAC)*(pat_tech_bt_11[[Annee Construction]:[Annee Construction]]=Y$693)*(pat_tech_bt_11[[lineaire_bt_aerien_nu_fs]:[lineaire_bt_aerien_nu_fs]]))</f>
        <v>0</v>
      </c>
      <c r="Z698" s="15" cm="1">
        <f t="array" ref="Z698">SUMPRODUCT((pat_tech_bt_11[[Client]:[Client]]=syndicat_etude)*(pat_tech_bt_11[[Annee]:[Annee]]=annee_CRAC)*(pat_tech_bt_11[[Annee Construction]:[Annee Construction]]=Z$693)*(pat_tech_bt_11[[lineaire_bt_aerien_nu_fs]:[lineaire_bt_aerien_nu_fs]]))</f>
        <v>0</v>
      </c>
      <c r="AA698" s="15" cm="1">
        <f t="array" ref="AA698">SUMPRODUCT((pat_tech_bt_11[[Client]:[Client]]=syndicat_etude)*(pat_tech_bt_11[[Annee]:[Annee]]=annee_CRAC)*(pat_tech_bt_11[[Annee Construction]:[Annee Construction]]=AA$693)*(pat_tech_bt_11[[lineaire_bt_aerien_nu_fs]:[lineaire_bt_aerien_nu_fs]]))</f>
        <v>0</v>
      </c>
      <c r="AB698" s="15" cm="1">
        <f t="array" ref="AB698">SUMPRODUCT((pat_tech_bt_11[[Client]:[Client]]=syndicat_etude)*(pat_tech_bt_11[[Annee]:[Annee]]=annee_CRAC)*(pat_tech_bt_11[[Annee Construction]:[Annee Construction]]=AB$693)*(pat_tech_bt_11[[lineaire_bt_aerien_nu_fs]:[lineaire_bt_aerien_nu_fs]]))</f>
        <v>0.03</v>
      </c>
      <c r="AC698" s="15" cm="1">
        <f t="array" ref="AC698">SUMPRODUCT((pat_tech_bt_11[[Client]:[Client]]=syndicat_etude)*(pat_tech_bt_11[[Annee]:[Annee]]=annee_CRAC)*(pat_tech_bt_11[[Annee Construction]:[Annee Construction]]=AC$693)*(pat_tech_bt_11[[lineaire_bt_aerien_nu_fs]:[lineaire_bt_aerien_nu_fs]]))</f>
        <v>0</v>
      </c>
      <c r="AD698" s="15" cm="1">
        <f t="array" ref="AD698">SUMPRODUCT((pat_tech_bt_11[[Client]:[Client]]=syndicat_etude)*(pat_tech_bt_11[[Annee]:[Annee]]=annee_CRAC)*(pat_tech_bt_11[[Annee Construction]:[Annee Construction]]=AD$693)*(pat_tech_bt_11[[lineaire_bt_aerien_nu_fs]:[lineaire_bt_aerien_nu_fs]]))</f>
        <v>0</v>
      </c>
      <c r="AE698" s="15" cm="1">
        <f t="array" ref="AE698">SUMPRODUCT((pat_tech_bt_11[[Client]:[Client]]=syndicat_etude)*(pat_tech_bt_11[[Annee]:[Annee]]=annee_CRAC)*(pat_tech_bt_11[[Annee Construction]:[Annee Construction]]=AE$693)*(pat_tech_bt_11[[lineaire_bt_aerien_nu_fs]:[lineaire_bt_aerien_nu_fs]]))</f>
        <v>0.1</v>
      </c>
      <c r="AF698" s="15" cm="1">
        <f t="array" ref="AF698">SUMPRODUCT((pat_tech_bt_11[[Client]:[Client]]=syndicat_etude)*(pat_tech_bt_11[[Annee]:[Annee]]=annee_CRAC)*(pat_tech_bt_11[[Annee Construction]:[Annee Construction]]=AF$693)*(pat_tech_bt_11[[lineaire_bt_aerien_nu_fs]:[lineaire_bt_aerien_nu_fs]]))</f>
        <v>0</v>
      </c>
      <c r="AG698" s="15" cm="1">
        <f t="array" ref="AG698">SUMPRODUCT((pat_tech_bt_11[[Client]:[Client]]=syndicat_etude)*(pat_tech_bt_11[[Annee]:[Annee]]=annee_CRAC)*(pat_tech_bt_11[[Annee Construction]:[Annee Construction]]=AG$693)*(pat_tech_bt_11[[lineaire_bt_aerien_nu_fs]:[lineaire_bt_aerien_nu_fs]]))</f>
        <v>0</v>
      </c>
      <c r="AH698" s="15" cm="1">
        <f t="array" ref="AH698">SUMPRODUCT((pat_tech_bt_11[[Client]:[Client]]=syndicat_etude)*(pat_tech_bt_11[[Annee]:[Annee]]=annee_CRAC)*(pat_tech_bt_11[[Annee Construction]:[Annee Construction]]=AH$693)*(pat_tech_bt_11[[lineaire_bt_aerien_nu_fs]:[lineaire_bt_aerien_nu_fs]]))</f>
        <v>0</v>
      </c>
      <c r="AI698" s="15" cm="1">
        <f t="array" ref="AI698">SUMPRODUCT((pat_tech_bt_11[[Client]:[Client]]=syndicat_etude)*(pat_tech_bt_11[[Annee]:[Annee]]=annee_CRAC)*(pat_tech_bt_11[[Annee Construction]:[Annee Construction]]=AI$693)*(pat_tech_bt_11[[lineaire_bt_aerien_nu_fs]:[lineaire_bt_aerien_nu_fs]]))</f>
        <v>0</v>
      </c>
      <c r="AJ698" s="15" cm="1">
        <f t="array" ref="AJ698">SUMPRODUCT((pat_tech_bt_11[[Client]:[Client]]=syndicat_etude)*(pat_tech_bt_11[[Annee]:[Annee]]=annee_CRAC)*(pat_tech_bt_11[[Annee Construction]:[Annee Construction]]=AJ$693)*(pat_tech_bt_11[[lineaire_bt_aerien_nu_fs]:[lineaire_bt_aerien_nu_fs]]))</f>
        <v>0</v>
      </c>
      <c r="AK698" s="15" cm="1">
        <f t="array" ref="AK698">SUMPRODUCT((pat_tech_bt_11[[Client]:[Client]]=syndicat_etude)*(pat_tech_bt_11[[Annee]:[Annee]]=annee_CRAC)*(pat_tech_bt_11[[Annee Construction]:[Annee Construction]]=AK$693)*(pat_tech_bt_11[[lineaire_bt_aerien_nu_fs]:[lineaire_bt_aerien_nu_fs]]))</f>
        <v>0</v>
      </c>
      <c r="AL698" s="15" cm="1">
        <f t="array" ref="AL698">SUMPRODUCT((pat_tech_bt_11[[Client]:[Client]]=syndicat_etude)*(pat_tech_bt_11[[Annee]:[Annee]]=annee_CRAC)*(pat_tech_bt_11[[Annee Construction]:[Annee Construction]]=AL$693)*(pat_tech_bt_11[[lineaire_bt_aerien_nu_fs]:[lineaire_bt_aerien_nu_fs]]))</f>
        <v>0</v>
      </c>
      <c r="AM698" s="15" cm="1">
        <f t="array" ref="AM698">SUMPRODUCT((pat_tech_bt_11[[Client]:[Client]]=syndicat_etude)*(pat_tech_bt_11[[Annee]:[Annee]]=annee_CRAC)*(pat_tech_bt_11[[Annee Construction]:[Annee Construction]]=AM$693)*(pat_tech_bt_11[[lineaire_bt_aerien_nu_fs]:[lineaire_bt_aerien_nu_fs]]))</f>
        <v>0</v>
      </c>
      <c r="AN698" s="15" cm="1">
        <f t="array" ref="AN698">SUMPRODUCT((pat_tech_bt_11[[Client]:[Client]]=syndicat_etude)*(pat_tech_bt_11[[Annee]:[Annee]]=annee_CRAC)*(pat_tech_bt_11[[Annee Construction]:[Annee Construction]]=AN$693)*(pat_tech_bt_11[[lineaire_bt_aerien_nu_fs]:[lineaire_bt_aerien_nu_fs]]))</f>
        <v>0</v>
      </c>
      <c r="AO698" s="15" cm="1">
        <f t="array" ref="AO698">SUMPRODUCT((pat_tech_bt_11[[Client]:[Client]]=syndicat_etude)*(pat_tech_bt_11[[Annee]:[Annee]]=annee_CRAC)*(pat_tech_bt_11[[Annee Construction]:[Annee Construction]]=AO$693)*(pat_tech_bt_11[[lineaire_bt_aerien_nu_fs]:[lineaire_bt_aerien_nu_fs]]))</f>
        <v>0.1</v>
      </c>
      <c r="AP698" s="15" cm="1">
        <f t="array" ref="AP698">SUMPRODUCT((pat_tech_bt_11[[Client]:[Client]]=syndicat_etude)*(pat_tech_bt_11[[Annee]:[Annee]]=annee_CRAC)*(pat_tech_bt_11[[Annee Construction]:[Annee Construction]]=AP$693)*(pat_tech_bt_11[[lineaire_bt_aerien_nu_fs]:[lineaire_bt_aerien_nu_fs]]))</f>
        <v>0.64</v>
      </c>
      <c r="AQ698" s="15" cm="1">
        <f t="array" ref="AQ698">SUMPRODUCT((pat_tech_bt_11[[Client]:[Client]]=syndicat_etude)*(pat_tech_bt_11[[Annee]:[Annee]]=annee_CRAC)*(pat_tech_bt_11[[Annee Construction]:[Annee Construction]]=AQ$693)*(pat_tech_bt_11[[lineaire_bt_aerien_nu_fs]:[lineaire_bt_aerien_nu_fs]]))</f>
        <v>1.57</v>
      </c>
      <c r="AR698" s="15" cm="1">
        <f t="array" ref="AR698">SUMPRODUCT((pat_tech_bt_11[[Client]:[Client]]=syndicat_etude)*(pat_tech_bt_11[[Annee]:[Annee]]=annee_CRAC)*(pat_tech_bt_11[[Annee Construction]:[Annee Construction]]=AR$693)*(pat_tech_bt_11[[lineaire_bt_aerien_nu_fs]:[lineaire_bt_aerien_nu_fs]]))</f>
        <v>0.37</v>
      </c>
      <c r="AS698" s="15" cm="1">
        <f t="array" ref="AS698">SUMPRODUCT((pat_tech_bt_11[[Client]:[Client]]=syndicat_etude)*(pat_tech_bt_11[[Annee]:[Annee]]=annee_CRAC)*(pat_tech_bt_11[[Annee Construction]:[Annee Construction]]=AS$693)*(pat_tech_bt_11[[lineaire_bt_aerien_nu_fs]:[lineaire_bt_aerien_nu_fs]]))</f>
        <v>0</v>
      </c>
      <c r="AT698" s="15" cm="1">
        <f t="array" ref="AT698">SUMPRODUCT((pat_tech_bt_11[[Client]:[Client]]=syndicat_etude)*(pat_tech_bt_11[[Annee]:[Annee]]=annee_CRAC)*(pat_tech_bt_11[[Annee Construction]:[Annee Construction]]=AT$693)*(pat_tech_bt_11[[lineaire_bt_aerien_nu_fs]:[lineaire_bt_aerien_nu_fs]]))</f>
        <v>1.75</v>
      </c>
      <c r="AU698" s="15" cm="1">
        <f t="array" ref="AU698">SUMPRODUCT((pat_tech_bt_11[[Client]:[Client]]=syndicat_etude)*(pat_tech_bt_11[[Annee]:[Annee]]=annee_CRAC)*(pat_tech_bt_11[[Annee Construction]:[Annee Construction]]=AU$693)*(pat_tech_bt_11[[lineaire_bt_aerien_nu_fs]:[lineaire_bt_aerien_nu_fs]]))</f>
        <v>0.27</v>
      </c>
      <c r="AV698" s="15" cm="1">
        <f t="array" ref="AV698">SUMPRODUCT((pat_tech_bt_11[[Client]:[Client]]=syndicat_etude)*(pat_tech_bt_11[[Annee]:[Annee]]=annee_CRAC)*(pat_tech_bt_11[[Annee Construction]:[Annee Construction]]=AV$693)*(pat_tech_bt_11[[lineaire_bt_aerien_nu_fs]:[lineaire_bt_aerien_nu_fs]]))</f>
        <v>8.59</v>
      </c>
      <c r="AW698" s="15" cm="1">
        <f t="array" ref="AW698">SUMPRODUCT((pat_tech_bt_11[[Client]:[Client]]=syndicat_etude)*(pat_tech_bt_11[[Annee]:[Annee]]=annee_CRAC)*(pat_tech_bt_11[[Annee Construction]:[Annee Construction]]=AW$693)*(pat_tech_bt_11[[lineaire_bt_aerien_nu_fs]:[lineaire_bt_aerien_nu_fs]]))</f>
        <v>7.94</v>
      </c>
      <c r="AX698" s="15" cm="1">
        <f t="array" ref="AX698">SUMPRODUCT((pat_tech_bt_11[[Client]:[Client]]=syndicat_etude)*(pat_tech_bt_11[[Annee]:[Annee]]=annee_CRAC)*(pat_tech_bt_11[[Annee Construction]:[Annee Construction]]=AX$693)*(pat_tech_bt_11[[lineaire_bt_aerien_nu_fs]:[lineaire_bt_aerien_nu_fs]]))</f>
        <v>0.59</v>
      </c>
      <c r="AY698" s="15" cm="1">
        <f t="array" ref="AY698">SUMPRODUCT((pat_tech_bt_11[[Client]:[Client]]=syndicat_etude)*(pat_tech_bt_11[[Annee]:[Annee]]=annee_CRAC)*(pat_tech_bt_11[[Annee Construction]:[Annee Construction]]=AY$693)*(pat_tech_bt_11[[lineaire_bt_aerien_nu_fs]:[lineaire_bt_aerien_nu_fs]]))</f>
        <v>0.11</v>
      </c>
      <c r="AZ698" s="15" cm="1">
        <f t="array" ref="AZ698">SUMPRODUCT((pat_tech_bt_11[[Client]:[Client]]=syndicat_etude)*(pat_tech_bt_11[[Annee]:[Annee]]=annee_CRAC)*(pat_tech_bt_11[[Annee Construction]:[Annee Construction]]=AZ$693)*(pat_tech_bt_11[[lineaire_bt_aerien_nu_fs]:[lineaire_bt_aerien_nu_fs]]))</f>
        <v>0.5</v>
      </c>
      <c r="BA698" s="15" cm="1">
        <f t="array" ref="BA698">SUMPRODUCT((pat_tech_bt_11[[Client]:[Client]]=syndicat_etude)*(pat_tech_bt_11[[Annee]:[Annee]]=annee_CRAC)*(pat_tech_bt_11[[Annee Construction]:[Annee Construction]]=BA$693)*(pat_tech_bt_11[[lineaire_bt_aerien_nu_fs]:[lineaire_bt_aerien_nu_fs]]))</f>
        <v>0.25</v>
      </c>
      <c r="BB698" s="15" cm="1">
        <f t="array" ref="BB698">SUMPRODUCT((pat_tech_bt_11[[Client]:[Client]]=syndicat_etude)*(pat_tech_bt_11[[Annee]:[Annee]]=annee_CRAC)*(pat_tech_bt_11[[Annee Construction]:[Annee Construction]]=BB$693)*(pat_tech_bt_11[[lineaire_bt_aerien_nu_fs]:[lineaire_bt_aerien_nu_fs]]))</f>
        <v>0</v>
      </c>
      <c r="BC698" s="15" cm="1">
        <f t="array" ref="BC698">SUMPRODUCT((pat_tech_bt_11[[Client]:[Client]]=syndicat_etude)*(pat_tech_bt_11[[Annee]:[Annee]]=annee_CRAC)*(pat_tech_bt_11[[Annee Construction]:[Annee Construction]]=BC$693)*(pat_tech_bt_11[[lineaire_bt_aerien_nu_fs]:[lineaire_bt_aerien_nu_fs]]))</f>
        <v>0</v>
      </c>
      <c r="BD698" s="15" cm="1">
        <f t="array" ref="BD698">SUMPRODUCT((pat_tech_bt_11[[Client]:[Client]]=syndicat_etude)*(pat_tech_bt_11[[Annee]:[Annee]]=annee_CRAC)*(pat_tech_bt_11[[Annee Construction]:[Annee Construction]]=BD$693)*(pat_tech_bt_11[[lineaire_bt_aerien_nu_fs]:[lineaire_bt_aerien_nu_fs]]))</f>
        <v>0</v>
      </c>
      <c r="BE698" s="15" cm="1">
        <f t="array" ref="BE698">SUMPRODUCT((pat_tech_bt_11[[Client]:[Client]]=syndicat_etude)*(pat_tech_bt_11[[Annee]:[Annee]]=annee_CRAC)*(pat_tech_bt_11[[Annee Construction]:[Annee Construction]]=BE$693)*(pat_tech_bt_11[[lineaire_bt_aerien_nu_fs]:[lineaire_bt_aerien_nu_fs]]))</f>
        <v>0</v>
      </c>
      <c r="BF698" s="15" cm="1">
        <f t="array" ref="BF698">SUMPRODUCT((pat_tech_bt_11[[Client]:[Client]]=syndicat_etude)*(pat_tech_bt_11[[Annee]:[Annee]]=annee_CRAC)*(pat_tech_bt_11[[Annee Construction]:[Annee Construction]]=BF$693)*(pat_tech_bt_11[[lineaire_bt_aerien_nu_fs]:[lineaire_bt_aerien_nu_fs]]))</f>
        <v>0</v>
      </c>
      <c r="BG698" s="15" cm="1">
        <f t="array" ref="BG698">SUMPRODUCT((pat_tech_bt_11[[Client]:[Client]]=syndicat_etude)*(pat_tech_bt_11[[Annee]:[Annee]]=annee_CRAC)*(pat_tech_bt_11[[Annee Construction]:[Annee Construction]]=BG$693)*(pat_tech_bt_11[[lineaire_bt_aerien_nu_fs]:[lineaire_bt_aerien_nu_fs]]))</f>
        <v>0</v>
      </c>
      <c r="BH698" s="15" cm="1">
        <f t="array" ref="BH698">SUMPRODUCT((pat_tech_bt_11[[Client]:[Client]]=syndicat_etude)*(pat_tech_bt_11[[Annee]:[Annee]]=annee_CRAC)*(pat_tech_bt_11[[Annee Construction]:[Annee Construction]]=BH$693)*(pat_tech_bt_11[[lineaire_bt_aerien_nu_fs]:[lineaire_bt_aerien_nu_fs]]))</f>
        <v>0</v>
      </c>
      <c r="BI698" s="15" cm="1">
        <f t="array" ref="BI698">SUMPRODUCT((pat_tech_bt_11[[Client]:[Client]]=syndicat_etude)*(pat_tech_bt_11[[Annee]:[Annee]]=annee_CRAC)*(pat_tech_bt_11[[Annee Construction]:[Annee Construction]]=BI$693)*(pat_tech_bt_11[[lineaire_bt_aerien_nu_fs]:[lineaire_bt_aerien_nu_fs]]))</f>
        <v>0</v>
      </c>
      <c r="BJ698" s="15" cm="1">
        <f t="array" ref="BJ698">SUMPRODUCT((pat_tech_bt_11[[Client]:[Client]]=syndicat_etude)*(pat_tech_bt_11[[Annee]:[Annee]]=annee_CRAC)*(pat_tech_bt_11[[Annee Construction]:[Annee Construction]]=BJ$693)*(pat_tech_bt_11[[lineaire_bt_aerien_nu_fs]:[lineaire_bt_aerien_nu_fs]]))</f>
        <v>0</v>
      </c>
      <c r="BK698" s="15" cm="1">
        <f t="array" ref="BK698">SUMPRODUCT((pat_tech_bt_11[[Client]:[Client]]=syndicat_etude)*(pat_tech_bt_11[[Annee]:[Annee]]=annee_CRAC)*(pat_tech_bt_11[[Annee Construction]:[Annee Construction]]=BK$693)*(pat_tech_bt_11[[lineaire_bt_aerien_nu_fs]:[lineaire_bt_aerien_nu_fs]]))</f>
        <v>0</v>
      </c>
      <c r="BL698" s="15" cm="1">
        <f t="array" ref="BL698">SUMPRODUCT((pat_tech_bt_11[[Client]:[Client]]=syndicat_etude)*(pat_tech_bt_11[[Annee]:[Annee]]=annee_CRAC)*(pat_tech_bt_11[[Annee Construction]:[Annee Construction]]=BL$693)*(pat_tech_bt_11[[lineaire_bt_aerien_nu_fs]:[lineaire_bt_aerien_nu_fs]]))</f>
        <v>0</v>
      </c>
      <c r="BM698" s="15" cm="1">
        <f t="array" ref="BM698">SUMPRODUCT((pat_tech_bt_11[[Client]:[Client]]=syndicat_etude)*(pat_tech_bt_11[[Annee]:[Annee]]=annee_CRAC)*(pat_tech_bt_11[[Annee Construction]:[Annee Construction]]=BM$693)*(pat_tech_bt_11[[lineaire_bt_aerien_nu_fs]:[lineaire_bt_aerien_nu_fs]]))</f>
        <v>0</v>
      </c>
      <c r="BN698" s="15" cm="1">
        <f t="array" ref="BN698">SUMPRODUCT((pat_tech_bt_11[[Client]:[Client]]=syndicat_etude)*(pat_tech_bt_11[[Annee]:[Annee]]=annee_CRAC)*(pat_tech_bt_11[[Annee Construction]:[Annee Construction]]=BN$693)*(pat_tech_bt_11[[lineaire_bt_aerien_nu_fs]:[lineaire_bt_aerien_nu_fs]]))</f>
        <v>0</v>
      </c>
      <c r="BO698" s="15" cm="1">
        <f t="array" ref="BO698">SUMPRODUCT((pat_tech_bt_11[[Client]:[Client]]=syndicat_etude)*(pat_tech_bt_11[[Annee]:[Annee]]=annee_CRAC)*(pat_tech_bt_11[[Annee Construction]:[Annee Construction]]=BO$693)*(pat_tech_bt_11[[lineaire_bt_aerien_nu_fs]:[lineaire_bt_aerien_nu_fs]]))</f>
        <v>0</v>
      </c>
      <c r="BP698" s="15" cm="1">
        <f t="array" ref="BP698">SUMPRODUCT((pat_tech_bt_11[[Client]:[Client]]=syndicat_etude)*(pat_tech_bt_11[[Annee]:[Annee]]=annee_CRAC)*(pat_tech_bt_11[[Annee Construction]:[Annee Construction]]=BP$693)*(pat_tech_bt_11[[lineaire_bt_aerien_nu_fs]:[lineaire_bt_aerien_nu_fs]]))</f>
        <v>0</v>
      </c>
      <c r="BQ698" s="15" cm="1">
        <f t="array" ref="BQ698">SUMPRODUCT((pat_tech_bt_11[[Client]:[Client]]=syndicat_etude)*(pat_tech_bt_11[[Annee]:[Annee]]=annee_CRAC)*(pat_tech_bt_11[[Annee Construction]:[Annee Construction]]=BQ$693)*(pat_tech_bt_11[[lineaire_bt_aerien_nu_fs]:[lineaire_bt_aerien_nu_fs]]))</f>
        <v>0</v>
      </c>
      <c r="BR698" s="15" cm="1">
        <f t="array" ref="BR698">SUMPRODUCT((pat_tech_bt_11[[Client]:[Client]]=syndicat_etude)*(pat_tech_bt_11[[Annee]:[Annee]]=annee_CRAC)*(pat_tech_bt_11[[Annee Construction]:[Annee Construction]]=BR$693)*(pat_tech_bt_11[[lineaire_bt_aerien_nu_fs]:[lineaire_bt_aerien_nu_fs]]))</f>
        <v>0</v>
      </c>
      <c r="BS698" s="15" cm="1">
        <f t="array" ref="BS698">SUMPRODUCT((pat_tech_bt_11[[Client]:[Client]]=syndicat_etude)*(pat_tech_bt_11[[Annee]:[Annee]]=annee_CRAC)*(pat_tech_bt_11[[Annee Construction]:[Annee Construction]]=BS$693)*(pat_tech_bt_11[[lineaire_bt_aerien_nu_fs]:[lineaire_bt_aerien_nu_fs]]))</f>
        <v>0</v>
      </c>
      <c r="BT698" s="15" cm="1">
        <f t="array" ref="BT698">SUMPRODUCT((pat_tech_bt_11[[Client]:[Client]]=syndicat_etude)*(pat_tech_bt_11[[Annee]:[Annee]]=annee_CRAC)*(pat_tech_bt_11[[Annee Construction]:[Annee Construction]]=BT$693)*(pat_tech_bt_11[[lineaire_bt_aerien_nu_fs]:[lineaire_bt_aerien_nu_fs]]))</f>
        <v>0</v>
      </c>
      <c r="BU698" s="15" cm="1">
        <f t="array" ref="BU698">SUMPRODUCT((pat_tech_bt_11[[Client]:[Client]]=syndicat_etude)*(pat_tech_bt_11[[Annee]:[Annee]]=annee_CRAC)*(pat_tech_bt_11[[Annee Construction]:[Annee Construction]]=BU$693)*(pat_tech_bt_11[[lineaire_bt_aerien_nu_fs]:[lineaire_bt_aerien_nu_fs]]))</f>
        <v>0</v>
      </c>
      <c r="BV698" s="15" cm="1">
        <f t="array" ref="BV698">SUMPRODUCT((pat_tech_bt_11[[Client]:[Client]]=syndicat_etude)*(pat_tech_bt_11[[Annee]:[Annee]]=annee_CRAC)*(pat_tech_bt_11[[Annee Construction]:[Annee Construction]]=BV$693)*(pat_tech_bt_11[[lineaire_bt_aerien_nu_fs]:[lineaire_bt_aerien_nu_fs]]))</f>
        <v>0</v>
      </c>
      <c r="BW698" s="15" cm="1">
        <f t="array" ref="BW698">SUMPRODUCT((pat_tech_bt_11[[Client]:[Client]]=syndicat_etude)*(pat_tech_bt_11[[Annee]:[Annee]]=annee_CRAC)*(pat_tech_bt_11[[Annee Construction]:[Annee Construction]]=BW$693)*(pat_tech_bt_11[[lineaire_bt_aerien_nu_fs]:[lineaire_bt_aerien_nu_fs]]))</f>
        <v>0</v>
      </c>
      <c r="BX698" s="15" cm="1">
        <f t="array" ref="BX698">SUMPRODUCT((pat_tech_bt_11[[Client]:[Client]]=syndicat_etude)*(pat_tech_bt_11[[Annee]:[Annee]]=annee_CRAC)*(pat_tech_bt_11[[Annee Construction]:[Annee Construction]]=BX$693)*(pat_tech_bt_11[[lineaire_bt_aerien_nu_fs]:[lineaire_bt_aerien_nu_fs]]))</f>
        <v>0</v>
      </c>
      <c r="BY698" s="15" cm="1">
        <f t="array" ref="BY698">SUMPRODUCT((pat_tech_bt_11[[Client]:[Client]]=syndicat_etude)*(pat_tech_bt_11[[Annee]:[Annee]]=annee_CRAC)*(pat_tech_bt_11[[Annee Construction]:[Annee Construction]]=BY$693)*(pat_tech_bt_11[[lineaire_bt_aerien_nu_fs]:[lineaire_bt_aerien_nu_fs]]))</f>
        <v>0</v>
      </c>
      <c r="BZ698" s="15" cm="1">
        <f t="array" ref="BZ698">SUMPRODUCT((pat_tech_bt_11[[Client]:[Client]]=syndicat_etude)*(pat_tech_bt_11[[Annee]:[Annee]]=annee_CRAC)*(pat_tech_bt_11[[Annee Construction]:[Annee Construction]]=BZ$693)*(pat_tech_bt_11[[lineaire_bt_aerien_nu_fs]:[lineaire_bt_aerien_nu_fs]]))</f>
        <v>0</v>
      </c>
      <c r="CA698" s="15" cm="1">
        <f t="array" ref="CA698">SUMPRODUCT((pat_tech_bt_11[[Client]:[Client]]=syndicat_etude)*(pat_tech_bt_11[[Annee]:[Annee]]=annee_CRAC)*(pat_tech_bt_11[[Annee Construction]:[Annee Construction]]=CA$693)*(pat_tech_bt_11[[lineaire_bt_aerien_nu_fs]:[lineaire_bt_aerien_nu_fs]]))</f>
        <v>0</v>
      </c>
      <c r="CB698" s="15" cm="1">
        <f t="array" ref="CB698">SUMPRODUCT((pat_tech_bt_11[[Client]:[Client]]=syndicat_etude)*(pat_tech_bt_11[[Annee]:[Annee]]=annee_CRAC)*(pat_tech_bt_11[[Annee Construction]:[Annee Construction]]=CB$693)*(pat_tech_bt_11[[lineaire_bt_aerien_nu_fs]:[lineaire_bt_aerien_nu_fs]]))</f>
        <v>0</v>
      </c>
      <c r="CC698" s="15" cm="1">
        <f t="array" ref="CC698">SUMPRODUCT((pat_tech_bt_11[[Client]:[Client]]=syndicat_etude)*(pat_tech_bt_11[[Annee]:[Annee]]=annee_CRAC)*(pat_tech_bt_11[[Annee Construction]:[Annee Construction]]=CC$693)*(pat_tech_bt_11[[lineaire_bt_aerien_nu_fs]:[lineaire_bt_aerien_nu_fs]]))</f>
        <v>0</v>
      </c>
      <c r="CD698" s="15" cm="1">
        <f t="array" ref="CD698">SUMPRODUCT((pat_tech_bt_11[[Client]:[Client]]=syndicat_etude)*(pat_tech_bt_11[[Annee]:[Annee]]=annee_CRAC)*(pat_tech_bt_11[[Annee Construction]:[Annee Construction]]=CD$693)*(pat_tech_bt_11[[lineaire_bt_aerien_nu_fs]:[lineaire_bt_aerien_nu_fs]]))</f>
        <v>0</v>
      </c>
      <c r="CE698" s="15" cm="1">
        <f t="array" ref="CE698">SUMPRODUCT((pat_tech_bt_11[[Client]:[Client]]=syndicat_etude)*(pat_tech_bt_11[[Annee]:[Annee]]=annee_CRAC)*(pat_tech_bt_11[[Annee Construction]:[Annee Construction]]=CE$693)*(pat_tech_bt_11[[lineaire_bt_aerien_nu_fs]:[lineaire_bt_aerien_nu_fs]]))</f>
        <v>0</v>
      </c>
      <c r="CF698" s="587" cm="1">
        <f t="array" ref="CF698">SUMPRODUCT((pat_tech_bt_11[[Client]:[Client]]=syndicat_etude)*(pat_tech_bt_11[[Annee]:[Annee]]=annee_CRAC)*(pat_tech_bt_11[[Annee Construction]:[Annee Construction]]=CF$693)*(pat_tech_bt_11[[lineaire_bt_aerien_nu_fs]:[lineaire_bt_aerien_nu_fs]]))</f>
        <v>0</v>
      </c>
    </row>
    <row r="699" spans="1:84" s="164" customFormat="1" ht="15" customHeight="1" x14ac:dyDescent="0.25">
      <c r="B699" s="288" t="s">
        <v>248</v>
      </c>
      <c r="C699" s="15" cm="1">
        <f t="array" ref="C699">SUMPRODUCT((pat_tech_bt_11[[Client]:[Client]]=syndicat_etude)*(pat_tech_bt_11[[Annee]:[Annee]]=annee_CRAC)*(pat_tech_bt_11[[Annee Construction]:[Annee Construction]]=C$693)*(pat_tech_bt_11[[lineaire_bt_nu_hfs]:[lineaire_bt_nu_hfs]]))</f>
        <v>44.11</v>
      </c>
      <c r="D699" s="15" cm="1">
        <f t="array" ref="D699">SUMPRODUCT((pat_tech_bt_11[[Client]:[Client]]=syndicat_etude)*(pat_tech_bt_11[[Annee]:[Annee]]=annee_CRAC)*(pat_tech_bt_11[[Annee Construction]:[Annee Construction]]=D$693)*(pat_tech_bt_11[[lineaire_bt_nu_hfs]:[lineaire_bt_nu_hfs]]))</f>
        <v>0.15</v>
      </c>
      <c r="E699" s="15" cm="1">
        <f t="array" ref="E699">SUMPRODUCT((pat_tech_bt_11[[Client]:[Client]]=syndicat_etude)*(pat_tech_bt_11[[Annee]:[Annee]]=annee_CRAC)*(pat_tech_bt_11[[Annee Construction]:[Annee Construction]]=E$693)*(pat_tech_bt_11[[lineaire_bt_nu_hfs]:[lineaire_bt_nu_hfs]]))</f>
        <v>0</v>
      </c>
      <c r="F699" s="15" cm="1">
        <f t="array" ref="F699">SUMPRODUCT((pat_tech_bt_11[[Client]:[Client]]=syndicat_etude)*(pat_tech_bt_11[[Annee]:[Annee]]=annee_CRAC)*(pat_tech_bt_11[[Annee Construction]:[Annee Construction]]=F$693)*(pat_tech_bt_11[[lineaire_bt_nu_hfs]:[lineaire_bt_nu_hfs]]))</f>
        <v>0</v>
      </c>
      <c r="G699" s="15" cm="1">
        <f t="array" ref="G699">SUMPRODUCT((pat_tech_bt_11[[Client]:[Client]]=syndicat_etude)*(pat_tech_bt_11[[Annee]:[Annee]]=annee_CRAC)*(pat_tech_bt_11[[Annee Construction]:[Annee Construction]]=G$693)*(pat_tech_bt_11[[lineaire_bt_nu_hfs]:[lineaire_bt_nu_hfs]]))</f>
        <v>0</v>
      </c>
      <c r="H699" s="15" cm="1">
        <f t="array" ref="H699">SUMPRODUCT((pat_tech_bt_11[[Client]:[Client]]=syndicat_etude)*(pat_tech_bt_11[[Annee]:[Annee]]=annee_CRAC)*(pat_tech_bt_11[[Annee Construction]:[Annee Construction]]=H$693)*(pat_tech_bt_11[[lineaire_bt_nu_hfs]:[lineaire_bt_nu_hfs]]))</f>
        <v>0</v>
      </c>
      <c r="I699" s="15" cm="1">
        <f t="array" ref="I699">SUMPRODUCT((pat_tech_bt_11[[Client]:[Client]]=syndicat_etude)*(pat_tech_bt_11[[Annee]:[Annee]]=annee_CRAC)*(pat_tech_bt_11[[Annee Construction]:[Annee Construction]]=I$693)*(pat_tech_bt_11[[lineaire_bt_nu_hfs]:[lineaire_bt_nu_hfs]]))</f>
        <v>0</v>
      </c>
      <c r="J699" s="15" cm="1">
        <f t="array" ref="J699">SUMPRODUCT((pat_tech_bt_11[[Client]:[Client]]=syndicat_etude)*(pat_tech_bt_11[[Annee]:[Annee]]=annee_CRAC)*(pat_tech_bt_11[[Annee Construction]:[Annee Construction]]=J$693)*(pat_tech_bt_11[[lineaire_bt_nu_hfs]:[lineaire_bt_nu_hfs]]))</f>
        <v>0.04</v>
      </c>
      <c r="K699" s="15" cm="1">
        <f t="array" ref="K699">SUMPRODUCT((pat_tech_bt_11[[Client]:[Client]]=syndicat_etude)*(pat_tech_bt_11[[Annee]:[Annee]]=annee_CRAC)*(pat_tech_bt_11[[Annee Construction]:[Annee Construction]]=K$693)*(pat_tech_bt_11[[lineaire_bt_nu_hfs]:[lineaire_bt_nu_hfs]]))</f>
        <v>0</v>
      </c>
      <c r="L699" s="15" cm="1">
        <f t="array" ref="L699">SUMPRODUCT((pat_tech_bt_11[[Client]:[Client]]=syndicat_etude)*(pat_tech_bt_11[[Annee]:[Annee]]=annee_CRAC)*(pat_tech_bt_11[[Annee Construction]:[Annee Construction]]=L$693)*(pat_tech_bt_11[[lineaire_bt_nu_hfs]:[lineaire_bt_nu_hfs]]))</f>
        <v>0</v>
      </c>
      <c r="M699" s="15" cm="1">
        <f t="array" ref="M699">SUMPRODUCT((pat_tech_bt_11[[Client]:[Client]]=syndicat_etude)*(pat_tech_bt_11[[Annee]:[Annee]]=annee_CRAC)*(pat_tech_bt_11[[Annee Construction]:[Annee Construction]]=M$693)*(pat_tech_bt_11[[lineaire_bt_nu_hfs]:[lineaire_bt_nu_hfs]]))</f>
        <v>0</v>
      </c>
      <c r="N699" s="15" cm="1">
        <f t="array" ref="N699">SUMPRODUCT((pat_tech_bt_11[[Client]:[Client]]=syndicat_etude)*(pat_tech_bt_11[[Annee]:[Annee]]=annee_CRAC)*(pat_tech_bt_11[[Annee Construction]:[Annee Construction]]=N$693)*(pat_tech_bt_11[[lineaire_bt_nu_hfs]:[lineaire_bt_nu_hfs]]))</f>
        <v>0</v>
      </c>
      <c r="O699" s="15" cm="1">
        <f t="array" ref="O699">SUMPRODUCT((pat_tech_bt_11[[Client]:[Client]]=syndicat_etude)*(pat_tech_bt_11[[Annee]:[Annee]]=annee_CRAC)*(pat_tech_bt_11[[Annee Construction]:[Annee Construction]]=O$693)*(pat_tech_bt_11[[lineaire_bt_nu_hfs]:[lineaire_bt_nu_hfs]]))</f>
        <v>0</v>
      </c>
      <c r="P699" s="15" cm="1">
        <f t="array" ref="P699">SUMPRODUCT((pat_tech_bt_11[[Client]:[Client]]=syndicat_etude)*(pat_tech_bt_11[[Annee]:[Annee]]=annee_CRAC)*(pat_tech_bt_11[[Annee Construction]:[Annee Construction]]=P$693)*(pat_tech_bt_11[[lineaire_bt_nu_hfs]:[lineaire_bt_nu_hfs]]))</f>
        <v>0.21</v>
      </c>
      <c r="Q699" s="15" cm="1">
        <f t="array" ref="Q699">SUMPRODUCT((pat_tech_bt_11[[Client]:[Client]]=syndicat_etude)*(pat_tech_bt_11[[Annee]:[Annee]]=annee_CRAC)*(pat_tech_bt_11[[Annee Construction]:[Annee Construction]]=Q$693)*(pat_tech_bt_11[[lineaire_bt_nu_hfs]:[lineaire_bt_nu_hfs]]))</f>
        <v>0</v>
      </c>
      <c r="R699" s="15" cm="1">
        <f t="array" ref="R699">SUMPRODUCT((pat_tech_bt_11[[Client]:[Client]]=syndicat_etude)*(pat_tech_bt_11[[Annee]:[Annee]]=annee_CRAC)*(pat_tech_bt_11[[Annee Construction]:[Annee Construction]]=R$693)*(pat_tech_bt_11[[lineaire_bt_nu_hfs]:[lineaire_bt_nu_hfs]]))</f>
        <v>0</v>
      </c>
      <c r="S699" s="15" cm="1">
        <f t="array" ref="S699">SUMPRODUCT((pat_tech_bt_11[[Client]:[Client]]=syndicat_etude)*(pat_tech_bt_11[[Annee]:[Annee]]=annee_CRAC)*(pat_tech_bt_11[[Annee Construction]:[Annee Construction]]=S$693)*(pat_tech_bt_11[[lineaire_bt_nu_hfs]:[lineaire_bt_nu_hfs]]))</f>
        <v>0</v>
      </c>
      <c r="T699" s="15" cm="1">
        <f t="array" ref="T699">SUMPRODUCT((pat_tech_bt_11[[Client]:[Client]]=syndicat_etude)*(pat_tech_bt_11[[Annee]:[Annee]]=annee_CRAC)*(pat_tech_bt_11[[Annee Construction]:[Annee Construction]]=T$693)*(pat_tech_bt_11[[lineaire_bt_nu_hfs]:[lineaire_bt_nu_hfs]]))</f>
        <v>0</v>
      </c>
      <c r="U699" s="15" cm="1">
        <f t="array" ref="U699">SUMPRODUCT((pat_tech_bt_11[[Client]:[Client]]=syndicat_etude)*(pat_tech_bt_11[[Annee]:[Annee]]=annee_CRAC)*(pat_tech_bt_11[[Annee Construction]:[Annee Construction]]=U$693)*(pat_tech_bt_11[[lineaire_bt_nu_hfs]:[lineaire_bt_nu_hfs]]))</f>
        <v>0</v>
      </c>
      <c r="V699" s="15" cm="1">
        <f t="array" ref="V699">SUMPRODUCT((pat_tech_bt_11[[Client]:[Client]]=syndicat_etude)*(pat_tech_bt_11[[Annee]:[Annee]]=annee_CRAC)*(pat_tech_bt_11[[Annee Construction]:[Annee Construction]]=V$693)*(pat_tech_bt_11[[lineaire_bt_nu_hfs]:[lineaire_bt_nu_hfs]]))</f>
        <v>0</v>
      </c>
      <c r="W699" s="15" cm="1">
        <f t="array" ref="W699">SUMPRODUCT((pat_tech_bt_11[[Client]:[Client]]=syndicat_etude)*(pat_tech_bt_11[[Annee]:[Annee]]=annee_CRAC)*(pat_tech_bt_11[[Annee Construction]:[Annee Construction]]=W$693)*(pat_tech_bt_11[[lineaire_bt_nu_hfs]:[lineaire_bt_nu_hfs]]))</f>
        <v>0</v>
      </c>
      <c r="X699" s="15" cm="1">
        <f t="array" ref="X699">SUMPRODUCT((pat_tech_bt_11[[Client]:[Client]]=syndicat_etude)*(pat_tech_bt_11[[Annee]:[Annee]]=annee_CRAC)*(pat_tech_bt_11[[Annee Construction]:[Annee Construction]]=X$693)*(pat_tech_bt_11[[lineaire_bt_nu_hfs]:[lineaire_bt_nu_hfs]]))</f>
        <v>0.02</v>
      </c>
      <c r="Y699" s="15" cm="1">
        <f t="array" ref="Y699">SUMPRODUCT((pat_tech_bt_11[[Client]:[Client]]=syndicat_etude)*(pat_tech_bt_11[[Annee]:[Annee]]=annee_CRAC)*(pat_tech_bt_11[[Annee Construction]:[Annee Construction]]=Y$693)*(pat_tech_bt_11[[lineaire_bt_nu_hfs]:[lineaire_bt_nu_hfs]]))</f>
        <v>0</v>
      </c>
      <c r="Z699" s="15" cm="1">
        <f t="array" ref="Z699">SUMPRODUCT((pat_tech_bt_11[[Client]:[Client]]=syndicat_etude)*(pat_tech_bt_11[[Annee]:[Annee]]=annee_CRAC)*(pat_tech_bt_11[[Annee Construction]:[Annee Construction]]=Z$693)*(pat_tech_bt_11[[lineaire_bt_nu_hfs]:[lineaire_bt_nu_hfs]]))</f>
        <v>0</v>
      </c>
      <c r="AA699" s="15" cm="1">
        <f t="array" ref="AA699">SUMPRODUCT((pat_tech_bt_11[[Client]:[Client]]=syndicat_etude)*(pat_tech_bt_11[[Annee]:[Annee]]=annee_CRAC)*(pat_tech_bt_11[[Annee Construction]:[Annee Construction]]=AA$693)*(pat_tech_bt_11[[lineaire_bt_nu_hfs]:[lineaire_bt_nu_hfs]]))</f>
        <v>0</v>
      </c>
      <c r="AB699" s="15" cm="1">
        <f t="array" ref="AB699">SUMPRODUCT((pat_tech_bt_11[[Client]:[Client]]=syndicat_etude)*(pat_tech_bt_11[[Annee]:[Annee]]=annee_CRAC)*(pat_tech_bt_11[[Annee Construction]:[Annee Construction]]=AB$693)*(pat_tech_bt_11[[lineaire_bt_nu_hfs]:[lineaire_bt_nu_hfs]]))</f>
        <v>0.3</v>
      </c>
      <c r="AC699" s="15" cm="1">
        <f t="array" ref="AC699">SUMPRODUCT((pat_tech_bt_11[[Client]:[Client]]=syndicat_etude)*(pat_tech_bt_11[[Annee]:[Annee]]=annee_CRAC)*(pat_tech_bt_11[[Annee Construction]:[Annee Construction]]=AC$693)*(pat_tech_bt_11[[lineaire_bt_nu_hfs]:[lineaire_bt_nu_hfs]]))</f>
        <v>0</v>
      </c>
      <c r="AD699" s="15" cm="1">
        <f t="array" ref="AD699">SUMPRODUCT((pat_tech_bt_11[[Client]:[Client]]=syndicat_etude)*(pat_tech_bt_11[[Annee]:[Annee]]=annee_CRAC)*(pat_tech_bt_11[[Annee Construction]:[Annee Construction]]=AD$693)*(pat_tech_bt_11[[lineaire_bt_nu_hfs]:[lineaire_bt_nu_hfs]]))</f>
        <v>0</v>
      </c>
      <c r="AE699" s="15" cm="1">
        <f t="array" ref="AE699">SUMPRODUCT((pat_tech_bt_11[[Client]:[Client]]=syndicat_etude)*(pat_tech_bt_11[[Annee]:[Annee]]=annee_CRAC)*(pat_tech_bt_11[[Annee Construction]:[Annee Construction]]=AE$693)*(pat_tech_bt_11[[lineaire_bt_nu_hfs]:[lineaire_bt_nu_hfs]]))</f>
        <v>0</v>
      </c>
      <c r="AF699" s="15" cm="1">
        <f t="array" ref="AF699">SUMPRODUCT((pat_tech_bt_11[[Client]:[Client]]=syndicat_etude)*(pat_tech_bt_11[[Annee]:[Annee]]=annee_CRAC)*(pat_tech_bt_11[[Annee Construction]:[Annee Construction]]=AF$693)*(pat_tech_bt_11[[lineaire_bt_nu_hfs]:[lineaire_bt_nu_hfs]]))</f>
        <v>0</v>
      </c>
      <c r="AG699" s="15" cm="1">
        <f t="array" ref="AG699">SUMPRODUCT((pat_tech_bt_11[[Client]:[Client]]=syndicat_etude)*(pat_tech_bt_11[[Annee]:[Annee]]=annee_CRAC)*(pat_tech_bt_11[[Annee Construction]:[Annee Construction]]=AG$693)*(pat_tech_bt_11[[lineaire_bt_nu_hfs]:[lineaire_bt_nu_hfs]]))</f>
        <v>0</v>
      </c>
      <c r="AH699" s="15" cm="1">
        <f t="array" ref="AH699">SUMPRODUCT((pat_tech_bt_11[[Client]:[Client]]=syndicat_etude)*(pat_tech_bt_11[[Annee]:[Annee]]=annee_CRAC)*(pat_tech_bt_11[[Annee Construction]:[Annee Construction]]=AH$693)*(pat_tech_bt_11[[lineaire_bt_nu_hfs]:[lineaire_bt_nu_hfs]]))</f>
        <v>0</v>
      </c>
      <c r="AI699" s="15" cm="1">
        <f t="array" ref="AI699">SUMPRODUCT((pat_tech_bt_11[[Client]:[Client]]=syndicat_etude)*(pat_tech_bt_11[[Annee]:[Annee]]=annee_CRAC)*(pat_tech_bt_11[[Annee Construction]:[Annee Construction]]=AI$693)*(pat_tech_bt_11[[lineaire_bt_nu_hfs]:[lineaire_bt_nu_hfs]]))</f>
        <v>0</v>
      </c>
      <c r="AJ699" s="15" cm="1">
        <f t="array" ref="AJ699">SUMPRODUCT((pat_tech_bt_11[[Client]:[Client]]=syndicat_etude)*(pat_tech_bt_11[[Annee]:[Annee]]=annee_CRAC)*(pat_tech_bt_11[[Annee Construction]:[Annee Construction]]=AJ$693)*(pat_tech_bt_11[[lineaire_bt_nu_hfs]:[lineaire_bt_nu_hfs]]))</f>
        <v>0</v>
      </c>
      <c r="AK699" s="15" cm="1">
        <f t="array" ref="AK699">SUMPRODUCT((pat_tech_bt_11[[Client]:[Client]]=syndicat_etude)*(pat_tech_bt_11[[Annee]:[Annee]]=annee_CRAC)*(pat_tech_bt_11[[Annee Construction]:[Annee Construction]]=AK$693)*(pat_tech_bt_11[[lineaire_bt_nu_hfs]:[lineaire_bt_nu_hfs]]))</f>
        <v>0</v>
      </c>
      <c r="AL699" s="15" cm="1">
        <f t="array" ref="AL699">SUMPRODUCT((pat_tech_bt_11[[Client]:[Client]]=syndicat_etude)*(pat_tech_bt_11[[Annee]:[Annee]]=annee_CRAC)*(pat_tech_bt_11[[Annee Construction]:[Annee Construction]]=AL$693)*(pat_tech_bt_11[[lineaire_bt_nu_hfs]:[lineaire_bt_nu_hfs]]))</f>
        <v>0</v>
      </c>
      <c r="AM699" s="15" cm="1">
        <f t="array" ref="AM699">SUMPRODUCT((pat_tech_bt_11[[Client]:[Client]]=syndicat_etude)*(pat_tech_bt_11[[Annee]:[Annee]]=annee_CRAC)*(pat_tech_bt_11[[Annee Construction]:[Annee Construction]]=AM$693)*(pat_tech_bt_11[[lineaire_bt_nu_hfs]:[lineaire_bt_nu_hfs]]))</f>
        <v>0.03</v>
      </c>
      <c r="AN699" s="15" cm="1">
        <f t="array" ref="AN699">SUMPRODUCT((pat_tech_bt_11[[Client]:[Client]]=syndicat_etude)*(pat_tech_bt_11[[Annee]:[Annee]]=annee_CRAC)*(pat_tech_bt_11[[Annee Construction]:[Annee Construction]]=AN$693)*(pat_tech_bt_11[[lineaire_bt_nu_hfs]:[lineaire_bt_nu_hfs]]))</f>
        <v>0.08</v>
      </c>
      <c r="AO699" s="15" cm="1">
        <f t="array" ref="AO699">SUMPRODUCT((pat_tech_bt_11[[Client]:[Client]]=syndicat_etude)*(pat_tech_bt_11[[Annee]:[Annee]]=annee_CRAC)*(pat_tech_bt_11[[Annee Construction]:[Annee Construction]]=AO$693)*(pat_tech_bt_11[[lineaire_bt_nu_hfs]:[lineaire_bt_nu_hfs]]))</f>
        <v>0</v>
      </c>
      <c r="AP699" s="15" cm="1">
        <f t="array" ref="AP699">SUMPRODUCT((pat_tech_bt_11[[Client]:[Client]]=syndicat_etude)*(pat_tech_bt_11[[Annee]:[Annee]]=annee_CRAC)*(pat_tech_bt_11[[Annee Construction]:[Annee Construction]]=AP$693)*(pat_tech_bt_11[[lineaire_bt_nu_hfs]:[lineaire_bt_nu_hfs]]))</f>
        <v>4.7</v>
      </c>
      <c r="AQ699" s="15" cm="1">
        <f t="array" ref="AQ699">SUMPRODUCT((pat_tech_bt_11[[Client]:[Client]]=syndicat_etude)*(pat_tech_bt_11[[Annee]:[Annee]]=annee_CRAC)*(pat_tech_bt_11[[Annee Construction]:[Annee Construction]]=AQ$693)*(pat_tech_bt_11[[lineaire_bt_nu_hfs]:[lineaire_bt_nu_hfs]]))</f>
        <v>26.03</v>
      </c>
      <c r="AR699" s="15" cm="1">
        <f t="array" ref="AR699">SUMPRODUCT((pat_tech_bt_11[[Client]:[Client]]=syndicat_etude)*(pat_tech_bt_11[[Annee]:[Annee]]=annee_CRAC)*(pat_tech_bt_11[[Annee Construction]:[Annee Construction]]=AR$693)*(pat_tech_bt_11[[lineaire_bt_nu_hfs]:[lineaire_bt_nu_hfs]]))</f>
        <v>6.01</v>
      </c>
      <c r="AS699" s="15" cm="1">
        <f t="array" ref="AS699">SUMPRODUCT((pat_tech_bt_11[[Client]:[Client]]=syndicat_etude)*(pat_tech_bt_11[[Annee]:[Annee]]=annee_CRAC)*(pat_tech_bt_11[[Annee Construction]:[Annee Construction]]=AS$693)*(pat_tech_bt_11[[lineaire_bt_nu_hfs]:[lineaire_bt_nu_hfs]]))</f>
        <v>0</v>
      </c>
      <c r="AT699" s="15" cm="1">
        <f t="array" ref="AT699">SUMPRODUCT((pat_tech_bt_11[[Client]:[Client]]=syndicat_etude)*(pat_tech_bt_11[[Annee]:[Annee]]=annee_CRAC)*(pat_tech_bt_11[[Annee Construction]:[Annee Construction]]=AT$693)*(pat_tech_bt_11[[lineaire_bt_nu_hfs]:[lineaire_bt_nu_hfs]]))</f>
        <v>25.43</v>
      </c>
      <c r="AU699" s="15" cm="1">
        <f t="array" ref="AU699">SUMPRODUCT((pat_tech_bt_11[[Client]:[Client]]=syndicat_etude)*(pat_tech_bt_11[[Annee]:[Annee]]=annee_CRAC)*(pat_tech_bt_11[[Annee Construction]:[Annee Construction]]=AU$693)*(pat_tech_bt_11[[lineaire_bt_nu_hfs]:[lineaire_bt_nu_hfs]]))</f>
        <v>9.15</v>
      </c>
      <c r="AV699" s="15" cm="1">
        <f t="array" ref="AV699">SUMPRODUCT((pat_tech_bt_11[[Client]:[Client]]=syndicat_etude)*(pat_tech_bt_11[[Annee]:[Annee]]=annee_CRAC)*(pat_tech_bt_11[[Annee Construction]:[Annee Construction]]=AV$693)*(pat_tech_bt_11[[lineaire_bt_nu_hfs]:[lineaire_bt_nu_hfs]]))</f>
        <v>26.25</v>
      </c>
      <c r="AW699" s="15" cm="1">
        <f t="array" ref="AW699">SUMPRODUCT((pat_tech_bt_11[[Client]:[Client]]=syndicat_etude)*(pat_tech_bt_11[[Annee]:[Annee]]=annee_CRAC)*(pat_tech_bt_11[[Annee Construction]:[Annee Construction]]=AW$693)*(pat_tech_bt_11[[lineaire_bt_nu_hfs]:[lineaire_bt_nu_hfs]]))</f>
        <v>36.799999999999997</v>
      </c>
      <c r="AX699" s="15" cm="1">
        <f t="array" ref="AX699">SUMPRODUCT((pat_tech_bt_11[[Client]:[Client]]=syndicat_etude)*(pat_tech_bt_11[[Annee]:[Annee]]=annee_CRAC)*(pat_tech_bt_11[[Annee Construction]:[Annee Construction]]=AX$693)*(pat_tech_bt_11[[lineaire_bt_nu_hfs]:[lineaire_bt_nu_hfs]]))</f>
        <v>11.31</v>
      </c>
      <c r="AY699" s="15" cm="1">
        <f t="array" ref="AY699">SUMPRODUCT((pat_tech_bt_11[[Client]:[Client]]=syndicat_etude)*(pat_tech_bt_11[[Annee]:[Annee]]=annee_CRAC)*(pat_tech_bt_11[[Annee Construction]:[Annee Construction]]=AY$693)*(pat_tech_bt_11[[lineaire_bt_nu_hfs]:[lineaire_bt_nu_hfs]]))</f>
        <v>2.08</v>
      </c>
      <c r="AZ699" s="15" cm="1">
        <f t="array" ref="AZ699">SUMPRODUCT((pat_tech_bt_11[[Client]:[Client]]=syndicat_etude)*(pat_tech_bt_11[[Annee]:[Annee]]=annee_CRAC)*(pat_tech_bt_11[[Annee Construction]:[Annee Construction]]=AZ$693)*(pat_tech_bt_11[[lineaire_bt_nu_hfs]:[lineaire_bt_nu_hfs]]))</f>
        <v>1.49</v>
      </c>
      <c r="BA699" s="15" cm="1">
        <f t="array" ref="BA699">SUMPRODUCT((pat_tech_bt_11[[Client]:[Client]]=syndicat_etude)*(pat_tech_bt_11[[Annee]:[Annee]]=annee_CRAC)*(pat_tech_bt_11[[Annee Construction]:[Annee Construction]]=BA$693)*(pat_tech_bt_11[[lineaire_bt_nu_hfs]:[lineaire_bt_nu_hfs]]))</f>
        <v>0</v>
      </c>
      <c r="BB699" s="15" cm="1">
        <f t="array" ref="BB699">SUMPRODUCT((pat_tech_bt_11[[Client]:[Client]]=syndicat_etude)*(pat_tech_bt_11[[Annee]:[Annee]]=annee_CRAC)*(pat_tech_bt_11[[Annee Construction]:[Annee Construction]]=BB$693)*(pat_tech_bt_11[[lineaire_bt_nu_hfs]:[lineaire_bt_nu_hfs]]))</f>
        <v>0</v>
      </c>
      <c r="BC699" s="15" cm="1">
        <f t="array" ref="BC699">SUMPRODUCT((pat_tech_bt_11[[Client]:[Client]]=syndicat_etude)*(pat_tech_bt_11[[Annee]:[Annee]]=annee_CRAC)*(pat_tech_bt_11[[Annee Construction]:[Annee Construction]]=BC$693)*(pat_tech_bt_11[[lineaire_bt_nu_hfs]:[lineaire_bt_nu_hfs]]))</f>
        <v>0</v>
      </c>
      <c r="BD699" s="15" cm="1">
        <f t="array" ref="BD699">SUMPRODUCT((pat_tech_bt_11[[Client]:[Client]]=syndicat_etude)*(pat_tech_bt_11[[Annee]:[Annee]]=annee_CRAC)*(pat_tech_bt_11[[Annee Construction]:[Annee Construction]]=BD$693)*(pat_tech_bt_11[[lineaire_bt_nu_hfs]:[lineaire_bt_nu_hfs]]))</f>
        <v>0</v>
      </c>
      <c r="BE699" s="15" cm="1">
        <f t="array" ref="BE699">SUMPRODUCT((pat_tech_bt_11[[Client]:[Client]]=syndicat_etude)*(pat_tech_bt_11[[Annee]:[Annee]]=annee_CRAC)*(pat_tech_bt_11[[Annee Construction]:[Annee Construction]]=BE$693)*(pat_tech_bt_11[[lineaire_bt_nu_hfs]:[lineaire_bt_nu_hfs]]))</f>
        <v>0</v>
      </c>
      <c r="BF699" s="15" cm="1">
        <f t="array" ref="BF699">SUMPRODUCT((pat_tech_bt_11[[Client]:[Client]]=syndicat_etude)*(pat_tech_bt_11[[Annee]:[Annee]]=annee_CRAC)*(pat_tech_bt_11[[Annee Construction]:[Annee Construction]]=BF$693)*(pat_tech_bt_11[[lineaire_bt_nu_hfs]:[lineaire_bt_nu_hfs]]))</f>
        <v>0</v>
      </c>
      <c r="BG699" s="15" cm="1">
        <f t="array" ref="BG699">SUMPRODUCT((pat_tech_bt_11[[Client]:[Client]]=syndicat_etude)*(pat_tech_bt_11[[Annee]:[Annee]]=annee_CRAC)*(pat_tech_bt_11[[Annee Construction]:[Annee Construction]]=BG$693)*(pat_tech_bt_11[[lineaire_bt_nu_hfs]:[lineaire_bt_nu_hfs]]))</f>
        <v>0</v>
      </c>
      <c r="BH699" s="15" cm="1">
        <f t="array" ref="BH699">SUMPRODUCT((pat_tech_bt_11[[Client]:[Client]]=syndicat_etude)*(pat_tech_bt_11[[Annee]:[Annee]]=annee_CRAC)*(pat_tech_bt_11[[Annee Construction]:[Annee Construction]]=BH$693)*(pat_tech_bt_11[[lineaire_bt_nu_hfs]:[lineaire_bt_nu_hfs]]))</f>
        <v>0</v>
      </c>
      <c r="BI699" s="15" cm="1">
        <f t="array" ref="BI699">SUMPRODUCT((pat_tech_bt_11[[Client]:[Client]]=syndicat_etude)*(pat_tech_bt_11[[Annee]:[Annee]]=annee_CRAC)*(pat_tech_bt_11[[Annee Construction]:[Annee Construction]]=BI$693)*(pat_tech_bt_11[[lineaire_bt_nu_hfs]:[lineaire_bt_nu_hfs]]))</f>
        <v>0</v>
      </c>
      <c r="BJ699" s="15" cm="1">
        <f t="array" ref="BJ699">SUMPRODUCT((pat_tech_bt_11[[Client]:[Client]]=syndicat_etude)*(pat_tech_bt_11[[Annee]:[Annee]]=annee_CRAC)*(pat_tech_bt_11[[Annee Construction]:[Annee Construction]]=BJ$693)*(pat_tech_bt_11[[lineaire_bt_nu_hfs]:[lineaire_bt_nu_hfs]]))</f>
        <v>0</v>
      </c>
      <c r="BK699" s="15" cm="1">
        <f t="array" ref="BK699">SUMPRODUCT((pat_tech_bt_11[[Client]:[Client]]=syndicat_etude)*(pat_tech_bt_11[[Annee]:[Annee]]=annee_CRAC)*(pat_tech_bt_11[[Annee Construction]:[Annee Construction]]=BK$693)*(pat_tech_bt_11[[lineaire_bt_nu_hfs]:[lineaire_bt_nu_hfs]]))</f>
        <v>0</v>
      </c>
      <c r="BL699" s="15" cm="1">
        <f t="array" ref="BL699">SUMPRODUCT((pat_tech_bt_11[[Client]:[Client]]=syndicat_etude)*(pat_tech_bt_11[[Annee]:[Annee]]=annee_CRAC)*(pat_tech_bt_11[[Annee Construction]:[Annee Construction]]=BL$693)*(pat_tech_bt_11[[lineaire_bt_nu_hfs]:[lineaire_bt_nu_hfs]]))</f>
        <v>0</v>
      </c>
      <c r="BM699" s="15" cm="1">
        <f t="array" ref="BM699">SUMPRODUCT((pat_tech_bt_11[[Client]:[Client]]=syndicat_etude)*(pat_tech_bt_11[[Annee]:[Annee]]=annee_CRAC)*(pat_tech_bt_11[[Annee Construction]:[Annee Construction]]=BM$693)*(pat_tech_bt_11[[lineaire_bt_nu_hfs]:[lineaire_bt_nu_hfs]]))</f>
        <v>0</v>
      </c>
      <c r="BN699" s="15" cm="1">
        <f t="array" ref="BN699">SUMPRODUCT((pat_tech_bt_11[[Client]:[Client]]=syndicat_etude)*(pat_tech_bt_11[[Annee]:[Annee]]=annee_CRAC)*(pat_tech_bt_11[[Annee Construction]:[Annee Construction]]=BN$693)*(pat_tech_bt_11[[lineaire_bt_nu_hfs]:[lineaire_bt_nu_hfs]]))</f>
        <v>0</v>
      </c>
      <c r="BO699" s="15" cm="1">
        <f t="array" ref="BO699">SUMPRODUCT((pat_tech_bt_11[[Client]:[Client]]=syndicat_etude)*(pat_tech_bt_11[[Annee]:[Annee]]=annee_CRAC)*(pat_tech_bt_11[[Annee Construction]:[Annee Construction]]=BO$693)*(pat_tech_bt_11[[lineaire_bt_nu_hfs]:[lineaire_bt_nu_hfs]]))</f>
        <v>0</v>
      </c>
      <c r="BP699" s="15" cm="1">
        <f t="array" ref="BP699">SUMPRODUCT((pat_tech_bt_11[[Client]:[Client]]=syndicat_etude)*(pat_tech_bt_11[[Annee]:[Annee]]=annee_CRAC)*(pat_tech_bt_11[[Annee Construction]:[Annee Construction]]=BP$693)*(pat_tech_bt_11[[lineaire_bt_nu_hfs]:[lineaire_bt_nu_hfs]]))</f>
        <v>0</v>
      </c>
      <c r="BQ699" s="15" cm="1">
        <f t="array" ref="BQ699">SUMPRODUCT((pat_tech_bt_11[[Client]:[Client]]=syndicat_etude)*(pat_tech_bt_11[[Annee]:[Annee]]=annee_CRAC)*(pat_tech_bt_11[[Annee Construction]:[Annee Construction]]=BQ$693)*(pat_tech_bt_11[[lineaire_bt_nu_hfs]:[lineaire_bt_nu_hfs]]))</f>
        <v>0</v>
      </c>
      <c r="BR699" s="15" cm="1">
        <f t="array" ref="BR699">SUMPRODUCT((pat_tech_bt_11[[Client]:[Client]]=syndicat_etude)*(pat_tech_bt_11[[Annee]:[Annee]]=annee_CRAC)*(pat_tech_bt_11[[Annee Construction]:[Annee Construction]]=BR$693)*(pat_tech_bt_11[[lineaire_bt_nu_hfs]:[lineaire_bt_nu_hfs]]))</f>
        <v>0</v>
      </c>
      <c r="BS699" s="15" cm="1">
        <f t="array" ref="BS699">SUMPRODUCT((pat_tech_bt_11[[Client]:[Client]]=syndicat_etude)*(pat_tech_bt_11[[Annee]:[Annee]]=annee_CRAC)*(pat_tech_bt_11[[Annee Construction]:[Annee Construction]]=BS$693)*(pat_tech_bt_11[[lineaire_bt_nu_hfs]:[lineaire_bt_nu_hfs]]))</f>
        <v>0</v>
      </c>
      <c r="BT699" s="15" cm="1">
        <f t="array" ref="BT699">SUMPRODUCT((pat_tech_bt_11[[Client]:[Client]]=syndicat_etude)*(pat_tech_bt_11[[Annee]:[Annee]]=annee_CRAC)*(pat_tech_bt_11[[Annee Construction]:[Annee Construction]]=BT$693)*(pat_tech_bt_11[[lineaire_bt_nu_hfs]:[lineaire_bt_nu_hfs]]))</f>
        <v>0</v>
      </c>
      <c r="BU699" s="15" cm="1">
        <f t="array" ref="BU699">SUMPRODUCT((pat_tech_bt_11[[Client]:[Client]]=syndicat_etude)*(pat_tech_bt_11[[Annee]:[Annee]]=annee_CRAC)*(pat_tech_bt_11[[Annee Construction]:[Annee Construction]]=BU$693)*(pat_tech_bt_11[[lineaire_bt_nu_hfs]:[lineaire_bt_nu_hfs]]))</f>
        <v>0</v>
      </c>
      <c r="BV699" s="15" cm="1">
        <f t="array" ref="BV699">SUMPRODUCT((pat_tech_bt_11[[Client]:[Client]]=syndicat_etude)*(pat_tech_bt_11[[Annee]:[Annee]]=annee_CRAC)*(pat_tech_bt_11[[Annee Construction]:[Annee Construction]]=BV$693)*(pat_tech_bt_11[[lineaire_bt_nu_hfs]:[lineaire_bt_nu_hfs]]))</f>
        <v>0</v>
      </c>
      <c r="BW699" s="15" cm="1">
        <f t="array" ref="BW699">SUMPRODUCT((pat_tech_bt_11[[Client]:[Client]]=syndicat_etude)*(pat_tech_bt_11[[Annee]:[Annee]]=annee_CRAC)*(pat_tech_bt_11[[Annee Construction]:[Annee Construction]]=BW$693)*(pat_tech_bt_11[[lineaire_bt_nu_hfs]:[lineaire_bt_nu_hfs]]))</f>
        <v>0</v>
      </c>
      <c r="BX699" s="15" cm="1">
        <f t="array" ref="BX699">SUMPRODUCT((pat_tech_bt_11[[Client]:[Client]]=syndicat_etude)*(pat_tech_bt_11[[Annee]:[Annee]]=annee_CRAC)*(pat_tech_bt_11[[Annee Construction]:[Annee Construction]]=BX$693)*(pat_tech_bt_11[[lineaire_bt_nu_hfs]:[lineaire_bt_nu_hfs]]))</f>
        <v>0</v>
      </c>
      <c r="BY699" s="15" cm="1">
        <f t="array" ref="BY699">SUMPRODUCT((pat_tech_bt_11[[Client]:[Client]]=syndicat_etude)*(pat_tech_bt_11[[Annee]:[Annee]]=annee_CRAC)*(pat_tech_bt_11[[Annee Construction]:[Annee Construction]]=BY$693)*(pat_tech_bt_11[[lineaire_bt_nu_hfs]:[lineaire_bt_nu_hfs]]))</f>
        <v>0</v>
      </c>
      <c r="BZ699" s="15" cm="1">
        <f t="array" ref="BZ699">SUMPRODUCT((pat_tech_bt_11[[Client]:[Client]]=syndicat_etude)*(pat_tech_bt_11[[Annee]:[Annee]]=annee_CRAC)*(pat_tech_bt_11[[Annee Construction]:[Annee Construction]]=BZ$693)*(pat_tech_bt_11[[lineaire_bt_nu_hfs]:[lineaire_bt_nu_hfs]]))</f>
        <v>0</v>
      </c>
      <c r="CA699" s="15" cm="1">
        <f t="array" ref="CA699">SUMPRODUCT((pat_tech_bt_11[[Client]:[Client]]=syndicat_etude)*(pat_tech_bt_11[[Annee]:[Annee]]=annee_CRAC)*(pat_tech_bt_11[[Annee Construction]:[Annee Construction]]=CA$693)*(pat_tech_bt_11[[lineaire_bt_nu_hfs]:[lineaire_bt_nu_hfs]]))</f>
        <v>0</v>
      </c>
      <c r="CB699" s="15" cm="1">
        <f t="array" ref="CB699">SUMPRODUCT((pat_tech_bt_11[[Client]:[Client]]=syndicat_etude)*(pat_tech_bt_11[[Annee]:[Annee]]=annee_CRAC)*(pat_tech_bt_11[[Annee Construction]:[Annee Construction]]=CB$693)*(pat_tech_bt_11[[lineaire_bt_nu_hfs]:[lineaire_bt_nu_hfs]]))</f>
        <v>0</v>
      </c>
      <c r="CC699" s="15" cm="1">
        <f t="array" ref="CC699">SUMPRODUCT((pat_tech_bt_11[[Client]:[Client]]=syndicat_etude)*(pat_tech_bt_11[[Annee]:[Annee]]=annee_CRAC)*(pat_tech_bt_11[[Annee Construction]:[Annee Construction]]=CC$693)*(pat_tech_bt_11[[lineaire_bt_nu_hfs]:[lineaire_bt_nu_hfs]]))</f>
        <v>0</v>
      </c>
      <c r="CD699" s="15" cm="1">
        <f t="array" ref="CD699">SUMPRODUCT((pat_tech_bt_11[[Client]:[Client]]=syndicat_etude)*(pat_tech_bt_11[[Annee]:[Annee]]=annee_CRAC)*(pat_tech_bt_11[[Annee Construction]:[Annee Construction]]=CD$693)*(pat_tech_bt_11[[lineaire_bt_nu_hfs]:[lineaire_bt_nu_hfs]]))</f>
        <v>0</v>
      </c>
      <c r="CE699" s="15" cm="1">
        <f t="array" ref="CE699">SUMPRODUCT((pat_tech_bt_11[[Client]:[Client]]=syndicat_etude)*(pat_tech_bt_11[[Annee]:[Annee]]=annee_CRAC)*(pat_tech_bt_11[[Annee Construction]:[Annee Construction]]=CE$693)*(pat_tech_bt_11[[lineaire_bt_nu_hfs]:[lineaire_bt_nu_hfs]]))</f>
        <v>0</v>
      </c>
      <c r="CF699" s="587" cm="1">
        <f t="array" ref="CF699">SUMPRODUCT((pat_tech_bt_11[[Client]:[Client]]=syndicat_etude)*(pat_tech_bt_11[[Annee]:[Annee]]=annee_CRAC)*(pat_tech_bt_11[[Annee Construction]:[Annee Construction]]=CF$693)*(pat_tech_bt_11[[lineaire_bt_nu_hfs]:[lineaire_bt_nu_hfs]]))</f>
        <v>0</v>
      </c>
    </row>
    <row r="700" spans="1:84" ht="15" customHeight="1" x14ac:dyDescent="0.25">
      <c r="B700" s="53" t="s">
        <v>114</v>
      </c>
      <c r="C700" s="94" cm="1">
        <f t="array" ref="C700">SUMPRODUCT((pat_tech_bt_11[[Client]:[Client]]=syndicat_etude)*(pat_tech_bt_11[[Annee]:[Annee]]=annee_CRAC)*(pat_tech_bt_11[[Annee Construction]:[Annee Construction]]=C$693)*(pat_tech_bt_11[[torsade_km]:[torsade_km]]))</f>
        <v>64.040000000000006</v>
      </c>
      <c r="D700" s="94" cm="1">
        <f t="array" ref="D700">SUMPRODUCT((pat_tech_bt_11[[Client]:[Client]]=syndicat_etude)*(pat_tech_bt_11[[Annee]:[Annee]]=annee_CRAC)*(pat_tech_bt_11[[Annee Construction]:[Annee Construction]]=D$693)*(pat_tech_bt_11[[torsade_km]:[torsade_km]]))</f>
        <v>2.2000000000000002</v>
      </c>
      <c r="E700" s="94" cm="1">
        <f t="array" ref="E700">SUMPRODUCT((pat_tech_bt_11[[Client]:[Client]]=syndicat_etude)*(pat_tech_bt_11[[Annee]:[Annee]]=annee_CRAC)*(pat_tech_bt_11[[Annee Construction]:[Annee Construction]]=E$693)*(pat_tech_bt_11[[torsade_km]:[torsade_km]]))</f>
        <v>0</v>
      </c>
      <c r="F700" s="94" cm="1">
        <f t="array" ref="F700">SUMPRODUCT((pat_tech_bt_11[[Client]:[Client]]=syndicat_etude)*(pat_tech_bt_11[[Annee]:[Annee]]=annee_CRAC)*(pat_tech_bt_11[[Annee Construction]:[Annee Construction]]=F$693)*(pat_tech_bt_11[[torsade_km]:[torsade_km]]))</f>
        <v>1</v>
      </c>
      <c r="G700" s="94" cm="1">
        <f t="array" ref="G700">SUMPRODUCT((pat_tech_bt_11[[Client]:[Client]]=syndicat_etude)*(pat_tech_bt_11[[Annee]:[Annee]]=annee_CRAC)*(pat_tech_bt_11[[Annee Construction]:[Annee Construction]]=G$693)*(pat_tech_bt_11[[torsade_km]:[torsade_km]]))</f>
        <v>0</v>
      </c>
      <c r="H700" s="94" cm="1">
        <f t="array" ref="H700">SUMPRODUCT((pat_tech_bt_11[[Client]:[Client]]=syndicat_etude)*(pat_tech_bt_11[[Annee]:[Annee]]=annee_CRAC)*(pat_tech_bt_11[[Annee Construction]:[Annee Construction]]=H$693)*(pat_tech_bt_11[[torsade_km]:[torsade_km]]))</f>
        <v>0</v>
      </c>
      <c r="I700" s="94" cm="1">
        <f t="array" ref="I700">SUMPRODUCT((pat_tech_bt_11[[Client]:[Client]]=syndicat_etude)*(pat_tech_bt_11[[Annee]:[Annee]]=annee_CRAC)*(pat_tech_bt_11[[Annee Construction]:[Annee Construction]]=I$693)*(pat_tech_bt_11[[torsade_km]:[torsade_km]]))</f>
        <v>0</v>
      </c>
      <c r="J700" s="94" cm="1">
        <f t="array" ref="J700">SUMPRODUCT((pat_tech_bt_11[[Client]:[Client]]=syndicat_etude)*(pat_tech_bt_11[[Annee]:[Annee]]=annee_CRAC)*(pat_tech_bt_11[[Annee Construction]:[Annee Construction]]=J$693)*(pat_tech_bt_11[[torsade_km]:[torsade_km]]))</f>
        <v>0</v>
      </c>
      <c r="K700" s="94" cm="1">
        <f t="array" ref="K700">SUMPRODUCT((pat_tech_bt_11[[Client]:[Client]]=syndicat_etude)*(pat_tech_bt_11[[Annee]:[Annee]]=annee_CRAC)*(pat_tech_bt_11[[Annee Construction]:[Annee Construction]]=K$693)*(pat_tech_bt_11[[torsade_km]:[torsade_km]]))</f>
        <v>0.45</v>
      </c>
      <c r="L700" s="94" cm="1">
        <f t="array" ref="L700">SUMPRODUCT((pat_tech_bt_11[[Client]:[Client]]=syndicat_etude)*(pat_tech_bt_11[[Annee]:[Annee]]=annee_CRAC)*(pat_tech_bt_11[[Annee Construction]:[Annee Construction]]=L$693)*(pat_tech_bt_11[[torsade_km]:[torsade_km]]))</f>
        <v>0</v>
      </c>
      <c r="M700" s="94" cm="1">
        <f t="array" ref="M700">SUMPRODUCT((pat_tech_bt_11[[Client]:[Client]]=syndicat_etude)*(pat_tech_bt_11[[Annee]:[Annee]]=annee_CRAC)*(pat_tech_bt_11[[Annee Construction]:[Annee Construction]]=M$693)*(pat_tech_bt_11[[torsade_km]:[torsade_km]]))</f>
        <v>0</v>
      </c>
      <c r="N700" s="94" cm="1">
        <f t="array" ref="N700">SUMPRODUCT((pat_tech_bt_11[[Client]:[Client]]=syndicat_etude)*(pat_tech_bt_11[[Annee]:[Annee]]=annee_CRAC)*(pat_tech_bt_11[[Annee Construction]:[Annee Construction]]=N$693)*(pat_tech_bt_11[[torsade_km]:[torsade_km]]))</f>
        <v>0</v>
      </c>
      <c r="O700" s="94" cm="1">
        <f t="array" ref="O700">SUMPRODUCT((pat_tech_bt_11[[Client]:[Client]]=syndicat_etude)*(pat_tech_bt_11[[Annee]:[Annee]]=annee_CRAC)*(pat_tech_bt_11[[Annee Construction]:[Annee Construction]]=O$693)*(pat_tech_bt_11[[torsade_km]:[torsade_km]]))</f>
        <v>0</v>
      </c>
      <c r="P700" s="94" cm="1">
        <f t="array" ref="P700">SUMPRODUCT((pat_tech_bt_11[[Client]:[Client]]=syndicat_etude)*(pat_tech_bt_11[[Annee]:[Annee]]=annee_CRAC)*(pat_tech_bt_11[[Annee Construction]:[Annee Construction]]=P$693)*(pat_tech_bt_11[[torsade_km]:[torsade_km]]))</f>
        <v>0</v>
      </c>
      <c r="Q700" s="94" cm="1">
        <f t="array" ref="Q700">SUMPRODUCT((pat_tech_bt_11[[Client]:[Client]]=syndicat_etude)*(pat_tech_bt_11[[Annee]:[Annee]]=annee_CRAC)*(pat_tech_bt_11[[Annee Construction]:[Annee Construction]]=Q$693)*(pat_tech_bt_11[[torsade_km]:[torsade_km]]))</f>
        <v>0</v>
      </c>
      <c r="R700" s="94" cm="1">
        <f t="array" ref="R700">SUMPRODUCT((pat_tech_bt_11[[Client]:[Client]]=syndicat_etude)*(pat_tech_bt_11[[Annee]:[Annee]]=annee_CRAC)*(pat_tech_bt_11[[Annee Construction]:[Annee Construction]]=R$693)*(pat_tech_bt_11[[torsade_km]:[torsade_km]]))</f>
        <v>0</v>
      </c>
      <c r="S700" s="94" cm="1">
        <f t="array" ref="S700">SUMPRODUCT((pat_tech_bt_11[[Client]:[Client]]=syndicat_etude)*(pat_tech_bt_11[[Annee]:[Annee]]=annee_CRAC)*(pat_tech_bt_11[[Annee Construction]:[Annee Construction]]=S$693)*(pat_tech_bt_11[[torsade_km]:[torsade_km]]))</f>
        <v>0.04</v>
      </c>
      <c r="T700" s="94" cm="1">
        <f t="array" ref="T700">SUMPRODUCT((pat_tech_bt_11[[Client]:[Client]]=syndicat_etude)*(pat_tech_bt_11[[Annee]:[Annee]]=annee_CRAC)*(pat_tech_bt_11[[Annee Construction]:[Annee Construction]]=T$693)*(pat_tech_bt_11[[torsade_km]:[torsade_km]]))</f>
        <v>0</v>
      </c>
      <c r="U700" s="94" cm="1">
        <f t="array" ref="U700">SUMPRODUCT((pat_tech_bt_11[[Client]:[Client]]=syndicat_etude)*(pat_tech_bt_11[[Annee]:[Annee]]=annee_CRAC)*(pat_tech_bt_11[[Annee Construction]:[Annee Construction]]=U$693)*(pat_tech_bt_11[[torsade_km]:[torsade_km]]))</f>
        <v>0</v>
      </c>
      <c r="V700" s="94" cm="1">
        <f t="array" ref="V700">SUMPRODUCT((pat_tech_bt_11[[Client]:[Client]]=syndicat_etude)*(pat_tech_bt_11[[Annee]:[Annee]]=annee_CRAC)*(pat_tech_bt_11[[Annee Construction]:[Annee Construction]]=V$693)*(pat_tech_bt_11[[torsade_km]:[torsade_km]]))</f>
        <v>0</v>
      </c>
      <c r="W700" s="94" cm="1">
        <f t="array" ref="W700">SUMPRODUCT((pat_tech_bt_11[[Client]:[Client]]=syndicat_etude)*(pat_tech_bt_11[[Annee]:[Annee]]=annee_CRAC)*(pat_tech_bt_11[[Annee Construction]:[Annee Construction]]=W$693)*(pat_tech_bt_11[[torsade_km]:[torsade_km]]))</f>
        <v>0</v>
      </c>
      <c r="X700" s="94" cm="1">
        <f t="array" ref="X700">SUMPRODUCT((pat_tech_bt_11[[Client]:[Client]]=syndicat_etude)*(pat_tech_bt_11[[Annee]:[Annee]]=annee_CRAC)*(pat_tech_bt_11[[Annee Construction]:[Annee Construction]]=X$693)*(pat_tech_bt_11[[torsade_km]:[torsade_km]]))</f>
        <v>0</v>
      </c>
      <c r="Y700" s="94" cm="1">
        <f t="array" ref="Y700">SUMPRODUCT((pat_tech_bt_11[[Client]:[Client]]=syndicat_etude)*(pat_tech_bt_11[[Annee]:[Annee]]=annee_CRAC)*(pat_tech_bt_11[[Annee Construction]:[Annee Construction]]=Y$693)*(pat_tech_bt_11[[torsade_km]:[torsade_km]]))</f>
        <v>0.59</v>
      </c>
      <c r="Z700" s="94" cm="1">
        <f t="array" ref="Z700">SUMPRODUCT((pat_tech_bt_11[[Client]:[Client]]=syndicat_etude)*(pat_tech_bt_11[[Annee]:[Annee]]=annee_CRAC)*(pat_tech_bt_11[[Annee Construction]:[Annee Construction]]=Z$693)*(pat_tech_bt_11[[torsade_km]:[torsade_km]]))</f>
        <v>0</v>
      </c>
      <c r="AA700" s="94" cm="1">
        <f t="array" ref="AA700">SUMPRODUCT((pat_tech_bt_11[[Client]:[Client]]=syndicat_etude)*(pat_tech_bt_11[[Annee]:[Annee]]=annee_CRAC)*(pat_tech_bt_11[[Annee Construction]:[Annee Construction]]=AA$693)*(pat_tech_bt_11[[torsade_km]:[torsade_km]]))</f>
        <v>0.05</v>
      </c>
      <c r="AB700" s="94" cm="1">
        <f t="array" ref="AB700">SUMPRODUCT((pat_tech_bt_11[[Client]:[Client]]=syndicat_etude)*(pat_tech_bt_11[[Annee]:[Annee]]=annee_CRAC)*(pat_tech_bt_11[[Annee Construction]:[Annee Construction]]=AB$693)*(pat_tech_bt_11[[torsade_km]:[torsade_km]]))</f>
        <v>0.04</v>
      </c>
      <c r="AC700" s="94" cm="1">
        <f t="array" ref="AC700">SUMPRODUCT((pat_tech_bt_11[[Client]:[Client]]=syndicat_etude)*(pat_tech_bt_11[[Annee]:[Annee]]=annee_CRAC)*(pat_tech_bt_11[[Annee Construction]:[Annee Construction]]=AC$693)*(pat_tech_bt_11[[torsade_km]:[torsade_km]]))</f>
        <v>0.34</v>
      </c>
      <c r="AD700" s="94" cm="1">
        <f t="array" ref="AD700">SUMPRODUCT((pat_tech_bt_11[[Client]:[Client]]=syndicat_etude)*(pat_tech_bt_11[[Annee]:[Annee]]=annee_CRAC)*(pat_tech_bt_11[[Annee Construction]:[Annee Construction]]=AD$693)*(pat_tech_bt_11[[torsade_km]:[torsade_km]]))</f>
        <v>0.02</v>
      </c>
      <c r="AE700" s="94" cm="1">
        <f t="array" ref="AE700">SUMPRODUCT((pat_tech_bt_11[[Client]:[Client]]=syndicat_etude)*(pat_tech_bt_11[[Annee]:[Annee]]=annee_CRAC)*(pat_tech_bt_11[[Annee Construction]:[Annee Construction]]=AE$693)*(pat_tech_bt_11[[torsade_km]:[torsade_km]]))</f>
        <v>0.08</v>
      </c>
      <c r="AF700" s="94" cm="1">
        <f t="array" ref="AF700">SUMPRODUCT((pat_tech_bt_11[[Client]:[Client]]=syndicat_etude)*(pat_tech_bt_11[[Annee]:[Annee]]=annee_CRAC)*(pat_tech_bt_11[[Annee Construction]:[Annee Construction]]=AF$693)*(pat_tech_bt_11[[torsade_km]:[torsade_km]]))</f>
        <v>0.08</v>
      </c>
      <c r="AG700" s="94" cm="1">
        <f t="array" ref="AG700">SUMPRODUCT((pat_tech_bt_11[[Client]:[Client]]=syndicat_etude)*(pat_tech_bt_11[[Annee]:[Annee]]=annee_CRAC)*(pat_tech_bt_11[[Annee Construction]:[Annee Construction]]=AG$693)*(pat_tech_bt_11[[torsade_km]:[torsade_km]]))</f>
        <v>0</v>
      </c>
      <c r="AH700" s="94" cm="1">
        <f t="array" ref="AH700">SUMPRODUCT((pat_tech_bt_11[[Client]:[Client]]=syndicat_etude)*(pat_tech_bt_11[[Annee]:[Annee]]=annee_CRAC)*(pat_tech_bt_11[[Annee Construction]:[Annee Construction]]=AH$693)*(pat_tech_bt_11[[torsade_km]:[torsade_km]]))</f>
        <v>0</v>
      </c>
      <c r="AI700" s="94" cm="1">
        <f t="array" ref="AI700">SUMPRODUCT((pat_tech_bt_11[[Client]:[Client]]=syndicat_etude)*(pat_tech_bt_11[[Annee]:[Annee]]=annee_CRAC)*(pat_tech_bt_11[[Annee Construction]:[Annee Construction]]=AI$693)*(pat_tech_bt_11[[torsade_km]:[torsade_km]]))</f>
        <v>0.09</v>
      </c>
      <c r="AJ700" s="94" cm="1">
        <f t="array" ref="AJ700">SUMPRODUCT((pat_tech_bt_11[[Client]:[Client]]=syndicat_etude)*(pat_tech_bt_11[[Annee]:[Annee]]=annee_CRAC)*(pat_tech_bt_11[[Annee Construction]:[Annee Construction]]=AJ$693)*(pat_tech_bt_11[[torsade_km]:[torsade_km]]))</f>
        <v>0</v>
      </c>
      <c r="AK700" s="94" cm="1">
        <f t="array" ref="AK700">SUMPRODUCT((pat_tech_bt_11[[Client]:[Client]]=syndicat_etude)*(pat_tech_bt_11[[Annee]:[Annee]]=annee_CRAC)*(pat_tech_bt_11[[Annee Construction]:[Annee Construction]]=AK$693)*(pat_tech_bt_11[[torsade_km]:[torsade_km]]))</f>
        <v>0</v>
      </c>
      <c r="AL700" s="94" cm="1">
        <f t="array" ref="AL700">SUMPRODUCT((pat_tech_bt_11[[Client]:[Client]]=syndicat_etude)*(pat_tech_bt_11[[Annee]:[Annee]]=annee_CRAC)*(pat_tech_bt_11[[Annee Construction]:[Annee Construction]]=AL$693)*(pat_tech_bt_11[[torsade_km]:[torsade_km]]))</f>
        <v>0</v>
      </c>
      <c r="AM700" s="94" cm="1">
        <f t="array" ref="AM700">SUMPRODUCT((pat_tech_bt_11[[Client]:[Client]]=syndicat_etude)*(pat_tech_bt_11[[Annee]:[Annee]]=annee_CRAC)*(pat_tech_bt_11[[Annee Construction]:[Annee Construction]]=AM$693)*(pat_tech_bt_11[[torsade_km]:[torsade_km]]))</f>
        <v>0.12</v>
      </c>
      <c r="AN700" s="94" cm="1">
        <f t="array" ref="AN700">SUMPRODUCT((pat_tech_bt_11[[Client]:[Client]]=syndicat_etude)*(pat_tech_bt_11[[Annee]:[Annee]]=annee_CRAC)*(pat_tech_bt_11[[Annee Construction]:[Annee Construction]]=AN$693)*(pat_tech_bt_11[[torsade_km]:[torsade_km]]))</f>
        <v>0.99</v>
      </c>
      <c r="AO700" s="94" cm="1">
        <f t="array" ref="AO700">SUMPRODUCT((pat_tech_bt_11[[Client]:[Client]]=syndicat_etude)*(pat_tech_bt_11[[Annee]:[Annee]]=annee_CRAC)*(pat_tech_bt_11[[Annee Construction]:[Annee Construction]]=AO$693)*(pat_tech_bt_11[[torsade_km]:[torsade_km]]))</f>
        <v>0.99</v>
      </c>
      <c r="AP700" s="94" cm="1">
        <f t="array" ref="AP700">SUMPRODUCT((pat_tech_bt_11[[Client]:[Client]]=syndicat_etude)*(pat_tech_bt_11[[Annee]:[Annee]]=annee_CRAC)*(pat_tech_bt_11[[Annee Construction]:[Annee Construction]]=AP$693)*(pat_tech_bt_11[[torsade_km]:[torsade_km]]))</f>
        <v>14.72</v>
      </c>
      <c r="AQ700" s="94" cm="1">
        <f t="array" ref="AQ700">SUMPRODUCT((pat_tech_bt_11[[Client]:[Client]]=syndicat_etude)*(pat_tech_bt_11[[Annee]:[Annee]]=annee_CRAC)*(pat_tech_bt_11[[Annee Construction]:[Annee Construction]]=AQ$693)*(pat_tech_bt_11[[torsade_km]:[torsade_km]]))</f>
        <v>25.72</v>
      </c>
      <c r="AR700" s="94" cm="1">
        <f t="array" ref="AR700">SUMPRODUCT((pat_tech_bt_11[[Client]:[Client]]=syndicat_etude)*(pat_tech_bt_11[[Annee]:[Annee]]=annee_CRAC)*(pat_tech_bt_11[[Annee Construction]:[Annee Construction]]=AR$693)*(pat_tech_bt_11[[torsade_km]:[torsade_km]]))</f>
        <v>51.05</v>
      </c>
      <c r="AS700" s="94" cm="1">
        <f t="array" ref="AS700">SUMPRODUCT((pat_tech_bt_11[[Client]:[Client]]=syndicat_etude)*(pat_tech_bt_11[[Annee]:[Annee]]=annee_CRAC)*(pat_tech_bt_11[[Annee Construction]:[Annee Construction]]=AS$693)*(pat_tech_bt_11[[torsade_km]:[torsade_km]]))</f>
        <v>0.16</v>
      </c>
      <c r="AT700" s="94" cm="1">
        <f t="array" ref="AT700">SUMPRODUCT((pat_tech_bt_11[[Client]:[Client]]=syndicat_etude)*(pat_tech_bt_11[[Annee]:[Annee]]=annee_CRAC)*(pat_tech_bt_11[[Annee Construction]:[Annee Construction]]=AT$693)*(pat_tech_bt_11[[torsade_km]:[torsade_km]]))</f>
        <v>50.25</v>
      </c>
      <c r="AU700" s="94" cm="1">
        <f t="array" ref="AU700">SUMPRODUCT((pat_tech_bt_11[[Client]:[Client]]=syndicat_etude)*(pat_tech_bt_11[[Annee]:[Annee]]=annee_CRAC)*(pat_tech_bt_11[[Annee Construction]:[Annee Construction]]=AU$693)*(pat_tech_bt_11[[torsade_km]:[torsade_km]]))</f>
        <v>61.11</v>
      </c>
      <c r="AV700" s="94" cm="1">
        <f t="array" ref="AV700">SUMPRODUCT((pat_tech_bt_11[[Client]:[Client]]=syndicat_etude)*(pat_tech_bt_11[[Annee]:[Annee]]=annee_CRAC)*(pat_tech_bt_11[[Annee Construction]:[Annee Construction]]=AV$693)*(pat_tech_bt_11[[torsade_km]:[torsade_km]]))</f>
        <v>199.41</v>
      </c>
      <c r="AW700" s="94" cm="1">
        <f t="array" ref="AW700">SUMPRODUCT((pat_tech_bt_11[[Client]:[Client]]=syndicat_etude)*(pat_tech_bt_11[[Annee]:[Annee]]=annee_CRAC)*(pat_tech_bt_11[[Annee Construction]:[Annee Construction]]=AW$693)*(pat_tech_bt_11[[torsade_km]:[torsade_km]]))</f>
        <v>149.72</v>
      </c>
      <c r="AX700" s="94" cm="1">
        <f t="array" ref="AX700">SUMPRODUCT((pat_tech_bt_11[[Client]:[Client]]=syndicat_etude)*(pat_tech_bt_11[[Annee]:[Annee]]=annee_CRAC)*(pat_tech_bt_11[[Annee Construction]:[Annee Construction]]=AX$693)*(pat_tech_bt_11[[torsade_km]:[torsade_km]]))</f>
        <v>52.64</v>
      </c>
      <c r="AY700" s="94" cm="1">
        <f t="array" ref="AY700">SUMPRODUCT((pat_tech_bt_11[[Client]:[Client]]=syndicat_etude)*(pat_tech_bt_11[[Annee]:[Annee]]=annee_CRAC)*(pat_tech_bt_11[[Annee Construction]:[Annee Construction]]=AY$693)*(pat_tech_bt_11[[torsade_km]:[torsade_km]]))</f>
        <v>57.47</v>
      </c>
      <c r="AZ700" s="94" cm="1">
        <f t="array" ref="AZ700">SUMPRODUCT((pat_tech_bt_11[[Client]:[Client]]=syndicat_etude)*(pat_tech_bt_11[[Annee]:[Annee]]=annee_CRAC)*(pat_tech_bt_11[[Annee Construction]:[Annee Construction]]=AZ$693)*(pat_tech_bt_11[[torsade_km]:[torsade_km]]))</f>
        <v>45.59</v>
      </c>
      <c r="BA700" s="94" cm="1">
        <f t="array" ref="BA700">SUMPRODUCT((pat_tech_bt_11[[Client]:[Client]]=syndicat_etude)*(pat_tech_bt_11[[Annee]:[Annee]]=annee_CRAC)*(pat_tech_bt_11[[Annee Construction]:[Annee Construction]]=BA$693)*(pat_tech_bt_11[[torsade_km]:[torsade_km]]))</f>
        <v>21.17</v>
      </c>
      <c r="BB700" s="94" cm="1">
        <f t="array" ref="BB700">SUMPRODUCT((pat_tech_bt_11[[Client]:[Client]]=syndicat_etude)*(pat_tech_bt_11[[Annee]:[Annee]]=annee_CRAC)*(pat_tech_bt_11[[Annee Construction]:[Annee Construction]]=BB$693)*(pat_tech_bt_11[[torsade_km]:[torsade_km]]))</f>
        <v>15.25</v>
      </c>
      <c r="BC700" s="94" cm="1">
        <f t="array" ref="BC700">SUMPRODUCT((pat_tech_bt_11[[Client]:[Client]]=syndicat_etude)*(pat_tech_bt_11[[Annee]:[Annee]]=annee_CRAC)*(pat_tech_bt_11[[Annee Construction]:[Annee Construction]]=BC$693)*(pat_tech_bt_11[[torsade_km]:[torsade_km]]))</f>
        <v>12.28</v>
      </c>
      <c r="BD700" s="94" cm="1">
        <f t="array" ref="BD700">SUMPRODUCT((pat_tech_bt_11[[Client]:[Client]]=syndicat_etude)*(pat_tech_bt_11[[Annee]:[Annee]]=annee_CRAC)*(pat_tech_bt_11[[Annee Construction]:[Annee Construction]]=BD$693)*(pat_tech_bt_11[[torsade_km]:[torsade_km]]))</f>
        <v>13.16</v>
      </c>
      <c r="BE700" s="94" cm="1">
        <f t="array" ref="BE700">SUMPRODUCT((pat_tech_bt_11[[Client]:[Client]]=syndicat_etude)*(pat_tech_bt_11[[Annee]:[Annee]]=annee_CRAC)*(pat_tech_bt_11[[Annee Construction]:[Annee Construction]]=BE$693)*(pat_tech_bt_11[[torsade_km]:[torsade_km]]))</f>
        <v>15.4</v>
      </c>
      <c r="BF700" s="94" cm="1">
        <f t="array" ref="BF700">SUMPRODUCT((pat_tech_bt_11[[Client]:[Client]]=syndicat_etude)*(pat_tech_bt_11[[Annee]:[Annee]]=annee_CRAC)*(pat_tech_bt_11[[Annee Construction]:[Annee Construction]]=BF$693)*(pat_tech_bt_11[[torsade_km]:[torsade_km]]))</f>
        <v>43.01</v>
      </c>
      <c r="BG700" s="94" cm="1">
        <f t="array" ref="BG700">SUMPRODUCT((pat_tech_bt_11[[Client]:[Client]]=syndicat_etude)*(pat_tech_bt_11[[Annee]:[Annee]]=annee_CRAC)*(pat_tech_bt_11[[Annee Construction]:[Annee Construction]]=BG$693)*(pat_tech_bt_11[[torsade_km]:[torsade_km]]))</f>
        <v>38.5</v>
      </c>
      <c r="BH700" s="94" cm="1">
        <f t="array" ref="BH700">SUMPRODUCT((pat_tech_bt_11[[Client]:[Client]]=syndicat_etude)*(pat_tech_bt_11[[Annee]:[Annee]]=annee_CRAC)*(pat_tech_bt_11[[Annee Construction]:[Annee Construction]]=BH$693)*(pat_tech_bt_11[[torsade_km]:[torsade_km]]))</f>
        <v>52.36</v>
      </c>
      <c r="BI700" s="94" cm="1">
        <f t="array" ref="BI700">SUMPRODUCT((pat_tech_bt_11[[Client]:[Client]]=syndicat_etude)*(pat_tech_bt_11[[Annee]:[Annee]]=annee_CRAC)*(pat_tech_bt_11[[Annee Construction]:[Annee Construction]]=BI$693)*(pat_tech_bt_11[[torsade_km]:[torsade_km]]))</f>
        <v>16.38</v>
      </c>
      <c r="BJ700" s="94" cm="1">
        <f t="array" ref="BJ700">SUMPRODUCT((pat_tech_bt_11[[Client]:[Client]]=syndicat_etude)*(pat_tech_bt_11[[Annee]:[Annee]]=annee_CRAC)*(pat_tech_bt_11[[Annee Construction]:[Annee Construction]]=BJ$693)*(pat_tech_bt_11[[torsade_km]:[torsade_km]]))</f>
        <v>9.99</v>
      </c>
      <c r="BK700" s="94" cm="1">
        <f t="array" ref="BK700">SUMPRODUCT((pat_tech_bt_11[[Client]:[Client]]=syndicat_etude)*(pat_tech_bt_11[[Annee]:[Annee]]=annee_CRAC)*(pat_tech_bt_11[[Annee Construction]:[Annee Construction]]=BK$693)*(pat_tech_bt_11[[torsade_km]:[torsade_km]]))</f>
        <v>16.66</v>
      </c>
      <c r="BL700" s="94" cm="1">
        <f t="array" ref="BL700">SUMPRODUCT((pat_tech_bt_11[[Client]:[Client]]=syndicat_etude)*(pat_tech_bt_11[[Annee]:[Annee]]=annee_CRAC)*(pat_tech_bt_11[[Annee Construction]:[Annee Construction]]=BL$693)*(pat_tech_bt_11[[torsade_km]:[torsade_km]]))</f>
        <v>5.25</v>
      </c>
      <c r="BM700" s="94" cm="1">
        <f t="array" ref="BM700">SUMPRODUCT((pat_tech_bt_11[[Client]:[Client]]=syndicat_etude)*(pat_tech_bt_11[[Annee]:[Annee]]=annee_CRAC)*(pat_tech_bt_11[[Annee Construction]:[Annee Construction]]=BM$693)*(pat_tech_bt_11[[torsade_km]:[torsade_km]]))</f>
        <v>5.08</v>
      </c>
      <c r="BN700" s="94" cm="1">
        <f t="array" ref="BN700">SUMPRODUCT((pat_tech_bt_11[[Client]:[Client]]=syndicat_etude)*(pat_tech_bt_11[[Annee]:[Annee]]=annee_CRAC)*(pat_tech_bt_11[[Annee Construction]:[Annee Construction]]=BN$693)*(pat_tech_bt_11[[torsade_km]:[torsade_km]]))</f>
        <v>19.87</v>
      </c>
      <c r="BO700" s="94" cm="1">
        <f t="array" ref="BO700">SUMPRODUCT((pat_tech_bt_11[[Client]:[Client]]=syndicat_etude)*(pat_tech_bt_11[[Annee]:[Annee]]=annee_CRAC)*(pat_tech_bt_11[[Annee Construction]:[Annee Construction]]=BO$693)*(pat_tech_bt_11[[torsade_km]:[torsade_km]]))</f>
        <v>14.03</v>
      </c>
      <c r="BP700" s="94" cm="1">
        <f t="array" ref="BP700">SUMPRODUCT((pat_tech_bt_11[[Client]:[Client]]=syndicat_etude)*(pat_tech_bt_11[[Annee]:[Annee]]=annee_CRAC)*(pat_tech_bt_11[[Annee Construction]:[Annee Construction]]=BP$693)*(pat_tech_bt_11[[torsade_km]:[torsade_km]]))</f>
        <v>13.04</v>
      </c>
      <c r="BQ700" s="94" cm="1">
        <f t="array" ref="BQ700">SUMPRODUCT((pat_tech_bt_11[[Client]:[Client]]=syndicat_etude)*(pat_tech_bt_11[[Annee]:[Annee]]=annee_CRAC)*(pat_tech_bt_11[[Annee Construction]:[Annee Construction]]=BQ$693)*(pat_tech_bt_11[[torsade_km]:[torsade_km]]))</f>
        <v>8</v>
      </c>
      <c r="BR700" s="94" cm="1">
        <f t="array" ref="BR700">SUMPRODUCT((pat_tech_bt_11[[Client]:[Client]]=syndicat_etude)*(pat_tech_bt_11[[Annee]:[Annee]]=annee_CRAC)*(pat_tech_bt_11[[Annee Construction]:[Annee Construction]]=BR$693)*(pat_tech_bt_11[[torsade_km]:[torsade_km]]))</f>
        <v>9.2100000000000009</v>
      </c>
      <c r="BS700" s="94" cm="1">
        <f t="array" ref="BS700">SUMPRODUCT((pat_tech_bt_11[[Client]:[Client]]=syndicat_etude)*(pat_tech_bt_11[[Annee]:[Annee]]=annee_CRAC)*(pat_tech_bt_11[[Annee Construction]:[Annee Construction]]=BS$693)*(pat_tech_bt_11[[torsade_km]:[torsade_km]]))</f>
        <v>15.9</v>
      </c>
      <c r="BT700" s="94" cm="1">
        <f t="array" ref="BT700">SUMPRODUCT((pat_tech_bt_11[[Client]:[Client]]=syndicat_etude)*(pat_tech_bt_11[[Annee]:[Annee]]=annee_CRAC)*(pat_tech_bt_11[[Annee Construction]:[Annee Construction]]=BT$693)*(pat_tech_bt_11[[torsade_km]:[torsade_km]]))</f>
        <v>14.01</v>
      </c>
      <c r="BU700" s="94" cm="1">
        <f t="array" ref="BU700">SUMPRODUCT((pat_tech_bt_11[[Client]:[Client]]=syndicat_etude)*(pat_tech_bt_11[[Annee]:[Annee]]=annee_CRAC)*(pat_tech_bt_11[[Annee Construction]:[Annee Construction]]=BU$693)*(pat_tech_bt_11[[torsade_km]:[torsade_km]]))</f>
        <v>7.56</v>
      </c>
      <c r="BV700" s="94" cm="1">
        <f t="array" ref="BV700">SUMPRODUCT((pat_tech_bt_11[[Client]:[Client]]=syndicat_etude)*(pat_tech_bt_11[[Annee]:[Annee]]=annee_CRAC)*(pat_tech_bt_11[[Annee Construction]:[Annee Construction]]=BV$693)*(pat_tech_bt_11[[torsade_km]:[torsade_km]]))</f>
        <v>7.36</v>
      </c>
      <c r="BW700" s="94" cm="1">
        <f t="array" ref="BW700">SUMPRODUCT((pat_tech_bt_11[[Client]:[Client]]=syndicat_etude)*(pat_tech_bt_11[[Annee]:[Annee]]=annee_CRAC)*(pat_tech_bt_11[[Annee Construction]:[Annee Construction]]=BW$693)*(pat_tech_bt_11[[torsade_km]:[torsade_km]]))</f>
        <v>4.3499999999999996</v>
      </c>
      <c r="BX700" s="94" cm="1">
        <f t="array" ref="BX700">SUMPRODUCT((pat_tech_bt_11[[Client]:[Client]]=syndicat_etude)*(pat_tech_bt_11[[Annee]:[Annee]]=annee_CRAC)*(pat_tech_bt_11[[Annee Construction]:[Annee Construction]]=BX$693)*(pat_tech_bt_11[[torsade_km]:[torsade_km]]))</f>
        <v>6.65</v>
      </c>
      <c r="BY700" s="94" cm="1">
        <f t="array" ref="BY700">SUMPRODUCT((pat_tech_bt_11[[Client]:[Client]]=syndicat_etude)*(pat_tech_bt_11[[Annee]:[Annee]]=annee_CRAC)*(pat_tech_bt_11[[Annee Construction]:[Annee Construction]]=BY$693)*(pat_tech_bt_11[[torsade_km]:[torsade_km]]))</f>
        <v>4.6500000000000004</v>
      </c>
      <c r="BZ700" s="94" cm="1">
        <f t="array" ref="BZ700">SUMPRODUCT((pat_tech_bt_11[[Client]:[Client]]=syndicat_etude)*(pat_tech_bt_11[[Annee]:[Annee]]=annee_CRAC)*(pat_tech_bt_11[[Annee Construction]:[Annee Construction]]=BZ$693)*(pat_tech_bt_11[[torsade_km]:[torsade_km]]))</f>
        <v>7.22</v>
      </c>
      <c r="CA700" s="94" cm="1">
        <f t="array" ref="CA700">SUMPRODUCT((pat_tech_bt_11[[Client]:[Client]]=syndicat_etude)*(pat_tech_bt_11[[Annee]:[Annee]]=annee_CRAC)*(pat_tech_bt_11[[Annee Construction]:[Annee Construction]]=CA$693)*(pat_tech_bt_11[[torsade_km]:[torsade_km]]))</f>
        <v>6.81</v>
      </c>
      <c r="CB700" s="94" cm="1">
        <f t="array" ref="CB700">SUMPRODUCT((pat_tech_bt_11[[Client]:[Client]]=syndicat_etude)*(pat_tech_bt_11[[Annee]:[Annee]]=annee_CRAC)*(pat_tech_bt_11[[Annee Construction]:[Annee Construction]]=CB$693)*(pat_tech_bt_11[[torsade_km]:[torsade_km]]))</f>
        <v>4.91</v>
      </c>
      <c r="CC700" s="94" cm="1">
        <f t="array" ref="CC700">SUMPRODUCT((pat_tech_bt_11[[Client]:[Client]]=syndicat_etude)*(pat_tech_bt_11[[Annee]:[Annee]]=annee_CRAC)*(pat_tech_bt_11[[Annee Construction]:[Annee Construction]]=CC$693)*(pat_tech_bt_11[[torsade_km]:[torsade_km]]))</f>
        <v>0</v>
      </c>
      <c r="CD700" s="94" cm="1">
        <f t="array" ref="CD700">SUMPRODUCT((pat_tech_bt_11[[Client]:[Client]]=syndicat_etude)*(pat_tech_bt_11[[Annee]:[Annee]]=annee_CRAC)*(pat_tech_bt_11[[Annee Construction]:[Annee Construction]]=CD$693)*(pat_tech_bt_11[[torsade_km]:[torsade_km]]))</f>
        <v>0</v>
      </c>
      <c r="CE700" s="94" cm="1">
        <f t="array" ref="CE700">SUMPRODUCT((pat_tech_bt_11[[Client]:[Client]]=syndicat_etude)*(pat_tech_bt_11[[Annee]:[Annee]]=annee_CRAC)*(pat_tech_bt_11[[Annee Construction]:[Annee Construction]]=CE$693)*(pat_tech_bt_11[[torsade_km]:[torsade_km]]))</f>
        <v>0</v>
      </c>
      <c r="CF700" s="655" cm="1">
        <f t="array" ref="CF700">SUMPRODUCT((pat_tech_bt_11[[Client]:[Client]]=syndicat_etude)*(pat_tech_bt_11[[Annee]:[Annee]]=annee_CRAC)*(pat_tech_bt_11[[Annee Construction]:[Annee Construction]]=CF$693)*(pat_tech_bt_11[[torsade_km]:[torsade_km]]))</f>
        <v>0</v>
      </c>
    </row>
    <row r="701" spans="1:84" ht="15" customHeight="1" x14ac:dyDescent="0.25">
      <c r="V701" s="25">
        <f t="shared" ref="V701:AH701" si="21">V695*(2020-V693)</f>
        <v>0</v>
      </c>
      <c r="W701" s="25">
        <f t="shared" si="21"/>
        <v>34.56</v>
      </c>
      <c r="X701" s="25">
        <f t="shared" si="21"/>
        <v>0</v>
      </c>
      <c r="Y701" s="25">
        <f t="shared" si="21"/>
        <v>1.04</v>
      </c>
      <c r="Z701" s="25">
        <f t="shared" si="21"/>
        <v>0</v>
      </c>
      <c r="AA701" s="25">
        <f t="shared" si="21"/>
        <v>60</v>
      </c>
      <c r="AB701" s="25">
        <f t="shared" si="21"/>
        <v>1.47</v>
      </c>
      <c r="AC701" s="25">
        <f t="shared" si="21"/>
        <v>0</v>
      </c>
      <c r="AD701" s="25">
        <f t="shared" si="21"/>
        <v>29.14</v>
      </c>
      <c r="AE701" s="25">
        <f t="shared" si="21"/>
        <v>0</v>
      </c>
      <c r="AF701" s="25">
        <f t="shared" si="21"/>
        <v>3.1500000000000004</v>
      </c>
      <c r="AG701" s="25">
        <f t="shared" si="21"/>
        <v>0</v>
      </c>
      <c r="AH701" s="25">
        <f t="shared" si="21"/>
        <v>0.43</v>
      </c>
    </row>
    <row r="702" spans="1:84" ht="30" customHeight="1" x14ac:dyDescent="0.25">
      <c r="A702" s="97" t="s">
        <v>551</v>
      </c>
    </row>
    <row r="703" spans="1:84" ht="15" customHeight="1" x14ac:dyDescent="0.25">
      <c r="G703" s="102"/>
    </row>
    <row r="704" spans="1:84" ht="30" customHeight="1" x14ac:dyDescent="0.25">
      <c r="A704" s="479" t="s">
        <v>552</v>
      </c>
      <c r="B704" s="66" t="s">
        <v>553</v>
      </c>
      <c r="C704" s="67" cm="1">
        <f t="array" ref="C704">Exercice[Exercice N-4]</f>
        <v>2019</v>
      </c>
      <c r="D704" s="67" cm="1">
        <f t="array" ref="D704">Exercice[Exercice N-3]</f>
        <v>2020</v>
      </c>
      <c r="E704" s="67" cm="1">
        <f t="array" ref="E704">Exercice[Exercice N-2]</f>
        <v>2021</v>
      </c>
      <c r="F704" s="67" cm="1">
        <f t="array" ref="F704">Exercice[Exercice N-1]</f>
        <v>2022</v>
      </c>
      <c r="G704" s="67" cm="1">
        <f t="array" ref="G704">Exercice[Exercice N]</f>
        <v>2023</v>
      </c>
      <c r="H704" s="76" t="str" cm="1">
        <f t="array" ref="H704">"% "&amp;Exercice[Exercice N]</f>
        <v>% 2023</v>
      </c>
      <c r="I704" s="65" t="s">
        <v>554</v>
      </c>
    </row>
    <row r="705" spans="1:9" ht="15" customHeight="1" x14ac:dyDescent="0.25">
      <c r="A705" s="28" t="s">
        <v>555</v>
      </c>
      <c r="B705" s="50" t="s">
        <v>556</v>
      </c>
      <c r="C705" s="640" cm="1">
        <f t="array" ref="C705">SUMPRODUCT((pat_tech_branch_02[[client]:[client]]=syndicat_etude)*(pat_tech_branch_02[[annee]:[annee]]=C704)*(pat_tech_branch_02[[nbr_ocb]:[nbr_ocb]]))</f>
        <v>0</v>
      </c>
      <c r="D705" s="640" cm="1">
        <f t="array" ref="D705">SUMPRODUCT((pat_tech_branch_02[[client]:[client]]=syndicat_etude)*(pat_tech_branch_02[[annee]:[annee]]=D704)*(pat_tech_branch_02[[nbr_ocb]:[nbr_ocb]]))</f>
        <v>0</v>
      </c>
      <c r="E705" s="640" cm="1">
        <f t="array" ref="E705">SUMPRODUCT((pat_tech_branch_02[[client]:[client]]=syndicat_etude)*(pat_tech_branch_02[[annee]:[annee]]=E704)*(pat_tech_branch_02[[nbr_ocb]:[nbr_ocb]]))</f>
        <v>0</v>
      </c>
      <c r="F705" s="640" cm="1">
        <f t="array" ref="F705">SUMPRODUCT((pat_tech_branch_02[[client]:[client]]=syndicat_etude)*(pat_tech_branch_02[[annee]:[annee]]=F704)*(pat_tech_branch_02[[nbr_ocb]:[nbr_ocb]]))</f>
        <v>0</v>
      </c>
      <c r="G705" s="640" cm="1">
        <f t="array" ref="G705">SUMPRODUCT((pat_tech_branch_02[[client]:[client]]=syndicat_etude)*(pat_tech_branch_02[[annee]:[annee]]=G704)*(pat_tech_branch_02[[nbr_ocb]:[nbr_ocb]]))</f>
        <v>0</v>
      </c>
      <c r="H705" s="149" t="str">
        <f>IFERROR($G705/$G$705,"")</f>
        <v/>
      </c>
      <c r="I705" s="65" t="s">
        <v>557</v>
      </c>
    </row>
    <row r="706" spans="1:9" ht="15" customHeight="1" x14ac:dyDescent="0.25">
      <c r="B706" s="145" t="s">
        <v>117</v>
      </c>
      <c r="C706" s="125" t="str">
        <f>IFERROR(C$705/B$705-1,"-")</f>
        <v>-</v>
      </c>
      <c r="D706" s="125" t="str">
        <f>IFERROR(D$705/C$705-1,"-")</f>
        <v>-</v>
      </c>
      <c r="E706" s="125" t="str">
        <f>IFERROR(E$705/D$705-1,"-")</f>
        <v>-</v>
      </c>
      <c r="F706" s="125" t="str">
        <f>IFERROR(F$705/E$705-1,"-")</f>
        <v>-</v>
      </c>
      <c r="G706" s="125" t="str">
        <f>IFERROR(G$705/F$705-1,"-")</f>
        <v>-</v>
      </c>
      <c r="H706" s="244"/>
      <c r="I706" s="65"/>
    </row>
    <row r="707" spans="1:9" ht="15" customHeight="1" x14ac:dyDescent="0.25">
      <c r="B707" s="51" t="s">
        <v>558</v>
      </c>
      <c r="C707" s="640" cm="1">
        <f t="array" ref="C707">SUMPRODUCT((pat_tech_branch_02[[client]:[client]]=syndicat_etude)*(pat_tech_branch_02[[annee]:[annee]]=C704)*(pat_tech_branch_02[[nbr_colonne_double]:[nbr_colonne_double]]))</f>
        <v>0</v>
      </c>
      <c r="D707" s="640" cm="1">
        <f t="array" ref="D707">SUMPRODUCT((pat_tech_branch_02[[client]:[client]]=syndicat_etude)*(pat_tech_branch_02[[annee]:[annee]]=D704)*(pat_tech_branch_02[[nbr_colonne_double]:[nbr_colonne_double]]))</f>
        <v>0</v>
      </c>
      <c r="E707" s="640" cm="1">
        <f t="array" ref="E707">SUMPRODUCT((pat_tech_branch_02[[client]:[client]]=syndicat_etude)*(pat_tech_branch_02[[annee]:[annee]]=E704)*(pat_tech_branch_02[[nbr_colonne_double]:[nbr_colonne_double]]))</f>
        <v>0</v>
      </c>
      <c r="F707" s="640" cm="1">
        <f t="array" ref="F707">SUMPRODUCT((pat_tech_branch_02[[client]:[client]]=syndicat_etude)*(pat_tech_branch_02[[annee]:[annee]]=F704)*(pat_tech_branch_02[[nbr_colonne_double]:[nbr_colonne_double]]))</f>
        <v>0</v>
      </c>
      <c r="G707" s="640" cm="1">
        <f t="array" ref="G707">SUMPRODUCT((pat_tech_branch_02[[client]:[client]]=syndicat_etude)*(pat_tech_branch_02[[annee]:[annee]]=G704)*(pat_tech_branch_02[[nbr_colonne_double]:[nbr_colonne_double]]))</f>
        <v>0</v>
      </c>
      <c r="H707" s="731" t="str">
        <f t="shared" ref="H707:H714" si="22">IFERROR($G707/$G$705,"")</f>
        <v/>
      </c>
      <c r="I707" s="65" t="s">
        <v>559</v>
      </c>
    </row>
    <row r="708" spans="1:9" ht="15" customHeight="1" x14ac:dyDescent="0.25">
      <c r="B708" s="51" t="s">
        <v>560</v>
      </c>
      <c r="C708" s="640" cm="1">
        <f t="array" ref="C708">SUMPRODUCT((pat_tech_branch_02[[client]:[client]]=syndicat_etude)*(pat_tech_branch_02[[annee]:[annee]]=C704)*(pat_tech_branch_02[[nbr_colonne_multiple_3_6]:[nbr_colonne_multiple_3_6]]))</f>
        <v>0</v>
      </c>
      <c r="D708" s="640" cm="1">
        <f t="array" ref="D708">SUMPRODUCT((pat_tech_branch_02[[client]:[client]]=syndicat_etude)*(pat_tech_branch_02[[annee]:[annee]]=D704)*(pat_tech_branch_02[[nbr_colonne_multiple_3_6]:[nbr_colonne_multiple_3_6]]))</f>
        <v>0</v>
      </c>
      <c r="E708" s="640" cm="1">
        <f t="array" ref="E708">SUMPRODUCT((pat_tech_branch_02[[client]:[client]]=syndicat_etude)*(pat_tech_branch_02[[annee]:[annee]]=E704)*(pat_tech_branch_02[[nbr_colonne_multiple_3_6]:[nbr_colonne_multiple_3_6]]))</f>
        <v>0</v>
      </c>
      <c r="F708" s="640" cm="1">
        <f t="array" ref="F708">SUMPRODUCT((pat_tech_branch_02[[client]:[client]]=syndicat_etude)*(pat_tech_branch_02[[annee]:[annee]]=F704)*(pat_tech_branch_02[[nbr_colonne_multiple_3_6]:[nbr_colonne_multiple_3_6]]))</f>
        <v>0</v>
      </c>
      <c r="G708" s="640" cm="1">
        <f t="array" ref="G708">SUMPRODUCT((pat_tech_branch_02[[client]:[client]]=syndicat_etude)*(pat_tech_branch_02[[annee]:[annee]]=G704)*(pat_tech_branch_02[[nbr_colonne_multiple_3_6]:[nbr_colonne_multiple_3_6]]))</f>
        <v>0</v>
      </c>
      <c r="H708" s="731" t="str">
        <f t="shared" si="22"/>
        <v/>
      </c>
      <c r="I708" s="65" t="s">
        <v>559</v>
      </c>
    </row>
    <row r="709" spans="1:9" ht="15" customHeight="1" x14ac:dyDescent="0.25">
      <c r="B709" s="51" t="s">
        <v>561</v>
      </c>
      <c r="C709" s="640" cm="1">
        <f t="array" ref="C709">SUMPRODUCT((pat_tech_branch_02[[client]:[client]]=syndicat_etude)*(pat_tech_branch_02[[annee]:[annee]]=C704)*(pat_tech_branch_02[[nbr_colonne_multiple]:[nbr_colonne_multiple]]))</f>
        <v>0</v>
      </c>
      <c r="D709" s="640" cm="1">
        <f t="array" ref="D709">SUMPRODUCT((pat_tech_branch_02[[client]:[client]]=syndicat_etude)*(pat_tech_branch_02[[annee]:[annee]]=D704)*(pat_tech_branch_02[[nbr_colonne_multiple]:[nbr_colonne_multiple]]))</f>
        <v>0</v>
      </c>
      <c r="E709" s="640" cm="1">
        <f t="array" ref="E709">SUMPRODUCT((pat_tech_branch_02[[client]:[client]]=syndicat_etude)*(pat_tech_branch_02[[annee]:[annee]]=E704)*(pat_tech_branch_02[[nbr_colonne_multiple]:[nbr_colonne_multiple]]))</f>
        <v>0</v>
      </c>
      <c r="F709" s="640" cm="1">
        <f t="array" ref="F709">SUMPRODUCT((pat_tech_branch_02[[client]:[client]]=syndicat_etude)*(pat_tech_branch_02[[annee]:[annee]]=F704)*(pat_tech_branch_02[[nbr_colonne_multiple]:[nbr_colonne_multiple]]))</f>
        <v>0</v>
      </c>
      <c r="G709" s="640" cm="1">
        <f t="array" ref="G709">SUMPRODUCT((pat_tech_branch_02[[client]:[client]]=syndicat_etude)*(pat_tech_branch_02[[annee]:[annee]]=G704)*(pat_tech_branch_02[[nbr_colonne_multiple]:[nbr_colonne_multiple]]))</f>
        <v>0</v>
      </c>
      <c r="H709" s="731" t="str">
        <f t="shared" si="22"/>
        <v/>
      </c>
      <c r="I709" s="65" t="s">
        <v>559</v>
      </c>
    </row>
    <row r="710" spans="1:9" ht="15" customHeight="1" x14ac:dyDescent="0.25">
      <c r="B710" s="51" t="s">
        <v>562</v>
      </c>
      <c r="C710" s="640" cm="1">
        <f t="array" ref="C710">SUMPRODUCT((pat_tech_branch_02[[client]:[client]]=syndicat_etude)*(pat_tech_branch_02[[annee]:[annee]]=C704)*(pat_tech_branch_02[[nbr_colonne_multiple_2_3]:[nbr_colonne_multiple_2_3]]))</f>
        <v>0</v>
      </c>
      <c r="D710" s="640" cm="1">
        <f t="array" ref="D710">SUMPRODUCT((pat_tech_branch_02[[client]:[client]]=syndicat_etude)*(pat_tech_branch_02[[annee]:[annee]]=D704)*(pat_tech_branch_02[[nbr_colonne_multiple_2_3]:[nbr_colonne_multiple_2_3]]))</f>
        <v>0</v>
      </c>
      <c r="E710" s="640" cm="1">
        <f t="array" ref="E710">SUMPRODUCT((pat_tech_branch_02[[client]:[client]]=syndicat_etude)*(pat_tech_branch_02[[annee]:[annee]]=E704)*(pat_tech_branch_02[[nbr_colonne_multiple_2_3]:[nbr_colonne_multiple_2_3]]))</f>
        <v>0</v>
      </c>
      <c r="F710" s="640" cm="1">
        <f t="array" ref="F710">SUMPRODUCT((pat_tech_branch_02[[client]:[client]]=syndicat_etude)*(pat_tech_branch_02[[annee]:[annee]]=F704)*(pat_tech_branch_02[[nbr_colonne_multiple_2_3]:[nbr_colonne_multiple_2_3]]))</f>
        <v>0</v>
      </c>
      <c r="G710" s="640" cm="1">
        <f t="array" ref="G710">SUMPRODUCT((pat_tech_branch_02[[client]:[client]]=syndicat_etude)*(pat_tech_branch_02[[annee]:[annee]]=G704)*(pat_tech_branch_02[[nbr_colonne_multiple_2_3]:[nbr_colonne_multiple_2_3]]))</f>
        <v>0</v>
      </c>
      <c r="H710" s="731" t="str">
        <f t="shared" si="22"/>
        <v/>
      </c>
      <c r="I710" s="65"/>
    </row>
    <row r="711" spans="1:9" ht="15" customHeight="1" x14ac:dyDescent="0.25">
      <c r="B711" s="51" t="s">
        <v>563</v>
      </c>
      <c r="C711" s="640" cm="1">
        <f t="array" ref="C711">SUMPRODUCT((pat_tech_branch_02[[client]:[client]]=syndicat_etude)*(pat_tech_branch_02[[annee]:[annee]]=C704)*(pat_tech_branch_02[[nbr_colonne_multiple_2_5]:[nbr_colonne_multiple_2_5]]))</f>
        <v>0</v>
      </c>
      <c r="D711" s="640" cm="1">
        <f t="array" ref="D711">SUMPRODUCT((pat_tech_branch_02[[client]:[client]]=syndicat_etude)*(pat_tech_branch_02[[annee]:[annee]]=D704)*(pat_tech_branch_02[[nbr_colonne_multiple_2_5]:[nbr_colonne_multiple_2_5]]))</f>
        <v>0</v>
      </c>
      <c r="E711" s="640" cm="1">
        <f t="array" ref="E711">SUMPRODUCT((pat_tech_branch_02[[client]:[client]]=syndicat_etude)*(pat_tech_branch_02[[annee]:[annee]]=E704)*(pat_tech_branch_02[[nbr_colonne_multiple_2_5]:[nbr_colonne_multiple_2_5]]))</f>
        <v>0</v>
      </c>
      <c r="F711" s="640" cm="1">
        <f t="array" ref="F711">SUMPRODUCT((pat_tech_branch_02[[client]:[client]]=syndicat_etude)*(pat_tech_branch_02[[annee]:[annee]]=F704)*(pat_tech_branch_02[[nbr_colonne_multiple_2_5]:[nbr_colonne_multiple_2_5]]))</f>
        <v>0</v>
      </c>
      <c r="G711" s="640" cm="1">
        <f t="array" ref="G711">SUMPRODUCT((pat_tech_branch_02[[client]:[client]]=syndicat_etude)*(pat_tech_branch_02[[annee]:[annee]]=G704)*(pat_tech_branch_02[[nbr_colonne_multiple_2_5]:[nbr_colonne_multiple_2_5]]))</f>
        <v>0</v>
      </c>
      <c r="H711" s="731" t="str">
        <f t="shared" si="22"/>
        <v/>
      </c>
      <c r="I711" s="65"/>
    </row>
    <row r="712" spans="1:9" ht="15" customHeight="1" x14ac:dyDescent="0.25">
      <c r="B712" s="51" t="s">
        <v>564</v>
      </c>
      <c r="C712" s="640" cm="1">
        <f t="array" ref="C712">SUMPRODUCT((pat_tech_branch_02[[client]:[client]]=syndicat_etude)*(pat_tech_branch_02[[annee]:[annee]]=C704)*(pat_tech_branch_02[[nbr_colonne_simple]:[nbr_colonne_simple]]))</f>
        <v>0</v>
      </c>
      <c r="D712" s="640" cm="1">
        <f t="array" ref="D712">SUMPRODUCT((pat_tech_branch_02[[client]:[client]]=syndicat_etude)*(pat_tech_branch_02[[annee]:[annee]]=D704)*(pat_tech_branch_02[[nbr_colonne_simple]:[nbr_colonne_simple]]))</f>
        <v>0</v>
      </c>
      <c r="E712" s="640" cm="1">
        <f t="array" ref="E712">SUMPRODUCT((pat_tech_branch_02[[client]:[client]]=syndicat_etude)*(pat_tech_branch_02[[annee]:[annee]]=E704)*(pat_tech_branch_02[[nbr_colonne_simple]:[nbr_colonne_simple]]))</f>
        <v>0</v>
      </c>
      <c r="F712" s="640" cm="1">
        <f t="array" ref="F712">SUMPRODUCT((pat_tech_branch_02[[client]:[client]]=syndicat_etude)*(pat_tech_branch_02[[annee]:[annee]]=F704)*(pat_tech_branch_02[[nbr_colonne_simple]:[nbr_colonne_simple]]))</f>
        <v>0</v>
      </c>
      <c r="G712" s="640" cm="1">
        <f t="array" ref="G712">SUMPRODUCT((pat_tech_branch_02[[client]:[client]]=syndicat_etude)*(pat_tech_branch_02[[annee]:[annee]]=G704)*(pat_tech_branch_02[[nbr_colonne_simple]:[nbr_colonne_simple]]))</f>
        <v>0</v>
      </c>
      <c r="H712" s="731" t="str">
        <f t="shared" si="22"/>
        <v/>
      </c>
      <c r="I712" s="65" t="s">
        <v>559</v>
      </c>
    </row>
    <row r="713" spans="1:9" ht="15" customHeight="1" x14ac:dyDescent="0.25">
      <c r="B713" s="51" t="s">
        <v>565</v>
      </c>
      <c r="C713" s="640" cm="1">
        <f t="array" ref="C713">SUMPRODUCT((pat_tech_branch_02[[client]:[client]]=syndicat_etude)*(pat_tech_branch_02[[annee]:[annee]]=C704)*(pat_tech_branch_02[[nbr_local_technique]:[nbr_local_technique]]))</f>
        <v>0</v>
      </c>
      <c r="D713" s="640" cm="1">
        <f t="array" ref="D713">SUMPRODUCT((pat_tech_branch_02[[client]:[client]]=syndicat_etude)*(pat_tech_branch_02[[annee]:[annee]]=D704)*(pat_tech_branch_02[[nbr_local_technique]:[nbr_local_technique]]))</f>
        <v>0</v>
      </c>
      <c r="E713" s="640" cm="1">
        <f t="array" ref="E713">SUMPRODUCT((pat_tech_branch_02[[client]:[client]]=syndicat_etude)*(pat_tech_branch_02[[annee]:[annee]]=E704)*(pat_tech_branch_02[[nbr_local_technique]:[nbr_local_technique]]))</f>
        <v>0</v>
      </c>
      <c r="F713" s="640" cm="1">
        <f t="array" ref="F713">SUMPRODUCT((pat_tech_branch_02[[client]:[client]]=syndicat_etude)*(pat_tech_branch_02[[annee]:[annee]]=F704)*(pat_tech_branch_02[[nbr_local_technique]:[nbr_local_technique]]))</f>
        <v>0</v>
      </c>
      <c r="G713" s="640" cm="1">
        <f t="array" ref="G713">SUMPRODUCT((pat_tech_branch_02[[client]:[client]]=syndicat_etude)*(pat_tech_branch_02[[annee]:[annee]]=G704)*(pat_tech_branch_02[[nbr_local_technique]:[nbr_local_technique]]))</f>
        <v>0</v>
      </c>
      <c r="H713" s="731" t="str">
        <f t="shared" si="22"/>
        <v/>
      </c>
      <c r="I713" s="65" t="s">
        <v>559</v>
      </c>
    </row>
    <row r="714" spans="1:9" ht="15" customHeight="1" x14ac:dyDescent="0.25">
      <c r="B714" s="693" t="s">
        <v>566</v>
      </c>
      <c r="C714" s="689" cm="1">
        <f t="array" ref="C714">SUMPRODUCT((pat_tech_branch_02[[client]:[client]]=syndicat_etude)*(pat_tech_branch_02[[annee]:[annee]]=C704)*(pat_tech_branch_02[[nbr_local_technique_coffret]:[nbr_local_technique_coffret]]))</f>
        <v>0</v>
      </c>
      <c r="D714" s="689" cm="1">
        <f t="array" ref="D714">SUMPRODUCT((pat_tech_branch_02[[client]:[client]]=syndicat_etude)*(pat_tech_branch_02[[annee]:[annee]]=D704)*(pat_tech_branch_02[[nbr_local_technique_coffret]:[nbr_local_technique_coffret]]))</f>
        <v>0</v>
      </c>
      <c r="E714" s="689" cm="1">
        <f t="array" ref="E714">SUMPRODUCT((pat_tech_branch_02[[client]:[client]]=syndicat_etude)*(pat_tech_branch_02[[annee]:[annee]]=E704)*(pat_tech_branch_02[[nbr_local_technique_coffret]:[nbr_local_technique_coffret]]))</f>
        <v>0</v>
      </c>
      <c r="F714" s="689" cm="1">
        <f t="array" ref="F714">SUMPRODUCT((pat_tech_branch_02[[client]:[client]]=syndicat_etude)*(pat_tech_branch_02[[annee]:[annee]]=F704)*(pat_tech_branch_02[[nbr_local_technique_coffret]:[nbr_local_technique_coffret]]))</f>
        <v>0</v>
      </c>
      <c r="G714" s="689" cm="1">
        <f t="array" ref="G714">SUMPRODUCT((pat_tech_branch_02[[client]:[client]]=syndicat_etude)*(pat_tech_branch_02[[annee]:[annee]]=G704)*(pat_tech_branch_02[[nbr_local_technique_coffret]:[nbr_local_technique_coffret]]))</f>
        <v>0</v>
      </c>
      <c r="H714" s="133" t="str">
        <f t="shared" si="22"/>
        <v/>
      </c>
      <c r="I714" s="65" t="s">
        <v>559</v>
      </c>
    </row>
    <row r="715" spans="1:9" ht="15" customHeight="1" x14ac:dyDescent="0.25">
      <c r="B715" s="50" t="s">
        <v>567</v>
      </c>
      <c r="C715" s="640" cm="1">
        <f t="array" ref="C715">SUMPRODUCT((pat_tech_branch_02[[client]:[client]]=syndicat_etude)*(pat_tech_branch_02[[annee]:[annee]]=C704)*(pat_tech_branch_02[[nbr_usr]:[nbr_usr]]))</f>
        <v>0</v>
      </c>
      <c r="D715" s="640" cm="1">
        <f t="array" ref="D715">SUMPRODUCT((pat_tech_branch_02[[client]:[client]]=syndicat_etude)*(pat_tech_branch_02[[annee]:[annee]]=D704)*(pat_tech_branch_02[[nbr_usr]:[nbr_usr]]))</f>
        <v>0</v>
      </c>
      <c r="E715" s="640" cm="1">
        <f t="array" ref="E715">SUMPRODUCT((pat_tech_branch_02[[client]:[client]]=syndicat_etude)*(pat_tech_branch_02[[annee]:[annee]]=E704)*(pat_tech_branch_02[[nbr_usr]:[nbr_usr]]))</f>
        <v>0</v>
      </c>
      <c r="F715" s="640" cm="1">
        <f t="array" ref="F715">SUMPRODUCT((pat_tech_branch_02[[client]:[client]]=syndicat_etude)*(pat_tech_branch_02[[annee]:[annee]]=F704)*(pat_tech_branch_02[[nbr_usr]:[nbr_usr]]))</f>
        <v>0</v>
      </c>
      <c r="G715" s="640" cm="1">
        <f t="array" ref="G715">SUMPRODUCT((pat_tech_branch_02[[client]:[client]]=syndicat_etude)*(pat_tech_branch_02[[annee]:[annee]]=G704)*(pat_tech_branch_02[[nbr_usr]:[nbr_usr]]))</f>
        <v>0</v>
      </c>
      <c r="H715" s="137"/>
      <c r="I715" s="65" t="s">
        <v>568</v>
      </c>
    </row>
    <row r="716" spans="1:9" ht="15" customHeight="1" x14ac:dyDescent="0.25">
      <c r="B716" s="53" t="s">
        <v>569</v>
      </c>
      <c r="C716" s="654" cm="1">
        <f t="array" ref="C716">SUMPRODUCT((pat_tech_branch_02[[client]:[client]]=syndicat_etude)*(pat_tech_branch_02[[annee]:[annee]]=C704)*(pat_tech_branch_02[[age_moyen]:[age_moyen]]))</f>
        <v>0</v>
      </c>
      <c r="D716" s="654" cm="1">
        <f t="array" ref="D716">SUMPRODUCT((pat_tech_branch_02[[client]:[client]]=syndicat_etude)*(pat_tech_branch_02[[annee]:[annee]]=D704)*(pat_tech_branch_02[[age_moyen]:[age_moyen]]))</f>
        <v>0</v>
      </c>
      <c r="E716" s="654" cm="1">
        <f t="array" ref="E716">SUMPRODUCT((pat_tech_branch_02[[client]:[client]]=syndicat_etude)*(pat_tech_branch_02[[annee]:[annee]]=E704)*(pat_tech_branch_02[[age_moyen]:[age_moyen]]))</f>
        <v>0</v>
      </c>
      <c r="F716" s="654" cm="1">
        <f t="array" ref="F716">SUMPRODUCT((pat_tech_branch_02[[client]:[client]]=syndicat_etude)*(pat_tech_branch_02[[annee]:[annee]]=F704)*(pat_tech_branch_02[[age_moyen]:[age_moyen]]))</f>
        <v>0</v>
      </c>
      <c r="G716" s="654" cm="1">
        <f t="array" ref="G716">SUMPRODUCT((pat_tech_branch_02[[client]:[client]]=syndicat_etude)*(pat_tech_branch_02[[annee]:[annee]]=G704)*(pat_tech_branch_02[[age_moyen]:[age_moyen]]))</f>
        <v>0</v>
      </c>
      <c r="H716" s="138"/>
      <c r="I716" s="65" t="s">
        <v>570</v>
      </c>
    </row>
    <row r="717" spans="1:9" ht="15" customHeight="1" x14ac:dyDescent="0.25">
      <c r="G717" s="102"/>
    </row>
    <row r="718" spans="1:9" ht="30" customHeight="1" x14ac:dyDescent="0.25">
      <c r="A718" s="479" t="s">
        <v>571</v>
      </c>
      <c r="B718" s="66" t="s">
        <v>572</v>
      </c>
      <c r="C718" s="67"/>
      <c r="D718" s="67"/>
      <c r="E718" s="67"/>
      <c r="F718" s="67" cm="1">
        <f t="array" ref="F718">Exercice[Exercice N-1]</f>
        <v>2022</v>
      </c>
      <c r="G718" s="67" cm="1">
        <f t="array" ref="G718">Exercice[Exercice N]</f>
        <v>2023</v>
      </c>
      <c r="H718" s="76" t="str" cm="1">
        <f t="array" ref="H718">"% "&amp;Exercice[Exercice N]</f>
        <v>% 2023</v>
      </c>
      <c r="I718" s="65" t="s">
        <v>554</v>
      </c>
    </row>
    <row r="719" spans="1:9" ht="15" customHeight="1" x14ac:dyDescent="0.25">
      <c r="A719" s="28" t="s">
        <v>573</v>
      </c>
      <c r="B719" s="50" t="s">
        <v>574</v>
      </c>
      <c r="C719" s="640"/>
      <c r="D719" s="640"/>
      <c r="E719" s="640"/>
      <c r="F719" s="640" cm="1">
        <f t="array" ref="F719">SUMPRODUCT((pat_tech_branch_01[client]=syndicat_etude)*(pat_tech_branch_01[annee]=Exercice[Exercice N-1])*(pat_tech_branch_01[nbr_brch_ind]))</f>
        <v>58671</v>
      </c>
      <c r="G719" s="640" cm="1">
        <f t="array" ref="G719">SUMPRODUCT((pat_tech_branch_01[client]=syndicat_etude)*(pat_tech_branch_01[annee]=Exercice[Exercice N])*(pat_tech_branch_01[nbr_brch_ind]))</f>
        <v>60775</v>
      </c>
      <c r="H719" s="149">
        <f>IFERROR(($G719/$G719),"")</f>
        <v>1</v>
      </c>
      <c r="I719" s="65" t="s">
        <v>575</v>
      </c>
    </row>
    <row r="720" spans="1:9" ht="15" customHeight="1" x14ac:dyDescent="0.25">
      <c r="A720" s="59" t="s">
        <v>3166</v>
      </c>
      <c r="B720" s="145" t="s">
        <v>117</v>
      </c>
      <c r="C720" s="125"/>
      <c r="D720" s="125"/>
      <c r="E720" s="125"/>
      <c r="F720" s="125" t="str">
        <f>IFERROR(F$719/E$719-1,"-")</f>
        <v>-</v>
      </c>
      <c r="G720" s="125">
        <f>IFERROR(G$719/F$719-1,"-")</f>
        <v>3.5860987540693001E-2</v>
      </c>
      <c r="H720" s="244"/>
      <c r="I720" s="65"/>
    </row>
    <row r="721" spans="1:9" ht="15" customHeight="1" x14ac:dyDescent="0.25">
      <c r="A721" s="59"/>
      <c r="B721" s="51" t="s">
        <v>576</v>
      </c>
      <c r="C721" s="569"/>
      <c r="D721" s="569"/>
      <c r="E721" s="569"/>
      <c r="F721" s="640" cm="1">
        <f t="array" ref="F721">SUMPRODUCT((pat_tech_branch_01[client]=syndicat_etude)*(pat_tech_branch_01[annee]=Exercice[Exercice N-1])*(pat_tech_branch_01[nbr_branchement_aerien]))</f>
        <v>9857</v>
      </c>
      <c r="G721" s="640" cm="1">
        <f t="array" ref="G721">SUMPRODUCT((pat_tech_branch_01[client]=syndicat_etude)*(pat_tech_branch_01[annee]=Exercice[Exercice N])*(pat_tech_branch_01[nbr_branchement_aerien]))</f>
        <v>9918</v>
      </c>
      <c r="H721" s="149">
        <f>IFERROR(($G721/$G719),"")</f>
        <v>0.16319210201563142</v>
      </c>
      <c r="I721" s="65" t="s">
        <v>577</v>
      </c>
    </row>
    <row r="722" spans="1:9" ht="15" customHeight="1" x14ac:dyDescent="0.25">
      <c r="A722" s="59"/>
      <c r="B722" s="51" t="s">
        <v>578</v>
      </c>
      <c r="C722" s="569"/>
      <c r="D722" s="569"/>
      <c r="E722" s="569"/>
      <c r="F722" s="640" cm="1">
        <f t="array" ref="F722">SUMPRODUCT((pat_tech_branch_01[client]=syndicat_etude)*(pat_tech_branch_01[annee]=Exercice[Exercice N-1])*(pat_tech_branch_01[nbr_derivation_liaison]))</f>
        <v>20692</v>
      </c>
      <c r="G722" s="640" cm="1">
        <f t="array" ref="G722">SUMPRODUCT((pat_tech_branch_01[client]=syndicat_etude)*(pat_tech_branch_01[annee]=Exercice[Exercice N])*(pat_tech_branch_01[nbr_derivation_liaison]))</f>
        <v>21574</v>
      </c>
      <c r="H722" s="149">
        <f>IFERROR(($G722/$G719),"")</f>
        <v>0.35498148909913618</v>
      </c>
      <c r="I722" s="65" t="s">
        <v>577</v>
      </c>
    </row>
    <row r="723" spans="1:9" ht="15" customHeight="1" x14ac:dyDescent="0.25">
      <c r="A723" s="59"/>
      <c r="B723" s="51" t="s">
        <v>579</v>
      </c>
      <c r="C723" s="569"/>
      <c r="D723" s="569"/>
      <c r="E723" s="569"/>
      <c r="F723" s="689" cm="1">
        <f t="array" ref="F723">SUMPRODUCT((pat_tech_branch_01[client]=syndicat_etude)*(pat_tech_branch_01[annee]=Exercice[Exercice N-1])*(pat_tech_branch_01[nbr_liaison_reseau_sout]))</f>
        <v>28122</v>
      </c>
      <c r="G723" s="689" cm="1">
        <f t="array" ref="G723">SUMPRODUCT((pat_tech_branch_01[client]=syndicat_etude)*(pat_tech_branch_01[annee]=Exercice[Exercice N])*(pat_tech_branch_01[nbr_liaison_reseau_sout]))</f>
        <v>29283</v>
      </c>
      <c r="H723" s="149">
        <f>IFERROR(($G723/$G719),"")</f>
        <v>0.48182640888523243</v>
      </c>
      <c r="I723" s="65" t="s">
        <v>577</v>
      </c>
    </row>
    <row r="724" spans="1:9" ht="15" customHeight="1" x14ac:dyDescent="0.25">
      <c r="A724" s="59"/>
      <c r="B724" s="61" t="s">
        <v>567</v>
      </c>
      <c r="C724" s="690"/>
      <c r="D724" s="690"/>
      <c r="E724" s="690"/>
      <c r="F724" s="640" cm="1">
        <f t="array" ref="F724">SUMPRODUCT((pat_tech_branch_01[client]=syndicat_etude)*(pat_tech_branch_01[annee]=Exercice[Exercice N-1])*(pat_tech_branch_01[nbr_usagers]))</f>
        <v>228292</v>
      </c>
      <c r="G724" s="640" cm="1">
        <f t="array" ref="G724">SUMPRODUCT((pat_tech_branch_01[client]=syndicat_etude)*(pat_tech_branch_01[annee]=Exercice[Exercice N])*(pat_tech_branch_01[nbr_usagers]))</f>
        <v>230023</v>
      </c>
      <c r="H724" s="147">
        <f>IFERROR((G724/F724-1),"")</f>
        <v>7.5823944772483998E-3</v>
      </c>
      <c r="I724" s="65" t="s">
        <v>568</v>
      </c>
    </row>
    <row r="725" spans="1:9" ht="15" customHeight="1" x14ac:dyDescent="0.25">
      <c r="A725" s="59"/>
      <c r="B725" s="53" t="s">
        <v>580</v>
      </c>
      <c r="C725" s="654"/>
      <c r="D725" s="654"/>
      <c r="E725" s="689"/>
      <c r="F725" s="689" cm="1">
        <f t="array" ref="F725">SUMPRODUCT((pat_tech_branch_01[client]=syndicat_etude)*(pat_tech_branch_01[annee]=Exercice[Exercice N-1])*(pat_tech_branch_01[age_moyen]))</f>
        <v>24.94</v>
      </c>
      <c r="G725" s="689" cm="1">
        <f t="array" ref="G725">SUMPRODUCT((pat_tech_branch_01[client]=syndicat_etude)*(pat_tech_branch_01[annee]=Exercice[Exercice N])*(pat_tech_branch_01[age_moyen]))</f>
        <v>24.94</v>
      </c>
      <c r="H725" s="138">
        <f>IFERROR((G725/F725-1),"")</f>
        <v>0</v>
      </c>
      <c r="I725" s="65" t="s">
        <v>570</v>
      </c>
    </row>
    <row r="726" spans="1:9" ht="15" customHeight="1" x14ac:dyDescent="0.25">
      <c r="A726" s="59"/>
      <c r="G726" s="102"/>
    </row>
    <row r="727" spans="1:9" ht="30" customHeight="1" x14ac:dyDescent="0.25">
      <c r="A727" s="97" t="s">
        <v>581</v>
      </c>
    </row>
    <row r="729" spans="1:9" ht="30" customHeight="1" x14ac:dyDescent="0.25">
      <c r="A729" s="479" t="s">
        <v>582</v>
      </c>
      <c r="B729" s="66" t="s">
        <v>583</v>
      </c>
      <c r="C729" s="67" cm="1">
        <f t="array" ref="C729">Exercice[Exercice N-4]</f>
        <v>2019</v>
      </c>
      <c r="D729" s="67" cm="1">
        <f t="array" ref="D729">Exercice[Exercice N-3]</f>
        <v>2020</v>
      </c>
      <c r="E729" s="67" cm="1">
        <f t="array" ref="E729">Exercice[Exercice N-2]</f>
        <v>2021</v>
      </c>
      <c r="F729" s="67" cm="1">
        <f t="array" ref="F729">Exercice[Exercice N-1]</f>
        <v>2022</v>
      </c>
      <c r="G729" s="67" cm="1">
        <f t="array" ref="G729">Exercice[Exercice N]</f>
        <v>2023</v>
      </c>
      <c r="H729" s="68" t="str" cm="1">
        <f t="array" ref="H729">"% "&amp;Exercice[Exercice N]</f>
        <v>% 2023</v>
      </c>
    </row>
    <row r="730" spans="1:9" ht="15" customHeight="1" x14ac:dyDescent="0.25">
      <c r="A730" s="25" t="s">
        <v>584</v>
      </c>
      <c r="B730" s="50" t="s">
        <v>585</v>
      </c>
      <c r="C730" s="11" cm="1">
        <f t="array" ref="C730">SUMPRODUCT((pat_sites_isoles[[client]:[client]]=syndicat_etude)*(pat_sites_isoles[[annee]:[annee]]=C$729)*(pat_sites_isoles[nbr_sites_isoles]))</f>
        <v>0</v>
      </c>
      <c r="D730" s="11" cm="1">
        <f t="array" ref="D730">SUMPRODUCT((pat_sites_isoles[[client]:[client]]=syndicat_etude)*(pat_sites_isoles[[annee]:[annee]]=D$729)*(pat_sites_isoles[nbr_sites_isoles]))</f>
        <v>0</v>
      </c>
      <c r="E730" s="11" cm="1">
        <f t="array" ref="E730">SUMPRODUCT((pat_sites_isoles[[client]:[client]]=syndicat_etude)*(pat_sites_isoles[[annee]:[annee]]=E$729)*(pat_sites_isoles[nbr_sites_isoles]))</f>
        <v>0</v>
      </c>
      <c r="F730" s="11" cm="1">
        <f t="array" ref="F730">SUMPRODUCT((pat_sites_isoles[[client]:[client]]=syndicat_etude)*(pat_sites_isoles[[annee]:[annee]]=F$729)*(pat_sites_isoles[nbr_sites_isoles]))</f>
        <v>0</v>
      </c>
      <c r="G730" s="11" cm="1">
        <f t="array" ref="G730">SUMPRODUCT((pat_sites_isoles[[client]:[client]]=syndicat_etude)*(pat_sites_isoles[[annee]:[annee]]=G$729)*(pat_sites_isoles[nbr_sites_isoles]))</f>
        <v>0</v>
      </c>
      <c r="H730" s="120" t="str">
        <f>IFERROR(G730/C730-1,"")</f>
        <v/>
      </c>
    </row>
    <row r="731" spans="1:9" ht="15" customHeight="1" x14ac:dyDescent="0.25">
      <c r="B731" s="53" t="s">
        <v>586</v>
      </c>
      <c r="C731" s="94" cm="1">
        <f t="array" ref="C731">SUMPRODUCT((pat_sites_isoles[[client]:[client]]=syndicat_etude)*(pat_sites_isoles[[annee]:[annee]]=C$729)*(pat_sites_isoles[puissance_tot]))</f>
        <v>0</v>
      </c>
      <c r="D731" s="94" cm="1">
        <f t="array" ref="D731">SUMPRODUCT((pat_sites_isoles[[client]:[client]]=syndicat_etude)*(pat_sites_isoles[[annee]:[annee]]=D$729)*(pat_sites_isoles[puissance_tot]))</f>
        <v>0</v>
      </c>
      <c r="E731" s="94" cm="1">
        <f t="array" ref="E731">SUMPRODUCT((pat_sites_isoles[[client]:[client]]=syndicat_etude)*(pat_sites_isoles[[annee]:[annee]]=E$729)*(pat_sites_isoles[puissance_tot]))</f>
        <v>0</v>
      </c>
      <c r="F731" s="94" cm="1">
        <f t="array" ref="F731">SUMPRODUCT((pat_sites_isoles[[client]:[client]]=syndicat_etude)*(pat_sites_isoles[[annee]:[annee]]=F$729)*(pat_sites_isoles[puissance_tot]))</f>
        <v>0</v>
      </c>
      <c r="G731" s="94" cm="1">
        <f t="array" ref="G731">SUMPRODUCT((pat_sites_isoles[[client]:[client]]=syndicat_etude)*(pat_sites_isoles[[annee]:[annee]]=G$729)*(pat_sites_isoles[puissance_tot]))</f>
        <v>0</v>
      </c>
      <c r="H731" s="133" t="str">
        <f>IFERROR(G731/C731-1,"")</f>
        <v/>
      </c>
    </row>
    <row r="734" spans="1:9" ht="30" customHeight="1" x14ac:dyDescent="0.25">
      <c r="A734" s="97" t="s">
        <v>587</v>
      </c>
    </row>
    <row r="736" spans="1:9" ht="15" customHeight="1" x14ac:dyDescent="0.25">
      <c r="A736" s="479" t="s">
        <v>588</v>
      </c>
    </row>
    <row r="751" spans="1:8" ht="30" customHeight="1" x14ac:dyDescent="0.25">
      <c r="A751" s="479" t="s">
        <v>589</v>
      </c>
      <c r="B751" s="771" t="s">
        <v>590</v>
      </c>
      <c r="C751" s="773" t="s">
        <v>591</v>
      </c>
      <c r="D751" s="773" t="s">
        <v>592</v>
      </c>
      <c r="E751" s="773" t="s">
        <v>593</v>
      </c>
      <c r="F751" s="773"/>
      <c r="G751" s="773" t="s">
        <v>594</v>
      </c>
      <c r="H751" s="775"/>
    </row>
    <row r="752" spans="1:8" ht="15" customHeight="1" x14ac:dyDescent="0.25">
      <c r="A752" s="25" t="s">
        <v>584</v>
      </c>
      <c r="B752" s="772"/>
      <c r="C752" s="774"/>
      <c r="D752" s="774"/>
      <c r="E752" s="445" t="s">
        <v>595</v>
      </c>
      <c r="F752" s="446" t="s">
        <v>596</v>
      </c>
      <c r="G752" s="445" t="s">
        <v>595</v>
      </c>
      <c r="H752" s="447" t="s">
        <v>596</v>
      </c>
    </row>
    <row r="753" spans="1:8" ht="15" customHeight="1" x14ac:dyDescent="0.2">
      <c r="B753" s="593" t="s">
        <v>597</v>
      </c>
      <c r="C753" s="398" cm="1">
        <f t="array" ref="C753">SUMPRODUCT((coherence_inventaire_synthese_01[[client]:[client]]=syndicat_etude)*(coherence_inventaire_synthese_01[[annee]:[annee]]=annee_CRAC)*(coherence_inventaire_synthese_01[[lineaire_tot_hta_inv_tech]:[lineaire_tot_hta_inv_tech]]))</f>
        <v>0</v>
      </c>
      <c r="D753" s="592" cm="1">
        <f t="array" ref="D753">SUMPRODUCT((coherence_inventaire_synthese_01[[client]:[client]]=syndicat_etude)*(coherence_inventaire_synthese_01[[annee]:[annee]]=annee_CRAC)*(coherence_inventaire_synthese_01[[lineaire_tot_hta_compt]:[lineaire_tot_hta_compt]]))</f>
        <v>0</v>
      </c>
      <c r="E753" s="398" cm="1">
        <f t="array" ref="E753">SUMPRODUCT((coherence_inventaire_synthese_01[[client]:[client]]=syndicat_etude)*(coherence_inventaire_synthese_01[[annee]:[annee]]=annee_CRAC)*(coherence_inventaire_synthese_01[[ecart_concession_tot_hta_qte]:[ecart_concession_tot_hta_qte]]))</f>
        <v>0</v>
      </c>
      <c r="F753" s="455" cm="1">
        <f t="array" ref="F753">SUMPRODUCT((coherence_inventaire_synthese_01[[client]:[client]]=syndicat_etude)*(coherence_inventaire_synthese_01[[annee]:[annee]]=annee_CRAC)*(coherence_inventaire_synthese_01[[ecart_concession_tot_hta_percent]:[ecart_concession_tot_hta_percent]]))</f>
        <v>0</v>
      </c>
      <c r="G753" s="398" cm="1">
        <f t="array" ref="G753">SUMPRODUCT((coherence_inventaire_synthese_01[[client]:[client]]=syndicat_etude)*(coherence_inventaire_synthese_01[[annee]:[annee]]=annee_CRAC)*(coherence_inventaire_synthese_01[[ecart_commune_tot_hta_qte]:[ecart_commune_tot_hta_qte]]))</f>
        <v>0</v>
      </c>
      <c r="H753" s="456" cm="1">
        <f t="array" ref="H753">SUMPRODUCT((coherence_inventaire_synthese_01[[client]:[client]]=syndicat_etude)*(coherence_inventaire_synthese_01[[annee]:[annee]]=annee_CRAC)*(coherence_inventaire_synthese_01[[ecart_commune_tot_hta_percent]:[ecart_commune_tot_hta_percent]]))</f>
        <v>0</v>
      </c>
    </row>
    <row r="754" spans="1:8" ht="15" customHeight="1" x14ac:dyDescent="0.2">
      <c r="B754" s="593" t="s">
        <v>598</v>
      </c>
      <c r="C754" s="398" cm="1">
        <f t="array" ref="C754">SUMPRODUCT((coherence_inventaire_synthese_01[[client]:[client]]=syndicat_etude)*(coherence_inventaire_synthese_01[[annee]:[annee]]=annee_CRAC)*(coherence_inventaire_synthese_01[[lineaire_tot_bt_inv_tech]:[lineaire_tot_bt_inv_tech]]))</f>
        <v>0</v>
      </c>
      <c r="D754" s="398" cm="1">
        <f t="array" ref="D754">SUMPRODUCT((coherence_inventaire_synthese_01[[client]:[client]]=syndicat_etude)*(coherence_inventaire_synthese_01[[annee]:[annee]]=annee_CRAC)*(coherence_inventaire_synthese_01[[lineaire_tot_bt_compt]:[lineaire_tot_bt_compt]]))</f>
        <v>0</v>
      </c>
      <c r="E754" s="398" cm="1">
        <f t="array" ref="E754">SUMPRODUCT((coherence_inventaire_synthese_01[[client]:[client]]=syndicat_etude)*(coherence_inventaire_synthese_01[[annee]:[annee]]=annee_CRAC)*(coherence_inventaire_synthese_01[[ecart_concession_tot_bt_qte]:[ecart_concession_tot_bt_qte]]))</f>
        <v>0</v>
      </c>
      <c r="F754" s="455" cm="1">
        <f t="array" ref="F754">SUMPRODUCT((coherence_inventaire_synthese_01[[client]:[client]]=syndicat_etude)*(coherence_inventaire_synthese_01[[annee]:[annee]]=annee_CRAC)*(coherence_inventaire_synthese_01[[ecart_concession_tot_bt_percent]:[ecart_concession_tot_bt_percent]]))</f>
        <v>0</v>
      </c>
      <c r="G754" s="398" cm="1">
        <f t="array" ref="G754">SUMPRODUCT((coherence_inventaire_synthese_01[[client]:[client]]=syndicat_etude)*(coherence_inventaire_synthese_01[[annee]:[annee]]=annee_CRAC)*(coherence_inventaire_synthese_01[[ecart_commune_tot_bt_qte]:[ecart_commune_tot_bt_qte]]))</f>
        <v>0</v>
      </c>
      <c r="H754" s="456" cm="1">
        <f t="array" ref="H754">SUMPRODUCT((coherence_inventaire_synthese_01[[client]:[client]]=syndicat_etude)*(coherence_inventaire_synthese_01[[annee]:[annee]]=annee_CRAC)*(coherence_inventaire_synthese_01[[ecart_commune_tot_bt_percent]:[ecart_commune_tot_bt_percent]]))</f>
        <v>0</v>
      </c>
    </row>
    <row r="755" spans="1:8" ht="15" customHeight="1" x14ac:dyDescent="0.2">
      <c r="B755" s="593" t="s">
        <v>599</v>
      </c>
      <c r="C755" s="398" cm="1">
        <f t="array" ref="C755">SUMPRODUCT((coherence_inventaire_synthese_01[[client]:[client]]=syndicat_etude)*(coherence_inventaire_synthese_01[[annee]:[annee]]=annee_CRAC)*(coherence_inventaire_synthese_01[[nbr_transfos_inv_tech]:[nbr_transfos_inv_tech]]))</f>
        <v>0</v>
      </c>
      <c r="D755" s="398" cm="1">
        <f t="array" ref="D755">SUMPRODUCT((coherence_inventaire_synthese_01[[client]:[client]]=syndicat_etude)*(coherence_inventaire_synthese_01[[annee]:[annee]]=annee_CRAC)*(coherence_inventaire_synthese_01[[transfos_compt]:[transfos_compt]]))</f>
        <v>0</v>
      </c>
      <c r="E755" s="398" cm="1">
        <f t="array" ref="E755">SUMPRODUCT((coherence_inventaire_synthese_01[[client]:[client]]=syndicat_etude)*(coherence_inventaire_synthese_01[[annee]:[annee]]=annee_CRAC)*(coherence_inventaire_synthese_01[[ecart_concession_transfos_qte]:[ecart_concession_transfos_qte]]))</f>
        <v>0</v>
      </c>
      <c r="F755" s="455" cm="1">
        <f t="array" ref="F755">SUMPRODUCT((coherence_inventaire_synthese_01[[client]:[client]]=syndicat_etude)*(coherence_inventaire_synthese_01[[annee]:[annee]]=annee_CRAC)*(coherence_inventaire_synthese_01[[ecart_concession_transfos_percent]:[ecart_concession_transfos_percent]]))</f>
        <v>0</v>
      </c>
      <c r="G755" s="398" cm="1">
        <f t="array" ref="G755">SUMPRODUCT((coherence_inventaire_synthese_01[[client]:[client]]=syndicat_etude)*(coherence_inventaire_synthese_01[[annee]:[annee]]=annee_CRAC)*(coherence_inventaire_synthese_01[[ecart_commune_transfos_qte]:[ecart_commune_transfos_qte]]))</f>
        <v>0</v>
      </c>
      <c r="H755" s="456" cm="1">
        <f t="array" ref="H755">SUMPRODUCT((coherence_inventaire_synthese_01[[client]:[client]]=syndicat_etude)*(coherence_inventaire_synthese_01[[annee]:[annee]]=annee_CRAC)*(coherence_inventaire_synthese_01[[ecart_commune_transfos_percent]:[ecart_commune_transfos_percent]]))</f>
        <v>0</v>
      </c>
    </row>
    <row r="756" spans="1:8" ht="15" customHeight="1" x14ac:dyDescent="0.25">
      <c r="A756" s="28"/>
      <c r="B756" s="743" t="s">
        <v>600</v>
      </c>
      <c r="C756" s="744" cm="1">
        <f t="array" ref="C756">SUMPRODUCT((pat_sites_isoles[[client]:[client]]=syndicat_etude)*(pat_sites_isoles[[ocb_quantite_base_technique]:[ocb_quantite_base_technique]]))</f>
        <v>0</v>
      </c>
      <c r="D756" s="744" cm="1">
        <f t="array" ref="D756">SUMPRODUCT((pat_sites_isoles[[client]:[client]]=syndicat_etude)*(pat_sites_isoles[[ocb_quantite_base_comptable]:[ocb_quantite_base_comptable]]))</f>
        <v>0</v>
      </c>
      <c r="E756" s="744" cm="1">
        <f t="array" ref="E756">SUMPRODUCT((pat_sites_isoles[[client]:[client]]=syndicat_etude)*(pat_sites_isoles[[ocb_ecart_concession_qte]:[ocb_ecart_concession_qte]]))</f>
        <v>0</v>
      </c>
      <c r="F756" s="745" cm="1">
        <f t="array" ref="F756">SUMPRODUCT((pat_sites_isoles[[client]:[client]]=syndicat_etude)*(pat_sites_isoles[[ocb_ecart_concession_percent]:[ocb_ecart_concession_percent]]))</f>
        <v>0</v>
      </c>
      <c r="G756" s="744" cm="1">
        <f t="array" ref="G756">SUMPRODUCT((pat_sites_isoles[[client]:[client]]=syndicat_etude)*(pat_sites_isoles[[ocb_ecart_commune_qte]:[ocb_ecart_commune_qte]]))</f>
        <v>0</v>
      </c>
      <c r="H756" s="746" cm="1">
        <f t="array" ref="H756">SUMPRODUCT((pat_sites_isoles[[client]:[client]]=syndicat_etude)*(pat_sites_isoles[[ocb_ecart_commune_percent]:[ocb_ecart_commune_percent]]))</f>
        <v>0</v>
      </c>
    </row>
    <row r="757" spans="1:8" ht="15" customHeight="1" x14ac:dyDescent="0.25">
      <c r="B757" s="604"/>
      <c r="C757" s="21"/>
      <c r="D757" s="21"/>
      <c r="E757" s="21"/>
      <c r="F757" s="574"/>
      <c r="G757" s="21"/>
      <c r="H757" s="574"/>
    </row>
    <row r="758" spans="1:8" ht="15" customHeight="1" x14ac:dyDescent="0.25">
      <c r="A758" s="479" t="s">
        <v>601</v>
      </c>
      <c r="B758" s="604"/>
      <c r="C758" s="21"/>
      <c r="D758" s="21"/>
      <c r="E758" s="479" t="s">
        <v>602</v>
      </c>
      <c r="F758" s="574"/>
      <c r="G758" s="21"/>
      <c r="H758" s="574"/>
    </row>
    <row r="759" spans="1:8" ht="15" customHeight="1" x14ac:dyDescent="0.25">
      <c r="B759" s="604"/>
      <c r="C759" s="21"/>
      <c r="D759" s="21"/>
      <c r="E759" s="21"/>
      <c r="F759" s="574"/>
      <c r="G759" s="21"/>
      <c r="H759" s="574"/>
    </row>
    <row r="760" spans="1:8" ht="15" customHeight="1" x14ac:dyDescent="0.25">
      <c r="B760" s="604"/>
      <c r="C760" s="21"/>
      <c r="D760" s="21"/>
      <c r="E760" s="21"/>
      <c r="F760" s="574"/>
      <c r="G760" s="21"/>
      <c r="H760" s="574"/>
    </row>
    <row r="761" spans="1:8" ht="15" customHeight="1" x14ac:dyDescent="0.25">
      <c r="B761" s="604"/>
      <c r="C761" s="21"/>
      <c r="D761" s="21"/>
      <c r="E761" s="21"/>
      <c r="F761" s="574"/>
      <c r="G761" s="21"/>
      <c r="H761" s="574"/>
    </row>
    <row r="762" spans="1:8" ht="15" customHeight="1" x14ac:dyDescent="0.25">
      <c r="B762" s="604"/>
      <c r="C762" s="21"/>
      <c r="D762" s="21"/>
      <c r="E762" s="21"/>
      <c r="F762" s="574"/>
      <c r="G762" s="21"/>
      <c r="H762" s="574"/>
    </row>
    <row r="763" spans="1:8" ht="15" customHeight="1" x14ac:dyDescent="0.25">
      <c r="B763" s="604"/>
      <c r="C763" s="21"/>
      <c r="D763" s="21"/>
      <c r="E763" s="21"/>
      <c r="F763" s="574"/>
      <c r="G763" s="21"/>
      <c r="H763" s="574"/>
    </row>
    <row r="764" spans="1:8" ht="15" customHeight="1" x14ac:dyDescent="0.25">
      <c r="B764" s="604"/>
      <c r="C764" s="21"/>
      <c r="D764" s="21"/>
      <c r="E764" s="21"/>
      <c r="F764" s="574"/>
      <c r="G764" s="21"/>
      <c r="H764" s="574"/>
    </row>
    <row r="765" spans="1:8" ht="15" customHeight="1" x14ac:dyDescent="0.25">
      <c r="B765" s="604"/>
      <c r="C765" s="21"/>
      <c r="D765" s="21"/>
      <c r="E765" s="21"/>
      <c r="F765" s="574"/>
      <c r="G765" s="21"/>
      <c r="H765" s="574"/>
    </row>
    <row r="766" spans="1:8" ht="15" customHeight="1" x14ac:dyDescent="0.25">
      <c r="B766" s="604"/>
      <c r="C766" s="21"/>
      <c r="D766" s="21"/>
      <c r="E766" s="21"/>
      <c r="F766" s="574"/>
      <c r="G766" s="21"/>
      <c r="H766" s="574"/>
    </row>
    <row r="767" spans="1:8" ht="15" customHeight="1" x14ac:dyDescent="0.25">
      <c r="B767" s="604"/>
      <c r="C767" s="21"/>
      <c r="D767" s="21"/>
      <c r="E767" s="21"/>
      <c r="F767" s="574"/>
      <c r="G767" s="21"/>
      <c r="H767" s="574"/>
    </row>
    <row r="768" spans="1:8" ht="15" customHeight="1" x14ac:dyDescent="0.25">
      <c r="B768" s="604"/>
      <c r="C768" s="21"/>
      <c r="D768" s="21"/>
      <c r="E768" s="21"/>
      <c r="F768" s="574"/>
      <c r="G768" s="21"/>
      <c r="H768" s="574"/>
    </row>
    <row r="769" spans="1:8" ht="15" customHeight="1" x14ac:dyDescent="0.25">
      <c r="B769" s="604"/>
      <c r="C769" s="21"/>
      <c r="D769" s="21"/>
      <c r="E769" s="21"/>
      <c r="F769" s="574"/>
      <c r="G769" s="21"/>
      <c r="H769" s="574"/>
    </row>
    <row r="770" spans="1:8" ht="15" customHeight="1" x14ac:dyDescent="0.25">
      <c r="B770" s="604"/>
      <c r="C770" s="21"/>
      <c r="D770" s="21"/>
      <c r="E770" s="21"/>
      <c r="F770" s="574"/>
      <c r="G770" s="21"/>
      <c r="H770" s="574"/>
    </row>
    <row r="771" spans="1:8" ht="15" customHeight="1" x14ac:dyDescent="0.25">
      <c r="B771" s="604"/>
      <c r="C771" s="21"/>
      <c r="D771" s="21"/>
      <c r="E771" s="21"/>
      <c r="F771" s="574"/>
      <c r="G771" s="21"/>
      <c r="H771" s="574"/>
    </row>
    <row r="772" spans="1:8" ht="25.15" customHeight="1" x14ac:dyDescent="0.25">
      <c r="A772" s="479" t="s">
        <v>603</v>
      </c>
      <c r="B772" s="771" t="s">
        <v>604</v>
      </c>
      <c r="C772" s="773" t="s">
        <v>605</v>
      </c>
      <c r="D772" s="773" t="s">
        <v>606</v>
      </c>
      <c r="E772" s="773" t="s">
        <v>593</v>
      </c>
      <c r="F772" s="773"/>
      <c r="G772" s="773" t="s">
        <v>594</v>
      </c>
      <c r="H772" s="775"/>
    </row>
    <row r="773" spans="1:8" ht="15" customHeight="1" x14ac:dyDescent="0.25">
      <c r="A773" s="59" t="s">
        <v>59</v>
      </c>
      <c r="B773" s="772"/>
      <c r="C773" s="774"/>
      <c r="D773" s="774"/>
      <c r="E773" s="445" t="s">
        <v>607</v>
      </c>
      <c r="F773" s="446" t="s">
        <v>596</v>
      </c>
      <c r="G773" s="445" t="s">
        <v>607</v>
      </c>
      <c r="H773" s="447" t="s">
        <v>596</v>
      </c>
    </row>
    <row r="774" spans="1:8" ht="15" customHeight="1" x14ac:dyDescent="0.25">
      <c r="A774" s="59"/>
      <c r="B774" s="593" t="s">
        <v>113</v>
      </c>
      <c r="C774" s="21">
        <f>Cohérence_inv!C12</f>
        <v>0</v>
      </c>
      <c r="D774" s="21">
        <f>Cohérence_inv!D12</f>
        <v>0</v>
      </c>
      <c r="E774" s="21">
        <f>Cohérence_inv!E12</f>
        <v>0</v>
      </c>
      <c r="F774" s="574">
        <f>Cohérence_inv!F12</f>
        <v>0</v>
      </c>
      <c r="G774" s="21">
        <f>Cohérence_inv!G12</f>
        <v>0</v>
      </c>
      <c r="H774" s="594">
        <f>Cohérence_inv!H12</f>
        <v>0</v>
      </c>
    </row>
    <row r="775" spans="1:8" ht="15" customHeight="1" x14ac:dyDescent="0.25">
      <c r="A775" s="59"/>
      <c r="B775" s="593" t="s">
        <v>114</v>
      </c>
      <c r="C775" s="21">
        <f>Cohérence_inv!C13</f>
        <v>0</v>
      </c>
      <c r="D775" s="21">
        <f>Cohérence_inv!D13</f>
        <v>0</v>
      </c>
      <c r="E775" s="21">
        <f>Cohérence_inv!E13</f>
        <v>0</v>
      </c>
      <c r="F775" s="574">
        <f>Cohérence_inv!F13</f>
        <v>0</v>
      </c>
      <c r="G775" s="21">
        <f>Cohérence_inv!G13</f>
        <v>0</v>
      </c>
      <c r="H775" s="594">
        <f>Cohérence_inv!H13</f>
        <v>0</v>
      </c>
    </row>
    <row r="776" spans="1:8" ht="15" customHeight="1" x14ac:dyDescent="0.25">
      <c r="A776" s="59"/>
      <c r="B776" s="593" t="s">
        <v>115</v>
      </c>
      <c r="C776" s="21">
        <f>Cohérence_inv!C14</f>
        <v>0</v>
      </c>
      <c r="D776" s="21">
        <f>Cohérence_inv!D14</f>
        <v>0</v>
      </c>
      <c r="E776" s="21">
        <f>Cohérence_inv!E14</f>
        <v>0</v>
      </c>
      <c r="F776" s="574">
        <f>Cohérence_inv!F14</f>
        <v>0</v>
      </c>
      <c r="G776" s="21">
        <f>Cohérence_inv!G14</f>
        <v>0</v>
      </c>
      <c r="H776" s="594">
        <f>Cohérence_inv!H14</f>
        <v>0</v>
      </c>
    </row>
    <row r="777" spans="1:8" ht="15" customHeight="1" x14ac:dyDescent="0.25">
      <c r="A777" s="59"/>
      <c r="B777" s="595" t="s">
        <v>608</v>
      </c>
      <c r="C777" s="596">
        <f>Cohérence_inv!C15</f>
        <v>0</v>
      </c>
      <c r="D777" s="596">
        <f>Cohérence_inv!D15</f>
        <v>0</v>
      </c>
      <c r="E777" s="596">
        <f>Cohérence_inv!E15</f>
        <v>0</v>
      </c>
      <c r="F777" s="597">
        <f>Cohérence_inv!F15</f>
        <v>0</v>
      </c>
      <c r="G777" s="596">
        <f>Cohérence_inv!G15</f>
        <v>0</v>
      </c>
      <c r="H777" s="598">
        <f>Cohérence_inv!H15</f>
        <v>0</v>
      </c>
    </row>
    <row r="778" spans="1:8" ht="15" customHeight="1" x14ac:dyDescent="0.25">
      <c r="B778" s="599"/>
      <c r="C778" s="600"/>
      <c r="D778" s="600"/>
      <c r="E778" s="574"/>
      <c r="F778" s="574"/>
      <c r="G778" s="601"/>
      <c r="H778" s="574"/>
    </row>
    <row r="779" spans="1:8" ht="25.15" customHeight="1" x14ac:dyDescent="0.25">
      <c r="A779" s="479" t="s">
        <v>609</v>
      </c>
      <c r="B779" s="771" t="s">
        <v>610</v>
      </c>
      <c r="C779" s="773" t="s">
        <v>605</v>
      </c>
      <c r="D779" s="773" t="s">
        <v>606</v>
      </c>
      <c r="E779" s="773" t="s">
        <v>593</v>
      </c>
      <c r="F779" s="773"/>
      <c r="G779" s="773" t="s">
        <v>594</v>
      </c>
      <c r="H779" s="775"/>
    </row>
    <row r="780" spans="1:8" ht="15" customHeight="1" x14ac:dyDescent="0.25">
      <c r="A780" s="59" t="s">
        <v>59</v>
      </c>
      <c r="B780" s="772"/>
      <c r="C780" s="774"/>
      <c r="D780" s="774"/>
      <c r="E780" s="445" t="s">
        <v>607</v>
      </c>
      <c r="F780" s="446" t="s">
        <v>596</v>
      </c>
      <c r="G780" s="445" t="s">
        <v>607</v>
      </c>
      <c r="H780" s="447" t="s">
        <v>596</v>
      </c>
    </row>
    <row r="781" spans="1:8" ht="15" customHeight="1" x14ac:dyDescent="0.25">
      <c r="A781" s="59"/>
      <c r="B781" s="593" t="s">
        <v>113</v>
      </c>
      <c r="C781" s="21">
        <f>Cohérence_inv!C19</f>
        <v>0</v>
      </c>
      <c r="D781" s="21">
        <f>Cohérence_inv!D19</f>
        <v>0</v>
      </c>
      <c r="E781" s="21">
        <f>Cohérence_inv!E19</f>
        <v>0</v>
      </c>
      <c r="F781" s="574">
        <f>Cohérence_inv!F19</f>
        <v>0</v>
      </c>
      <c r="G781" s="21">
        <f>Cohérence_inv!G19</f>
        <v>0</v>
      </c>
      <c r="H781" s="594">
        <f>Cohérence_inv!H19</f>
        <v>0</v>
      </c>
    </row>
    <row r="782" spans="1:8" ht="15" customHeight="1" x14ac:dyDescent="0.25">
      <c r="A782" s="59"/>
      <c r="B782" s="593" t="s">
        <v>114</v>
      </c>
      <c r="C782" s="21">
        <f>Cohérence_inv!C20</f>
        <v>0</v>
      </c>
      <c r="D782" s="21">
        <f>Cohérence_inv!D20</f>
        <v>0</v>
      </c>
      <c r="E782" s="21">
        <f>Cohérence_inv!E20</f>
        <v>0</v>
      </c>
      <c r="F782" s="574">
        <f>Cohérence_inv!F20</f>
        <v>0</v>
      </c>
      <c r="G782" s="21">
        <f>Cohérence_inv!G20</f>
        <v>0</v>
      </c>
      <c r="H782" s="594">
        <f>Cohérence_inv!H20</f>
        <v>0</v>
      </c>
    </row>
    <row r="783" spans="1:8" ht="15" customHeight="1" x14ac:dyDescent="0.25">
      <c r="A783" s="59"/>
      <c r="B783" s="593" t="s">
        <v>115</v>
      </c>
      <c r="C783" s="21">
        <f>Cohérence_inv!C21</f>
        <v>0</v>
      </c>
      <c r="D783" s="21">
        <f>Cohérence_inv!D21</f>
        <v>0</v>
      </c>
      <c r="E783" s="21">
        <f>Cohérence_inv!E21</f>
        <v>0</v>
      </c>
      <c r="F783" s="574">
        <f>Cohérence_inv!F21</f>
        <v>0</v>
      </c>
      <c r="G783" s="21">
        <f>Cohérence_inv!G21</f>
        <v>0</v>
      </c>
      <c r="H783" s="594">
        <f>Cohérence_inv!H21</f>
        <v>0</v>
      </c>
    </row>
    <row r="784" spans="1:8" ht="15" customHeight="1" x14ac:dyDescent="0.25">
      <c r="A784" s="59"/>
      <c r="B784" s="595" t="s">
        <v>611</v>
      </c>
      <c r="C784" s="596">
        <f>Cohérence_inv!C22</f>
        <v>0</v>
      </c>
      <c r="D784" s="596">
        <f>Cohérence_inv!D22</f>
        <v>0</v>
      </c>
      <c r="E784" s="596">
        <f>Cohérence_inv!E22</f>
        <v>0</v>
      </c>
      <c r="F784" s="597">
        <f>Cohérence_inv!F22</f>
        <v>0</v>
      </c>
      <c r="G784" s="596">
        <f>Cohérence_inv!G22</f>
        <v>0</v>
      </c>
      <c r="H784" s="598">
        <f>Cohérence_inv!H22</f>
        <v>0</v>
      </c>
    </row>
    <row r="785" spans="1:8" ht="15" customHeight="1" x14ac:dyDescent="0.25">
      <c r="B785" s="599"/>
      <c r="C785" s="600"/>
      <c r="D785" s="600"/>
      <c r="E785" s="600"/>
      <c r="F785" s="574"/>
      <c r="G785" s="600"/>
      <c r="H785" s="574"/>
    </row>
    <row r="786" spans="1:8" ht="25.15" customHeight="1" x14ac:dyDescent="0.25">
      <c r="A786" s="479" t="s">
        <v>612</v>
      </c>
      <c r="B786" s="771" t="s">
        <v>613</v>
      </c>
      <c r="C786" s="773" t="s">
        <v>614</v>
      </c>
      <c r="D786" s="773" t="s">
        <v>615</v>
      </c>
      <c r="E786" s="773" t="s">
        <v>593</v>
      </c>
      <c r="F786" s="773"/>
      <c r="G786" s="773" t="s">
        <v>594</v>
      </c>
      <c r="H786" s="775"/>
    </row>
    <row r="787" spans="1:8" ht="15" customHeight="1" x14ac:dyDescent="0.25">
      <c r="A787" s="59" t="s">
        <v>59</v>
      </c>
      <c r="B787" s="772"/>
      <c r="C787" s="774"/>
      <c r="D787" s="774"/>
      <c r="E787" s="445" t="s">
        <v>616</v>
      </c>
      <c r="F787" s="445" t="s">
        <v>596</v>
      </c>
      <c r="G787" s="445" t="s">
        <v>616</v>
      </c>
      <c r="H787" s="448" t="s">
        <v>596</v>
      </c>
    </row>
    <row r="788" spans="1:8" ht="15" customHeight="1" x14ac:dyDescent="0.25">
      <c r="A788" s="59"/>
      <c r="B788" s="595" t="s">
        <v>617</v>
      </c>
      <c r="C788" s="596">
        <f>Cohérence_inv!C26</f>
        <v>0</v>
      </c>
      <c r="D788" s="596">
        <f>Cohérence_inv!D26</f>
        <v>0</v>
      </c>
      <c r="E788" s="596">
        <f>Cohérence_inv!E26</f>
        <v>0</v>
      </c>
      <c r="F788" s="602">
        <f>Cohérence_inv!F26</f>
        <v>0</v>
      </c>
      <c r="G788" s="596">
        <f>Cohérence_inv!G26</f>
        <v>0</v>
      </c>
      <c r="H788" s="603">
        <f>Cohérence_inv!H26</f>
        <v>0</v>
      </c>
    </row>
  </sheetData>
  <mergeCells count="139">
    <mergeCell ref="B779:B780"/>
    <mergeCell ref="C779:C780"/>
    <mergeCell ref="D779:D780"/>
    <mergeCell ref="E779:F779"/>
    <mergeCell ref="G779:H779"/>
    <mergeCell ref="B786:B787"/>
    <mergeCell ref="C786:C787"/>
    <mergeCell ref="D786:D787"/>
    <mergeCell ref="E786:F786"/>
    <mergeCell ref="G786:H786"/>
    <mergeCell ref="B751:B752"/>
    <mergeCell ref="C751:C752"/>
    <mergeCell ref="D751:D752"/>
    <mergeCell ref="E751:F751"/>
    <mergeCell ref="G751:H751"/>
    <mergeCell ref="B772:B773"/>
    <mergeCell ref="C772:C773"/>
    <mergeCell ref="D772:D773"/>
    <mergeCell ref="E772:F772"/>
    <mergeCell ref="G772:H772"/>
    <mergeCell ref="C186:D186"/>
    <mergeCell ref="C646:D646"/>
    <mergeCell ref="I646:J646"/>
    <mergeCell ref="C648:D648"/>
    <mergeCell ref="I648:J648"/>
    <mergeCell ref="C196:D196"/>
    <mergeCell ref="K646:L646"/>
    <mergeCell ref="K648:L648"/>
    <mergeCell ref="K658:L658"/>
    <mergeCell ref="K318:L318"/>
    <mergeCell ref="I197:J197"/>
    <mergeCell ref="K197:L197"/>
    <mergeCell ref="C197:D197"/>
    <mergeCell ref="I658:J658"/>
    <mergeCell ref="C647:D647"/>
    <mergeCell ref="G647:H647"/>
    <mergeCell ref="G318:H318"/>
    <mergeCell ref="G196:H196"/>
    <mergeCell ref="G197:H197"/>
    <mergeCell ref="G198:H198"/>
    <mergeCell ref="E196:F196"/>
    <mergeCell ref="E197:F197"/>
    <mergeCell ref="E198:F198"/>
    <mergeCell ref="I318:J318"/>
    <mergeCell ref="K185:L185"/>
    <mergeCell ref="I186:J186"/>
    <mergeCell ref="K186:L186"/>
    <mergeCell ref="I196:J196"/>
    <mergeCell ref="K196:L196"/>
    <mergeCell ref="K187:L187"/>
    <mergeCell ref="C645:D645"/>
    <mergeCell ref="I645:J645"/>
    <mergeCell ref="K645:L645"/>
    <mergeCell ref="C198:D198"/>
    <mergeCell ref="C319:D319"/>
    <mergeCell ref="I319:J319"/>
    <mergeCell ref="K319:L319"/>
    <mergeCell ref="I198:J198"/>
    <mergeCell ref="K198:L198"/>
    <mergeCell ref="C317:D317"/>
    <mergeCell ref="I317:J317"/>
    <mergeCell ref="K317:L317"/>
    <mergeCell ref="C318:D318"/>
    <mergeCell ref="C187:D187"/>
    <mergeCell ref="I187:J187"/>
    <mergeCell ref="C185:D185"/>
    <mergeCell ref="I185:J185"/>
    <mergeCell ref="G317:H317"/>
    <mergeCell ref="G185:H185"/>
    <mergeCell ref="G186:H186"/>
    <mergeCell ref="G187:H187"/>
    <mergeCell ref="E185:F185"/>
    <mergeCell ref="E186:F186"/>
    <mergeCell ref="E187:F187"/>
    <mergeCell ref="G661:H661"/>
    <mergeCell ref="E659:F659"/>
    <mergeCell ref="E661:F661"/>
    <mergeCell ref="G319:H319"/>
    <mergeCell ref="E317:F317"/>
    <mergeCell ref="E318:F318"/>
    <mergeCell ref="E319:F319"/>
    <mergeCell ref="G645:H645"/>
    <mergeCell ref="G646:H646"/>
    <mergeCell ref="G648:H648"/>
    <mergeCell ref="G658:H658"/>
    <mergeCell ref="E645:F645"/>
    <mergeCell ref="E646:F646"/>
    <mergeCell ref="E648:F648"/>
    <mergeCell ref="E658:F658"/>
    <mergeCell ref="E660:F660"/>
    <mergeCell ref="G660:H660"/>
    <mergeCell ref="E647:F647"/>
    <mergeCell ref="I647:J647"/>
    <mergeCell ref="K647:L647"/>
    <mergeCell ref="G659:H659"/>
    <mergeCell ref="K673:L673"/>
    <mergeCell ref="I673:J673"/>
    <mergeCell ref="C671:D671"/>
    <mergeCell ref="C673:D673"/>
    <mergeCell ref="C672:D672"/>
    <mergeCell ref="E672:F672"/>
    <mergeCell ref="G672:H672"/>
    <mergeCell ref="I672:J672"/>
    <mergeCell ref="K672:L672"/>
    <mergeCell ref="G671:H671"/>
    <mergeCell ref="G673:H673"/>
    <mergeCell ref="E671:F671"/>
    <mergeCell ref="E673:F673"/>
    <mergeCell ref="K670:L670"/>
    <mergeCell ref="G670:H670"/>
    <mergeCell ref="E670:F670"/>
    <mergeCell ref="I670:J670"/>
    <mergeCell ref="C660:D660"/>
    <mergeCell ref="I660:J660"/>
    <mergeCell ref="K660:L660"/>
    <mergeCell ref="C344:D344"/>
    <mergeCell ref="E344:F344"/>
    <mergeCell ref="G344:H344"/>
    <mergeCell ref="I344:J344"/>
    <mergeCell ref="K344:L344"/>
    <mergeCell ref="I671:J671"/>
    <mergeCell ref="K671:L671"/>
    <mergeCell ref="C342:D342"/>
    <mergeCell ref="E342:F342"/>
    <mergeCell ref="G342:H342"/>
    <mergeCell ref="I342:J342"/>
    <mergeCell ref="K342:L342"/>
    <mergeCell ref="C343:D343"/>
    <mergeCell ref="E343:F343"/>
    <mergeCell ref="G343:H343"/>
    <mergeCell ref="I343:J343"/>
    <mergeCell ref="K343:L343"/>
    <mergeCell ref="K659:L659"/>
    <mergeCell ref="I659:J659"/>
    <mergeCell ref="C659:D659"/>
    <mergeCell ref="C658:D658"/>
    <mergeCell ref="C661:D661"/>
    <mergeCell ref="I661:J661"/>
    <mergeCell ref="K661:L661"/>
  </mergeCells>
  <phoneticPr fontId="5" type="noConversion"/>
  <pageMargins left="0.7" right="0.7" top="0.75" bottom="0.75" header="0.3" footer="0.3"/>
  <pageSetup paperSize="9" orientation="portrait" r:id="rId1"/>
  <ignoredErrors>
    <ignoredError sqref="E271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5BD8-1239-4000-B31E-2499E4089065}">
  <sheetPr codeName="Feuil5">
    <tabColor theme="9" tint="0.39997558519241921"/>
  </sheetPr>
  <dimension ref="A1:Z272"/>
  <sheetViews>
    <sheetView topLeftCell="A197" zoomScale="70" zoomScaleNormal="70" workbookViewId="0">
      <selection activeCell="B213" sqref="B213"/>
    </sheetView>
  </sheetViews>
  <sheetFormatPr defaultColWidth="11.7109375" defaultRowHeight="15" customHeight="1" x14ac:dyDescent="0.25"/>
  <cols>
    <col min="1" max="1" width="15.7109375" style="25" customWidth="1"/>
    <col min="2" max="2" width="55.7109375" style="25" customWidth="1"/>
    <col min="3" max="16384" width="11.7109375" style="25"/>
  </cols>
  <sheetData>
    <row r="1" spans="1:1" ht="40.15" customHeight="1" x14ac:dyDescent="0.25">
      <c r="A1" s="97" t="s">
        <v>618</v>
      </c>
    </row>
    <row r="4" spans="1:1" ht="15" customHeight="1" x14ac:dyDescent="0.25">
      <c r="A4" s="479" t="s">
        <v>619</v>
      </c>
    </row>
    <row r="18" spans="1:26" ht="30" customHeight="1" x14ac:dyDescent="0.25">
      <c r="A18" s="28" t="s">
        <v>3170</v>
      </c>
      <c r="B18" s="66" t="s">
        <v>620</v>
      </c>
      <c r="C18" s="67" cm="1">
        <f t="array" ref="C18">Exercice[Exercice N-4]</f>
        <v>2019</v>
      </c>
      <c r="D18" s="67" cm="1">
        <f t="array" ref="D18">Exercice[Exercice N-3]</f>
        <v>2020</v>
      </c>
      <c r="E18" s="67" cm="1">
        <f t="array" ref="E18">Exercice[Exercice N-2]</f>
        <v>2021</v>
      </c>
      <c r="F18" s="67" cm="1">
        <f t="array" ref="F18">Exercice[Exercice N-1]</f>
        <v>2022</v>
      </c>
      <c r="G18" s="67" cm="1">
        <f t="array" ref="G18">Exercice[Exercice N]</f>
        <v>2023</v>
      </c>
      <c r="H18" s="76" t="s">
        <v>273</v>
      </c>
    </row>
    <row r="19" spans="1:26" ht="15" customHeight="1" x14ac:dyDescent="0.25">
      <c r="A19" s="47" t="s">
        <v>3173</v>
      </c>
      <c r="B19" s="606" t="s">
        <v>621</v>
      </c>
      <c r="C19" s="723" cm="1">
        <f t="array" ref="C19">SUMPRODUCT((inc_02_crac[[Client]:[Client]]=syndicat_etude)*(inc_02_crac[[Annee]:[Annee]]=C$18)*VALUE(inc_02_crac[[tcc_total]:[tcc_total]]))</f>
        <v>0</v>
      </c>
      <c r="D19" s="723" cm="1">
        <f t="array" ref="D19">SUMPRODUCT((inc_02_crac[[Client]:[Client]]=syndicat_etude)*(inc_02_crac[[Annee]:[Annee]]=D$18)*VALUE(inc_02_crac[[tcc_total]:[tcc_total]]))</f>
        <v>49.7</v>
      </c>
      <c r="E19" s="723" cm="1">
        <f t="array" ref="E19">SUMPRODUCT((inc_02_crac[[Client]:[Client]]=syndicat_etude)*(inc_02_crac[[Annee]:[Annee]]=E$18)*VALUE(inc_02_crac[[tcc_total]:[tcc_total]]))</f>
        <v>40.6</v>
      </c>
      <c r="F19" s="723" cm="1">
        <f t="array" ref="F19">SUMPRODUCT((inc_02_crac[[Client]:[Client]]=syndicat_etude)*(inc_02_crac[[Annee]:[Annee]]=F$18)*VALUE(inc_02_crac[[tcc_total]:[tcc_total]]))</f>
        <v>71.400000000000006</v>
      </c>
      <c r="G19" s="723" cm="1">
        <f t="array" ref="G19">SUMPRODUCT((inc_02_crac[[Client]:[Client]]=syndicat_etude)*(inc_02_crac[[Annee]:[Annee]]=G$18)*VALUE(inc_02_crac[[tcc_total]:[tcc_total]]))</f>
        <v>0</v>
      </c>
      <c r="H19" s="607">
        <f>IFERROR(G19/F19-1,"")</f>
        <v>-1</v>
      </c>
      <c r="I19" s="65" t="s">
        <v>622</v>
      </c>
    </row>
    <row r="20" spans="1:26" ht="15" customHeight="1" x14ac:dyDescent="0.25">
      <c r="A20" s="47"/>
      <c r="B20" s="610" t="s">
        <v>623</v>
      </c>
      <c r="C20" s="724" cm="1">
        <f t="array" ref="C20">SUMPRODUCT((inc_02_crac[[Client]:[Client]]=syndicat_etude)*(inc_02_crac[[Annee]:[Annee]]=C$18)*VALUE(inc_02_crac[[hix_total]:[hix_total]]))</f>
        <v>0</v>
      </c>
      <c r="D20" s="724" cm="1">
        <f t="array" ref="D20">SUMPRODUCT((inc_02_crac[[Client]:[Client]]=syndicat_etude)*(inc_02_crac[[Annee]:[Annee]]=D$18)*VALUE(inc_02_crac[[hix_total]:[hix_total]]))</f>
        <v>49.1</v>
      </c>
      <c r="E20" s="724" cm="1">
        <f t="array" ref="E20">SUMPRODUCT((inc_02_crac[[Client]:[Client]]=syndicat_etude)*(inc_02_crac[[Annee]:[Annee]]=E$18)*VALUE(inc_02_crac[[hix_total]:[hix_total]]))</f>
        <v>37.700000000000003</v>
      </c>
      <c r="F20" s="724" cm="1">
        <f t="array" ref="F20">SUMPRODUCT((inc_02_crac[[Client]:[Client]]=syndicat_etude)*(inc_02_crac[[Annee]:[Annee]]=F$18)*VALUE(inc_02_crac[[hix_total]:[hix_total]]))</f>
        <v>70.900000000000006</v>
      </c>
      <c r="G20" s="724" cm="1">
        <f t="array" ref="G20">SUMPRODUCT((inc_02_crac[[Client]:[Client]]=syndicat_etude)*(inc_02_crac[[Annee]:[Annee]]=G$18)*VALUE(inc_02_crac[[hix_total]:[hix_total]]))</f>
        <v>0</v>
      </c>
      <c r="H20" s="611">
        <f t="shared" ref="H20:H28" si="0">IFERROR(G20/F20-1,"")</f>
        <v>-1</v>
      </c>
      <c r="I20" s="65" t="s">
        <v>622</v>
      </c>
    </row>
    <row r="21" spans="1:26" ht="15" customHeight="1" x14ac:dyDescent="0.25">
      <c r="A21" s="47"/>
      <c r="B21" s="605" t="s">
        <v>624</v>
      </c>
      <c r="C21" s="725" cm="1">
        <f t="array" ref="C21">SUMPRODUCT((inc_02_crac[[Client]:[Client]]=syndicat_etude)*(inc_02_crac[[Annee]:[Annee]]=C$18)*VALUE(inc_02_crac[[origine_rte]:[origine_rte]]))</f>
        <v>0</v>
      </c>
      <c r="D21" s="725" cm="1">
        <f t="array" ref="D21">SUMPRODUCT((inc_02_crac[[Client]:[Client]]=syndicat_etude)*(inc_02_crac[[Annee]:[Annee]]=D$18)*VALUE(inc_02_crac[[origine_rte]:[origine_rte]]))</f>
        <v>0</v>
      </c>
      <c r="E21" s="725" cm="1">
        <f t="array" ref="E21">SUMPRODUCT((inc_02_crac[[Client]:[Client]]=syndicat_etude)*(inc_02_crac[[Annee]:[Annee]]=E$18)*VALUE(inc_02_crac[[origine_rte]:[origine_rte]]))</f>
        <v>0</v>
      </c>
      <c r="F21" s="725" cm="1">
        <f t="array" ref="F21">SUMPRODUCT((inc_02_crac[[Client]:[Client]]=syndicat_etude)*(inc_02_crac[[Annee]:[Annee]]=F$18)*VALUE(inc_02_crac[[origine_rte]:[origine_rte]]))</f>
        <v>33.6</v>
      </c>
      <c r="G21" s="725" cm="1">
        <f t="array" ref="G21">SUMPRODUCT((inc_02_crac[[Client]:[Client]]=syndicat_etude)*(inc_02_crac[[Annee]:[Annee]]=G$18)*VALUE(inc_02_crac[[origine_rte]:[origine_rte]]))</f>
        <v>0</v>
      </c>
      <c r="H21" s="186">
        <f t="shared" si="0"/>
        <v>-1</v>
      </c>
      <c r="I21" s="65" t="s">
        <v>622</v>
      </c>
    </row>
    <row r="22" spans="1:26" ht="15" customHeight="1" x14ac:dyDescent="0.25">
      <c r="A22" s="47"/>
      <c r="B22" s="605" t="s">
        <v>625</v>
      </c>
      <c r="C22" s="725" cm="1">
        <f t="array" ref="C22">SUMPRODUCT((inc_02_crac[[Client]:[Client]]=syndicat_etude)*(inc_02_crac[[Annee]:[Annee]]=C$18)*VALUE(inc_02_crac[[incident_distribution_publique]:[incident_distribution_publique]]))</f>
        <v>0</v>
      </c>
      <c r="D22" s="725" cm="1">
        <f t="array" ref="D22">SUMPRODUCT((inc_02_crac[[Client]:[Client]]=syndicat_etude)*(inc_02_crac[[Annee]:[Annee]]=D$18)*VALUE(inc_02_crac[[incident_distribution_publique]:[incident_distribution_publique]]))</f>
        <v>37.5</v>
      </c>
      <c r="E22" s="725" cm="1">
        <f t="array" ref="E22">SUMPRODUCT((inc_02_crac[[Client]:[Client]]=syndicat_etude)*(inc_02_crac[[Annee]:[Annee]]=E$18)*VALUE(inc_02_crac[[incident_distribution_publique]:[incident_distribution_publique]]))</f>
        <v>24.5</v>
      </c>
      <c r="F22" s="725" cm="1">
        <f t="array" ref="F22">SUMPRODUCT((inc_02_crac[[Client]:[Client]]=syndicat_etude)*(inc_02_crac[[Annee]:[Annee]]=F$18)*VALUE(inc_02_crac[[incident_distribution_publique]:[incident_distribution_publique]]))</f>
        <v>23.6</v>
      </c>
      <c r="G22" s="725" cm="1">
        <f t="array" ref="G22">SUMPRODUCT((inc_02_crac[[Client]:[Client]]=syndicat_etude)*(inc_02_crac[[Annee]:[Annee]]=G$18)*VALUE(inc_02_crac[[incident_distribution_publique]:[incident_distribution_publique]]))</f>
        <v>0</v>
      </c>
      <c r="H22" s="186">
        <f t="shared" si="0"/>
        <v>-1</v>
      </c>
      <c r="I22" s="65" t="s">
        <v>622</v>
      </c>
    </row>
    <row r="23" spans="1:26" ht="15" customHeight="1" x14ac:dyDescent="0.25">
      <c r="A23" s="47"/>
      <c r="B23" s="608" t="s">
        <v>626</v>
      </c>
      <c r="C23" s="726" cm="1">
        <f t="array" ref="C23">SUMPRODUCT((inc_02_crac[[Client]:[Client]]=syndicat_etude)*(inc_02_crac[[Annee]:[Annee]]=C$18)*VALUE(inc_02_crac[[incident_poste_source]:[incident_poste_source]]))</f>
        <v>0</v>
      </c>
      <c r="D23" s="726" cm="1">
        <f t="array" ref="D23">SUMPRODUCT((inc_02_crac[[Client]:[Client]]=syndicat_etude)*(inc_02_crac[[Annee]:[Annee]]=D$18)*VALUE(inc_02_crac[[incident_poste_source]:[incident_poste_source]]))</f>
        <v>0</v>
      </c>
      <c r="E23" s="726" cm="1">
        <f t="array" ref="E23">SUMPRODUCT((inc_02_crac[[Client]:[Client]]=syndicat_etude)*(inc_02_crac[[Annee]:[Annee]]=E$18)*VALUE(inc_02_crac[[incident_poste_source]:[incident_poste_source]]))</f>
        <v>0.7</v>
      </c>
      <c r="F23" s="726" cm="1">
        <f t="array" ref="F23">SUMPRODUCT((inc_02_crac[[Client]:[Client]]=syndicat_etude)*(inc_02_crac[[Annee]:[Annee]]=F$18)*VALUE(inc_02_crac[[incident_poste_source]:[incident_poste_source]]))</f>
        <v>0.2</v>
      </c>
      <c r="G23" s="726" cm="1">
        <f t="array" ref="G23">SUMPRODUCT((inc_02_crac[[Client]:[Client]]=syndicat_etude)*(inc_02_crac[[Annee]:[Annee]]=G$18)*VALUE(inc_02_crac[[incident_poste_source]:[incident_poste_source]]))</f>
        <v>0</v>
      </c>
      <c r="H23" s="187">
        <f t="shared" si="0"/>
        <v>-1</v>
      </c>
      <c r="I23" s="65" t="s">
        <v>622</v>
      </c>
    </row>
    <row r="24" spans="1:26" ht="15" customHeight="1" x14ac:dyDescent="0.25">
      <c r="A24" s="47"/>
      <c r="B24" s="608" t="s">
        <v>627</v>
      </c>
      <c r="C24" s="726" cm="1">
        <f t="array" ref="C24">SUMPRODUCT((inc_02_crac[[Client]:[Client]]=syndicat_etude)*(inc_02_crac[[Annee]:[Annee]]=C$18)*VALUE(inc_02_crac[[incident_reseau_hta]:[incident_reseau_hta]]))</f>
        <v>0</v>
      </c>
      <c r="D24" s="726" cm="1">
        <f t="array" ref="D24">SUMPRODUCT((inc_02_crac[[Client]:[Client]]=syndicat_etude)*(inc_02_crac[[Annee]:[Annee]]=D$18)*VALUE(inc_02_crac[[incident_reseau_hta]:[incident_reseau_hta]]))</f>
        <v>31.7</v>
      </c>
      <c r="E24" s="726" cm="1">
        <f t="array" ref="E24">SUMPRODUCT((inc_02_crac[[Client]:[Client]]=syndicat_etude)*(inc_02_crac[[Annee]:[Annee]]=E$18)*VALUE(inc_02_crac[[incident_reseau_hta]:[incident_reseau_hta]]))</f>
        <v>16.3</v>
      </c>
      <c r="F24" s="726" cm="1">
        <f t="array" ref="F24">SUMPRODUCT((inc_02_crac[[Client]:[Client]]=syndicat_etude)*(inc_02_crac[[Annee]:[Annee]]=F$18)*VALUE(inc_02_crac[[incident_reseau_hta]:[incident_reseau_hta]]))</f>
        <v>17.7</v>
      </c>
      <c r="G24" s="726" cm="1">
        <f t="array" ref="G24">SUMPRODUCT((inc_02_crac[[Client]:[Client]]=syndicat_etude)*(inc_02_crac[[Annee]:[Annee]]=G$18)*VALUE(inc_02_crac[[incident_reseau_hta]:[incident_reseau_hta]]))</f>
        <v>0</v>
      </c>
      <c r="H24" s="187">
        <f t="shared" si="0"/>
        <v>-1</v>
      </c>
      <c r="I24" s="65" t="s">
        <v>622</v>
      </c>
    </row>
    <row r="25" spans="1:26" ht="15" customHeight="1" x14ac:dyDescent="0.25">
      <c r="A25" s="47"/>
      <c r="B25" s="608" t="s">
        <v>628</v>
      </c>
      <c r="C25" s="726" cm="1">
        <f t="array" ref="C25">SUMPRODUCT((inc_02_crac[[Client]:[Client]]=syndicat_etude)*(inc_02_crac[[Annee]:[Annee]]=C$18)*VALUE(inc_02_crac[[incident_reseau_bt]:[incident_reseau_bt]]))</f>
        <v>0</v>
      </c>
      <c r="D25" s="726" cm="1">
        <f t="array" ref="D25">SUMPRODUCT((inc_02_crac[[Client]:[Client]]=syndicat_etude)*(inc_02_crac[[Annee]:[Annee]]=D$18)*VALUE(inc_02_crac[[incident_reseau_bt]:[incident_reseau_bt]]))</f>
        <v>5.7</v>
      </c>
      <c r="E25" s="726" cm="1">
        <f t="array" ref="E25">SUMPRODUCT((inc_02_crac[[Client]:[Client]]=syndicat_etude)*(inc_02_crac[[Annee]:[Annee]]=E$18)*VALUE(inc_02_crac[[incident_reseau_bt]:[incident_reseau_bt]]))</f>
        <v>7.5</v>
      </c>
      <c r="F25" s="726" cm="1">
        <f t="array" ref="F25">SUMPRODUCT((inc_02_crac[[Client]:[Client]]=syndicat_etude)*(inc_02_crac[[Annee]:[Annee]]=F$18)*VALUE(inc_02_crac[[incident_reseau_bt]:[incident_reseau_bt]]))</f>
        <v>5.7</v>
      </c>
      <c r="G25" s="726" cm="1">
        <f t="array" ref="G25">SUMPRODUCT((inc_02_crac[[Client]:[Client]]=syndicat_etude)*(inc_02_crac[[Annee]:[Annee]]=G$18)*VALUE(inc_02_crac[[incident_reseau_bt]:[incident_reseau_bt]]))</f>
        <v>0</v>
      </c>
      <c r="H25" s="187">
        <f t="shared" si="0"/>
        <v>-1</v>
      </c>
      <c r="I25" s="65" t="s">
        <v>622</v>
      </c>
    </row>
    <row r="26" spans="1:26" ht="15" customHeight="1" x14ac:dyDescent="0.25">
      <c r="A26" s="47"/>
      <c r="B26" s="605" t="s">
        <v>629</v>
      </c>
      <c r="C26" s="725" cm="1">
        <f t="array" ref="C26">SUMPRODUCT((inc_02_crac[[Client]:[Client]]=syndicat_etude)*(inc_02_crac[[Annee]:[Annee]]=C$18)*VALUE(inc_02_crac[[travaux_distribution_publique]:[travaux_distribution_publique]]))</f>
        <v>0</v>
      </c>
      <c r="D26" s="725" cm="1">
        <f t="array" ref="D26">SUMPRODUCT((inc_02_crac[[Client]:[Client]]=syndicat_etude)*(inc_02_crac[[Annee]:[Annee]]=D$18)*VALUE(inc_02_crac[[travaux_distribution_publique]:[travaux_distribution_publique]]))</f>
        <v>11.6</v>
      </c>
      <c r="E26" s="725" cm="1">
        <f t="array" ref="E26">SUMPRODUCT((inc_02_crac[[Client]:[Client]]=syndicat_etude)*(inc_02_crac[[Annee]:[Annee]]=E$18)*VALUE(inc_02_crac[[travaux_distribution_publique]:[travaux_distribution_publique]]))</f>
        <v>13.2</v>
      </c>
      <c r="F26" s="725" cm="1">
        <f t="array" ref="F26">SUMPRODUCT((inc_02_crac[[Client]:[Client]]=syndicat_etude)*(inc_02_crac[[Annee]:[Annee]]=F$18)*VALUE(inc_02_crac[[travaux_distribution_publique]:[travaux_distribution_publique]]))</f>
        <v>13.7</v>
      </c>
      <c r="G26" s="725" cm="1">
        <f t="array" ref="G26">SUMPRODUCT((inc_02_crac[[Client]:[Client]]=syndicat_etude)*(inc_02_crac[[Annee]:[Annee]]=G$18)*VALUE(inc_02_crac[[travaux_distribution_publique]:[travaux_distribution_publique]]))</f>
        <v>0</v>
      </c>
      <c r="H26" s="186">
        <f t="shared" si="0"/>
        <v>-1</v>
      </c>
      <c r="I26" s="65" t="s">
        <v>622</v>
      </c>
    </row>
    <row r="27" spans="1:26" ht="15" customHeight="1" x14ac:dyDescent="0.25">
      <c r="A27" s="47"/>
      <c r="B27" s="608" t="s">
        <v>630</v>
      </c>
      <c r="C27" s="726" cm="1">
        <f t="array" ref="C27">SUMPRODUCT((inc_02_crac[[Client]:[Client]]=syndicat_etude)*(inc_02_crac[[Annee]:[Annee]]=C$18)*VALUE(inc_02_crac[[travaux_reseau_hta]:[travaux_reseau_hta]]))</f>
        <v>0</v>
      </c>
      <c r="D27" s="726" cm="1">
        <f t="array" ref="D27">SUMPRODUCT((inc_02_crac[[Client]:[Client]]=syndicat_etude)*(inc_02_crac[[Annee]:[Annee]]=D$18)*VALUE(inc_02_crac[[travaux_reseau_hta]:[travaux_reseau_hta]]))</f>
        <v>7.9</v>
      </c>
      <c r="E27" s="726" cm="1">
        <f t="array" ref="E27">SUMPRODUCT((inc_02_crac[[Client]:[Client]]=syndicat_etude)*(inc_02_crac[[Annee]:[Annee]]=E$18)*VALUE(inc_02_crac[[travaux_reseau_hta]:[travaux_reseau_hta]]))</f>
        <v>8.8000000000000007</v>
      </c>
      <c r="F27" s="726" cm="1">
        <f t="array" ref="F27">SUMPRODUCT((inc_02_crac[[Client]:[Client]]=syndicat_etude)*(inc_02_crac[[Annee]:[Annee]]=F$18)*VALUE(inc_02_crac[[travaux_reseau_hta]:[travaux_reseau_hta]]))</f>
        <v>7.9</v>
      </c>
      <c r="G27" s="726" cm="1">
        <f t="array" ref="G27">SUMPRODUCT((inc_02_crac[[Client]:[Client]]=syndicat_etude)*(inc_02_crac[[Annee]:[Annee]]=G$18)*VALUE(inc_02_crac[[travaux_reseau_hta]:[travaux_reseau_hta]]))</f>
        <v>0</v>
      </c>
      <c r="H27" s="187">
        <f t="shared" si="0"/>
        <v>-1</v>
      </c>
      <c r="I27" s="65" t="s">
        <v>622</v>
      </c>
    </row>
    <row r="28" spans="1:26" ht="15" customHeight="1" x14ac:dyDescent="0.25">
      <c r="A28" s="47"/>
      <c r="B28" s="609" t="s">
        <v>631</v>
      </c>
      <c r="C28" s="727" cm="1">
        <f t="array" ref="C28">SUMPRODUCT((inc_02_crac[[Client]:[Client]]=syndicat_etude)*(inc_02_crac[[Annee]:[Annee]]=C$18)*VALUE(inc_02_crac[[travaux_reseau_bt]:[travaux_reseau_bt]]))</f>
        <v>0</v>
      </c>
      <c r="D28" s="727" cm="1">
        <f t="array" ref="D28">SUMPRODUCT((inc_02_crac[[Client]:[Client]]=syndicat_etude)*(inc_02_crac[[Annee]:[Annee]]=D$18)*VALUE(inc_02_crac[[travaux_reseau_bt]:[travaux_reseau_bt]]))</f>
        <v>3.8</v>
      </c>
      <c r="E28" s="727" cm="1">
        <f t="array" ref="E28">SUMPRODUCT((inc_02_crac[[Client]:[Client]]=syndicat_etude)*(inc_02_crac[[Annee]:[Annee]]=E$18)*VALUE(inc_02_crac[[travaux_reseau_bt]:[travaux_reseau_bt]]))</f>
        <v>4.4000000000000004</v>
      </c>
      <c r="F28" s="727" cm="1">
        <f t="array" ref="F28">SUMPRODUCT((inc_02_crac[[Client]:[Client]]=syndicat_etude)*(inc_02_crac[[Annee]:[Annee]]=F$18)*VALUE(inc_02_crac[[travaux_reseau_bt]:[travaux_reseau_bt]]))</f>
        <v>5.7</v>
      </c>
      <c r="G28" s="727" cm="1">
        <f t="array" ref="G28">SUMPRODUCT((inc_02_crac[[Client]:[Client]]=syndicat_etude)*(inc_02_crac[[Annee]:[Annee]]=G$18)*VALUE(inc_02_crac[[travaux_reseau_bt]:[travaux_reseau_bt]]))</f>
        <v>0</v>
      </c>
      <c r="H28" s="188">
        <f t="shared" si="0"/>
        <v>-1</v>
      </c>
      <c r="I28" s="65" t="s">
        <v>622</v>
      </c>
    </row>
    <row r="29" spans="1:26" ht="15" customHeight="1" x14ac:dyDescent="0.25">
      <c r="A29" s="47"/>
      <c r="B29" s="612" t="s">
        <v>632</v>
      </c>
      <c r="C29" s="616">
        <f>IFERROR(C$19-C$20,"-")</f>
        <v>0</v>
      </c>
      <c r="D29" s="616">
        <f>IFERROR(D$19-D$20,"-")</f>
        <v>0.60000000000000142</v>
      </c>
      <c r="E29" s="616">
        <f>IFERROR(E$19-E$20,"-")</f>
        <v>2.8999999999999986</v>
      </c>
      <c r="F29" s="616">
        <f>IFERROR(F$19-F$20,"-")</f>
        <v>0.5</v>
      </c>
      <c r="G29" s="616">
        <f>IFERROR(G$19-G$20,"-")</f>
        <v>0</v>
      </c>
      <c r="H29" s="613">
        <f>IFERROR(G29/F29-1,"")</f>
        <v>-1</v>
      </c>
      <c r="I29" s="65" t="s">
        <v>622</v>
      </c>
    </row>
    <row r="31" spans="1:26" ht="30" customHeight="1" x14ac:dyDescent="0.25">
      <c r="A31" s="547" t="s">
        <v>633</v>
      </c>
      <c r="B31" s="66" t="s">
        <v>634</v>
      </c>
      <c r="C31" s="67" cm="1">
        <f t="array" ref="C31">Exercice[Exercice N-4]</f>
        <v>2019</v>
      </c>
      <c r="D31" s="67" cm="1">
        <f t="array" ref="D31">Exercice[Exercice N-3]</f>
        <v>2020</v>
      </c>
      <c r="E31" s="67" cm="1">
        <f t="array" ref="E31">Exercice[Exercice N-2]</f>
        <v>2021</v>
      </c>
      <c r="F31" s="67" cm="1">
        <f t="array" ref="F31">Exercice[Exercice N-1]</f>
        <v>2022</v>
      </c>
      <c r="G31" s="67" cm="1">
        <f t="array" ref="G31">Exercice[Exercice N]</f>
        <v>2023</v>
      </c>
      <c r="H31" s="76" t="s">
        <v>273</v>
      </c>
      <c r="U31" s="232"/>
      <c r="V31" s="232"/>
      <c r="W31" s="232"/>
      <c r="X31" s="232"/>
      <c r="Y31" s="232"/>
      <c r="Z31" s="232"/>
    </row>
    <row r="32" spans="1:26" ht="15" customHeight="1" x14ac:dyDescent="0.25">
      <c r="B32" s="606" t="s">
        <v>621</v>
      </c>
      <c r="C32" s="614" cm="1">
        <f t="array" ref="C32">SUMPRODUCT((inc_02_tcc[[client]:[client]]=syndicat_etude)*(inc_02_tcc[[annee]:[annee]]=C$31)*(inc_02_tcc[critb_tcc]))</f>
        <v>37.700000000000003</v>
      </c>
      <c r="D32" s="614" cm="1">
        <f t="array" ref="D32">SUMPRODUCT((inc_02_tcc[[client]:[client]]=syndicat_etude)*(inc_02_tcc[[annee]:[annee]]=D$31)*(inc_02_tcc[critb_tcc]))</f>
        <v>49.64</v>
      </c>
      <c r="E32" s="614" cm="1">
        <f t="array" ref="E32">SUMPRODUCT((inc_02_tcc[[client]:[client]]=syndicat_etude)*(inc_02_tcc[[annee]:[annee]]=E$31)*(inc_02_tcc[critb_tcc]))</f>
        <v>39.85</v>
      </c>
      <c r="F32" s="614" cm="1">
        <f t="array" ref="F32">SUMPRODUCT((inc_02_tcc[[client]:[client]]=syndicat_etude)*(inc_02_tcc[[annee]:[annee]]=F$31)*(inc_02_tcc[critb_tcc]))</f>
        <v>71.430000000000007</v>
      </c>
      <c r="G32" s="614" cm="1">
        <f t="array" ref="G32">SUMPRODUCT((inc_02_tcc[[client]:[client]]=syndicat_etude)*(inc_02_tcc[[annee]:[annee]]=G$31)*(inc_02_tcc[critb_tcc]))</f>
        <v>52.8</v>
      </c>
      <c r="H32" s="607">
        <f>IFERROR(G32/F32-1,"")</f>
        <v>-0.26081478370432598</v>
      </c>
    </row>
    <row r="33" spans="1:8" ht="15" customHeight="1" x14ac:dyDescent="0.25">
      <c r="B33" s="610" t="s">
        <v>623</v>
      </c>
      <c r="C33" s="615" cm="1">
        <f t="array" ref="C33">SUMPRODUCT((inc_02_hix[[client]:[client]]=syndicat_etude)*(inc_02_hix[[annee]:[annee]]=C$31)*(inc_02_hix[critb_hix]))</f>
        <v>36.659999999999997</v>
      </c>
      <c r="D33" s="615" cm="1">
        <f t="array" ref="D33">SUMPRODUCT((inc_02_hix[[client]:[client]]=syndicat_etude)*(inc_02_hix[[annee]:[annee]]=D$31)*(inc_02_hix[critb_hix]))</f>
        <v>49.08</v>
      </c>
      <c r="E33" s="615" cm="1">
        <f t="array" ref="E33">SUMPRODUCT((inc_02_hix[[client]:[client]]=syndicat_etude)*(inc_02_hix[[annee]:[annee]]=E$31)*(inc_02_hix[critb_hix]))</f>
        <v>36.97</v>
      </c>
      <c r="F33" s="615" cm="1">
        <f t="array" ref="F33">SUMPRODUCT((inc_02_hix[[client]:[client]]=syndicat_etude)*(inc_02_hix[[annee]:[annee]]=F$31)*(inc_02_hix[critb_hix]))</f>
        <v>70.88</v>
      </c>
      <c r="G33" s="615" cm="1">
        <f t="array" ref="G33">SUMPRODUCT((inc_02_hix[[client]:[client]]=syndicat_etude)*(inc_02_hix[[annee]:[annee]]=G$31)*(inc_02_hix[critb_hix]))</f>
        <v>52.13</v>
      </c>
      <c r="H33" s="611">
        <f t="shared" ref="H33:H41" si="1">IFERROR(G33/F33-1,"")</f>
        <v>-0.26453160270880349</v>
      </c>
    </row>
    <row r="34" spans="1:8" ht="15" customHeight="1" x14ac:dyDescent="0.25">
      <c r="B34" s="605" t="s">
        <v>624</v>
      </c>
      <c r="C34" s="183" cm="1">
        <f t="array" ref="C34">SUMPRODUCT((inc_02_hix[[client]:[client]]=syndicat_etude)*(inc_02_hix[[annee]:[annee]]=C$31)*(inc_02_hix[critb_rte]))</f>
        <v>0</v>
      </c>
      <c r="D34" s="183" cm="1">
        <f t="array" ref="D34">SUMPRODUCT((inc_02_hix[[client]:[client]]=syndicat_etude)*(inc_02_hix[[annee]:[annee]]=D$31)*(inc_02_hix[critb_rte]))</f>
        <v>0</v>
      </c>
      <c r="E34" s="183" cm="1">
        <f t="array" ref="E34">SUMPRODUCT((inc_02_hix[[client]:[client]]=syndicat_etude)*(inc_02_hix[[annee]:[annee]]=E$31)*(inc_02_hix[critb_rte]))</f>
        <v>0</v>
      </c>
      <c r="F34" s="183" cm="1">
        <f t="array" ref="F34">SUMPRODUCT((inc_02_hix[[client]:[client]]=syndicat_etude)*(inc_02_hix[[annee]:[annee]]=F$31)*(inc_02_hix[critb_rte]))</f>
        <v>33.590000000000003</v>
      </c>
      <c r="G34" s="183" cm="1">
        <f t="array" ref="G34">SUMPRODUCT((inc_02_hix[[client]:[client]]=syndicat_etude)*(inc_02_hix[[annee]:[annee]]=G$31)*(inc_02_hix[critb_rte]))</f>
        <v>0.06</v>
      </c>
      <c r="H34" s="186">
        <f t="shared" si="1"/>
        <v>-0.99821375409348023</v>
      </c>
    </row>
    <row r="35" spans="1:8" ht="15" customHeight="1" x14ac:dyDescent="0.25">
      <c r="B35" s="605" t="s">
        <v>625</v>
      </c>
      <c r="C35" s="183" cm="1">
        <f t="array" ref="C35">SUMPRODUCT((inc_02_hix[[client]:[client]]=syndicat_etude)*(inc_02_hix[[annee]:[annee]]=C$31)*(inc_02_hix[critb_reseau_distrib_publique_incident]))</f>
        <v>24.67</v>
      </c>
      <c r="D35" s="183" cm="1">
        <f t="array" ref="D35">SUMPRODUCT((inc_02_hix[[client]:[client]]=syndicat_etude)*(inc_02_hix[[annee]:[annee]]=D$31)*(inc_02_hix[critb_reseau_distrib_publique_incident]))</f>
        <v>37.44</v>
      </c>
      <c r="E35" s="183" cm="1">
        <f t="array" ref="E35">SUMPRODUCT((inc_02_hix[[client]:[client]]=syndicat_etude)*(inc_02_hix[[annee]:[annee]]=E$31)*(inc_02_hix[critb_reseau_distrib_publique_incident]))</f>
        <v>23.79</v>
      </c>
      <c r="F35" s="183" cm="1">
        <f t="array" ref="F35">SUMPRODUCT((inc_02_hix[[client]:[client]]=syndicat_etude)*(inc_02_hix[[annee]:[annee]]=F$31)*(inc_02_hix[critb_reseau_distrib_publique_incident]))</f>
        <v>23.62</v>
      </c>
      <c r="G35" s="183" cm="1">
        <f t="array" ref="G35">SUMPRODUCT((inc_02_hix[[client]:[client]]=syndicat_etude)*(inc_02_hix[[annee]:[annee]]=G$31)*(inc_02_hix[critb_reseau_distrib_publique_incident]))</f>
        <v>31.53</v>
      </c>
      <c r="H35" s="186">
        <f t="shared" si="1"/>
        <v>0.3348856900931414</v>
      </c>
    </row>
    <row r="36" spans="1:8" ht="15" customHeight="1" x14ac:dyDescent="0.25">
      <c r="B36" s="608" t="s">
        <v>626</v>
      </c>
      <c r="C36" s="5" cm="1">
        <f t="array" ref="C36">SUMPRODUCT((inc_02_hix[[client]:[client]]=syndicat_etude)*(inc_02_hix[[annee]:[annee]]=C$31)*(inc_02_hix[critb_ps_incident]))</f>
        <v>0</v>
      </c>
      <c r="D36" s="5" cm="1">
        <f t="array" ref="D36">SUMPRODUCT((inc_02_hix[[client]:[client]]=syndicat_etude)*(inc_02_hix[[annee]:[annee]]=D$31)*(inc_02_hix[critb_ps_incident]))</f>
        <v>0</v>
      </c>
      <c r="E36" s="5" cm="1">
        <f t="array" ref="E36">SUMPRODUCT((inc_02_hix[[client]:[client]]=syndicat_etude)*(inc_02_hix[[annee]:[annee]]=E$31)*(inc_02_hix[critb_ps_incident]))</f>
        <v>0</v>
      </c>
      <c r="F36" s="5" cm="1">
        <f t="array" ref="F36">SUMPRODUCT((inc_02_hix[[client]:[client]]=syndicat_etude)*(inc_02_hix[[annee]:[annee]]=F$31)*(inc_02_hix[critb_ps_incident]))</f>
        <v>0.24</v>
      </c>
      <c r="G36" s="5" cm="1">
        <f t="array" ref="G36">SUMPRODUCT((inc_02_hix[[client]:[client]]=syndicat_etude)*(inc_02_hix[[annee]:[annee]]=G$31)*(inc_02_hix[critb_ps_incident]))</f>
        <v>0.89</v>
      </c>
      <c r="H36" s="187">
        <f t="shared" si="1"/>
        <v>2.7083333333333335</v>
      </c>
    </row>
    <row r="37" spans="1:8" ht="15" customHeight="1" x14ac:dyDescent="0.25">
      <c r="B37" s="608" t="s">
        <v>627</v>
      </c>
      <c r="C37" s="5" cm="1">
        <f t="array" ref="C37">SUMPRODUCT((inc_02_hix[[client]:[client]]=syndicat_etude)*(inc_02_hix[[annee]:[annee]]=C$31)*(inc_02_hix[critb_hta_incident]))</f>
        <v>18.66</v>
      </c>
      <c r="D37" s="5" cm="1">
        <f t="array" ref="D37">SUMPRODUCT((inc_02_hix[[client]:[client]]=syndicat_etude)*(inc_02_hix[[annee]:[annee]]=D$31)*(inc_02_hix[critb_hta_incident]))</f>
        <v>31.7</v>
      </c>
      <c r="E37" s="5" cm="1">
        <f t="array" ref="E37">SUMPRODUCT((inc_02_hix[[client]:[client]]=syndicat_etude)*(inc_02_hix[[annee]:[annee]]=E$31)*(inc_02_hix[critb_hta_incident]))</f>
        <v>16.260000000000002</v>
      </c>
      <c r="F37" s="5" cm="1">
        <f t="array" ref="F37">SUMPRODUCT((inc_02_hix[[client]:[client]]=syndicat_etude)*(inc_02_hix[[annee]:[annee]]=F$31)*(inc_02_hix[critb_hta_incident]))</f>
        <v>17.68</v>
      </c>
      <c r="G37" s="5" cm="1">
        <f t="array" ref="G37">SUMPRODUCT((inc_02_hix[[client]:[client]]=syndicat_etude)*(inc_02_hix[[annee]:[annee]]=G$31)*(inc_02_hix[critb_hta_incident]))</f>
        <v>25.67</v>
      </c>
      <c r="H37" s="187">
        <f t="shared" si="1"/>
        <v>0.45192307692307709</v>
      </c>
    </row>
    <row r="38" spans="1:8" ht="15" customHeight="1" x14ac:dyDescent="0.25">
      <c r="B38" s="608" t="s">
        <v>628</v>
      </c>
      <c r="C38" s="5" cm="1">
        <f t="array" ref="C38">SUMPRODUCT((inc_02_hix[[client]:[client]]=syndicat_etude)*(inc_02_hix[[annee]:[annee]]=C$31)*(inc_02_hix[critb_bt_incident]))</f>
        <v>6.01</v>
      </c>
      <c r="D38" s="5" cm="1">
        <f t="array" ref="D38">SUMPRODUCT((inc_02_hix[[client]:[client]]=syndicat_etude)*(inc_02_hix[[annee]:[annee]]=D$31)*(inc_02_hix[critb_bt_incident]))</f>
        <v>5.74</v>
      </c>
      <c r="E38" s="5" cm="1">
        <f t="array" ref="E38">SUMPRODUCT((inc_02_hix[[client]:[client]]=syndicat_etude)*(inc_02_hix[[annee]:[annee]]=E$31)*(inc_02_hix[critb_bt_incident]))</f>
        <v>7.53</v>
      </c>
      <c r="F38" s="5" cm="1">
        <f t="array" ref="F38">SUMPRODUCT((inc_02_hix[[client]:[client]]=syndicat_etude)*(inc_02_hix[[annee]:[annee]]=F$31)*(inc_02_hix[critb_bt_incident]))</f>
        <v>5.7</v>
      </c>
      <c r="G38" s="5" cm="1">
        <f t="array" ref="G38">SUMPRODUCT((inc_02_hix[[client]:[client]]=syndicat_etude)*(inc_02_hix[[annee]:[annee]]=G$31)*(inc_02_hix[critb_bt_incident]))</f>
        <v>4.97</v>
      </c>
      <c r="H38" s="187">
        <f t="shared" si="1"/>
        <v>-0.12807017543859656</v>
      </c>
    </row>
    <row r="39" spans="1:8" ht="15" customHeight="1" x14ac:dyDescent="0.25">
      <c r="B39" s="605" t="s">
        <v>629</v>
      </c>
      <c r="C39" s="183" cm="1">
        <f t="array" ref="C39">SUMPRODUCT((inc_02_hix[[client]:[client]]=syndicat_etude)*(inc_02_hix[[annee]:[annee]]=C$31)*(inc_02_hix[critb_reseau_distrib_publique_travaux]))</f>
        <v>11.99</v>
      </c>
      <c r="D39" s="183" cm="1">
        <f t="array" ref="D39">SUMPRODUCT((inc_02_hix[[client]:[client]]=syndicat_etude)*(inc_02_hix[[annee]:[annee]]=D$31)*(inc_02_hix[critb_reseau_distrib_publique_travaux]))</f>
        <v>11.64</v>
      </c>
      <c r="E39" s="183" cm="1">
        <f t="array" ref="E39">SUMPRODUCT((inc_02_hix[[client]:[client]]=syndicat_etude)*(inc_02_hix[[annee]:[annee]]=E$31)*(inc_02_hix[critb_reseau_distrib_publique_travaux]))</f>
        <v>13.18</v>
      </c>
      <c r="F39" s="183" cm="1">
        <f t="array" ref="F39">SUMPRODUCT((inc_02_hix[[client]:[client]]=syndicat_etude)*(inc_02_hix[[annee]:[annee]]=F$31)*(inc_02_hix[critb_reseau_distrib_publique_travaux]))</f>
        <v>13.67</v>
      </c>
      <c r="G39" s="183" cm="1">
        <f t="array" ref="G39">SUMPRODUCT((inc_02_hix[[client]:[client]]=syndicat_etude)*(inc_02_hix[[annee]:[annee]]=G$31)*(inc_02_hix[critb_reseau_distrib_publique_travaux]))</f>
        <v>20.54</v>
      </c>
      <c r="H39" s="186">
        <f t="shared" si="1"/>
        <v>0.50256035113386965</v>
      </c>
    </row>
    <row r="40" spans="1:8" ht="15" customHeight="1" x14ac:dyDescent="0.25">
      <c r="B40" s="608" t="s">
        <v>630</v>
      </c>
      <c r="C40" s="5" cm="1">
        <f t="array" ref="C40">SUMPRODUCT((inc_02_hix[[client]:[client]]=syndicat_etude)*(inc_02_hix[[annee]:[annee]]=C$31)*(inc_02_hix[critb_hta_travaux]))</f>
        <v>6.98</v>
      </c>
      <c r="D40" s="5" cm="1">
        <f t="array" ref="D40">SUMPRODUCT((inc_02_hix[[client]:[client]]=syndicat_etude)*(inc_02_hix[[annee]:[annee]]=D$31)*(inc_02_hix[critb_hta_travaux]))</f>
        <v>7.86</v>
      </c>
      <c r="E40" s="5" cm="1">
        <f t="array" ref="E40">SUMPRODUCT((inc_02_hix[[client]:[client]]=syndicat_etude)*(inc_02_hix[[annee]:[annee]]=E$31)*(inc_02_hix[critb_hta_travaux]))</f>
        <v>8.8000000000000007</v>
      </c>
      <c r="F40" s="5" cm="1">
        <f t="array" ref="F40">SUMPRODUCT((inc_02_hix[[client]:[client]]=syndicat_etude)*(inc_02_hix[[annee]:[annee]]=F$31)*(inc_02_hix[critb_hta_travaux]))</f>
        <v>7.93</v>
      </c>
      <c r="G40" s="5" cm="1">
        <f t="array" ref="G40">SUMPRODUCT((inc_02_hix[[client]:[client]]=syndicat_etude)*(inc_02_hix[[annee]:[annee]]=G$31)*(inc_02_hix[critb_hta_travaux]))</f>
        <v>11.7</v>
      </c>
      <c r="H40" s="187">
        <f t="shared" si="1"/>
        <v>0.47540983606557363</v>
      </c>
    </row>
    <row r="41" spans="1:8" ht="15" customHeight="1" x14ac:dyDescent="0.25">
      <c r="B41" s="609" t="s">
        <v>631</v>
      </c>
      <c r="C41" s="90" cm="1">
        <f t="array" ref="C41">SUMPRODUCT((inc_02_hix[[client]:[client]]=syndicat_etude)*(inc_02_hix[[annee]:[annee]]=C$31)*(inc_02_hix[critb_bt_travaux]))</f>
        <v>5.01</v>
      </c>
      <c r="D41" s="90" cm="1">
        <f t="array" ref="D41">SUMPRODUCT((inc_02_hix[[client]:[client]]=syndicat_etude)*(inc_02_hix[[annee]:[annee]]=D$31)*(inc_02_hix[critb_bt_travaux]))</f>
        <v>3.78</v>
      </c>
      <c r="E41" s="90" cm="1">
        <f t="array" ref="E41">SUMPRODUCT((inc_02_hix[[client]:[client]]=syndicat_etude)*(inc_02_hix[[annee]:[annee]]=E$31)*(inc_02_hix[critb_bt_travaux]))</f>
        <v>4.38</v>
      </c>
      <c r="F41" s="90" cm="1">
        <f t="array" ref="F41">SUMPRODUCT((inc_02_hix[[client]:[client]]=syndicat_etude)*(inc_02_hix[[annee]:[annee]]=F$31)*(inc_02_hix[critb_bt_travaux]))</f>
        <v>5.74</v>
      </c>
      <c r="G41" s="90" cm="1">
        <f t="array" ref="G41">SUMPRODUCT((inc_02_hix[[client]:[client]]=syndicat_etude)*(inc_02_hix[[annee]:[annee]]=G$31)*(inc_02_hix[critb_bt_travaux]))</f>
        <v>8.84</v>
      </c>
      <c r="H41" s="188">
        <f t="shared" si="1"/>
        <v>0.54006968641114983</v>
      </c>
    </row>
    <row r="42" spans="1:8" ht="15" customHeight="1" x14ac:dyDescent="0.25">
      <c r="B42" s="612" t="s">
        <v>632</v>
      </c>
      <c r="C42" s="616">
        <f>IFERROR(C$19-C$20,"-")</f>
        <v>0</v>
      </c>
      <c r="D42" s="616">
        <f>IFERROR(D$19-D$20,"-")</f>
        <v>0.60000000000000142</v>
      </c>
      <c r="E42" s="616">
        <f>IFERROR(E$19-E$20,"-")</f>
        <v>2.8999999999999986</v>
      </c>
      <c r="F42" s="616">
        <f>IFERROR(F$19-F$20,"-")</f>
        <v>0.5</v>
      </c>
      <c r="G42" s="616">
        <f>IFERROR(G$19-G$20,"-")</f>
        <v>0</v>
      </c>
      <c r="H42" s="617">
        <f>IFERROR(G42/F42-1,"")</f>
        <v>-1</v>
      </c>
    </row>
    <row r="44" spans="1:8" ht="30" customHeight="1" x14ac:dyDescent="0.25">
      <c r="A44" s="479" t="s">
        <v>635</v>
      </c>
      <c r="B44" s="66" t="s">
        <v>636</v>
      </c>
      <c r="C44" s="67" cm="1">
        <f t="array" ref="C44">Exercice[Exercice N-4]</f>
        <v>2019</v>
      </c>
      <c r="D44" s="67" cm="1">
        <f t="array" ref="D44">Exercice[Exercice N-3]</f>
        <v>2020</v>
      </c>
      <c r="E44" s="67" cm="1">
        <f t="array" ref="E44">Exercice[Exercice N-2]</f>
        <v>2021</v>
      </c>
      <c r="F44" s="67" cm="1">
        <f t="array" ref="F44">Exercice[Exercice N-1]</f>
        <v>2022</v>
      </c>
      <c r="G44" s="67" cm="1">
        <f t="array" ref="G44">Exercice[Exercice N]</f>
        <v>2023</v>
      </c>
      <c r="H44" s="76" t="s">
        <v>273</v>
      </c>
    </row>
    <row r="45" spans="1:8" ht="15" customHeight="1" x14ac:dyDescent="0.25">
      <c r="B45" s="185" t="s">
        <v>637</v>
      </c>
      <c r="C45" s="183" cm="1">
        <f t="array" ref="C45">SUMPRODUCT((inc_02_hix[[client]:[client]]=syndicat_etude)*(inc_02_hix[[annee]:[annee]]=C$44)*(inc_02_hix[critb_hta_climatique_incident]))+SUMPRODUCT((inc_02_hix[[client]:[client]]=syndicat_etude)*(inc_02_hix[[annee]:[annee]]=C$44)*(inc_02_hix[critb_bt_climatique_incident]))</f>
        <v>8.8199999999999985</v>
      </c>
      <c r="D45" s="183" cm="1">
        <f t="array" ref="D45">SUMPRODUCT((inc_02_hix[[client]:[client]]=syndicat_etude)*(inc_02_hix[[annee]:[annee]]=D$44)*(inc_02_hix[critb_hta_climatique_incident]))+SUMPRODUCT((inc_02_hix[[client]:[client]]=syndicat_etude)*(inc_02_hix[[annee]:[annee]]=D$44)*(inc_02_hix[critb_bt_climatique_incident]))</f>
        <v>23.380000000000003</v>
      </c>
      <c r="E45" s="183" cm="1">
        <f t="array" ref="E45">SUMPRODUCT((inc_02_hix[[client]:[client]]=syndicat_etude)*(inc_02_hix[[annee]:[annee]]=E$44)*(inc_02_hix[critb_hta_climatique_incident]))+SUMPRODUCT((inc_02_hix[[client]:[client]]=syndicat_etude)*(inc_02_hix[[annee]:[annee]]=E$44)*(inc_02_hix[critb_bt_climatique_incident]))</f>
        <v>5.16</v>
      </c>
      <c r="F45" s="183" cm="1">
        <f t="array" ref="F45">SUMPRODUCT((inc_02_hix[[client]:[client]]=syndicat_etude)*(inc_02_hix[[annee]:[annee]]=F$44)*(inc_02_hix[critb_hta_climatique_incident]))+SUMPRODUCT((inc_02_hix[[client]:[client]]=syndicat_etude)*(inc_02_hix[[annee]:[annee]]=F$44)*(inc_02_hix[critb_bt_climatique_incident]))</f>
        <v>7.12</v>
      </c>
      <c r="G45" s="183" cm="1">
        <f t="array" ref="G45">SUMPRODUCT((inc_02_hix[[client]:[client]]=syndicat_etude)*(inc_02_hix[[annee]:[annee]]=G$44)*(inc_02_hix[critb_hta_climatique_incident]))+SUMPRODUCT((inc_02_hix[[client]:[client]]=syndicat_etude)*(inc_02_hix[[annee]:[annee]]=G$44)*(inc_02_hix[critb_bt_climatique_incident]))</f>
        <v>16.099999999999998</v>
      </c>
      <c r="H45" s="186">
        <f>IFERROR(G45/F45-1,"")</f>
        <v>1.2612359550561796</v>
      </c>
    </row>
    <row r="46" spans="1:8" ht="15" customHeight="1" x14ac:dyDescent="0.25">
      <c r="B46" s="175" t="s">
        <v>638</v>
      </c>
      <c r="C46" s="5">
        <f>C47-C45</f>
        <v>15.850000000000003</v>
      </c>
      <c r="D46" s="5">
        <f>D47-D45</f>
        <v>14.059999999999995</v>
      </c>
      <c r="E46" s="5">
        <f>E47-E45</f>
        <v>18.630000000000003</v>
      </c>
      <c r="F46" s="5">
        <f>F47-F45</f>
        <v>16.259999999999998</v>
      </c>
      <c r="G46" s="5">
        <f>G47-G45</f>
        <v>14.540000000000003</v>
      </c>
      <c r="H46" s="187">
        <f>IFERROR(G46/F46-1,"")</f>
        <v>-0.10578105781057778</v>
      </c>
    </row>
    <row r="47" spans="1:8" ht="15" customHeight="1" x14ac:dyDescent="0.25">
      <c r="B47" s="176" t="s">
        <v>639</v>
      </c>
      <c r="C47" s="90">
        <f>C$37+C$38</f>
        <v>24.67</v>
      </c>
      <c r="D47" s="90">
        <f>D$37+D$38</f>
        <v>37.44</v>
      </c>
      <c r="E47" s="90">
        <f>E$37+E$38</f>
        <v>23.790000000000003</v>
      </c>
      <c r="F47" s="90">
        <f>F$37+F$38</f>
        <v>23.38</v>
      </c>
      <c r="G47" s="90">
        <f>G$37+G$38</f>
        <v>30.64</v>
      </c>
      <c r="H47" s="188">
        <f>IFERROR(G47/F47-1,"")</f>
        <v>0.31052181351582564</v>
      </c>
    </row>
    <row r="48" spans="1:8" ht="15" customHeight="1" x14ac:dyDescent="0.25">
      <c r="B48" s="57"/>
      <c r="C48" s="5"/>
      <c r="D48" s="5"/>
      <c r="E48" s="5"/>
      <c r="F48" s="5"/>
      <c r="G48" s="5"/>
      <c r="H48" s="189"/>
    </row>
    <row r="49" spans="1:18" ht="30" customHeight="1" x14ac:dyDescent="0.25">
      <c r="A49" s="25" t="s">
        <v>640</v>
      </c>
      <c r="B49" s="66" t="s">
        <v>641</v>
      </c>
      <c r="C49" s="67">
        <v>2009</v>
      </c>
      <c r="D49" s="67">
        <v>2010</v>
      </c>
      <c r="E49" s="67">
        <v>2011</v>
      </c>
      <c r="F49" s="67">
        <v>2012</v>
      </c>
      <c r="G49" s="67">
        <v>2013</v>
      </c>
      <c r="H49" s="67">
        <v>2014</v>
      </c>
      <c r="I49" s="67">
        <v>2015</v>
      </c>
      <c r="J49" s="67">
        <v>2016</v>
      </c>
      <c r="K49" s="67">
        <v>2017</v>
      </c>
      <c r="L49" s="67">
        <v>2018</v>
      </c>
      <c r="M49" s="67">
        <v>2019</v>
      </c>
      <c r="N49" s="67">
        <v>2020</v>
      </c>
      <c r="O49" s="67">
        <v>2021</v>
      </c>
      <c r="P49" s="67">
        <v>2022</v>
      </c>
      <c r="Q49" s="69">
        <v>2023</v>
      </c>
    </row>
    <row r="50" spans="1:18" ht="15" customHeight="1" x14ac:dyDescent="0.25">
      <c r="B50" s="204" t="s">
        <v>642</v>
      </c>
      <c r="C50" s="233" cm="1">
        <f t="array" ref="C50">SUMPRODUCT((inc_02_nationale[[annee]:[annee]]=Exercice[[Exercice N-4]:[Exercice N-4]])*(inc_02_nationale[[critere_b_tcc_national_hors_rte]:[critere_b_tcc_national_hors_rte]]))</f>
        <v>93.4</v>
      </c>
      <c r="D50" s="233" cm="1">
        <f t="array" ref="D50">SUMPRODUCT((inc_02_nationale[[annee]:[annee]]=Exercice[[Exercice N-4]:[Exercice N-4]])*(inc_02_nationale[[critere_b_tcc_national_hors_rte]:[critere_b_tcc_national_hors_rte]]))</f>
        <v>93.4</v>
      </c>
      <c r="E50" s="233" cm="1">
        <f t="array" ref="E50">SUMPRODUCT((inc_02_nationale[[annee]:[annee]]=Exercice[[Exercice N-4]:[Exercice N-4]])*(inc_02_nationale[[critere_b_tcc_national_hors_rte]:[critere_b_tcc_national_hors_rte]]))</f>
        <v>93.4</v>
      </c>
      <c r="F50" s="233" cm="1">
        <f t="array" ref="F50">SUMPRODUCT((inc_02_nationale[[annee]:[annee]]=Exercice[[Exercice N-4]:[Exercice N-4]])*(inc_02_nationale[[critere_b_tcc_national_hors_rte]:[critere_b_tcc_national_hors_rte]]))</f>
        <v>93.4</v>
      </c>
      <c r="G50" s="233" cm="1">
        <f t="array" ref="G50">SUMPRODUCT((inc_02_nationale[[annee]:[annee]]=Exercice[[Exercice N-4]:[Exercice N-4]])*(inc_02_nationale[[critere_b_tcc_national_hors_rte]:[critere_b_tcc_national_hors_rte]]))</f>
        <v>93.4</v>
      </c>
      <c r="H50" s="233" cm="1">
        <f t="array" ref="H50">SUMPRODUCT((inc_02_nationale[[annee]:[annee]]=Exercice[[Exercice N-4]:[Exercice N-4]])*(inc_02_nationale[[critere_b_tcc_national_hors_rte]:[critere_b_tcc_national_hors_rte]]))</f>
        <v>93.4</v>
      </c>
      <c r="I50" s="233" cm="1">
        <f t="array" ref="I50">SUMPRODUCT((inc_02_nationale[[annee]:[annee]]=Exercice[[Exercice N-4]:[Exercice N-4]])*(inc_02_nationale[[critere_b_tcc_national_hors_rte]:[critere_b_tcc_national_hors_rte]]))</f>
        <v>93.4</v>
      </c>
      <c r="J50" s="233" cm="1">
        <f t="array" ref="J50">SUMPRODUCT((inc_02_nationale[[annee]:[annee]]=Exercice[[Exercice N-4]:[Exercice N-4]])*(inc_02_nationale[[critere_b_tcc_national_hors_rte]:[critere_b_tcc_national_hors_rte]]))</f>
        <v>93.4</v>
      </c>
      <c r="K50" s="233" cm="1">
        <f t="array" ref="K50">SUMPRODUCT((inc_02_nationale[[annee]:[annee]]=Exercice[[Exercice N-4]:[Exercice N-4]])*(inc_02_nationale[[critere_b_tcc_national_hors_rte]:[critere_b_tcc_national_hors_rte]]))</f>
        <v>93.4</v>
      </c>
      <c r="L50" s="233" cm="1">
        <f t="array" ref="L50">SUMPRODUCT((inc_02_nationale[[annee]:[annee]]=Exercice[[Exercice N-4]:[Exercice N-4]])*(inc_02_nationale[[critere_b_tcc_national_hors_rte]:[critere_b_tcc_national_hors_rte]]))</f>
        <v>93.4</v>
      </c>
      <c r="M50" s="233" cm="1">
        <f t="array" ref="M50">SUMPRODUCT((inc_02_nationale[[annee]:[annee]]=Exercice[[Exercice N-4]:[Exercice N-4]])*(inc_02_nationale[[critere_b_tcc_national_hors_rte]:[critere_b_tcc_national_hors_rte]]))</f>
        <v>93.4</v>
      </c>
      <c r="N50" s="233" cm="1">
        <f t="array" ref="N50">SUMPRODUCT((inc_02_nationale[[annee]:[annee]]=Exercice[[Exercice N-3]:[Exercice N-3]])*(inc_02_nationale[[critere_b_tcc_national_hors_rte]:[critere_b_tcc_national_hors_rte]]))</f>
        <v>67.2</v>
      </c>
      <c r="O50" s="233" cm="1">
        <f t="array" ref="O50">SUMPRODUCT((inc_02_nationale[[annee]:[annee]]=Exercice[[Exercice N-2]:[Exercice N-2]])*(inc_02_nationale[[critere_b_tcc_national_hors_rte]:[critere_b_tcc_national_hors_rte]]))</f>
        <v>59.9</v>
      </c>
      <c r="P50" s="233" cm="1">
        <f t="array" ref="P50">SUMPRODUCT((inc_02_nationale[[annee]:[annee]]=Exercice[[Exercice N-1]:[Exercice N-1]])*(inc_02_nationale[[critere_b_tcc_national_hors_rte]:[critere_b_tcc_national_hors_rte]]))</f>
        <v>64.099999999999994</v>
      </c>
      <c r="Q50" s="234" cm="1">
        <f t="array" ref="Q50">SUMPRODUCT((inc_02_nationale[[annee]:[annee]]=Exercice[[Exercice N]:[Exercice N]])*(inc_02_nationale[[critere_b_tcc_national_hors_rte]:[critere_b_tcc_national_hors_rte]]))</f>
        <v>72.900000000000006</v>
      </c>
    </row>
    <row r="51" spans="1:18" ht="15" customHeight="1" x14ac:dyDescent="0.25">
      <c r="B51" s="214" t="s">
        <v>643</v>
      </c>
      <c r="C51" s="215" cm="1">
        <f t="array" ref="C51">SUMPRODUCT((inc_02_nationale[[annee]:[annee]]=Exercice[[Exercice N-4]:[Exercice N-4]])*(inc_02_nationale[[critere_b_tcc_national_hors_rte_moyen_3_ans]:[critere_b_tcc_national_hors_rte_moyen_3_ans]]))</f>
        <v>86.966666666666669</v>
      </c>
      <c r="D51" s="215" cm="1">
        <f t="array" ref="D51">SUMPRODUCT((inc_02_nationale[[annee]:[annee]]=Exercice[[Exercice N-4]:[Exercice N-4]])*(inc_02_nationale[[critere_b_tcc_national_hors_rte_moyen_3_ans]:[critere_b_tcc_national_hors_rte_moyen_3_ans]]))</f>
        <v>86.966666666666669</v>
      </c>
      <c r="E51" s="215" cm="1">
        <f t="array" ref="E51">SUMPRODUCT((inc_02_nationale[[annee]:[annee]]=Exercice[[Exercice N-4]:[Exercice N-4]])*(inc_02_nationale[[critere_b_tcc_national_hors_rte_moyen_3_ans]:[critere_b_tcc_national_hors_rte_moyen_3_ans]]))</f>
        <v>86.966666666666669</v>
      </c>
      <c r="F51" s="215" cm="1">
        <f t="array" ref="F51">SUMPRODUCT((inc_02_nationale[[annee]:[annee]]=Exercice[[Exercice N-4]:[Exercice N-4]])*(inc_02_nationale[[critere_b_tcc_national_hors_rte_moyen_3_ans]:[critere_b_tcc_national_hors_rte_moyen_3_ans]]))</f>
        <v>86.966666666666669</v>
      </c>
      <c r="G51" s="215" cm="1">
        <f t="array" ref="G51">SUMPRODUCT((inc_02_nationale[[annee]:[annee]]=Exercice[[Exercice N-4]:[Exercice N-4]])*(inc_02_nationale[[critere_b_tcc_national_hors_rte_moyen_3_ans]:[critere_b_tcc_national_hors_rte_moyen_3_ans]]))</f>
        <v>86.966666666666669</v>
      </c>
      <c r="H51" s="215" cm="1">
        <f t="array" ref="H51">SUMPRODUCT((inc_02_nationale[[annee]:[annee]]=Exercice[[Exercice N-4]:[Exercice N-4]])*(inc_02_nationale[[critere_b_tcc_national_hors_rte_moyen_3_ans]:[critere_b_tcc_national_hors_rte_moyen_3_ans]]))</f>
        <v>86.966666666666669</v>
      </c>
      <c r="I51" s="215" cm="1">
        <f t="array" ref="I51">SUMPRODUCT((inc_02_nationale[[annee]:[annee]]=Exercice[[Exercice N-4]:[Exercice N-4]])*(inc_02_nationale[[critere_b_tcc_national_hors_rte_moyen_3_ans]:[critere_b_tcc_national_hors_rte_moyen_3_ans]]))</f>
        <v>86.966666666666669</v>
      </c>
      <c r="J51" s="215" cm="1">
        <f t="array" ref="J51">SUMPRODUCT((inc_02_nationale[[annee]:[annee]]=Exercice[[Exercice N-4]:[Exercice N-4]])*(inc_02_nationale[[critere_b_tcc_national_hors_rte_moyen_3_ans]:[critere_b_tcc_national_hors_rte_moyen_3_ans]]))</f>
        <v>86.966666666666669</v>
      </c>
      <c r="K51" s="215" cm="1">
        <f t="array" ref="K51">SUMPRODUCT((inc_02_nationale[[annee]:[annee]]=Exercice[[Exercice N-4]:[Exercice N-4]])*(inc_02_nationale[[critere_b_tcc_national_hors_rte_moyen_3_ans]:[critere_b_tcc_national_hors_rte_moyen_3_ans]]))</f>
        <v>86.966666666666669</v>
      </c>
      <c r="L51" s="215" cm="1">
        <f t="array" ref="L51">SUMPRODUCT((inc_02_nationale[[annee]:[annee]]=Exercice[[Exercice N-4]:[Exercice N-4]])*(inc_02_nationale[[critere_b_tcc_national_hors_rte_moyen_3_ans]:[critere_b_tcc_national_hors_rte_moyen_3_ans]]))</f>
        <v>86.966666666666669</v>
      </c>
      <c r="M51" s="215" cm="1">
        <f t="array" ref="M51">SUMPRODUCT((inc_02_nationale[[annee]:[annee]]=Exercice[[Exercice N-4]:[Exercice N-4]])*(inc_02_nationale[[critere_b_tcc_national_hors_rte_moyen_3_ans]:[critere_b_tcc_national_hors_rte_moyen_3_ans]]))</f>
        <v>86.966666666666669</v>
      </c>
      <c r="N51" s="215" cm="1">
        <f t="array" ref="N51">SUMPRODUCT((inc_02_nationale[[annee]:[annee]]=Exercice[[Exercice N-3]:[Exercice N-3]])*(inc_02_nationale[[critere_b_tcc_national_hors_rte_moyen_3_ans]:[critere_b_tcc_national_hors_rte_moyen_3_ans]]))</f>
        <v>79.066666666666663</v>
      </c>
      <c r="O51" s="215" cm="1">
        <f t="array" ref="O51">SUMPRODUCT((inc_02_nationale[[annee]:[annee]]=Exercice[[Exercice N-2]:[Exercice N-2]])*(inc_02_nationale[[critere_b_tcc_national_hors_rte_moyen_3_ans]:[critere_b_tcc_national_hors_rte_moyen_3_ans]]))</f>
        <v>73.5</v>
      </c>
      <c r="P51" s="215" cm="1">
        <f t="array" ref="P51">SUMPRODUCT((inc_02_nationale[[annee]:[annee]]=Exercice[[Exercice N-1]:[Exercice N-1]])*(inc_02_nationale[[critere_b_tcc_national_hors_rte_moyen_3_ans]:[critere_b_tcc_national_hors_rte_moyen_3_ans]]))</f>
        <v>63.733333333333334</v>
      </c>
      <c r="Q51" s="216" cm="1">
        <f t="array" ref="Q51">SUMPRODUCT((inc_02_nationale[[annee]:[annee]]=Exercice[[Exercice N]:[Exercice N]])*(inc_02_nationale[[critere_b_tcc_national_hors_rte_moyen_3_ans]:[critere_b_tcc_national_hors_rte_moyen_3_ans]]))</f>
        <v>65.63333333333334</v>
      </c>
    </row>
    <row r="52" spans="1:18" ht="15" customHeight="1" x14ac:dyDescent="0.25">
      <c r="A52" s="28"/>
      <c r="B52" s="58" t="s">
        <v>644</v>
      </c>
      <c r="C52" s="5">
        <v>85.471000000000004</v>
      </c>
      <c r="D52" s="5">
        <v>85.272999999999996</v>
      </c>
      <c r="E52" s="5">
        <v>70.322000000000003</v>
      </c>
      <c r="F52" s="5">
        <v>73.722999999999999</v>
      </c>
      <c r="G52" s="5">
        <v>81.823999999999998</v>
      </c>
      <c r="H52" s="5">
        <v>64.015000000000001</v>
      </c>
      <c r="I52" s="5">
        <v>61.072000000000003</v>
      </c>
      <c r="J52" s="5">
        <v>64.103000000000009</v>
      </c>
      <c r="K52" s="5">
        <v>65.090999999999994</v>
      </c>
      <c r="L52" s="5">
        <v>63.868000000000002</v>
      </c>
      <c r="M52" s="5">
        <v>64.262</v>
      </c>
      <c r="N52" s="5">
        <v>58.395000000000003</v>
      </c>
      <c r="O52" s="5">
        <v>56.019000000000005</v>
      </c>
      <c r="P52" s="5">
        <v>59.488</v>
      </c>
      <c r="Q52" s="112">
        <v>72.927999999999997</v>
      </c>
      <c r="R52" s="237" t="s">
        <v>645</v>
      </c>
    </row>
    <row r="53" spans="1:18" ht="15" customHeight="1" x14ac:dyDescent="0.25">
      <c r="A53" s="28"/>
      <c r="B53" s="235" t="s">
        <v>646</v>
      </c>
      <c r="C53" s="236"/>
      <c r="D53" s="236"/>
      <c r="E53" s="236">
        <f t="shared" ref="E53:P53" si="2">IFERROR(AVERAGE(C$52:E$52),"-")</f>
        <v>80.355333333333334</v>
      </c>
      <c r="F53" s="236">
        <f t="shared" si="2"/>
        <v>76.439333333333323</v>
      </c>
      <c r="G53" s="236">
        <f t="shared" si="2"/>
        <v>75.289666666666676</v>
      </c>
      <c r="H53" s="236">
        <f t="shared" si="2"/>
        <v>73.187333333333342</v>
      </c>
      <c r="I53" s="236">
        <f t="shared" si="2"/>
        <v>68.970333333333329</v>
      </c>
      <c r="J53" s="236">
        <f t="shared" si="2"/>
        <v>63.063333333333333</v>
      </c>
      <c r="K53" s="236">
        <f t="shared" si="2"/>
        <v>63.422000000000004</v>
      </c>
      <c r="L53" s="236">
        <f t="shared" si="2"/>
        <v>64.353999999999999</v>
      </c>
      <c r="M53" s="236">
        <f t="shared" si="2"/>
        <v>64.406999999999996</v>
      </c>
      <c r="N53" s="236">
        <f t="shared" si="2"/>
        <v>62.175000000000004</v>
      </c>
      <c r="O53" s="236">
        <f t="shared" si="2"/>
        <v>59.558666666666674</v>
      </c>
      <c r="P53" s="236">
        <f t="shared" si="2"/>
        <v>57.967333333333336</v>
      </c>
      <c r="Q53" s="736">
        <f>IFERROR(AVERAGE(O$52:Q$52),"-")</f>
        <v>62.811666666666667</v>
      </c>
      <c r="R53" s="237" t="s">
        <v>645</v>
      </c>
    </row>
    <row r="55" spans="1:18" ht="30" customHeight="1" x14ac:dyDescent="0.25">
      <c r="A55" s="549" t="s">
        <v>3244</v>
      </c>
      <c r="B55" s="66" t="s">
        <v>647</v>
      </c>
      <c r="C55" s="67">
        <v>2014</v>
      </c>
      <c r="D55" s="67">
        <f>C55+1</f>
        <v>2015</v>
      </c>
      <c r="E55" s="67">
        <f t="shared" ref="E55:L55" si="3">D55+1</f>
        <v>2016</v>
      </c>
      <c r="F55" s="67">
        <f t="shared" si="3"/>
        <v>2017</v>
      </c>
      <c r="G55" s="67">
        <f t="shared" si="3"/>
        <v>2018</v>
      </c>
      <c r="H55" s="67">
        <f t="shared" si="3"/>
        <v>2019</v>
      </c>
      <c r="I55" s="67">
        <f t="shared" si="3"/>
        <v>2020</v>
      </c>
      <c r="J55" s="67">
        <f t="shared" si="3"/>
        <v>2021</v>
      </c>
      <c r="K55" s="67">
        <f t="shared" si="3"/>
        <v>2022</v>
      </c>
      <c r="L55" s="67">
        <f t="shared" si="3"/>
        <v>2023</v>
      </c>
      <c r="M55" s="75" t="s">
        <v>648</v>
      </c>
    </row>
    <row r="56" spans="1:18" ht="15" customHeight="1" x14ac:dyDescent="0.25">
      <c r="A56" s="549"/>
      <c r="B56" s="191" t="s">
        <v>649</v>
      </c>
      <c r="C56" s="194"/>
      <c r="D56" s="194"/>
      <c r="E56" s="194"/>
      <c r="F56" s="194"/>
      <c r="G56" s="194"/>
      <c r="H56" s="194"/>
      <c r="I56" s="618"/>
      <c r="J56" s="618"/>
      <c r="K56" s="618"/>
      <c r="L56" s="618"/>
      <c r="M56" s="192"/>
    </row>
    <row r="57" spans="1:18" ht="15" customHeight="1" x14ac:dyDescent="0.25">
      <c r="A57" s="549"/>
      <c r="B57" s="58" t="s">
        <v>650</v>
      </c>
      <c r="C57" s="84"/>
      <c r="D57" s="84"/>
      <c r="E57" s="84"/>
      <c r="F57" s="84"/>
      <c r="G57" s="84"/>
      <c r="H57" s="84"/>
      <c r="I57" s="238">
        <v>126.5</v>
      </c>
      <c r="J57" s="238">
        <v>104.3</v>
      </c>
      <c r="K57" s="238">
        <v>103.9</v>
      </c>
      <c r="L57" s="238">
        <v>257.10000000000002</v>
      </c>
      <c r="M57" s="112">
        <f>IFERROR(AVERAGE(C57:L57),"")</f>
        <v>147.95000000000002</v>
      </c>
    </row>
    <row r="58" spans="1:18" ht="15" customHeight="1" x14ac:dyDescent="0.25">
      <c r="A58" s="549"/>
      <c r="B58" s="58" t="s">
        <v>651</v>
      </c>
      <c r="C58" s="84"/>
      <c r="D58" s="84"/>
      <c r="E58" s="84"/>
      <c r="F58" s="84"/>
      <c r="G58" s="84"/>
      <c r="H58" s="84"/>
      <c r="I58" s="238">
        <v>45.5</v>
      </c>
      <c r="J58" s="238">
        <v>44.8</v>
      </c>
      <c r="K58" s="238">
        <v>52.6</v>
      </c>
      <c r="L58" s="238">
        <v>90.3</v>
      </c>
      <c r="M58" s="112">
        <f>IFERROR(AVERAGE(C58:L58),"")</f>
        <v>58.3</v>
      </c>
    </row>
    <row r="59" spans="1:18" ht="15" customHeight="1" x14ac:dyDescent="0.25">
      <c r="A59" s="549"/>
      <c r="B59" s="58" t="s">
        <v>652</v>
      </c>
      <c r="C59" s="84"/>
      <c r="D59" s="84"/>
      <c r="E59" s="84"/>
      <c r="F59" s="84"/>
      <c r="G59" s="84"/>
      <c r="H59" s="84"/>
      <c r="I59" s="238"/>
      <c r="J59" s="238"/>
      <c r="K59" s="238"/>
      <c r="L59" s="238"/>
      <c r="M59" s="112" t="str">
        <f>IFERROR(AVERAGE(C59:L59),"")</f>
        <v/>
      </c>
    </row>
    <row r="60" spans="1:18" ht="15" customHeight="1" x14ac:dyDescent="0.25">
      <c r="A60" s="549"/>
      <c r="B60" s="58" t="s">
        <v>653</v>
      </c>
      <c r="C60" s="84"/>
      <c r="D60" s="84"/>
      <c r="E60" s="84"/>
      <c r="F60" s="84"/>
      <c r="G60" s="84"/>
      <c r="H60" s="84"/>
      <c r="I60" s="238"/>
      <c r="J60" s="238"/>
      <c r="K60" s="238"/>
      <c r="L60" s="238"/>
      <c r="M60" s="112" t="str">
        <f>IFERROR(AVERAGE(C60:L60),"")</f>
        <v/>
      </c>
    </row>
    <row r="61" spans="1:18" ht="15" customHeight="1" x14ac:dyDescent="0.25">
      <c r="A61" s="549"/>
      <c r="B61" s="191" t="s">
        <v>654</v>
      </c>
      <c r="C61" s="194"/>
      <c r="D61" s="194"/>
      <c r="E61" s="194"/>
      <c r="F61" s="194"/>
      <c r="G61" s="194"/>
      <c r="H61" s="194"/>
      <c r="I61" s="618"/>
      <c r="J61" s="618"/>
      <c r="K61" s="618"/>
      <c r="L61" s="618"/>
      <c r="M61" s="192"/>
    </row>
    <row r="62" spans="1:18" ht="15" customHeight="1" x14ac:dyDescent="0.25">
      <c r="A62" s="549"/>
      <c r="B62" s="58" t="s">
        <v>650</v>
      </c>
      <c r="C62" s="84">
        <v>115.4</v>
      </c>
      <c r="D62" s="84">
        <v>99.4</v>
      </c>
      <c r="E62" s="84">
        <v>112.5</v>
      </c>
      <c r="F62" s="84">
        <v>114.3</v>
      </c>
      <c r="G62" s="84">
        <v>107.9</v>
      </c>
      <c r="H62" s="84">
        <v>111</v>
      </c>
      <c r="I62" s="238">
        <v>102.8</v>
      </c>
      <c r="J62" s="238">
        <v>93.9</v>
      </c>
      <c r="K62" s="238">
        <v>94.6</v>
      </c>
      <c r="L62" s="238">
        <v>130.9</v>
      </c>
      <c r="M62" s="112">
        <f>IFERROR(AVERAGE(C62:L62),"")</f>
        <v>108.27000000000001</v>
      </c>
    </row>
    <row r="63" spans="1:18" ht="15" customHeight="1" x14ac:dyDescent="0.25">
      <c r="A63" s="549"/>
      <c r="B63" s="58" t="s">
        <v>651</v>
      </c>
      <c r="C63" s="84">
        <v>50.1</v>
      </c>
      <c r="D63" s="84">
        <v>50.5</v>
      </c>
      <c r="E63" s="84">
        <v>47.8</v>
      </c>
      <c r="F63" s="84">
        <v>44.9</v>
      </c>
      <c r="G63" s="84">
        <v>46.8</v>
      </c>
      <c r="H63" s="84">
        <v>46</v>
      </c>
      <c r="I63" s="238">
        <v>39.299999999999997</v>
      </c>
      <c r="J63" s="238">
        <v>40.6</v>
      </c>
      <c r="K63" s="238">
        <v>46.7</v>
      </c>
      <c r="L63" s="238">
        <v>51.3</v>
      </c>
      <c r="M63" s="112">
        <f>IFERROR(AVERAGE(C63:L63),"")</f>
        <v>46.4</v>
      </c>
    </row>
    <row r="64" spans="1:18" ht="15" customHeight="1" x14ac:dyDescent="0.25">
      <c r="A64" s="549"/>
      <c r="B64" s="58" t="s">
        <v>652</v>
      </c>
      <c r="C64" s="84">
        <v>40.1</v>
      </c>
      <c r="D64" s="84">
        <v>44.3</v>
      </c>
      <c r="E64" s="84">
        <v>41.5</v>
      </c>
      <c r="F64" s="84">
        <v>48.5</v>
      </c>
      <c r="G64" s="84">
        <v>42.2</v>
      </c>
      <c r="H64" s="84">
        <v>45</v>
      </c>
      <c r="I64" s="238" t="s">
        <v>655</v>
      </c>
      <c r="J64" s="238" t="s">
        <v>655</v>
      </c>
      <c r="K64" s="238" t="s">
        <v>655</v>
      </c>
      <c r="L64" s="238" t="s">
        <v>655</v>
      </c>
      <c r="M64" s="112">
        <f>IFERROR(AVERAGE(C64:L64),"")</f>
        <v>43.6</v>
      </c>
    </row>
    <row r="65" spans="1:13" ht="15" customHeight="1" x14ac:dyDescent="0.25">
      <c r="A65" s="549"/>
      <c r="B65" s="190" t="s">
        <v>653</v>
      </c>
      <c r="C65" s="86">
        <v>23.1</v>
      </c>
      <c r="D65" s="86">
        <v>30</v>
      </c>
      <c r="E65" s="86">
        <v>28.6</v>
      </c>
      <c r="F65" s="86">
        <v>27.2</v>
      </c>
      <c r="G65" s="86">
        <v>35.799999999999997</v>
      </c>
      <c r="H65" s="86">
        <v>31</v>
      </c>
      <c r="I65" s="239" t="s">
        <v>655</v>
      </c>
      <c r="J65" s="239" t="s">
        <v>655</v>
      </c>
      <c r="K65" s="239" t="s">
        <v>655</v>
      </c>
      <c r="L65" s="239" t="s">
        <v>655</v>
      </c>
      <c r="M65" s="91">
        <f>IFERROR(AVERAGE(C65:L65),"")</f>
        <v>29.283333333333331</v>
      </c>
    </row>
    <row r="67" spans="1:13" ht="30" customHeight="1" x14ac:dyDescent="0.25">
      <c r="A67" s="25" t="s">
        <v>656</v>
      </c>
      <c r="B67" s="66" t="s">
        <v>657</v>
      </c>
      <c r="C67" s="67" cm="1">
        <f t="array" ref="C67">Exercice[Exercice N-4]</f>
        <v>2019</v>
      </c>
      <c r="D67" s="67" cm="1">
        <f t="array" ref="D67">Exercice[Exercice N-3]</f>
        <v>2020</v>
      </c>
      <c r="E67" s="67" cm="1">
        <f t="array" ref="E67">Exercice[Exercice N-2]</f>
        <v>2021</v>
      </c>
      <c r="F67" s="67" cm="1">
        <f t="array" ref="F67">Exercice[Exercice N-1]</f>
        <v>2022</v>
      </c>
      <c r="G67" s="69" cm="1">
        <f t="array" ref="G67">Exercice[Exercice N]</f>
        <v>2023</v>
      </c>
    </row>
    <row r="68" spans="1:13" ht="15" customHeight="1" x14ac:dyDescent="0.25">
      <c r="A68" s="98"/>
      <c r="B68" s="269" t="s">
        <v>649</v>
      </c>
      <c r="C68" s="620"/>
      <c r="D68" s="620"/>
      <c r="E68" s="620"/>
      <c r="F68" s="620"/>
      <c r="G68" s="619"/>
    </row>
    <row r="69" spans="1:13" ht="15" customHeight="1" x14ac:dyDescent="0.25">
      <c r="A69" s="98"/>
      <c r="B69" s="605" t="s">
        <v>658</v>
      </c>
      <c r="C69" s="183"/>
      <c r="D69" s="183"/>
      <c r="E69" s="183"/>
      <c r="F69" s="183"/>
      <c r="G69" s="192"/>
    </row>
    <row r="70" spans="1:13" ht="15" customHeight="1" x14ac:dyDescent="0.25">
      <c r="A70" s="98"/>
      <c r="B70" s="621" t="s">
        <v>659</v>
      </c>
      <c r="C70" s="5" cm="1">
        <f t="array" ref="C70">SUMPRODUCT((inc_03[[client]:[client]]=syndicat_etude)*(inc_03[[annee]:[annee]]=C$67)*(inc_03[crit_b_tcc_hors_rte_ze1]))</f>
        <v>10.840510404030979</v>
      </c>
      <c r="D70" s="5" cm="1">
        <f t="array" ref="D70">SUMPRODUCT((inc_03[[client]:[client]]=syndicat_etude)*(inc_03[[annee]:[annee]]=D$67)*(inc_03[crit_b_tcc_hors_rte_ze1]))</f>
        <v>81.843252977054902</v>
      </c>
      <c r="E70" s="5" cm="1">
        <f t="array" ref="E70">SUMPRODUCT((inc_03[[client]:[client]]=syndicat_etude)*(inc_03[[annee]:[annee]]=E$67)*(inc_03[crit_b_tcc_hors_rte_ze1]))</f>
        <v>59.798999214163544</v>
      </c>
      <c r="F70" s="5" cm="1">
        <f t="array" ref="F70">SUMPRODUCT((inc_03[[client]:[client]]=syndicat_etude)*(inc_03[[annee]:[annee]]=F$67)*(inc_03[crit_b_tcc_hors_rte_ze1]))</f>
        <v>11.734599005980188</v>
      </c>
      <c r="G70" s="112" cm="1">
        <f t="array" ref="G70">SUMPRODUCT((inc_03[[client]:[client]]=syndicat_etude)*(inc_03[[annee]:[annee]]=G$67)*(inc_03[crit_b_tcc_hors_rte_ze1]))</f>
        <v>82.282941532419201</v>
      </c>
    </row>
    <row r="71" spans="1:13" ht="15" customHeight="1" x14ac:dyDescent="0.25">
      <c r="A71" s="98"/>
      <c r="B71" s="621" t="s">
        <v>660</v>
      </c>
      <c r="C71" s="5" cm="1">
        <f t="array" ref="C71">SUMPRODUCT((inc_03[[client]:[client]]=syndicat_etude)*(inc_03[[annee]:[annee]]=C$67)*(inc_03[crit_b_tcc_hors_rte_ze2]))</f>
        <v>7.1985655737704919</v>
      </c>
      <c r="D71" s="5" cm="1">
        <f t="array" ref="D71">SUMPRODUCT((inc_03[[client]:[client]]=syndicat_etude)*(inc_03[[annee]:[annee]]=D$67)*(inc_03[crit_b_tcc_hors_rte_ze2]))</f>
        <v>32.716466517402807</v>
      </c>
      <c r="E71" s="5" cm="1">
        <f t="array" ref="E71">SUMPRODUCT((inc_03[[client]:[client]]=syndicat_etude)*(inc_03[[annee]:[annee]]=E$67)*(inc_03[crit_b_tcc_hors_rte_ze2]))</f>
        <v>10.960270243017042</v>
      </c>
      <c r="F71" s="5" cm="1">
        <f t="array" ref="F71">SUMPRODUCT((inc_03[[client]:[client]]=syndicat_etude)*(inc_03[[annee]:[annee]]=F$67)*(inc_03[crit_b_tcc_hors_rte_ze2]))</f>
        <v>34.610413106844909</v>
      </c>
      <c r="G71" s="112" cm="1">
        <f t="array" ref="G71">SUMPRODUCT((inc_03[[client]:[client]]=syndicat_etude)*(inc_03[[annee]:[annee]]=G$67)*(inc_03[crit_b_tcc_hors_rte_ze2]))</f>
        <v>19.461408562630378</v>
      </c>
    </row>
    <row r="72" spans="1:13" ht="15" customHeight="1" x14ac:dyDescent="0.25">
      <c r="A72" s="98"/>
      <c r="B72" s="621" t="s">
        <v>661</v>
      </c>
      <c r="C72" s="5" cm="1">
        <f t="array" ref="C72">SUMPRODUCT((inc_03[[client]:[client]]=syndicat_etude)*(inc_03[[annee]:[annee]]=C$67)*(inc_03[crit_b_tcc_hors_rte_ze3]))</f>
        <v>12.246142293064606</v>
      </c>
      <c r="D72" s="5" cm="1">
        <f t="array" ref="D72">SUMPRODUCT((inc_03[[client]:[client]]=syndicat_etude)*(inc_03[[annee]:[annee]]=D$67)*(inc_03[crit_b_tcc_hors_rte_ze3]))</f>
        <v>17.255157333205176</v>
      </c>
      <c r="E72" s="5" cm="1">
        <f t="array" ref="E72">SUMPRODUCT((inc_03[[client]:[client]]=syndicat_etude)*(inc_03[[annee]:[annee]]=E$67)*(inc_03[crit_b_tcc_hors_rte_ze3]))</f>
        <v>21.938611930358672</v>
      </c>
      <c r="F72" s="5" cm="1">
        <f t="array" ref="F72">SUMPRODUCT((inc_03[[client]:[client]]=syndicat_etude)*(inc_03[[annee]:[annee]]=F$67)*(inc_03[crit_b_tcc_hors_rte_ze3]))</f>
        <v>9.3287676085442026</v>
      </c>
      <c r="G72" s="112" cm="1">
        <f t="array" ref="G72">SUMPRODUCT((inc_03[[client]:[client]]=syndicat_etude)*(inc_03[[annee]:[annee]]=G$67)*(inc_03[crit_b_tcc_hors_rte_ze3]))</f>
        <v>23.535871743486972</v>
      </c>
    </row>
    <row r="73" spans="1:13" ht="15" customHeight="1" x14ac:dyDescent="0.25">
      <c r="A73" s="98"/>
      <c r="B73" s="621" t="s">
        <v>662</v>
      </c>
      <c r="C73" s="5" cm="1">
        <f t="array" ref="C73">SUMPRODUCT((inc_03[[client]:[client]]=syndicat_etude)*(inc_03[[annee]:[annee]]=C$67)*(inc_03[crit_b_tcc_hors_rte_ze4]))</f>
        <v>0</v>
      </c>
      <c r="D73" s="5" cm="1">
        <f t="array" ref="D73">SUMPRODUCT((inc_03[[client]:[client]]=syndicat_etude)*(inc_03[[annee]:[annee]]=D$67)*(inc_03[crit_b_tcc_hors_rte_ze4]))</f>
        <v>0</v>
      </c>
      <c r="E73" s="5" cm="1">
        <f t="array" ref="E73">SUMPRODUCT((inc_03[[client]:[client]]=syndicat_etude)*(inc_03[[annee]:[annee]]=E$67)*(inc_03[crit_b_tcc_hors_rte_ze4]))</f>
        <v>0</v>
      </c>
      <c r="F73" s="5" cm="1">
        <f t="array" ref="F73">SUMPRODUCT((inc_03[[client]:[client]]=syndicat_etude)*(inc_03[[annee]:[annee]]=F$67)*(inc_03[crit_b_tcc_hors_rte_ze4]))</f>
        <v>0</v>
      </c>
      <c r="G73" s="112" cm="1">
        <f t="array" ref="G73">SUMPRODUCT((inc_03[[client]:[client]]=syndicat_etude)*(inc_03[[annee]:[annee]]=G$67)*(inc_03[crit_b_tcc_hors_rte_ze4]))</f>
        <v>0</v>
      </c>
    </row>
    <row r="74" spans="1:13" ht="15" customHeight="1" x14ac:dyDescent="0.25">
      <c r="A74" s="98"/>
      <c r="B74" s="605" t="s">
        <v>663</v>
      </c>
      <c r="C74" s="183"/>
      <c r="D74" s="183"/>
      <c r="E74" s="183"/>
      <c r="F74" s="183"/>
      <c r="G74" s="192"/>
    </row>
    <row r="75" spans="1:13" ht="15" customHeight="1" x14ac:dyDescent="0.25">
      <c r="A75" s="98"/>
      <c r="B75" s="621" t="s">
        <v>659</v>
      </c>
      <c r="C75" s="5">
        <f t="shared" ref="C75:G78" si="4">H57</f>
        <v>0</v>
      </c>
      <c r="D75" s="5">
        <f t="shared" si="4"/>
        <v>126.5</v>
      </c>
      <c r="E75" s="5">
        <f t="shared" si="4"/>
        <v>104.3</v>
      </c>
      <c r="F75" s="5">
        <f t="shared" si="4"/>
        <v>103.9</v>
      </c>
      <c r="G75" s="112">
        <f t="shared" si="4"/>
        <v>257.10000000000002</v>
      </c>
    </row>
    <row r="76" spans="1:13" ht="15" customHeight="1" x14ac:dyDescent="0.25">
      <c r="A76" s="98"/>
      <c r="B76" s="621" t="s">
        <v>660</v>
      </c>
      <c r="C76" s="5">
        <f t="shared" si="4"/>
        <v>0</v>
      </c>
      <c r="D76" s="5">
        <f t="shared" si="4"/>
        <v>45.5</v>
      </c>
      <c r="E76" s="5">
        <f t="shared" si="4"/>
        <v>44.8</v>
      </c>
      <c r="F76" s="5">
        <f t="shared" si="4"/>
        <v>52.6</v>
      </c>
      <c r="G76" s="112">
        <f t="shared" si="4"/>
        <v>90.3</v>
      </c>
    </row>
    <row r="77" spans="1:13" ht="15" customHeight="1" x14ac:dyDescent="0.25">
      <c r="A77" s="98"/>
      <c r="B77" s="621" t="s">
        <v>661</v>
      </c>
      <c r="C77" s="5">
        <f t="shared" si="4"/>
        <v>0</v>
      </c>
      <c r="D77" s="5">
        <f t="shared" si="4"/>
        <v>0</v>
      </c>
      <c r="E77" s="5">
        <f t="shared" si="4"/>
        <v>0</v>
      </c>
      <c r="F77" s="5">
        <f t="shared" si="4"/>
        <v>0</v>
      </c>
      <c r="G77" s="112">
        <f t="shared" si="4"/>
        <v>0</v>
      </c>
    </row>
    <row r="78" spans="1:13" ht="15" customHeight="1" x14ac:dyDescent="0.25">
      <c r="A78" s="98"/>
      <c r="B78" s="621" t="s">
        <v>662</v>
      </c>
      <c r="C78" s="5">
        <f t="shared" si="4"/>
        <v>0</v>
      </c>
      <c r="D78" s="5">
        <f t="shared" si="4"/>
        <v>0</v>
      </c>
      <c r="E78" s="5">
        <f t="shared" si="4"/>
        <v>0</v>
      </c>
      <c r="F78" s="5">
        <f t="shared" si="4"/>
        <v>0</v>
      </c>
      <c r="G78" s="112">
        <f t="shared" si="4"/>
        <v>0</v>
      </c>
    </row>
    <row r="79" spans="1:13" ht="15" customHeight="1" x14ac:dyDescent="0.25">
      <c r="A79" s="98"/>
      <c r="B79" s="269" t="s">
        <v>654</v>
      </c>
      <c r="C79" s="620"/>
      <c r="D79" s="620"/>
      <c r="E79" s="620"/>
      <c r="F79" s="620"/>
      <c r="G79" s="619"/>
      <c r="H79" s="98"/>
      <c r="I79" s="98"/>
    </row>
    <row r="80" spans="1:13" ht="15" customHeight="1" x14ac:dyDescent="0.25">
      <c r="A80" s="98"/>
      <c r="B80" s="605" t="s">
        <v>658</v>
      </c>
      <c r="C80" s="183"/>
      <c r="D80" s="183"/>
      <c r="E80" s="183"/>
      <c r="F80" s="183"/>
      <c r="G80" s="192"/>
    </row>
    <row r="81" spans="1:7" ht="15" customHeight="1" x14ac:dyDescent="0.25">
      <c r="A81" s="98"/>
      <c r="B81" s="621" t="s">
        <v>664</v>
      </c>
      <c r="C81" s="5" cm="1">
        <f t="array" ref="C81">SUMPRODUCT((inc_03[[client]:[client]]=syndicat_etude)*(inc_03[[annee]:[annee]]=C$67)*(inc_03[crit_b_hix_hors_rte_ze1]))</f>
        <v>10.35975552859942</v>
      </c>
      <c r="D81" s="5" cm="1">
        <f t="array" ref="D81">SUMPRODUCT((inc_03[[client]:[client]]=syndicat_etude)*(inc_03[[annee]:[annee]]=D$67)*(inc_03[crit_b_hix_hors_rte_ze1]))</f>
        <v>81.473122277083945</v>
      </c>
      <c r="E81" s="5" cm="1">
        <f t="array" ref="E81">SUMPRODUCT((inc_03[[client]:[client]]=syndicat_etude)*(inc_03[[annee]:[annee]]=E$67)*(inc_03[crit_b_hix_hors_rte_ze1]))</f>
        <v>54.31904960014792</v>
      </c>
      <c r="F81" s="5" cm="1">
        <f t="array" ref="F81">SUMPRODUCT((inc_03[[client]:[client]]=syndicat_etude)*(inc_03[[annee]:[annee]]=F$67)*(inc_03[crit_b_hix_hors_rte_ze1]))</f>
        <v>10.910182390009298</v>
      </c>
      <c r="G81" s="112" cm="1">
        <f t="array" ref="G81">SUMPRODUCT((inc_03[[client]:[client]]=syndicat_etude)*(inc_03[[annee]:[annee]]=G$67)*(inc_03[crit_b_hix_hors_rte_ze1]))</f>
        <v>81.774167399271576</v>
      </c>
    </row>
    <row r="82" spans="1:7" ht="15" customHeight="1" x14ac:dyDescent="0.25">
      <c r="A82" s="98"/>
      <c r="B82" s="621" t="s">
        <v>665</v>
      </c>
      <c r="C82" s="5" cm="1">
        <f t="array" ref="C82">SUMPRODUCT((inc_03[[client]:[client]]=syndicat_etude)*(inc_03[[annee]:[annee]]=C$67)*(inc_03[crit_b_hix_hors_rte_ze2]))</f>
        <v>6.8189549180327873</v>
      </c>
      <c r="D82" s="5" cm="1">
        <f t="array" ref="D82">SUMPRODUCT((inc_03[[client]:[client]]=syndicat_etude)*(inc_03[[annee]:[annee]]=D$67)*(inc_03[crit_b_hix_hors_rte_ze2]))</f>
        <v>29.744249949114593</v>
      </c>
      <c r="E82" s="5" cm="1">
        <f t="array" ref="E82">SUMPRODUCT((inc_03[[client]:[client]]=syndicat_etude)*(inc_03[[annee]:[annee]]=E$67)*(inc_03[crit_b_hix_hors_rte_ze2]))</f>
        <v>10.443279217505294</v>
      </c>
      <c r="F82" s="5" cm="1">
        <f t="array" ref="F82">SUMPRODUCT((inc_03[[client]:[client]]=syndicat_etude)*(inc_03[[annee]:[annee]]=F$67)*(inc_03[crit_b_hix_hors_rte_ze2]))</f>
        <v>34.419238114383354</v>
      </c>
      <c r="G82" s="112" cm="1">
        <f t="array" ref="G82">SUMPRODUCT((inc_03[[client]:[client]]=syndicat_etude)*(inc_03[[annee]:[annee]]=G$67)*(inc_03[crit_b_hix_hors_rte_ze2]))</f>
        <v>18.831727426244164</v>
      </c>
    </row>
    <row r="83" spans="1:7" ht="15" customHeight="1" x14ac:dyDescent="0.25">
      <c r="B83" s="621" t="s">
        <v>666</v>
      </c>
      <c r="C83" s="5" cm="1">
        <f t="array" ref="C83">SUMPRODUCT((inc_03[[client]:[client]]=syndicat_etude)*(inc_03[[annee]:[annee]]=C$67)*(inc_03[crit_b_hix_hors_rte_ze3]))</f>
        <v>11.977592597078559</v>
      </c>
      <c r="D83" s="5" cm="1">
        <f t="array" ref="D83">SUMPRODUCT((inc_03[[client]:[client]]=syndicat_etude)*(inc_03[[annee]:[annee]]=D$67)*(inc_03[crit_b_hix_hors_rte_ze3]))</f>
        <v>16.791099470149344</v>
      </c>
      <c r="E83" s="5" cm="1">
        <f t="array" ref="E83">SUMPRODUCT((inc_03[[client]:[client]]=syndicat_etude)*(inc_03[[annee]:[annee]]=E$67)*(inc_03[crit_b_hix_hors_rte_ze3]))</f>
        <v>21.507920273998668</v>
      </c>
      <c r="F83" s="5" cm="1">
        <f t="array" ref="F83">SUMPRODUCT((inc_03[[client]:[client]]=syndicat_etude)*(inc_03[[annee]:[annee]]=F$67)*(inc_03[crit_b_hix_hors_rte_ze3]))</f>
        <v>9.0353646872675313</v>
      </c>
      <c r="G83" s="112" cm="1">
        <f t="array" ref="G83">SUMPRODUCT((inc_03[[client]:[client]]=syndicat_etude)*(inc_03[[annee]:[annee]]=G$67)*(inc_03[crit_b_hix_hors_rte_ze3]))</f>
        <v>22.702345868207001</v>
      </c>
    </row>
    <row r="84" spans="1:7" ht="15" customHeight="1" x14ac:dyDescent="0.25">
      <c r="B84" s="621" t="s">
        <v>667</v>
      </c>
      <c r="C84" s="5" cm="1">
        <f t="array" ref="C84">SUMPRODUCT((inc_03[[client]:[client]]=syndicat_etude)*(inc_03[[annee]:[annee]]=C$67)*(inc_03[crit_b_hix_hors_rte_ze4]))</f>
        <v>0</v>
      </c>
      <c r="D84" s="5" cm="1">
        <f t="array" ref="D84">SUMPRODUCT((inc_03[[client]:[client]]=syndicat_etude)*(inc_03[[annee]:[annee]]=D$67)*(inc_03[crit_b_hix_hors_rte_ze4]))</f>
        <v>0</v>
      </c>
      <c r="E84" s="5" cm="1">
        <f t="array" ref="E84">SUMPRODUCT((inc_03[[client]:[client]]=syndicat_etude)*(inc_03[[annee]:[annee]]=E$67)*(inc_03[crit_b_hix_hors_rte_ze4]))</f>
        <v>0</v>
      </c>
      <c r="F84" s="5" cm="1">
        <f t="array" ref="F84">SUMPRODUCT((inc_03[[client]:[client]]=syndicat_etude)*(inc_03[[annee]:[annee]]=F$67)*(inc_03[crit_b_hix_hors_rte_ze4]))</f>
        <v>0</v>
      </c>
      <c r="G84" s="112" cm="1">
        <f t="array" ref="G84">SUMPRODUCT((inc_03[[client]:[client]]=syndicat_etude)*(inc_03[[annee]:[annee]]=G$67)*(inc_03[crit_b_hix_hors_rte_ze4]))</f>
        <v>0</v>
      </c>
    </row>
    <row r="85" spans="1:7" ht="15" customHeight="1" x14ac:dyDescent="0.25">
      <c r="B85" s="605" t="s">
        <v>663</v>
      </c>
      <c r="C85" s="183"/>
      <c r="D85" s="183"/>
      <c r="E85" s="183"/>
      <c r="F85" s="183"/>
      <c r="G85" s="192"/>
    </row>
    <row r="86" spans="1:7" ht="15" customHeight="1" x14ac:dyDescent="0.25">
      <c r="B86" s="621" t="s">
        <v>664</v>
      </c>
      <c r="C86" s="5">
        <f t="shared" ref="C86:G89" si="5">H62</f>
        <v>111</v>
      </c>
      <c r="D86" s="5">
        <f t="shared" si="5"/>
        <v>102.8</v>
      </c>
      <c r="E86" s="5">
        <f t="shared" si="5"/>
        <v>93.9</v>
      </c>
      <c r="F86" s="5">
        <f t="shared" si="5"/>
        <v>94.6</v>
      </c>
      <c r="G86" s="112">
        <f t="shared" si="5"/>
        <v>130.9</v>
      </c>
    </row>
    <row r="87" spans="1:7" ht="15" customHeight="1" x14ac:dyDescent="0.25">
      <c r="B87" s="621" t="s">
        <v>665</v>
      </c>
      <c r="C87" s="5">
        <f t="shared" si="5"/>
        <v>46</v>
      </c>
      <c r="D87" s="5">
        <f t="shared" si="5"/>
        <v>39.299999999999997</v>
      </c>
      <c r="E87" s="5">
        <f t="shared" si="5"/>
        <v>40.6</v>
      </c>
      <c r="F87" s="5">
        <f t="shared" si="5"/>
        <v>46.7</v>
      </c>
      <c r="G87" s="112">
        <f t="shared" si="5"/>
        <v>51.3</v>
      </c>
    </row>
    <row r="88" spans="1:7" ht="15" customHeight="1" x14ac:dyDescent="0.25">
      <c r="B88" s="621" t="s">
        <v>666</v>
      </c>
      <c r="C88" s="5">
        <f t="shared" si="5"/>
        <v>45</v>
      </c>
      <c r="D88" s="5" t="str">
        <f t="shared" si="5"/>
        <v>NC</v>
      </c>
      <c r="E88" s="5" t="str">
        <f t="shared" si="5"/>
        <v>NC</v>
      </c>
      <c r="F88" s="5" t="str">
        <f t="shared" si="5"/>
        <v>NC</v>
      </c>
      <c r="G88" s="112" t="str">
        <f t="shared" si="5"/>
        <v>NC</v>
      </c>
    </row>
    <row r="89" spans="1:7" ht="15" customHeight="1" x14ac:dyDescent="0.25">
      <c r="B89" s="622" t="s">
        <v>667</v>
      </c>
      <c r="C89" s="90">
        <f t="shared" si="5"/>
        <v>31</v>
      </c>
      <c r="D89" s="90" t="str">
        <f t="shared" si="5"/>
        <v>NC</v>
      </c>
      <c r="E89" s="90" t="str">
        <f t="shared" si="5"/>
        <v>NC</v>
      </c>
      <c r="F89" s="90" t="str">
        <f t="shared" si="5"/>
        <v>NC</v>
      </c>
      <c r="G89" s="91" t="str">
        <f t="shared" si="5"/>
        <v>NC</v>
      </c>
    </row>
    <row r="90" spans="1:7" ht="15" customHeight="1" x14ac:dyDescent="0.25">
      <c r="A90" s="550"/>
      <c r="C90" s="84"/>
      <c r="D90" s="84"/>
      <c r="E90" s="84"/>
      <c r="F90" s="84"/>
      <c r="G90" s="5"/>
    </row>
    <row r="91" spans="1:7" ht="30" customHeight="1" x14ac:dyDescent="0.25">
      <c r="A91" s="25" t="s">
        <v>668</v>
      </c>
      <c r="B91" s="66" t="s">
        <v>669</v>
      </c>
      <c r="C91" s="67" cm="1">
        <f t="array" ref="C91">Exercice[Exercice N-4]</f>
        <v>2019</v>
      </c>
      <c r="D91" s="67" cm="1">
        <f t="array" ref="D91">Exercice[Exercice N-3]</f>
        <v>2020</v>
      </c>
      <c r="E91" s="67" cm="1">
        <f t="array" ref="E91">Exercice[Exercice N-2]</f>
        <v>2021</v>
      </c>
      <c r="F91" s="67" cm="1">
        <f t="array" ref="F91">Exercice[Exercice N-1]</f>
        <v>2022</v>
      </c>
      <c r="G91" s="69" cm="1">
        <f t="array" ref="G91">Exercice[Exercice N]</f>
        <v>2023</v>
      </c>
    </row>
    <row r="92" spans="1:7" ht="15" customHeight="1" x14ac:dyDescent="0.25">
      <c r="A92" s="550"/>
      <c r="B92" s="58" t="s">
        <v>670</v>
      </c>
      <c r="C92" s="5" cm="1">
        <f t="array" ref="C92">SUMPRODUCT((inc_03_face[[client]:[client]]=syndicat_etude)*(inc_03_face[[annee]:[annee]]=C$91)*(inc_03_face[[crit_b_tcc_hors_rte_zeu]:[crit_b_tcc_hors_rte_zeu]]))</f>
        <v>12.3</v>
      </c>
      <c r="D92" s="5" cm="1">
        <f t="array" ref="D92">SUMPRODUCT((inc_03_face[[client]:[client]]=syndicat_etude)*(inc_03_face[[annee]:[annee]]=D$91)*(inc_03_face[[crit_b_tcc_hors_rte_zeu]:[crit_b_tcc_hors_rte_zeu]]))</f>
        <v>20.25</v>
      </c>
      <c r="E92" s="5" cm="1">
        <f t="array" ref="E92">SUMPRODUCT((inc_03_face[[client]:[client]]=syndicat_etude)*(inc_03_face[[annee]:[annee]]=E$91)*(inc_03_face[[crit_b_tcc_hors_rte_zeu]:[crit_b_tcc_hors_rte_zeu]]))</f>
        <v>18.07</v>
      </c>
      <c r="F92" s="5" cm="1">
        <f t="array" ref="F92">SUMPRODUCT((inc_03_face[[client]:[client]]=syndicat_etude)*(inc_03_face[[annee]:[annee]]=F$91)*(inc_03_face[[crit_b_tcc_hors_rte_zeu]:[crit_b_tcc_hors_rte_zeu]]))</f>
        <v>49.88</v>
      </c>
      <c r="G92" s="112" cm="1">
        <f t="array" ref="G92">SUMPRODUCT((inc_03_face[[client]:[client]]=syndicat_etude)*(inc_03_face[[annee]:[annee]]=G$91)*(inc_03_face[[crit_b_tcc_hors_rte_zeu]:[crit_b_tcc_hors_rte_zeu]]))</f>
        <v>23.37</v>
      </c>
    </row>
    <row r="93" spans="1:7" ht="15" customHeight="1" x14ac:dyDescent="0.25">
      <c r="A93" s="550"/>
      <c r="B93" s="58" t="s">
        <v>671</v>
      </c>
      <c r="C93" s="5" cm="1">
        <f t="array" ref="C93">SUMPRODUCT((inc_03_face[[client]:[client]]=syndicat_etude)*(inc_03_face[[annee]:[annee]]=C$91)*(inc_03_face[[crit_b_tcc_hors_rte_zer]:[crit_b_tcc_hors_rte_zer]]))</f>
        <v>10.199999999999999</v>
      </c>
      <c r="D93" s="5" cm="1">
        <f t="array" ref="D93">SUMPRODUCT((inc_03_face[[client]:[client]]=syndicat_etude)*(inc_03_face[[annee]:[annee]]=D$91)*(inc_03_face[[crit_b_tcc_hors_rte_zer]:[crit_b_tcc_hors_rte_zer]]))</f>
        <v>88.61</v>
      </c>
      <c r="E93" s="5" cm="1">
        <f t="array" ref="E93">SUMPRODUCT((inc_03_face[[client]:[client]]=syndicat_etude)*(inc_03_face[[annee]:[annee]]=E$91)*(inc_03_face[[crit_b_tcc_hors_rte_zer]:[crit_b_tcc_hors_rte_zer]]))</f>
        <v>69.45</v>
      </c>
      <c r="F93" s="5" cm="1">
        <f t="array" ref="F93">SUMPRODUCT((inc_03_face[[client]:[client]]=syndicat_etude)*(inc_03_face[[annee]:[annee]]=F$91)*(inc_03_face[[crit_b_tcc_hors_rte_zer]:[crit_b_tcc_hors_rte_zer]]))</f>
        <v>99.27</v>
      </c>
      <c r="G93" s="112" cm="1">
        <f t="array" ref="G93">SUMPRODUCT((inc_03_face[[client]:[client]]=syndicat_etude)*(inc_03_face[[annee]:[annee]]=G$91)*(inc_03_face[[crit_b_tcc_hors_rte_zer]:[crit_b_tcc_hors_rte_zer]]))</f>
        <v>91.38</v>
      </c>
    </row>
    <row r="94" spans="1:7" ht="15" customHeight="1" x14ac:dyDescent="0.25">
      <c r="A94" s="550"/>
      <c r="B94" s="58" t="s">
        <v>672</v>
      </c>
      <c r="C94" s="5" cm="1">
        <f t="array" ref="C94">SUMPRODUCT((inc_03_face[[client]:[client]]=syndicat_etude)*(inc_03_face[[annee]:[annee]]=C$91)*(inc_03_face[[crit_b_hix_hors_rte_zeu]:[crit_b_hix_hors_rte_zeu]]))</f>
        <v>11.92</v>
      </c>
      <c r="D94" s="5" cm="1">
        <f t="array" ref="D94">SUMPRODUCT((inc_03_face[[client]:[client]]=syndicat_etude)*(inc_03_face[[annee]:[annee]]=D$91)*(inc_03_face[[crit_b_hix_hors_rte_zeu]:[crit_b_hix_hors_rte_zeu]]))</f>
        <v>19.579999999999998</v>
      </c>
      <c r="E94" s="5" cm="1">
        <f t="array" ref="E94">SUMPRODUCT((inc_03_face[[client]:[client]]=syndicat_etude)*(inc_03_face[[annee]:[annee]]=E$91)*(inc_03_face[[crit_b_hix_hors_rte_zeu]:[crit_b_hix_hors_rte_zeu]]))</f>
        <v>17.690000000000001</v>
      </c>
      <c r="F94" s="5" cm="1">
        <f t="array" ref="F94">SUMPRODUCT((inc_03_face[[client]:[client]]=syndicat_etude)*(inc_03_face[[annee]:[annee]]=F$91)*(inc_03_face[[crit_b_hix_hors_rte_zeu]:[crit_b_hix_hors_rte_zeu]]))</f>
        <v>49.3</v>
      </c>
      <c r="G94" s="112" cm="1">
        <f t="array" ref="G94">SUMPRODUCT((inc_03_face[[client]:[client]]=syndicat_etude)*(inc_03_face[[annee]:[annee]]=G$91)*(inc_03_face[[crit_b_hix_hors_rte_zeu]:[crit_b_hix_hors_rte_zeu]]))</f>
        <v>22.58</v>
      </c>
    </row>
    <row r="95" spans="1:7" ht="15" customHeight="1" x14ac:dyDescent="0.25">
      <c r="A95" s="550"/>
      <c r="B95" s="190" t="s">
        <v>673</v>
      </c>
      <c r="C95" s="90" cm="1">
        <f t="array" ref="C95">SUMPRODUCT((inc_03_face[[client]:[client]]=syndicat_etude)*(inc_03_face[[annee]:[annee]]=C$91)*(inc_03_face[[crit_b_hix_hors_rte_zer]:[crit_b_hix_hors_rte_zer]]))</f>
        <v>9.85</v>
      </c>
      <c r="D95" s="90" cm="1">
        <f t="array" ref="D95">SUMPRODUCT((inc_03_face[[client]:[client]]=syndicat_etude)*(inc_03_face[[annee]:[annee]]=D$91)*(inc_03_face[[crit_b_hix_hors_rte_zer]:[crit_b_hix_hors_rte_zer]]))</f>
        <v>88.16</v>
      </c>
      <c r="E95" s="90" cm="1">
        <f t="array" ref="E95">SUMPRODUCT((inc_03_face[[client]:[client]]=syndicat_etude)*(inc_03_face[[annee]:[annee]]=E$91)*(inc_03_face[[crit_b_hix_hors_rte_zer]:[crit_b_hix_hors_rte_zer]]))</f>
        <v>63.29</v>
      </c>
      <c r="F95" s="90" cm="1">
        <f t="array" ref="F95">SUMPRODUCT((inc_03_face[[client]:[client]]=syndicat_etude)*(inc_03_face[[annee]:[annee]]=F$91)*(inc_03_face[[crit_b_hix_hors_rte_zer]:[crit_b_hix_hors_rte_zer]]))</f>
        <v>98.75</v>
      </c>
      <c r="G95" s="91" cm="1">
        <f t="array" ref="G95">SUMPRODUCT((inc_03_face[[client]:[client]]=syndicat_etude)*(inc_03_face[[annee]:[annee]]=G$91)*(inc_03_face[[crit_b_hix_hors_rte_zer]:[crit_b_hix_hors_rte_zer]]))</f>
        <v>90.9</v>
      </c>
    </row>
    <row r="96" spans="1:7" ht="15" customHeight="1" x14ac:dyDescent="0.25">
      <c r="A96" s="550"/>
      <c r="C96" s="84"/>
      <c r="D96" s="84"/>
      <c r="E96" s="84"/>
      <c r="F96" s="84"/>
      <c r="G96" s="5"/>
    </row>
    <row r="97" spans="1:7" ht="30" customHeight="1" x14ac:dyDescent="0.25">
      <c r="A97" s="551" t="s">
        <v>674</v>
      </c>
      <c r="B97" s="66" t="s">
        <v>675</v>
      </c>
      <c r="C97" s="67" cm="1">
        <f t="array" ref="C97">Exercice[Exercice N-4]</f>
        <v>2019</v>
      </c>
      <c r="D97" s="67" cm="1">
        <f t="array" ref="D97">Exercice[Exercice N-3]</f>
        <v>2020</v>
      </c>
      <c r="E97" s="67" cm="1">
        <f t="array" ref="E97">Exercice[Exercice N-2]</f>
        <v>2021</v>
      </c>
      <c r="F97" s="67" cm="1">
        <f t="array" ref="F97">Exercice[Exercice N-1]</f>
        <v>2022</v>
      </c>
      <c r="G97" s="69" cm="1">
        <f t="array" ref="G97">Exercice[Exercice N]</f>
        <v>2023</v>
      </c>
    </row>
    <row r="98" spans="1:7" ht="15" customHeight="1" x14ac:dyDescent="0.25">
      <c r="A98" s="550"/>
      <c r="B98" s="191" t="s">
        <v>676</v>
      </c>
      <c r="C98" s="183" cm="1">
        <f t="array" ref="C98">SUMPRODUCT((inc_03_face_bt[[client]:[client]]=syndicat_etude)*(inc_03_face_bt[[annee]:[annee]]=C$97)*(inc_03_face_bt[[Code Regime FACE]:[Code Regime FACE]]="U")*(inc_03_face_bt[[Critère B Hix BT total]:[Critère B Hix BT total]]))</f>
        <v>12.44</v>
      </c>
      <c r="D98" s="183" cm="1">
        <f t="array" ref="D98">SUMPRODUCT((inc_03_face_bt[[client]:[client]]=syndicat_etude)*(inc_03_face_bt[[annee]:[annee]]=D$97)*(inc_03_face_bt[[Code Regime FACE]:[Code Regime FACE]]="U")*(inc_03_face_bt[[Critère B Hix BT total]:[Critère B Hix BT total]]))</f>
        <v>12.28</v>
      </c>
      <c r="E98" s="183" cm="1">
        <f t="array" ref="E98">SUMPRODUCT((inc_03_face_bt[[client]:[client]]=syndicat_etude)*(inc_03_face_bt[[annee]:[annee]]=E$97)*(inc_03_face_bt[[Code Regime FACE]:[Code Regime FACE]]="U")*(inc_03_face_bt[[Critère B Hix BT total]:[Critère B Hix BT total]]))</f>
        <v>12.71</v>
      </c>
      <c r="F98" s="183" cm="1">
        <f t="array" ref="F98">SUMPRODUCT((inc_03_face_bt[[client]:[client]]=syndicat_etude)*(inc_03_face_bt[[annee]:[annee]]=F$97)*(inc_03_face_bt[[Code Regime FACE]:[Code Regime FACE]]="U")*(inc_03_face_bt[[Critère B Hix BT total]:[Critère B Hix BT total]]))</f>
        <v>12.31</v>
      </c>
      <c r="G98" s="192" cm="1">
        <f t="array" ref="G98">SUMPRODUCT((inc_03_face_bt[[client]:[client]]=syndicat_etude)*(inc_03_face_bt[[annee]:[annee]]=G$97)*(inc_03_face_bt[[Code Regime FACE]:[Code Regime FACE]]="U")*(inc_03_face_bt[[Critère B Hix BT total]:[Critère B Hix BT total]]))</f>
        <v>16.05</v>
      </c>
    </row>
    <row r="99" spans="1:7" ht="15" customHeight="1" x14ac:dyDescent="0.25">
      <c r="A99" s="550"/>
      <c r="B99" s="191" t="s">
        <v>677</v>
      </c>
      <c r="C99" s="183" cm="1">
        <f t="array" ref="C99">SUMPRODUCT((inc_03_face_bt[[client]:[client]]=syndicat_etude)*(inc_03_face_bt[[annee]:[annee]]=C$97)*(inc_03_face_bt[[Code Regime FACE]:[Code Regime FACE]]="R")*(inc_03_face_bt[[Critère B Hix BT total]:[Critère B Hix BT total]]))</f>
        <v>17.82</v>
      </c>
      <c r="D99" s="183" cm="1">
        <f t="array" ref="D99">SUMPRODUCT((inc_03_face_bt[[client]:[client]]=syndicat_etude)*(inc_03_face_bt[[annee]:[annee]]=D$97)*(inc_03_face_bt[[Code Regime FACE]:[Code Regime FACE]]="R")*(inc_03_face_bt[[Critère B Hix BT total]:[Critère B Hix BT total]]))</f>
        <v>12.24</v>
      </c>
      <c r="E99" s="183" cm="1">
        <f t="array" ref="E99">SUMPRODUCT((inc_03_face_bt[[client]:[client]]=syndicat_etude)*(inc_03_face_bt[[annee]:[annee]]=E$97)*(inc_03_face_bt[[Code Regime FACE]:[Code Regime FACE]]="R")*(inc_03_face_bt[[Critère B Hix BT total]:[Critère B Hix BT total]]))</f>
        <v>21.29</v>
      </c>
      <c r="F99" s="183" cm="1">
        <f t="array" ref="F99">SUMPRODUCT((inc_03_face_bt[[client]:[client]]=syndicat_etude)*(inc_03_face_bt[[annee]:[annee]]=F$97)*(inc_03_face_bt[[Code Regime FACE]:[Code Regime FACE]]="R")*(inc_03_face_bt[[Critère B Hix BT total]:[Critère B Hix BT total]]))</f>
        <v>19.239999999999998</v>
      </c>
      <c r="G99" s="192" cm="1">
        <f t="array" ref="G99">SUMPRODUCT((inc_03_face_bt[[client]:[client]]=syndicat_etude)*(inc_03_face_bt[[annee]:[annee]]=G$97)*(inc_03_face_bt[[Code Regime FACE]:[Code Regime FACE]]="R")*(inc_03_face_bt[[Critère B Hix BT total]:[Critère B Hix BT total]]))</f>
        <v>18.39</v>
      </c>
    </row>
    <row r="100" spans="1:7" ht="15" customHeight="1" x14ac:dyDescent="0.25">
      <c r="A100" s="550"/>
      <c r="B100" s="58" t="s">
        <v>678</v>
      </c>
      <c r="C100" s="5" cm="1">
        <f t="array" ref="C100">SUMPRODUCT((inc_03_face_bt[[client]:[client]]=syndicat_etude)*(inc_03_face_bt[[annee]:[annee]]=C$97)*(inc_03_face_bt[[Code Regime FACE]:[Code Regime FACE]]="U")*(inc_03_face_bt[[Critère B Hix BT incident]:[Critère B Hix BT incident]]))</f>
        <v>7.22</v>
      </c>
      <c r="D100" s="5" cm="1">
        <f t="array" ref="D100">SUMPRODUCT((inc_03_face_bt[[client]:[client]]=syndicat_etude)*(inc_03_face_bt[[annee]:[annee]]=D$97)*(inc_03_face_bt[[Code Regime FACE]:[Code Regime FACE]]="U")*(inc_03_face_bt[[Critère B Hix BT incident]:[Critère B Hix BT incident]]))</f>
        <v>7.79</v>
      </c>
      <c r="E100" s="5" cm="1">
        <f t="array" ref="E100">SUMPRODUCT((inc_03_face_bt[[client]:[client]]=syndicat_etude)*(inc_03_face_bt[[annee]:[annee]]=E$97)*(inc_03_face_bt[[Code Regime FACE]:[Code Regime FACE]]="U")*(inc_03_face_bt[[Critère B Hix BT incident]:[Critère B Hix BT incident]]))</f>
        <v>8.0299999999999994</v>
      </c>
      <c r="F100" s="5" cm="1">
        <f t="array" ref="F100">SUMPRODUCT((inc_03_face_bt[[client]:[client]]=syndicat_etude)*(inc_03_face_bt[[annee]:[annee]]=F$97)*(inc_03_face_bt[[Code Regime FACE]:[Code Regime FACE]]="U")*(inc_03_face_bt[[Critère B Hix BT incident]:[Critère B Hix BT incident]]))</f>
        <v>6.13</v>
      </c>
      <c r="G100" s="112" cm="1">
        <f t="array" ref="G100">SUMPRODUCT((inc_03_face_bt[[client]:[client]]=syndicat_etude)*(inc_03_face_bt[[annee]:[annee]]=G$97)*(inc_03_face_bt[[Code Regime FACE]:[Code Regime FACE]]="U")*(inc_03_face_bt[[Critère B Hix BT incident]:[Critère B Hix BT incident]]))</f>
        <v>4.53</v>
      </c>
    </row>
    <row r="101" spans="1:7" ht="15" customHeight="1" x14ac:dyDescent="0.25">
      <c r="A101" s="550"/>
      <c r="B101" s="191" t="s">
        <v>679</v>
      </c>
      <c r="C101" s="183" cm="1">
        <f t="array" ref="C101">SUMPRODUCT((inc_03_face_bt[[client]:[client]]=syndicat_etude)*(inc_03_face_bt[[annee]:[annee]]=C$97)*(inc_03_face_bt[[Code Regime FACE]:[Code Regime FACE]]="R")*(inc_03_face_bt[[Critère B Hix BT incident]:[Critère B Hix BT incident]]))</f>
        <v>8.64</v>
      </c>
      <c r="D101" s="183" cm="1">
        <f t="array" ref="D101">SUMPRODUCT((inc_03_face_bt[[client]:[client]]=syndicat_etude)*(inc_03_face_bt[[annee]:[annee]]=D$97)*(inc_03_face_bt[[Code Regime FACE]:[Code Regime FACE]]="R")*(inc_03_face_bt[[Critère B Hix BT incident]:[Critère B Hix BT incident]]))</f>
        <v>6.31</v>
      </c>
      <c r="E101" s="183" cm="1">
        <f t="array" ref="E101">SUMPRODUCT((inc_03_face_bt[[client]:[client]]=syndicat_etude)*(inc_03_face_bt[[annee]:[annee]]=E$97)*(inc_03_face_bt[[Code Regime FACE]:[Code Regime FACE]]="R")*(inc_03_face_bt[[Critère B Hix BT incident]:[Critère B Hix BT incident]]))</f>
        <v>13.47</v>
      </c>
      <c r="F101" s="183" cm="1">
        <f t="array" ref="F101">SUMPRODUCT((inc_03_face_bt[[client]:[client]]=syndicat_etude)*(inc_03_face_bt[[annee]:[annee]]=F$97)*(inc_03_face_bt[[Code Regime FACE]:[Code Regime FACE]]="R")*(inc_03_face_bt[[Critère B Hix BT incident]:[Critère B Hix BT incident]]))</f>
        <v>9.61</v>
      </c>
      <c r="G101" s="192" cm="1">
        <f t="array" ref="G101">SUMPRODUCT((inc_03_face_bt[[client]:[client]]=syndicat_etude)*(inc_03_face_bt[[annee]:[annee]]=G$97)*(inc_03_face_bt[[Code Regime FACE]:[Code Regime FACE]]="R")*(inc_03_face_bt[[Critère B Hix BT incident]:[Critère B Hix BT incident]]))</f>
        <v>9.43</v>
      </c>
    </row>
    <row r="102" spans="1:7" ht="15" customHeight="1" x14ac:dyDescent="0.25">
      <c r="A102" s="550"/>
      <c r="B102" s="58" t="s">
        <v>680</v>
      </c>
      <c r="C102" s="5" cm="1">
        <f t="array" ref="C102">SUMPRODUCT((inc_03_face_bt[[client]:[client]]=syndicat_etude)*(inc_03_face_bt[[annee]:[annee]]=C$97)*(inc_03_face_bt[[Code Regime FACE]:[Code Regime FACE]]="U")*(inc_03_face_bt[[Critère B Hix BT travaux]:[Critère B Hix BT travaux]]))</f>
        <v>5.21</v>
      </c>
      <c r="D102" s="5" cm="1">
        <f t="array" ref="D102">SUMPRODUCT((inc_03_face_bt[[client]:[client]]=syndicat_etude)*(inc_03_face_bt[[annee]:[annee]]=D$97)*(inc_03_face_bt[[Code Regime FACE]:[Code Regime FACE]]="U")*(inc_03_face_bt[[Critère B Hix BT travaux]:[Critère B Hix BT travaux]]))</f>
        <v>4.49</v>
      </c>
      <c r="E102" s="5" cm="1">
        <f t="array" ref="E102">SUMPRODUCT((inc_03_face_bt[[client]:[client]]=syndicat_etude)*(inc_03_face_bt[[annee]:[annee]]=E$97)*(inc_03_face_bt[[Code Regime FACE]:[Code Regime FACE]]="U")*(inc_03_face_bt[[Critère B Hix BT travaux]:[Critère B Hix BT travaux]]))</f>
        <v>4.68</v>
      </c>
      <c r="F102" s="5" cm="1">
        <f t="array" ref="F102">SUMPRODUCT((inc_03_face_bt[[client]:[client]]=syndicat_etude)*(inc_03_face_bt[[annee]:[annee]]=F$97)*(inc_03_face_bt[[Code Regime FACE]:[Code Regime FACE]]="U")*(inc_03_face_bt[[Critère B Hix BT travaux]:[Critère B Hix BT travaux]]))</f>
        <v>6.18</v>
      </c>
      <c r="G102" s="112" cm="1">
        <f t="array" ref="G102">SUMPRODUCT((inc_03_face_bt[[client]:[client]]=syndicat_etude)*(inc_03_face_bt[[annee]:[annee]]=G$97)*(inc_03_face_bt[[Code Regime FACE]:[Code Regime FACE]]="U")*(inc_03_face_bt[[Critère B Hix BT travaux]:[Critère B Hix BT travaux]]))</f>
        <v>11.51</v>
      </c>
    </row>
    <row r="103" spans="1:7" ht="15" customHeight="1" x14ac:dyDescent="0.25">
      <c r="A103" s="550"/>
      <c r="B103" s="223" t="s">
        <v>681</v>
      </c>
      <c r="C103" s="623" cm="1">
        <f t="array" ref="C103">SUMPRODUCT((inc_03_face_bt[[client]:[client]]=syndicat_etude)*(inc_03_face_bt[[annee]:[annee]]=C$97)*(inc_03_face_bt[[Code Regime FACE]:[Code Regime FACE]]="R")*(inc_03_face_bt[[Critère B Hix BT travaux]:[Critère B Hix BT travaux]]))</f>
        <v>9.17</v>
      </c>
      <c r="D103" s="623" cm="1">
        <f t="array" ref="D103">SUMPRODUCT((inc_03_face_bt[[client]:[client]]=syndicat_etude)*(inc_03_face_bt[[annee]:[annee]]=D$97)*(inc_03_face_bt[[Code Regime FACE]:[Code Regime FACE]]="R")*(inc_03_face_bt[[Critère B Hix BT travaux]:[Critère B Hix BT travaux]]))</f>
        <v>5.93</v>
      </c>
      <c r="E103" s="623" cm="1">
        <f t="array" ref="E103">SUMPRODUCT((inc_03_face_bt[[client]:[client]]=syndicat_etude)*(inc_03_face_bt[[annee]:[annee]]=E$97)*(inc_03_face_bt[[Code Regime FACE]:[Code Regime FACE]]="R")*(inc_03_face_bt[[Critère B Hix BT travaux]:[Critère B Hix BT travaux]]))</f>
        <v>7.82</v>
      </c>
      <c r="F103" s="623" cm="1">
        <f t="array" ref="F103">SUMPRODUCT((inc_03_face_bt[[client]:[client]]=syndicat_etude)*(inc_03_face_bt[[annee]:[annee]]=F$97)*(inc_03_face_bt[[Code Regime FACE]:[Code Regime FACE]]="R")*(inc_03_face_bt[[Critère B Hix BT travaux]:[Critère B Hix BT travaux]]))</f>
        <v>9.6300000000000008</v>
      </c>
      <c r="G103" s="225" cm="1">
        <f t="array" ref="G103">SUMPRODUCT((inc_03_face_bt[[client]:[client]]=syndicat_etude)*(inc_03_face_bt[[annee]:[annee]]=G$97)*(inc_03_face_bt[[Code Regime FACE]:[Code Regime FACE]]="R")*(inc_03_face_bt[[Critère B Hix BT travaux]:[Critère B Hix BT travaux]]))</f>
        <v>8.9600000000000009</v>
      </c>
    </row>
    <row r="104" spans="1:7" ht="15" customHeight="1" x14ac:dyDescent="0.25">
      <c r="C104" s="5"/>
      <c r="D104" s="5"/>
      <c r="E104" s="5"/>
    </row>
    <row r="105" spans="1:7" ht="30" customHeight="1" x14ac:dyDescent="0.25">
      <c r="A105" s="25" t="s">
        <v>682</v>
      </c>
      <c r="B105" s="66" t="str" cm="1">
        <f t="array" ref="B105">"Durées de coupure par siège - exercice "&amp;Exercice[Exercice N]</f>
        <v>Durées de coupure par siège - exercice 2023</v>
      </c>
      <c r="C105" s="67" t="s">
        <v>683</v>
      </c>
      <c r="D105" s="69" t="s">
        <v>684</v>
      </c>
      <c r="E105" s="5"/>
    </row>
    <row r="106" spans="1:7" ht="15" customHeight="1" x14ac:dyDescent="0.25">
      <c r="B106" s="58" t="s">
        <v>685</v>
      </c>
      <c r="C106" s="8" cm="1">
        <f t="array" ref="C106">SUMPRODUCT((inc_04[[client]:[client]]=syndicat_etude)*(inc_04[[annee]:[annee]]=annee_CRAC)*(inc_04[[taux_incident_hta_autre]:[taux_incident_hta_autre]]))</f>
        <v>3.0099999999999998E-2</v>
      </c>
      <c r="D106" s="80" cm="1">
        <f t="array" ref="D106">SUMPRODUCT((inc_04[[client]:[client]]=syndicat_etude)*(inc_04[[annee]:[annee]]=annee_CRAC)*(inc_04[[taux_travaux_hta_autre]:[taux_travaux_hta_autre]]))</f>
        <v>3.5000000000000003E-2</v>
      </c>
    </row>
    <row r="107" spans="1:7" ht="15" customHeight="1" x14ac:dyDescent="0.25">
      <c r="B107" s="58" t="s">
        <v>686</v>
      </c>
      <c r="C107" s="8" cm="1">
        <f t="array" ref="C107">SUMPRODUCT((inc_04[[client]:[client]]=syndicat_etude)*(inc_04[[annee]:[annee]]=annee_CRAC)*(inc_04[[taux_incident_hta_aerien]:[taux_incident_hta_aerien]]))</f>
        <v>0.61019999999999996</v>
      </c>
      <c r="D107" s="80" cm="1">
        <f t="array" ref="D107">SUMPRODUCT((inc_04[[client]:[client]]=syndicat_etude)*(inc_04[[annee]:[annee]]=annee_CRAC)*(inc_04[[taux_travaux_hta_aerien]:[taux_travaux_hta_aerien]]))</f>
        <v>0.2858</v>
      </c>
    </row>
    <row r="108" spans="1:7" ht="15" customHeight="1" x14ac:dyDescent="0.25">
      <c r="B108" s="58" t="s">
        <v>687</v>
      </c>
      <c r="C108" s="8" cm="1">
        <f t="array" ref="C108">SUMPRODUCT((inc_04[[client]:[client]]=syndicat_etude)*(inc_04[[annee]:[annee]]=annee_CRAC)*(inc_04[[taux_incident_hta_poste_hta_bt]:[taux_incident_hta_poste_hta_bt]]))</f>
        <v>5.33E-2</v>
      </c>
      <c r="D108" s="80" cm="1">
        <f t="array" ref="D108">SUMPRODUCT((inc_04[[client]:[client]]=syndicat_etude)*(inc_04[[annee]:[annee]]=annee_CRAC)*(inc_04[[taux_travaux_hta_poste_hta_bt]:[taux_travaux_hta_poste_hta_bt]]))</f>
        <v>0.22500000000000001</v>
      </c>
    </row>
    <row r="109" spans="1:7" ht="15" customHeight="1" x14ac:dyDescent="0.25">
      <c r="B109" s="58" t="s">
        <v>688</v>
      </c>
      <c r="C109" s="8" cm="1">
        <f t="array" ref="C109">SUMPRODUCT((inc_04[[client]:[client]]=syndicat_etude)*(inc_04[[annee]:[annee]]=annee_CRAC)*(inc_04[[taux_incident_hta_sans_degat]:[taux_incident_hta_sans_degat]]))</f>
        <v>2.2499999999999999E-2</v>
      </c>
      <c r="D109" s="80" cm="1">
        <f t="array" ref="D109">SUMPRODUCT((inc_04[[client]:[client]]=syndicat_etude)*(inc_04[[annee]:[annee]]=annee_CRAC)*(inc_04[[taux_travaux_hta_sans_degat]:[taux_travaux_hta_sans_degat]]))</f>
        <v>0</v>
      </c>
    </row>
    <row r="110" spans="1:7" ht="15" customHeight="1" x14ac:dyDescent="0.25">
      <c r="B110" s="58" t="s">
        <v>689</v>
      </c>
      <c r="C110" s="8" cm="1">
        <f t="array" ref="C110">SUMPRODUCT((inc_04[[client]:[client]]=syndicat_etude)*(inc_04[[annee]:[annee]]=annee_CRAC)*(inc_04[[taux_incident_hta_souterrain]:[taux_incident_hta_souterrain]]))</f>
        <v>0.1265</v>
      </c>
      <c r="D110" s="80" cm="1">
        <f t="array" ref="D110">SUMPRODUCT((inc_04[[client]:[client]]=syndicat_etude)*(inc_04[[annee]:[annee]]=annee_CRAC)*(inc_04[[taux_travaux_hta_souterrain]:[taux_travaux_hta_souterrain]]))</f>
        <v>1.9199999999999998E-2</v>
      </c>
    </row>
    <row r="111" spans="1:7" ht="15" customHeight="1" x14ac:dyDescent="0.25">
      <c r="B111" s="58" t="s">
        <v>690</v>
      </c>
      <c r="C111" s="8" cm="1">
        <f t="array" ref="C111">SUMPRODUCT((inc_04[[client]:[client]]=syndicat_etude)*(inc_04[[annee]:[annee]]=annee_CRAC)*(inc_04[[taux_incident_hta_inconnu]:[taux_incident_hta_inconnu]]))</f>
        <v>0</v>
      </c>
      <c r="D111" s="80" cm="1">
        <f t="array" ref="D111">SUMPRODUCT((inc_04[[client]:[client]]=syndicat_etude)*(inc_04[[annee]:[annee]]=annee_CRAC)*(inc_04[[taux_travaux_hta_inconnu]:[taux_travaux_hta_inconnu]]))</f>
        <v>4.5999999999999999E-3</v>
      </c>
    </row>
    <row r="112" spans="1:7" ht="15" customHeight="1" x14ac:dyDescent="0.25">
      <c r="B112" s="58" t="s">
        <v>691</v>
      </c>
      <c r="C112" s="8" cm="1">
        <f t="array" ref="C112">SUMPRODUCT((inc_04[[client]:[client]]=syndicat_etude)*(inc_04[[annee]:[annee]]=annee_CRAC)*(inc_04[[taux_incident_bt_autre]:[taux_incident_bt_autre]]))</f>
        <v>1.6400000000000001E-2</v>
      </c>
      <c r="D112" s="80" cm="1">
        <f t="array" ref="D112">SUMPRODUCT((inc_04[[client]:[client]]=syndicat_etude)*(inc_04[[annee]:[annee]]=annee_CRAC)*(inc_04[[taux_travaux_bt_autre]:[taux_travaux_bt_autre]]))</f>
        <v>8.4500000000000006E-2</v>
      </c>
    </row>
    <row r="113" spans="1:8" ht="15" customHeight="1" x14ac:dyDescent="0.25">
      <c r="B113" s="58" t="s">
        <v>692</v>
      </c>
      <c r="C113" s="8" cm="1">
        <f t="array" ref="C113">SUMPRODUCT((inc_04[[client]:[client]]=syndicat_etude)*(inc_04[[annee]:[annee]]=annee_CRAC)*(inc_04[[taux_incident_bt_aerien]:[taux_incident_bt_aerien]]))</f>
        <v>3.4599999999999999E-2</v>
      </c>
      <c r="D113" s="80" cm="1">
        <f t="array" ref="D113">SUMPRODUCT((inc_04[[client]:[client]]=syndicat_etude)*(inc_04[[annee]:[annee]]=annee_CRAC)*(inc_04[[taux_travaux_bt_aerien]:[taux_travaux_bt_aerien]]))</f>
        <v>0.15820000000000001</v>
      </c>
    </row>
    <row r="114" spans="1:8" ht="15" customHeight="1" x14ac:dyDescent="0.25">
      <c r="B114" s="58" t="s">
        <v>693</v>
      </c>
      <c r="C114" s="8" cm="1">
        <f t="array" ref="C114">SUMPRODUCT((inc_04[[client]:[client]]=syndicat_etude)*(inc_04[[annee]:[annee]]=annee_CRAC)*(inc_04[[taux_incident_bt_poste_hta_bt]:[taux_incident_bt_poste_hta_bt]]))</f>
        <v>2.8899999999999999E-2</v>
      </c>
      <c r="D114" s="80" cm="1">
        <f t="array" ref="D114">SUMPRODUCT((inc_04[[client]:[client]]=syndicat_etude)*(inc_04[[annee]:[annee]]=annee_CRAC)*(inc_04[[taux_travaux_bt_poste_hta_bt]:[taux_travaux_bt_poste_hta_bt]]))</f>
        <v>5.9299999999999999E-2</v>
      </c>
    </row>
    <row r="115" spans="1:8" ht="15" customHeight="1" x14ac:dyDescent="0.25">
      <c r="B115" s="58" t="s">
        <v>694</v>
      </c>
      <c r="C115" s="8" cm="1">
        <f t="array" ref="C115">SUMPRODUCT((inc_04[[client]:[client]]=syndicat_etude)*(inc_04[[annee]:[annee]]=annee_CRAC)*(inc_04[[taux_incident_bt_sans_degat]:[taux_incident_bt_sans_degat]]))</f>
        <v>0</v>
      </c>
      <c r="D115" s="80" cm="1">
        <f t="array" ref="D115">SUMPRODUCT((inc_04[[client]:[client]]=syndicat_etude)*(inc_04[[annee]:[annee]]=annee_CRAC)*(inc_04[[taux_travaux_bt_sans_degat]:[taux_travaux_bt_sans_degat]]))</f>
        <v>0</v>
      </c>
    </row>
    <row r="116" spans="1:8" ht="15" customHeight="1" x14ac:dyDescent="0.25">
      <c r="B116" s="58" t="s">
        <v>695</v>
      </c>
      <c r="C116" s="8" cm="1">
        <f t="array" ref="C116">SUMPRODUCT((inc_04[[client]:[client]]=syndicat_etude)*(inc_04[[annee]:[annee]]=annee_CRAC)*(inc_04[[taux_incident_bt_souterrain]:[taux_incident_bt_souterrain]]))</f>
        <v>5.2900000000000003E-2</v>
      </c>
      <c r="D116" s="80" cm="1">
        <f t="array" ref="D116">SUMPRODUCT((inc_04[[client]:[client]]=syndicat_etude)*(inc_04[[annee]:[annee]]=annee_CRAC)*(inc_04[[taux_travaux_bt_souterrain]:[taux_travaux_bt_souterrain]]))</f>
        <v>0.1285</v>
      </c>
    </row>
    <row r="117" spans="1:8" ht="15" customHeight="1" x14ac:dyDescent="0.25">
      <c r="B117" s="223" t="s">
        <v>696</v>
      </c>
      <c r="C117" s="316" cm="1">
        <f t="array" ref="C117">SUMPRODUCT((inc_04[[client]:[client]]=syndicat_etude)*(inc_04[[annee]:[annee]]=annee_CRAC)*(inc_04[[total_nititot_incident_hta_bt]:[total_nititot_incident_hta_bt]]))</f>
        <v>5727053</v>
      </c>
      <c r="D117" s="624" cm="1">
        <f t="array" ref="D117">SUMPRODUCT((inc_04[[client]:[client]]=syndicat_etude)*(inc_04[[annee]:[annee]]=annee_CRAC)*(inc_04[[total_nititot_travaux_hta_bt]:[total_nititot_travaux_hta_bt]]))</f>
        <v>3722888</v>
      </c>
    </row>
    <row r="119" spans="1:8" ht="30" customHeight="1" x14ac:dyDescent="0.25">
      <c r="A119" s="25" t="s">
        <v>697</v>
      </c>
      <c r="B119" s="66" t="s">
        <v>698</v>
      </c>
      <c r="C119" s="67" cm="1">
        <f t="array" ref="C119">Exercice[Exercice N-4]</f>
        <v>2019</v>
      </c>
      <c r="D119" s="67" cm="1">
        <f t="array" ref="D119">Exercice[Exercice N-3]</f>
        <v>2020</v>
      </c>
      <c r="E119" s="67" cm="1">
        <f t="array" ref="E119">Exercice[Exercice N-2]</f>
        <v>2021</v>
      </c>
      <c r="F119" s="67" cm="1">
        <f t="array" ref="F119">Exercice[Exercice N-1]</f>
        <v>2022</v>
      </c>
      <c r="G119" s="69" cm="1">
        <f t="array" ref="G119">Exercice[Exercice N]</f>
        <v>2023</v>
      </c>
    </row>
    <row r="120" spans="1:8" ht="15" customHeight="1" x14ac:dyDescent="0.25">
      <c r="B120" s="211" t="s">
        <v>699</v>
      </c>
      <c r="C120" s="123" cm="1">
        <f t="array" ref="C120">SUMPRODUCT((inc_06[[client]:[client]]=syndicat_etude)*(inc_06[[annee]:[annee]]=C$119)*(inc_06[nbr_coupures_totales]))</f>
        <v>348</v>
      </c>
      <c r="D120" s="123" cm="1">
        <f t="array" ref="D120">SUMPRODUCT((inc_06[[client]:[client]]=syndicat_etude)*(inc_06[[annee]:[annee]]=D$119)*(inc_06[nbr_coupures_totales]))</f>
        <v>338</v>
      </c>
      <c r="E120" s="123" cm="1">
        <f t="array" ref="E120">SUMPRODUCT((inc_06[[client]:[client]]=syndicat_etude)*(inc_06[[annee]:[annee]]=E$119)*(inc_06[nbr_coupures_totales]))</f>
        <v>404</v>
      </c>
      <c r="F120" s="123" cm="1">
        <f t="array" ref="F120">SUMPRODUCT((inc_06[[client]:[client]]=syndicat_etude)*(inc_06[[annee]:[annee]]=F$119)*(inc_06[nbr_coupures_totales]))</f>
        <v>369</v>
      </c>
      <c r="G120" s="212" cm="1">
        <f t="array" ref="G120">SUMPRODUCT((inc_06[[client]:[client]]=syndicat_etude)*(inc_06[[annee]:[annee]]=G$119)*(inc_06[nbr_coupures_totales]))</f>
        <v>446</v>
      </c>
    </row>
    <row r="121" spans="1:8" ht="15" customHeight="1" x14ac:dyDescent="0.25">
      <c r="B121" s="261" t="s">
        <v>700</v>
      </c>
      <c r="C121" s="11" cm="1">
        <f t="array" ref="C121">SUMPRODUCT((inc_06[[client]:[client]]=syndicat_etude)*(inc_06[[annee]:[annee]]=C$119)*(inc_06[nbr_coupure_incidents]))</f>
        <v>104</v>
      </c>
      <c r="D121" s="11" cm="1">
        <f t="array" ref="D121">SUMPRODUCT((inc_06[[client]:[client]]=syndicat_etude)*(inc_06[[annee]:[annee]]=D$119)*(inc_06[nbr_coupure_incidents]))</f>
        <v>123</v>
      </c>
      <c r="E121" s="11" cm="1">
        <f t="array" ref="E121">SUMPRODUCT((inc_06[[client]:[client]]=syndicat_etude)*(inc_06[[annee]:[annee]]=E$119)*(inc_06[nbr_coupure_incidents]))</f>
        <v>84</v>
      </c>
      <c r="F121" s="11" cm="1">
        <f t="array" ref="F121">SUMPRODUCT((inc_06[[client]:[client]]=syndicat_etude)*(inc_06[[annee]:[annee]]=F$119)*(inc_06[nbr_coupure_incidents]))</f>
        <v>79</v>
      </c>
      <c r="G121" s="93" cm="1">
        <f t="array" ref="G121">SUMPRODUCT((inc_06[[client]:[client]]=syndicat_etude)*(inc_06[[annee]:[annee]]=G$119)*(inc_06[nbr_coupure_incidents]))</f>
        <v>119</v>
      </c>
    </row>
    <row r="122" spans="1:8" ht="15" customHeight="1" x14ac:dyDescent="0.25">
      <c r="B122" s="261" t="s">
        <v>701</v>
      </c>
      <c r="C122" s="11" cm="1">
        <f t="array" ref="C122">SUMPRODUCT((inc_06[[client]:[client]]=syndicat_etude)*(inc_06[[annee]:[annee]]=C$119)*(inc_06[nbr_coupure_travaux]))</f>
        <v>244</v>
      </c>
      <c r="D122" s="11" cm="1">
        <f t="array" ref="D122">SUMPRODUCT((inc_06[[client]:[client]]=syndicat_etude)*(inc_06[[annee]:[annee]]=D$119)*(inc_06[nbr_coupure_travaux]))</f>
        <v>215</v>
      </c>
      <c r="E122" s="11" cm="1">
        <f t="array" ref="E122">SUMPRODUCT((inc_06[[client]:[client]]=syndicat_etude)*(inc_06[[annee]:[annee]]=E$119)*(inc_06[nbr_coupure_travaux]))</f>
        <v>320</v>
      </c>
      <c r="F122" s="11" cm="1">
        <f t="array" ref="F122">SUMPRODUCT((inc_06[[client]:[client]]=syndicat_etude)*(inc_06[[annee]:[annee]]=F$119)*(inc_06[nbr_coupure_travaux]))</f>
        <v>290</v>
      </c>
      <c r="G122" s="93" cm="1">
        <f t="array" ref="G122">SUMPRODUCT((inc_06[[client]:[client]]=syndicat_etude)*(inc_06[[annee]:[annee]]=G$119)*(inc_06[nbr_coupure_travaux]))</f>
        <v>327</v>
      </c>
    </row>
    <row r="123" spans="1:8" ht="15" customHeight="1" x14ac:dyDescent="0.25">
      <c r="B123" s="213" t="s">
        <v>702</v>
      </c>
      <c r="C123" s="123" cm="1">
        <f t="array" ref="C123">SUMPRODUCT((inc_06[[client]:[client]]=syndicat_etude)*(inc_06[[annee]:[annee]]=C$119)*(inc_06[nb_client_coupé_bt_total]))</f>
        <v>41730</v>
      </c>
      <c r="D123" s="123" cm="1">
        <f t="array" ref="D123">SUMPRODUCT((inc_06[[client]:[client]]=syndicat_etude)*(inc_06[[annee]:[annee]]=D$119)*(inc_06[nb_client_coupé_bt_total]))</f>
        <v>60239</v>
      </c>
      <c r="E123" s="123" cm="1">
        <f t="array" ref="E123">SUMPRODUCT((inc_06[[client]:[client]]=syndicat_etude)*(inc_06[[annee]:[annee]]=E$119)*(inc_06[nb_client_coupé_bt_total]))</f>
        <v>48412</v>
      </c>
      <c r="F123" s="123" cm="1">
        <f t="array" ref="F123">SUMPRODUCT((inc_06[[client]:[client]]=syndicat_etude)*(inc_06[[annee]:[annee]]=F$119)*(inc_06[nb_client_coupé_bt_total]))</f>
        <v>49279</v>
      </c>
      <c r="G123" s="212" cm="1">
        <f t="array" ref="G123">SUMPRODUCT((inc_06[[client]:[client]]=syndicat_etude)*(inc_06[[annee]:[annee]]=G$119)*(inc_06[nb_client_coupé_bt_total]))</f>
        <v>54244</v>
      </c>
    </row>
    <row r="124" spans="1:8" ht="15" customHeight="1" x14ac:dyDescent="0.25">
      <c r="B124" s="261" t="s">
        <v>700</v>
      </c>
      <c r="C124" s="11" cm="1">
        <f t="array" ref="C124">SUMPRODUCT((inc_06[[client]:[client]]=syndicat_etude)*(inc_06[[annee]:[annee]]=C$119)*(inc_06[nb_client_coupé_bt_incidents]))</f>
        <v>30656</v>
      </c>
      <c r="D124" s="11" cm="1">
        <f t="array" ref="D124">SUMPRODUCT((inc_06[[client]:[client]]=syndicat_etude)*(inc_06[[annee]:[annee]]=D$119)*(inc_06[nb_client_coupé_bt_incidents]))</f>
        <v>47154</v>
      </c>
      <c r="E124" s="11" cm="1">
        <f t="array" ref="E124">SUMPRODUCT((inc_06[[client]:[client]]=syndicat_etude)*(inc_06[[annee]:[annee]]=E$119)*(inc_06[nb_client_coupé_bt_incidents]))</f>
        <v>34279</v>
      </c>
      <c r="F124" s="11" cm="1">
        <f t="array" ref="F124">SUMPRODUCT((inc_06[[client]:[client]]=syndicat_etude)*(inc_06[[annee]:[annee]]=F$119)*(inc_06[nb_client_coupé_bt_incidents]))</f>
        <v>36956</v>
      </c>
      <c r="G124" s="93" cm="1">
        <f t="array" ref="G124">SUMPRODUCT((inc_06[[client]:[client]]=syndicat_etude)*(inc_06[[annee]:[annee]]=G$119)*(inc_06[nb_client_coupé_bt_incidents]))</f>
        <v>40954</v>
      </c>
    </row>
    <row r="125" spans="1:8" ht="15" customHeight="1" x14ac:dyDescent="0.25">
      <c r="B125" s="261" t="s">
        <v>701</v>
      </c>
      <c r="C125" s="11" cm="1">
        <f t="array" ref="C125">SUMPRODUCT((inc_06[[client]:[client]]=syndicat_etude)*(inc_06[[annee]:[annee]]=C$119)*(inc_06[nb_client_coupé_bt_travaux]))</f>
        <v>11074</v>
      </c>
      <c r="D125" s="11" cm="1">
        <f t="array" ref="D125">SUMPRODUCT((inc_06[[client]:[client]]=syndicat_etude)*(inc_06[[annee]:[annee]]=D$119)*(inc_06[nb_client_coupé_bt_travaux]))</f>
        <v>13085</v>
      </c>
      <c r="E125" s="11" cm="1">
        <f t="array" ref="E125">SUMPRODUCT((inc_06[[client]:[client]]=syndicat_etude)*(inc_06[[annee]:[annee]]=E$119)*(inc_06[nb_client_coupé_bt_travaux]))</f>
        <v>14133</v>
      </c>
      <c r="F125" s="11" cm="1">
        <f t="array" ref="F125">SUMPRODUCT((inc_06[[client]:[client]]=syndicat_etude)*(inc_06[[annee]:[annee]]=F$119)*(inc_06[nb_client_coupé_bt_travaux]))</f>
        <v>12323</v>
      </c>
      <c r="G125" s="93" cm="1">
        <f t="array" ref="G125">SUMPRODUCT((inc_06[[client]:[client]]=syndicat_etude)*(inc_06[[annee]:[annee]]=G$119)*(inc_06[nb_client_coupé_bt_travaux]))</f>
        <v>13290</v>
      </c>
    </row>
    <row r="126" spans="1:8" ht="15" customHeight="1" x14ac:dyDescent="0.25">
      <c r="B126" s="213" t="s">
        <v>703</v>
      </c>
      <c r="C126" s="123" cm="1">
        <f t="array" ref="C126">SUMPRODUCT((inc_06[[client]:[client]]=syndicat_etude)*(inc_06[[annee]:[annee]]=C$119)*(inc_06[duree_moy_coupure_usager_tot]))</f>
        <v>108.3</v>
      </c>
      <c r="D126" s="123" cm="1">
        <f t="array" ref="D126">SUMPRODUCT((inc_06[[client]:[client]]=syndicat_etude)*(inc_06[[annee]:[annee]]=D$119)*(inc_06[duree_moy_coupure_usager_tot]))</f>
        <v>116.46</v>
      </c>
      <c r="E126" s="123" cm="1">
        <f t="array" ref="E126">SUMPRODUCT((inc_06[[client]:[client]]=syndicat_etude)*(inc_06[[annee]:[annee]]=E$119)*(inc_06[duree_moy_coupure_usager_tot]))</f>
        <v>92.59</v>
      </c>
      <c r="F126" s="123" cm="1">
        <f t="array" ref="F126">SUMPRODUCT((inc_06[[client]:[client]]=syndicat_etude)*(inc_06[[annee]:[annee]]=F$119)*(inc_06[duree_moy_coupure_usager_tot]))</f>
        <v>93.5</v>
      </c>
      <c r="G126" s="212" cm="1">
        <f t="array" ref="G126">SUMPRODUCT((inc_06[[client]:[client]]=syndicat_etude)*(inc_06[[annee]:[annee]]=G$119)*(inc_06[duree_moy_coupure_usager_tot]))</f>
        <v>124.87</v>
      </c>
    </row>
    <row r="127" spans="1:8" ht="15" customHeight="1" x14ac:dyDescent="0.25">
      <c r="B127" s="261" t="s">
        <v>700</v>
      </c>
      <c r="C127" s="11" cm="1">
        <f t="array" ref="C127">SUMPRODUCT((inc_06[[client]:[client]]=syndicat_etude)*(inc_06[[annee]:[annee]]=C$119)*(inc_06[duree_moy_coupure_usager_incident]))</f>
        <v>107.28</v>
      </c>
      <c r="D127" s="11" cm="1">
        <f t="array" ref="D127">SUMPRODUCT((inc_06[[client]:[client]]=syndicat_etude)*(inc_06[[annee]:[annee]]=D$119)*(inc_06[duree_moy_coupure_usager_incident]))</f>
        <v>119.21</v>
      </c>
      <c r="E127" s="11" cm="1">
        <f t="array" ref="E127">SUMPRODUCT((inc_06[[client]:[client]]=syndicat_etude)*(inc_06[[annee]:[annee]]=E$119)*(inc_06[duree_moy_coupure_usager_incident]))</f>
        <v>84.85</v>
      </c>
      <c r="F127" s="11" cm="1">
        <f t="array" ref="F127">SUMPRODUCT((inc_06[[client]:[client]]=syndicat_etude)*(inc_06[[annee]:[annee]]=F$119)*(inc_06[duree_moy_coupure_usager_incident]))</f>
        <v>86.07</v>
      </c>
      <c r="G127" s="93" cm="1">
        <f t="array" ref="G127">SUMPRODUCT((inc_06[[client]:[client]]=syndicat_etude)*(inc_06[[annee]:[annee]]=G$119)*(inc_06[duree_moy_coupure_usager_incident]))</f>
        <v>113.63</v>
      </c>
      <c r="H127" s="193"/>
    </row>
    <row r="128" spans="1:8" ht="15" customHeight="1" x14ac:dyDescent="0.25">
      <c r="B128" s="261" t="s">
        <v>701</v>
      </c>
      <c r="C128" s="11" cm="1">
        <f t="array" ref="C128">SUMPRODUCT((inc_06[[client]:[client]]=syndicat_etude)*(inc_06[[annee]:[annee]]=C$119)*(inc_06[duree_moy_coupure_usager_travaux]))</f>
        <v>111.12</v>
      </c>
      <c r="D128" s="11" cm="1">
        <f t="array" ref="D128">SUMPRODUCT((inc_06[[client]:[client]]=syndicat_etude)*(inc_06[[annee]:[annee]]=D$119)*(inc_06[duree_moy_coupure_usager_travaux]))</f>
        <v>106.57</v>
      </c>
      <c r="E128" s="11" cm="1">
        <f t="array" ref="E128">SUMPRODUCT((inc_06[[client]:[client]]=syndicat_etude)*(inc_06[[annee]:[annee]]=E$119)*(inc_06[duree_moy_coupure_usager_travaux]))</f>
        <v>111.35</v>
      </c>
      <c r="F128" s="11" cm="1">
        <f t="array" ref="F128">SUMPRODUCT((inc_06[[client]:[client]]=syndicat_etude)*(inc_06[[annee]:[annee]]=F$119)*(inc_06[duree_moy_coupure_usager_travaux]))</f>
        <v>115.78</v>
      </c>
      <c r="G128" s="93" cm="1">
        <f t="array" ref="G128">SUMPRODUCT((inc_06[[client]:[client]]=syndicat_etude)*(inc_06[[annee]:[annee]]=G$119)*(inc_06[duree_moy_coupure_usager_travaux]))</f>
        <v>159.53</v>
      </c>
    </row>
    <row r="129" spans="1:8" ht="15" customHeight="1" x14ac:dyDescent="0.25">
      <c r="B129" s="213" t="s">
        <v>704</v>
      </c>
      <c r="C129" s="123" cm="1">
        <f t="array" ref="C129">SUMPRODUCT((inc_06[[client]:[client]]=syndicat_etude)*(inc_06[[annee]:[annee]]=C$119)*(inc_06[moy_usager_coupure_tot]))</f>
        <v>119.91</v>
      </c>
      <c r="D129" s="123" cm="1">
        <f t="array" ref="D129">SUMPRODUCT((inc_06[[client]:[client]]=syndicat_etude)*(inc_06[[annee]:[annee]]=D$119)*(inc_06[moy_usager_coupure_tot]))</f>
        <v>178.22</v>
      </c>
      <c r="E129" s="123" cm="1">
        <f t="array" ref="E129">SUMPRODUCT((inc_06[[client]:[client]]=syndicat_etude)*(inc_06[[annee]:[annee]]=E$119)*(inc_06[moy_usager_coupure_tot]))</f>
        <v>119.83</v>
      </c>
      <c r="F129" s="123" cm="1">
        <f t="array" ref="F129">SUMPRODUCT((inc_06[[client]:[client]]=syndicat_etude)*(inc_06[[annee]:[annee]]=F$119)*(inc_06[moy_usager_coupure_tot]))</f>
        <v>133.55000000000001</v>
      </c>
      <c r="G129" s="212" cm="1">
        <f t="array" ref="G129">SUMPRODUCT((inc_06[[client]:[client]]=syndicat_etude)*(inc_06[[annee]:[annee]]=G$119)*(inc_06[moy_usager_coupure_tot]))</f>
        <v>121.62</v>
      </c>
    </row>
    <row r="130" spans="1:8" ht="15" customHeight="1" x14ac:dyDescent="0.25">
      <c r="B130" s="261" t="s">
        <v>700</v>
      </c>
      <c r="C130" s="11" cm="1">
        <f t="array" ref="C130">SUMPRODUCT((inc_06[[client]:[client]]=syndicat_etude)*(inc_06[[annee]:[annee]]=C$119)*(inc_06[moy_usager_coupure_incidents]))</f>
        <v>294.77</v>
      </c>
      <c r="D130" s="11" cm="1">
        <f t="array" ref="D130">SUMPRODUCT((inc_06[[client]:[client]]=syndicat_etude)*(inc_06[[annee]:[annee]]=D$119)*(inc_06[moy_usager_coupure_incidents]))</f>
        <v>383.37</v>
      </c>
      <c r="E130" s="11" cm="1">
        <f t="array" ref="E130">SUMPRODUCT((inc_06[[client]:[client]]=syndicat_etude)*(inc_06[[annee]:[annee]]=E$119)*(inc_06[moy_usager_coupure_incidents]))</f>
        <v>408.08</v>
      </c>
      <c r="F130" s="11" cm="1">
        <f t="array" ref="F130">SUMPRODUCT((inc_06[[client]:[client]]=syndicat_etude)*(inc_06[[annee]:[annee]]=F$119)*(inc_06[moy_usager_coupure_incidents]))</f>
        <v>467.8</v>
      </c>
      <c r="G130" s="93" cm="1">
        <f t="array" ref="G130">SUMPRODUCT((inc_06[[client]:[client]]=syndicat_etude)*(inc_06[[annee]:[annee]]=G$119)*(inc_06[moy_usager_coupure_incidents]))</f>
        <v>344.15</v>
      </c>
    </row>
    <row r="131" spans="1:8" ht="15" customHeight="1" x14ac:dyDescent="0.25">
      <c r="B131" s="262" t="s">
        <v>701</v>
      </c>
      <c r="C131" s="94" cm="1">
        <f t="array" ref="C131">SUMPRODUCT((inc_06[[client]:[client]]=syndicat_etude)*(inc_06[[annee]:[annee]]=C$119)*(inc_06[moy_usager_coupure_travaux]))</f>
        <v>45.39</v>
      </c>
      <c r="D131" s="94" cm="1">
        <f t="array" ref="D131">SUMPRODUCT((inc_06[[client]:[client]]=syndicat_etude)*(inc_06[[annee]:[annee]]=D$119)*(inc_06[moy_usager_coupure_travaux]))</f>
        <v>60.86</v>
      </c>
      <c r="E131" s="94" cm="1">
        <f t="array" ref="E131">SUMPRODUCT((inc_06[[client]:[client]]=syndicat_etude)*(inc_06[[annee]:[annee]]=E$119)*(inc_06[moy_usager_coupure_travaux]))</f>
        <v>44.17</v>
      </c>
      <c r="F131" s="94" cm="1">
        <f t="array" ref="F131">SUMPRODUCT((inc_06[[client]:[client]]=syndicat_etude)*(inc_06[[annee]:[annee]]=F$119)*(inc_06[moy_usager_coupure_travaux]))</f>
        <v>42.49</v>
      </c>
      <c r="G131" s="95" cm="1">
        <f t="array" ref="G131">SUMPRODUCT((inc_06[[client]:[client]]=syndicat_etude)*(inc_06[[annee]:[annee]]=G$119)*(inc_06[moy_usager_coupure_travaux]))</f>
        <v>40.64</v>
      </c>
    </row>
    <row r="132" spans="1:8" ht="15" customHeight="1" x14ac:dyDescent="0.25">
      <c r="C132" s="5"/>
      <c r="D132" s="5"/>
      <c r="E132" s="5"/>
      <c r="F132" s="5"/>
      <c r="G132" s="5"/>
    </row>
    <row r="133" spans="1:8" ht="30" customHeight="1" x14ac:dyDescent="0.25">
      <c r="A133" s="25" t="s">
        <v>705</v>
      </c>
      <c r="B133" s="66" t="s">
        <v>706</v>
      </c>
      <c r="C133" s="67" cm="1">
        <f t="array" ref="C133">Exercice[Exercice N-4]</f>
        <v>2019</v>
      </c>
      <c r="D133" s="67" cm="1">
        <f t="array" ref="D133">Exercice[Exercice N-3]</f>
        <v>2020</v>
      </c>
      <c r="E133" s="67" cm="1">
        <f t="array" ref="E133">Exercice[Exercice N-2]</f>
        <v>2021</v>
      </c>
      <c r="F133" s="67" cm="1">
        <f t="array" ref="F133">Exercice[Exercice N-1]</f>
        <v>2022</v>
      </c>
      <c r="G133" s="69" cm="1">
        <f t="array" ref="G133">Exercice[Exercice N]</f>
        <v>2023</v>
      </c>
    </row>
    <row r="134" spans="1:8" ht="15" customHeight="1" x14ac:dyDescent="0.25">
      <c r="B134" s="211" t="s">
        <v>699</v>
      </c>
      <c r="C134" s="123" cm="1">
        <f t="array" ref="C134">SUMPRODUCT((inc_07[[client]:[client]]=syndicat_etude)*(inc_07[[annee]:[annee]]=C$133)*(inc_07[nbr_coupures_total]))</f>
        <v>467</v>
      </c>
      <c r="D134" s="123" cm="1">
        <f t="array" ref="D134">SUMPRODUCT((inc_07[[client]:[client]]=syndicat_etude)*(inc_07[[annee]:[annee]]=D$133)*(inc_07[nbr_coupures_total]))</f>
        <v>371</v>
      </c>
      <c r="E134" s="123" cm="1">
        <f t="array" ref="E134">SUMPRODUCT((inc_07[[client]:[client]]=syndicat_etude)*(inc_07[[annee]:[annee]]=E$133)*(inc_07[nbr_coupures_total]))</f>
        <v>470</v>
      </c>
      <c r="F134" s="123" cm="1">
        <f t="array" ref="F134">SUMPRODUCT((inc_07[[client]:[client]]=syndicat_etude)*(inc_07[[annee]:[annee]]=F$133)*(inc_07[nbr_coupures_total]))</f>
        <v>473</v>
      </c>
      <c r="G134" s="212" cm="1">
        <f t="array" ref="G134">SUMPRODUCT((inc_07[[client]:[client]]=syndicat_etude)*(inc_07[[annee]:[annee]]=G$133)*(inc_07[nbr_coupures_total]))</f>
        <v>519</v>
      </c>
    </row>
    <row r="135" spans="1:8" ht="15" customHeight="1" x14ac:dyDescent="0.25">
      <c r="B135" s="261" t="s">
        <v>700</v>
      </c>
      <c r="C135" s="11" cm="1">
        <f t="array" ref="C135">SUMPRODUCT((inc_07[[client]:[client]]=syndicat_etude)*(inc_07[[annee]:[annee]]=C$133)*(inc_07[nbr_coupure_incidents]))</f>
        <v>228</v>
      </c>
      <c r="D135" s="11" cm="1">
        <f t="array" ref="D135">SUMPRODUCT((inc_07[[client]:[client]]=syndicat_etude)*(inc_07[[annee]:[annee]]=D$133)*(inc_07[nbr_coupure_incidents]))</f>
        <v>213</v>
      </c>
      <c r="E135" s="11" cm="1">
        <f t="array" ref="E135">SUMPRODUCT((inc_07[[client]:[client]]=syndicat_etude)*(inc_07[[annee]:[annee]]=E$133)*(inc_07[nbr_coupure_incidents]))</f>
        <v>262</v>
      </c>
      <c r="F135" s="11" cm="1">
        <f t="array" ref="F135">SUMPRODUCT((inc_07[[client]:[client]]=syndicat_etude)*(inc_07[[annee]:[annee]]=F$133)*(inc_07[nbr_coupure_incidents]))</f>
        <v>232</v>
      </c>
      <c r="G135" s="93" cm="1">
        <f t="array" ref="G135">SUMPRODUCT((inc_07[[client]:[client]]=syndicat_etude)*(inc_07[[annee]:[annee]]=G$133)*(inc_07[nbr_coupure_incidents]))</f>
        <v>219</v>
      </c>
    </row>
    <row r="136" spans="1:8" ht="15" customHeight="1" x14ac:dyDescent="0.25">
      <c r="B136" s="261" t="s">
        <v>701</v>
      </c>
      <c r="C136" s="11" cm="1">
        <f t="array" ref="C136">SUMPRODUCT((inc_07[[client]:[client]]=syndicat_etude)*(inc_07[[annee]:[annee]]=C$133)*(inc_07[nbr_coupure_travaux]))</f>
        <v>239</v>
      </c>
      <c r="D136" s="11" cm="1">
        <f t="array" ref="D136">SUMPRODUCT((inc_07[[client]:[client]]=syndicat_etude)*(inc_07[[annee]:[annee]]=D$133)*(inc_07[nbr_coupure_travaux]))</f>
        <v>158</v>
      </c>
      <c r="E136" s="11" cm="1">
        <f t="array" ref="E136">SUMPRODUCT((inc_07[[client]:[client]]=syndicat_etude)*(inc_07[[annee]:[annee]]=E$133)*(inc_07[nbr_coupure_travaux]))</f>
        <v>208</v>
      </c>
      <c r="F136" s="11" cm="1">
        <f t="array" ref="F136">SUMPRODUCT((inc_07[[client]:[client]]=syndicat_etude)*(inc_07[[annee]:[annee]]=F$133)*(inc_07[nbr_coupure_travaux]))</f>
        <v>241</v>
      </c>
      <c r="G136" s="93" cm="1">
        <f t="array" ref="G136">SUMPRODUCT((inc_07[[client]:[client]]=syndicat_etude)*(inc_07[[annee]:[annee]]=G$133)*(inc_07[nbr_coupure_travaux]))</f>
        <v>300</v>
      </c>
    </row>
    <row r="137" spans="1:8" ht="15" customHeight="1" x14ac:dyDescent="0.25">
      <c r="B137" s="213" t="s">
        <v>702</v>
      </c>
      <c r="C137" s="123" cm="1">
        <f t="array" ref="C137">SUMPRODUCT((inc_07[[client]:[client]]=syndicat_etude)*(inc_07[[annee]:[annee]]=C$133)*(inc_07[[nbr_usagers_coupes]:[nbr_usagers_coupes]]))</f>
        <v>16023</v>
      </c>
      <c r="D137" s="123" cm="1">
        <f t="array" ref="D137">SUMPRODUCT((inc_07[[client]:[client]]=syndicat_etude)*(inc_07[[annee]:[annee]]=D$133)*(inc_07[[nbr_usagers_coupes]:[nbr_usagers_coupes]]))</f>
        <v>12673</v>
      </c>
      <c r="E137" s="123" cm="1">
        <f t="array" ref="E137">SUMPRODUCT((inc_07[[client]:[client]]=syndicat_etude)*(inc_07[[annee]:[annee]]=E$133)*(inc_07[[nbr_usagers_coupes]:[nbr_usagers_coupes]]))</f>
        <v>17839</v>
      </c>
      <c r="F137" s="123" cm="1">
        <f t="array" ref="F137">SUMPRODUCT((inc_07[[client]:[client]]=syndicat_etude)*(inc_07[[annee]:[annee]]=F$133)*(inc_07[[nbr_usagers_coupes]:[nbr_usagers_coupes]]))</f>
        <v>16905</v>
      </c>
      <c r="G137" s="212" cm="1">
        <f t="array" ref="G137">SUMPRODUCT((inc_07[[client]:[client]]=syndicat_etude)*(inc_07[[annee]:[annee]]=G$133)*(inc_07[[nbr_usagers_coupes]:[nbr_usagers_coupes]]))</f>
        <v>16617</v>
      </c>
    </row>
    <row r="138" spans="1:8" ht="15" customHeight="1" x14ac:dyDescent="0.25">
      <c r="B138" s="261" t="s">
        <v>700</v>
      </c>
      <c r="C138" s="11" cm="1">
        <f t="array" ref="C138">SUMPRODUCT((inc_07[[client]:[client]]=syndicat_etude)*(inc_07[[annee]:[annee]]=C$133)*(inc_07[[nbr_usagers_coupes_incident]:[nbr_usagers_coupes_incident]]))</f>
        <v>7256</v>
      </c>
      <c r="D138" s="11" cm="1">
        <f t="array" ref="D138">SUMPRODUCT((inc_07[[client]:[client]]=syndicat_etude)*(inc_07[[annee]:[annee]]=D$133)*(inc_07[[nbr_usagers_coupes_incident]:[nbr_usagers_coupes_incident]]))</f>
        <v>7195</v>
      </c>
      <c r="E138" s="11" cm="1">
        <f t="array" ref="E138">SUMPRODUCT((inc_07[[client]:[client]]=syndicat_etude)*(inc_07[[annee]:[annee]]=E$133)*(inc_07[[nbr_usagers_coupes_incident]:[nbr_usagers_coupes_incident]]))</f>
        <v>9763</v>
      </c>
      <c r="F138" s="11" cm="1">
        <f t="array" ref="F138">SUMPRODUCT((inc_07[[client]:[client]]=syndicat_etude)*(inc_07[[annee]:[annee]]=F$133)*(inc_07[[nbr_usagers_coupes_incident]:[nbr_usagers_coupes_incident]]))</f>
        <v>8047</v>
      </c>
      <c r="G138" s="93" cm="1">
        <f t="array" ref="G138">SUMPRODUCT((inc_07[[client]:[client]]=syndicat_etude)*(inc_07[[annee]:[annee]]=G$133)*(inc_07[[nbr_usagers_coupes_incident]:[nbr_usagers_coupes_incident]]))</f>
        <v>6353</v>
      </c>
    </row>
    <row r="139" spans="1:8" ht="15" customHeight="1" x14ac:dyDescent="0.25">
      <c r="B139" s="261" t="s">
        <v>701</v>
      </c>
      <c r="C139" s="11" cm="1">
        <f t="array" ref="C139">SUMPRODUCT((inc_07[[client]:[client]]=syndicat_etude)*(inc_07[[annee]:[annee]]=C$133)*(inc_07[[nbr_usagers_coupes_travaux]:[nbr_usagers_coupes_travaux]]))</f>
        <v>8767</v>
      </c>
      <c r="D139" s="11" cm="1">
        <f t="array" ref="D139">SUMPRODUCT((inc_07[[client]:[client]]=syndicat_etude)*(inc_07[[annee]:[annee]]=D$133)*(inc_07[[nbr_usagers_coupes_travaux]:[nbr_usagers_coupes_travaux]]))</f>
        <v>5478</v>
      </c>
      <c r="E139" s="11" cm="1">
        <f t="array" ref="E139">SUMPRODUCT((inc_07[[client]:[client]]=syndicat_etude)*(inc_07[[annee]:[annee]]=E$133)*(inc_07[[nbr_usagers_coupes_travaux]:[nbr_usagers_coupes_travaux]]))</f>
        <v>8076</v>
      </c>
      <c r="F139" s="11" cm="1">
        <f t="array" ref="F139">SUMPRODUCT((inc_07[[client]:[client]]=syndicat_etude)*(inc_07[[annee]:[annee]]=F$133)*(inc_07[[nbr_usagers_coupes_travaux]:[nbr_usagers_coupes_travaux]]))</f>
        <v>8858</v>
      </c>
      <c r="G139" s="93" cm="1">
        <f t="array" ref="G139">SUMPRODUCT((inc_07[[client]:[client]]=syndicat_etude)*(inc_07[[annee]:[annee]]=G$133)*(inc_07[[nbr_usagers_coupes_travaux]:[nbr_usagers_coupes_travaux]]))</f>
        <v>10264</v>
      </c>
    </row>
    <row r="140" spans="1:8" ht="15" customHeight="1" x14ac:dyDescent="0.25">
      <c r="B140" s="213" t="s">
        <v>703</v>
      </c>
      <c r="C140" s="123" cm="1">
        <f t="array" ref="C140">SUMPRODUCT((inc_07[[client]:[client]]=syndicat_etude)*(inc_07[[annee]:[annee]]=C$133)*(inc_07[[duree_moy_coupure_usager_tot]:[duree_moy_coupure_usager_tot]]))</f>
        <v>121.3</v>
      </c>
      <c r="D140" s="123" cm="1">
        <f t="array" ref="D140">SUMPRODUCT((inc_07[[client]:[client]]=syndicat_etude)*(inc_07[[annee]:[annee]]=D$133)*(inc_07[[duree_moy_coupure_usager_tot]:[duree_moy_coupure_usager_tot]]))</f>
        <v>133.12</v>
      </c>
      <c r="E140" s="123" cm="1">
        <f t="array" ref="E140">SUMPRODUCT((inc_07[[client]:[client]]=syndicat_etude)*(inc_07[[annee]:[annee]]=E$133)*(inc_07[[duree_moy_coupure_usager_tot]:[duree_moy_coupure_usager_tot]]))</f>
        <v>119.41</v>
      </c>
      <c r="F140" s="123" cm="1">
        <f t="array" ref="F140">SUMPRODUCT((inc_07[[client]:[client]]=syndicat_etude)*(inc_07[[annee]:[annee]]=F$133)*(inc_07[[duree_moy_coupure_usager_tot]:[duree_moy_coupure_usager_tot]]))</f>
        <v>121.75</v>
      </c>
      <c r="G140" s="212" cm="1">
        <f t="array" ref="G140">SUMPRODUCT((inc_07[[client]:[client]]=syndicat_etude)*(inc_07[[annee]:[annee]]=G$133)*(inc_07[[duree_moy_coupure_usager_tot]:[duree_moy_coupure_usager_tot]]))</f>
        <v>150.69999999999999</v>
      </c>
    </row>
    <row r="141" spans="1:8" ht="15" customHeight="1" x14ac:dyDescent="0.25">
      <c r="B141" s="261" t="s">
        <v>700</v>
      </c>
      <c r="C141" s="11" cm="1">
        <f t="array" ref="C141">SUMPRODUCT((inc_07[[client]:[client]]=syndicat_etude)*(inc_07[[annee]:[annee]]=C$133)*(inc_07[[duree_moy_coupure_usager_incident]:[duree_moy_coupure_usager_incident]]))</f>
        <v>146.12</v>
      </c>
      <c r="D141" s="11" cm="1">
        <f t="array" ref="D141">SUMPRODUCT((inc_07[[client]:[client]]=syndicat_etude)*(inc_07[[annee]:[annee]]=D$133)*(inc_07[[duree_moy_coupure_usager_incident]:[duree_moy_coupure_usager_incident]]))</f>
        <v>141.4</v>
      </c>
      <c r="E141" s="11" cm="1">
        <f t="array" ref="E141">SUMPRODUCT((inc_07[[client]:[client]]=syndicat_etude)*(inc_07[[annee]:[annee]]=E$133)*(inc_07[[duree_moy_coupure_usager_incident]:[duree_moy_coupure_usager_incident]]))</f>
        <v>137.91999999999999</v>
      </c>
      <c r="F141" s="11" cm="1">
        <f t="array" ref="F141">SUMPRODUCT((inc_07[[client]:[client]]=syndicat_etude)*(inc_07[[annee]:[annee]]=F$133)*(inc_07[[duree_moy_coupure_usager_incident]:[duree_moy_coupure_usager_incident]]))</f>
        <v>127.53</v>
      </c>
      <c r="G141" s="93" cm="1">
        <f t="array" ref="G141">SUMPRODUCT((inc_07[[client]:[client]]=syndicat_etude)*(inc_07[[annee]:[annee]]=G$133)*(inc_07[[duree_moy_coupure_usager_incident]:[duree_moy_coupure_usager_incident]]))</f>
        <v>141.88</v>
      </c>
      <c r="H141" s="193"/>
    </row>
    <row r="142" spans="1:8" ht="15" customHeight="1" x14ac:dyDescent="0.25">
      <c r="B142" s="261" t="s">
        <v>701</v>
      </c>
      <c r="C142" s="11" cm="1">
        <f t="array" ref="C142">SUMPRODUCT((inc_07[[client]:[client]]=syndicat_etude)*(inc_07[[annee]:[annee]]=C$133)*(inc_07[[duree_moy_coupure_usager_travaux]:[duree_moy_coupure_usager_travaux]]))</f>
        <v>100.77</v>
      </c>
      <c r="D142" s="11" cm="1">
        <f t="array" ref="D142">SUMPRODUCT((inc_07[[client]:[client]]=syndicat_etude)*(inc_07[[annee]:[annee]]=D$133)*(inc_07[[duree_moy_coupure_usager_travaux]:[duree_moy_coupure_usager_travaux]]))</f>
        <v>122.24</v>
      </c>
      <c r="E142" s="11" cm="1">
        <f t="array" ref="E142">SUMPRODUCT((inc_07[[client]:[client]]=syndicat_etude)*(inc_07[[annee]:[annee]]=E$133)*(inc_07[[duree_moy_coupure_usager_travaux]:[duree_moy_coupure_usager_travaux]]))</f>
        <v>97.04</v>
      </c>
      <c r="F142" s="11" cm="1">
        <f t="array" ref="F142">SUMPRODUCT((inc_07[[client]:[client]]=syndicat_etude)*(inc_07[[annee]:[annee]]=F$133)*(inc_07[[duree_moy_coupure_usager_travaux]:[duree_moy_coupure_usager_travaux]]))</f>
        <v>116.49</v>
      </c>
      <c r="G142" s="93" cm="1">
        <f t="array" ref="G142">SUMPRODUCT((inc_07[[client]:[client]]=syndicat_etude)*(inc_07[[annee]:[annee]]=G$133)*(inc_07[[duree_moy_coupure_usager_travaux]:[duree_moy_coupure_usager_travaux]]))</f>
        <v>156.16</v>
      </c>
    </row>
    <row r="143" spans="1:8" ht="15" customHeight="1" x14ac:dyDescent="0.25">
      <c r="B143" s="213" t="s">
        <v>704</v>
      </c>
      <c r="C143" s="123" cm="1">
        <f t="array" ref="C143">SUMPRODUCT((inc_07[[client]:[client]]=syndicat_etude)*(inc_07[[annee]:[annee]]=C$133)*(inc_07[[moy_usager_coupure_tot]:[moy_usager_coupure_tot]]))</f>
        <v>34.31</v>
      </c>
      <c r="D143" s="123" cm="1">
        <f t="array" ref="D143">SUMPRODUCT((inc_07[[client]:[client]]=syndicat_etude)*(inc_07[[annee]:[annee]]=D$133)*(inc_07[[moy_usager_coupure_tot]:[moy_usager_coupure_tot]]))</f>
        <v>34.159999999999997</v>
      </c>
      <c r="E143" s="123" cm="1">
        <f t="array" ref="E143">SUMPRODUCT((inc_07[[client]:[client]]=syndicat_etude)*(inc_07[[annee]:[annee]]=E$133)*(inc_07[[moy_usager_coupure_tot]:[moy_usager_coupure_tot]]))</f>
        <v>37.96</v>
      </c>
      <c r="F143" s="123" cm="1">
        <f t="array" ref="F143">SUMPRODUCT((inc_07[[client]:[client]]=syndicat_etude)*(inc_07[[annee]:[annee]]=F$133)*(inc_07[[moy_usager_coupure_tot]:[moy_usager_coupure_tot]]))</f>
        <v>35.74</v>
      </c>
      <c r="G143" s="212" cm="1">
        <f t="array" ref="G143">SUMPRODUCT((inc_07[[client]:[client]]=syndicat_etude)*(inc_07[[annee]:[annee]]=G$133)*(inc_07[[moy_usager_coupure_tot]:[moy_usager_coupure_tot]]))</f>
        <v>32.020000000000003</v>
      </c>
    </row>
    <row r="144" spans="1:8" ht="15" customHeight="1" x14ac:dyDescent="0.25">
      <c r="B144" s="261" t="s">
        <v>700</v>
      </c>
      <c r="C144" s="11" cm="1">
        <f t="array" ref="C144">SUMPRODUCT((inc_07[[client]:[client]]=syndicat_etude)*(inc_07[[annee]:[annee]]=C$133)*(inc_07[[moy_usager_coupure_incident]:[moy_usager_coupure_incident]]))</f>
        <v>31.82</v>
      </c>
      <c r="D144" s="11" cm="1">
        <f t="array" ref="D144">SUMPRODUCT((inc_07[[client]:[client]]=syndicat_etude)*(inc_07[[annee]:[annee]]=D$133)*(inc_07[[moy_usager_coupure_incident]:[moy_usager_coupure_incident]]))</f>
        <v>33.78</v>
      </c>
      <c r="E144" s="11" cm="1">
        <f t="array" ref="E144">SUMPRODUCT((inc_07[[client]:[client]]=syndicat_etude)*(inc_07[[annee]:[annee]]=E$133)*(inc_07[[moy_usager_coupure_incident]:[moy_usager_coupure_incident]]))</f>
        <v>37.26</v>
      </c>
      <c r="F144" s="11" cm="1">
        <f t="array" ref="F144">SUMPRODUCT((inc_07[[client]:[client]]=syndicat_etude)*(inc_07[[annee]:[annee]]=F$133)*(inc_07[[moy_usager_coupure_incident]:[moy_usager_coupure_incident]]))</f>
        <v>34.69</v>
      </c>
      <c r="G144" s="93" cm="1">
        <f t="array" ref="G144">SUMPRODUCT((inc_07[[client]:[client]]=syndicat_etude)*(inc_07[[annee]:[annee]]=G$133)*(inc_07[[moy_usager_coupure_incident]:[moy_usager_coupure_incident]]))</f>
        <v>29.01</v>
      </c>
    </row>
    <row r="145" spans="1:26" ht="15" customHeight="1" x14ac:dyDescent="0.25">
      <c r="B145" s="262" t="s">
        <v>701</v>
      </c>
      <c r="C145" s="94" cm="1">
        <f t="array" ref="C145">SUMPRODUCT((inc_07[[client]:[client]]=syndicat_etude)*(inc_07[[annee]:[annee]]=C$133)*(inc_07[[moy_usager_coupure_travaux]:[moy_usager_coupure_travaux]]))</f>
        <v>36.68</v>
      </c>
      <c r="D145" s="94" cm="1">
        <f t="array" ref="D145">SUMPRODUCT((inc_07[[client]:[client]]=syndicat_etude)*(inc_07[[annee]:[annee]]=D$133)*(inc_07[[moy_usager_coupure_travaux]:[moy_usager_coupure_travaux]]))</f>
        <v>34.67</v>
      </c>
      <c r="E145" s="94" cm="1">
        <f t="array" ref="E145">SUMPRODUCT((inc_07[[client]:[client]]=syndicat_etude)*(inc_07[[annee]:[annee]]=E$133)*(inc_07[[moy_usager_coupure_travaux]:[moy_usager_coupure_travaux]]))</f>
        <v>38.83</v>
      </c>
      <c r="F145" s="94" cm="1">
        <f t="array" ref="F145">SUMPRODUCT((inc_07[[client]:[client]]=syndicat_etude)*(inc_07[[annee]:[annee]]=F$133)*(inc_07[[moy_usager_coupure_travaux]:[moy_usager_coupure_travaux]]))</f>
        <v>36.76</v>
      </c>
      <c r="G145" s="95" cm="1">
        <f t="array" ref="G145">SUMPRODUCT((inc_07[[client]:[client]]=syndicat_etude)*(inc_07[[annee]:[annee]]=G$133)*(inc_07[[moy_usager_coupure_travaux]:[moy_usager_coupure_travaux]]))</f>
        <v>34.21</v>
      </c>
    </row>
    <row r="146" spans="1:26" ht="15" customHeight="1" x14ac:dyDescent="0.25">
      <c r="C146" s="5"/>
      <c r="D146" s="5"/>
      <c r="E146" s="5"/>
      <c r="F146" s="5"/>
      <c r="G146" s="5"/>
    </row>
    <row r="147" spans="1:26" ht="30" customHeight="1" x14ac:dyDescent="0.25">
      <c r="A147" s="552" t="s">
        <v>707</v>
      </c>
      <c r="B147" s="66" t="s">
        <v>708</v>
      </c>
      <c r="C147" s="67" cm="1">
        <f t="array" ref="C147">Exercice[Exercice N-4]</f>
        <v>2019</v>
      </c>
      <c r="D147" s="67" cm="1">
        <f t="array" ref="D147">Exercice[Exercice N-3]</f>
        <v>2020</v>
      </c>
      <c r="E147" s="67" cm="1">
        <f t="array" ref="E147">Exercice[Exercice N-2]</f>
        <v>2021</v>
      </c>
      <c r="F147" s="67" cm="1">
        <f t="array" ref="F147">Exercice[Exercice N-1]</f>
        <v>2022</v>
      </c>
      <c r="G147" s="67" cm="1">
        <f t="array" ref="G147">Exercice[Exercice N]</f>
        <v>2023</v>
      </c>
      <c r="H147" s="76" t="s">
        <v>273</v>
      </c>
    </row>
    <row r="148" spans="1:26" ht="15" customHeight="1" x14ac:dyDescent="0.25">
      <c r="B148" s="180" t="s">
        <v>709</v>
      </c>
      <c r="C148" s="181" cm="1">
        <f t="array" ref="C148">SUMPRODUCT((inc_01[[client]:[client]]=syndicat_etude)*(inc_01[[annee]:[annee]]=C$147)*(inc_01[[total_6_cl_bt]:[total_6_cl_bt]]))</f>
        <v>226</v>
      </c>
      <c r="D148" s="181" cm="1">
        <f t="array" ref="D148">SUMPRODUCT((inc_01[[client]:[client]]=syndicat_etude)*(inc_01[[annee]:[annee]]=D$147)*(inc_01[[total_6_cl_bt]:[total_6_cl_bt]]))</f>
        <v>44</v>
      </c>
      <c r="E148" s="181" cm="1">
        <f t="array" ref="E148">SUMPRODUCT((inc_01[[client]:[client]]=syndicat_etude)*(inc_01[[annee]:[annee]]=E$147)*(inc_01[[total_6_cl_bt]:[total_6_cl_bt]]))</f>
        <v>0</v>
      </c>
      <c r="F148" s="181" cm="1">
        <f t="array" ref="F148">SUMPRODUCT((inc_01[[client]:[client]]=syndicat_etude)*(inc_01[[annee]:[annee]]=F$147)*(inc_01[[total_6_cl_bt]:[total_6_cl_bt]]))</f>
        <v>84</v>
      </c>
      <c r="G148" s="181" cm="1">
        <f t="array" ref="G148">SUMPRODUCT((inc_01[[client]:[client]]=syndicat_etude)*(inc_01[[annee]:[annee]]=G$147)*(inc_01[[total_6_cl_bt]:[total_6_cl_bt]]))</f>
        <v>62</v>
      </c>
      <c r="H148" s="226">
        <f t="shared" ref="H148:H153" si="6">IFERROR(G148/F148-1,"")</f>
        <v>-0.26190476190476186</v>
      </c>
    </row>
    <row r="149" spans="1:26" ht="30" customHeight="1" x14ac:dyDescent="0.25">
      <c r="B149" s="633" t="s">
        <v>710</v>
      </c>
      <c r="C149" s="174" cm="1">
        <f t="array" ref="C149">SUMPRODUCT((inc_01[[client]:[client]]=syndicat_etude)*(inc_01[[annee]:[annee]]=C$147)*(inc_01[[incidents_6_cl_bt]:[incidents_6_cl_bt]]))</f>
        <v>0</v>
      </c>
      <c r="D149" s="174" cm="1">
        <f t="array" ref="D149">SUMPRODUCT((inc_01[[client]:[client]]=syndicat_etude)*(inc_01[[annee]:[annee]]=D$147)*(inc_01[[incidents_6_cl_bt]:[incidents_6_cl_bt]]))</f>
        <v>0</v>
      </c>
      <c r="E149" s="174" cm="1">
        <f t="array" ref="E149">SUMPRODUCT((inc_01[[client]:[client]]=syndicat_etude)*(inc_01[[annee]:[annee]]=E$147)*(inc_01[[incidents_6_cl_bt]:[incidents_6_cl_bt]]))</f>
        <v>0</v>
      </c>
      <c r="F149" s="174" cm="1">
        <f t="array" ref="F149">SUMPRODUCT((inc_01[[client]:[client]]=syndicat_etude)*(inc_01[[annee]:[annee]]=F$147)*(inc_01[[incidents_6_cl_bt]:[incidents_6_cl_bt]]))</f>
        <v>0</v>
      </c>
      <c r="G149" s="174" cm="1">
        <f t="array" ref="G149">SUMPRODUCT((inc_01[[client]:[client]]=syndicat_etude)*(inc_01[[annee]:[annee]]=G$147)*(inc_01[[incidents_6_cl_bt]:[incidents_6_cl_bt]]))</f>
        <v>0</v>
      </c>
      <c r="H149" s="227" t="str">
        <f t="shared" si="6"/>
        <v/>
      </c>
    </row>
    <row r="150" spans="1:26" ht="30" customHeight="1" x14ac:dyDescent="0.25">
      <c r="B150" s="182" t="s">
        <v>711</v>
      </c>
      <c r="C150" s="181" cm="1">
        <f t="array" ref="C150">SUMPRODUCT((inc_01[[client]:[client]]=syndicat_etude)*(inc_01[[annee]:[annee]]=C$147)*(inc_01[[Nbr usager impactes par + de 30 CB]:[Nbr usager impactes par + de 30 CB]]))</f>
        <v>0</v>
      </c>
      <c r="D150" s="181" cm="1">
        <f t="array" ref="D150">SUMPRODUCT((inc_01[[client]:[client]]=syndicat_etude)*(inc_01[[annee]:[annee]]=D$147)*(inc_01[[Nbr usager impactes par + de 30 CB]:[Nbr usager impactes par + de 30 CB]]))</f>
        <v>0</v>
      </c>
      <c r="E150" s="181" cm="1">
        <f t="array" ref="E150">SUMPRODUCT((inc_01[[client]:[client]]=syndicat_etude)*(inc_01[[annee]:[annee]]=E$147)*(inc_01[[Nbr usager impactes par + de 30 CB]:[Nbr usager impactes par + de 30 CB]]))</f>
        <v>0</v>
      </c>
      <c r="F150" s="181" cm="1">
        <f t="array" ref="F150">SUMPRODUCT((inc_01[[client]:[client]]=syndicat_etude)*(inc_01[[annee]:[annee]]=F$147)*(inc_01[[Nbr usager impactes par + de 30 CB]:[Nbr usager impactes par + de 30 CB]]))</f>
        <v>0</v>
      </c>
      <c r="G150" s="181" cm="1">
        <f t="array" ref="G150">SUMPRODUCT((inc_01[[client]:[client]]=syndicat_etude)*(inc_01[[annee]:[annee]]=G$147)*(inc_01[[Nbr usager impactes par + de 30 CB]:[Nbr usager impactes par + de 30 CB]]))</f>
        <v>0</v>
      </c>
      <c r="H150" s="226" t="str">
        <f t="shared" si="6"/>
        <v/>
      </c>
    </row>
    <row r="151" spans="1:26" ht="30" customHeight="1" x14ac:dyDescent="0.25">
      <c r="B151" s="625" t="s">
        <v>712</v>
      </c>
      <c r="C151" s="626" cm="1">
        <f t="array" ref="C151">SUMPRODUCT((inc_01[[client]:[client]]=syndicat_etude)*(inc_01[[annee]:[annee]]=C$147)*(inc_01[[Nbr usagers coupes + de 3H (T+I)]:[Nbr usager impactes par + de 30 CB]]))</f>
        <v>13875</v>
      </c>
      <c r="D151" s="626" cm="1">
        <f t="array" ref="D151">SUMPRODUCT((inc_01[[client]:[client]]=syndicat_etude)*(inc_01[[annee]:[annee]]=D$147)*(inc_01[[Nbr usagers coupes + de 3H (T+I)]:[Nbr usager impactes par + de 30 CB]]))</f>
        <v>14017</v>
      </c>
      <c r="E151" s="626" cm="1">
        <f t="array" ref="E151">SUMPRODUCT((inc_01[[client]:[client]]=syndicat_etude)*(inc_01[[annee]:[annee]]=E$147)*(inc_01[[Nbr usagers coupes + de 3H (T+I)]:[Nbr usager impactes par + de 30 CB]]))</f>
        <v>12341</v>
      </c>
      <c r="F151" s="626" cm="1">
        <f t="array" ref="F151">SUMPRODUCT((inc_01[[client]:[client]]=syndicat_etude)*(inc_01[[annee]:[annee]]=F$147)*(inc_01[[Nbr usagers coupes + de 3H (T+I)]:[Nbr usager impactes par + de 30 CB]]))</f>
        <v>15228</v>
      </c>
      <c r="G151" s="626" cm="1">
        <f t="array" ref="G151">SUMPRODUCT((inc_01[[client]:[client]]=syndicat_etude)*(inc_01[[annee]:[annee]]=G$147)*(inc_01[[Nbr usagers coupes + de 3H (T+I)]:[Nbr usager impactes par + de 30 CB]]))</f>
        <v>18231</v>
      </c>
      <c r="H151" s="627">
        <f t="shared" si="6"/>
        <v>0.19720252167060681</v>
      </c>
    </row>
    <row r="152" spans="1:26" ht="30" customHeight="1" x14ac:dyDescent="0.25">
      <c r="B152" s="634" t="s">
        <v>713</v>
      </c>
      <c r="C152" s="631" cm="1">
        <f t="array" ref="C152">SUMPRODUCT((inc_01[[client]:[client]]=syndicat_etude)*(inc_01[[annee]:[annee]]=C$147)*(inc_01[[Nbr usagers coupes + de 3H (incidents) amont BT]:[Nbr usagers coupes + de 3H (incidents) amont BT]]))</f>
        <v>9453</v>
      </c>
      <c r="D152" s="631" cm="1">
        <f t="array" ref="D152">SUMPRODUCT((inc_01[[client]:[client]]=syndicat_etude)*(inc_01[[annee]:[annee]]=D$147)*(inc_01[[Nbr usagers coupes + de 3H (incidents) amont BT]:[Nbr usagers coupes + de 3H (incidents) amont BT]]))</f>
        <v>8308</v>
      </c>
      <c r="E152" s="631" cm="1">
        <f t="array" ref="E152">SUMPRODUCT((inc_01[[client]:[client]]=syndicat_etude)*(inc_01[[annee]:[annee]]=E$147)*(inc_01[[Nbr usagers coupes + de 3H (incidents) amont BT]:[Nbr usagers coupes + de 3H (incidents) amont BT]]))</f>
        <v>5024</v>
      </c>
      <c r="F152" s="631" cm="1">
        <f t="array" ref="F152">SUMPRODUCT((inc_01[[client]:[client]]=syndicat_etude)*(inc_01[[annee]:[annee]]=F$147)*(inc_01[[Nbr usagers coupes + de 3H (incidents) amont BT]:[Nbr usagers coupes + de 3H (incidents) amont BT]]))</f>
        <v>6503</v>
      </c>
      <c r="G152" s="631" cm="1">
        <f t="array" ref="G152">SUMPRODUCT((inc_01[[client]:[client]]=syndicat_etude)*(inc_01[[annee]:[annee]]=G$147)*(inc_01[[Nbr usagers coupes + de 3H (incidents) amont BT]:[Nbr usagers coupes + de 3H (incidents) amont BT]]))</f>
        <v>8693</v>
      </c>
      <c r="H152" s="632">
        <f t="shared" si="6"/>
        <v>0.3367676457019837</v>
      </c>
    </row>
    <row r="153" spans="1:26" ht="15" customHeight="1" x14ac:dyDescent="0.25">
      <c r="B153" s="628" t="s">
        <v>714</v>
      </c>
      <c r="C153" s="629" cm="1">
        <f t="array" ref="C153">SUMPRODUCT((inc_01[[client]:[client]]=syndicat_etude)*(inc_01[[annee]:[annee]]=C$147)*(inc_01[[Nb clients BT coupes &gt; 6H sur incidents]:[Nb clients BT coupes &gt; 6H sur incidents]]))</f>
        <v>4577</v>
      </c>
      <c r="D153" s="629" cm="1">
        <f t="array" ref="D153">SUMPRODUCT((inc_01[[client]:[client]]=syndicat_etude)*(inc_01[[annee]:[annee]]=D$147)*(inc_01[[Nb clients BT coupes &gt; 6H sur incidents]:[Nb clients BT coupes &gt; 6H sur incidents]]))</f>
        <v>6819</v>
      </c>
      <c r="E153" s="629" cm="1">
        <f t="array" ref="E153">SUMPRODUCT((inc_01[[client]:[client]]=syndicat_etude)*(inc_01[[annee]:[annee]]=E$147)*(inc_01[[Nb clients BT coupes &gt; 6H sur incidents]:[Nb clients BT coupes &gt; 6H sur incidents]]))</f>
        <v>5073</v>
      </c>
      <c r="F153" s="629" cm="1">
        <f t="array" ref="F153">SUMPRODUCT((inc_01[[client]:[client]]=syndicat_etude)*(inc_01[[annee]:[annee]]=F$147)*(inc_01[[Nb clients BT coupes &gt; 6H sur incidents]:[Nb clients BT coupes &gt; 6H sur incidents]]))</f>
        <v>4071</v>
      </c>
      <c r="G153" s="629" cm="1">
        <f t="array" ref="G153">SUMPRODUCT((inc_01[[client]:[client]]=syndicat_etude)*(inc_01[[annee]:[annee]]=G$147)*(inc_01[[Nb clients BT coupes &gt; 6H sur incidents]:[Nb clients BT coupes &gt; 6H sur incidents]]))</f>
        <v>7676</v>
      </c>
      <c r="H153" s="630">
        <f t="shared" si="6"/>
        <v>0.88553181036600348</v>
      </c>
      <c r="U153" s="232"/>
      <c r="V153" s="232"/>
      <c r="W153" s="232"/>
      <c r="X153" s="232"/>
      <c r="Y153" s="232"/>
      <c r="Z153" s="232"/>
    </row>
    <row r="154" spans="1:26" ht="15" customHeight="1" x14ac:dyDescent="0.25">
      <c r="B154" s="635"/>
      <c r="C154" s="626"/>
      <c r="D154" s="626"/>
      <c r="E154" s="626"/>
      <c r="F154" s="626"/>
      <c r="G154" s="626"/>
      <c r="H154" s="636"/>
      <c r="U154" s="232"/>
      <c r="V154" s="232"/>
      <c r="W154" s="232"/>
      <c r="X154" s="232"/>
      <c r="Y154" s="232"/>
      <c r="Z154" s="232"/>
    </row>
    <row r="155" spans="1:26" ht="30" customHeight="1" x14ac:dyDescent="0.25">
      <c r="A155" s="28" t="s">
        <v>3171</v>
      </c>
      <c r="B155" s="66" t="s">
        <v>715</v>
      </c>
      <c r="C155" s="67" cm="1">
        <f t="array" ref="C155">Exercice[Exercice N-4]</f>
        <v>2019</v>
      </c>
      <c r="D155" s="67" cm="1">
        <f t="array" ref="D155">Exercice[Exercice N-3]</f>
        <v>2020</v>
      </c>
      <c r="E155" s="67" cm="1">
        <f t="array" ref="E155">Exercice[Exercice N-2]</f>
        <v>2021</v>
      </c>
      <c r="F155" s="67" cm="1">
        <f t="array" ref="F155">Exercice[Exercice N-1]</f>
        <v>2022</v>
      </c>
      <c r="G155" s="67" cm="1">
        <f t="array" ref="G155">Exercice[Exercice N]</f>
        <v>2023</v>
      </c>
      <c r="H155" s="76" t="s">
        <v>273</v>
      </c>
      <c r="U155" s="232"/>
      <c r="V155" s="232"/>
      <c r="W155" s="232"/>
      <c r="X155" s="232"/>
      <c r="Y155" s="232"/>
      <c r="Z155" s="232"/>
    </row>
    <row r="156" spans="1:26" ht="15" customHeight="1" x14ac:dyDescent="0.25">
      <c r="A156" s="28"/>
      <c r="B156" s="180" t="s">
        <v>716</v>
      </c>
      <c r="C156" s="720" cm="1">
        <f t="array" ref="C156">SUMPRODUCT((inc_08_crac[[Client]:[Client]]=syndicat_etude)*(inc_08_crac[[Annee]:[Annee]]=C$155)*VALUE(inc_08_crac[[nb_incidents_hta_100km]:[nb_incidents_hta_100km]]))</f>
        <v>2.2999999999999998</v>
      </c>
      <c r="D156" s="720" cm="1">
        <f t="array" ref="D156">SUMPRODUCT((inc_08_crac[[Client]:[Client]]=syndicat_etude)*(inc_08_crac[[Annee]:[Annee]]=D$155)*VALUE(inc_08_crac[[nb_incidents_hta_100km]:[nb_incidents_hta_100km]]))</f>
        <v>2.7</v>
      </c>
      <c r="E156" s="720" cm="1">
        <f t="array" ref="E156">SUMPRODUCT((inc_08_crac[[Client]:[Client]]=syndicat_etude)*(inc_08_crac[[Annee]:[Annee]]=E$155)*VALUE(inc_08_crac[[nb_incidents_hta_100km]:[nb_incidents_hta_100km]]))</f>
        <v>1.9</v>
      </c>
      <c r="F156" s="720" cm="1">
        <f t="array" ref="F156">SUMPRODUCT((inc_08_crac[[Client]:[Client]]=syndicat_etude)*(inc_08_crac[[Annee]:[Annee]]=F$155)*VALUE(inc_08_crac[[nb_incidents_hta_100km]:[nb_incidents_hta_100km]]))</f>
        <v>1.6</v>
      </c>
      <c r="G156" s="720" cm="1">
        <f t="array" ref="G156">SUMPRODUCT((inc_08_crac[[Client]:[Client]]=syndicat_etude)*(inc_08_crac[[Annee]:[Annee]]=G$155)*VALUE(inc_08_crac[[nb_incidents_hta_100km]:[nb_incidents_hta_100km]]))</f>
        <v>0</v>
      </c>
      <c r="H156" s="226">
        <f t="shared" ref="H156:H164" si="7">IFERROR(G156/F156-1,"")</f>
        <v>-1</v>
      </c>
      <c r="I156" s="65" t="s">
        <v>622</v>
      </c>
      <c r="U156" s="232"/>
      <c r="V156" s="232"/>
      <c r="W156" s="232"/>
      <c r="X156" s="232"/>
      <c r="Y156" s="232"/>
      <c r="Z156" s="232"/>
    </row>
    <row r="157" spans="1:26" ht="15" customHeight="1" x14ac:dyDescent="0.25">
      <c r="A157" s="28"/>
      <c r="B157" s="633" t="s">
        <v>717</v>
      </c>
      <c r="C157" s="737" cm="1">
        <f t="array" ref="C157">SUMPRODUCT((inc_08_crac[[Client]:[Client]]=syndicat_etude)*(inc_08_crac[[Annee]:[Annee]]=C$155)*VALUE(inc_08_crac[[nb_incidents_hta_100km_aerien]:[nb_incidents_hta_100km_aerien]]))</f>
        <v>1.2</v>
      </c>
      <c r="D157" s="737" cm="1">
        <f t="array" ref="D157">SUMPRODUCT((inc_08_crac[[Client]:[Client]]=syndicat_etude)*(inc_08_crac[[Annee]:[Annee]]=D$155)*VALUE(inc_08_crac[[nb_incidents_hta_100km_aerien]:[nb_incidents_hta_100km_aerien]]))</f>
        <v>1.6</v>
      </c>
      <c r="E157" s="737" cm="1">
        <f t="array" ref="E157">SUMPRODUCT((inc_08_crac[[Client]:[Client]]=syndicat_etude)*(inc_08_crac[[Annee]:[Annee]]=E$155)*VALUE(inc_08_crac[[nb_incidents_hta_100km_aerien]:[nb_incidents_hta_100km_aerien]]))</f>
        <v>1</v>
      </c>
      <c r="F157" s="737" cm="1">
        <f t="array" ref="F157">SUMPRODUCT((inc_08_crac[[Client]:[Client]]=syndicat_etude)*(inc_08_crac[[Annee]:[Annee]]=F$155)*VALUE(inc_08_crac[[nb_incidents_hta_100km_aerien]:[nb_incidents_hta_100km_aerien]]))</f>
        <v>0.8</v>
      </c>
      <c r="G157" s="737" cm="1">
        <f t="array" ref="G157">SUMPRODUCT((inc_08_crac[[Client]:[Client]]=syndicat_etude)*(inc_08_crac[[Annee]:[Annee]]=G$155)*VALUE(inc_08_crac[[nb_incidents_hta_100km_aerien]:[nb_incidents_hta_100km_aerien]]))</f>
        <v>0</v>
      </c>
      <c r="H157" s="227">
        <f t="shared" si="7"/>
        <v>-1</v>
      </c>
      <c r="I157" s="65" t="s">
        <v>622</v>
      </c>
      <c r="U157" s="232"/>
      <c r="V157" s="232"/>
      <c r="W157" s="232"/>
      <c r="X157" s="232"/>
      <c r="Y157" s="232"/>
      <c r="Z157" s="232"/>
    </row>
    <row r="158" spans="1:26" ht="15" customHeight="1" x14ac:dyDescent="0.25">
      <c r="A158" s="28"/>
      <c r="B158" s="633" t="s">
        <v>718</v>
      </c>
      <c r="C158" s="737" cm="1">
        <f t="array" ref="C158">SUMPRODUCT((inc_08_crac[[Client]:[Client]]=syndicat_etude)*(inc_08_crac[[Annee]:[Annee]]=C$155)*VALUE(inc_08_crac[[nb_incidents_hta_100km_souterrain]:[nb_incidents_hta_100km_souterrain]]))</f>
        <v>0.6</v>
      </c>
      <c r="D158" s="737" cm="1">
        <f t="array" ref="D158">SUMPRODUCT((inc_08_crac[[Client]:[Client]]=syndicat_etude)*(inc_08_crac[[Annee]:[Annee]]=D$155)*VALUE(inc_08_crac[[nb_incidents_hta_100km_souterrain]:[nb_incidents_hta_100km_souterrain]]))</f>
        <v>0.5</v>
      </c>
      <c r="E158" s="737" cm="1">
        <f t="array" ref="E158">SUMPRODUCT((inc_08_crac[[Client]:[Client]]=syndicat_etude)*(inc_08_crac[[Annee]:[Annee]]=E$155)*VALUE(inc_08_crac[[nb_incidents_hta_100km_souterrain]:[nb_incidents_hta_100km_souterrain]]))</f>
        <v>0.4</v>
      </c>
      <c r="F158" s="737" cm="1">
        <f t="array" ref="F158">SUMPRODUCT((inc_08_crac[[Client]:[Client]]=syndicat_etude)*(inc_08_crac[[Annee]:[Annee]]=F$155)*VALUE(inc_08_crac[[nb_incidents_hta_100km_souterrain]:[nb_incidents_hta_100km_souterrain]]))</f>
        <v>0.4</v>
      </c>
      <c r="G158" s="737" cm="1">
        <f t="array" ref="G158">SUMPRODUCT((inc_08_crac[[Client]:[Client]]=syndicat_etude)*(inc_08_crac[[Annee]:[Annee]]=G$155)*VALUE(inc_08_crac[[nb_incidents_hta_100km_souterrain]:[nb_incidents_hta_100km_souterrain]]))</f>
        <v>0</v>
      </c>
      <c r="H158" s="227">
        <f t="shared" si="7"/>
        <v>-1</v>
      </c>
      <c r="I158" s="65" t="s">
        <v>622</v>
      </c>
      <c r="U158" s="232"/>
      <c r="V158" s="232"/>
      <c r="W158" s="232"/>
      <c r="X158" s="232"/>
      <c r="Y158" s="232"/>
      <c r="Z158" s="232"/>
    </row>
    <row r="159" spans="1:26" ht="15" customHeight="1" x14ac:dyDescent="0.25">
      <c r="A159" s="28"/>
      <c r="B159" s="180" t="s">
        <v>719</v>
      </c>
      <c r="C159" s="720" cm="1">
        <f t="array" ref="C159">SUMPRODUCT((inc_08_crac[[Client]:[Client]]=syndicat_etude)*(inc_08_crac[[Annee]:[Annee]]=C$155)*VALUE(inc_08_crac[[nb_incidents_bt_100km]:[nb_incidents_bt_100km]]))</f>
        <v>6.6</v>
      </c>
      <c r="D159" s="720" cm="1">
        <f t="array" ref="D159">SUMPRODUCT((inc_08_crac[[Client]:[Client]]=syndicat_etude)*(inc_08_crac[[Annee]:[Annee]]=D$155)*VALUE(inc_08_crac[[nb_incidents_bt_100km]:[nb_incidents_bt_100km]]))</f>
        <v>6.5</v>
      </c>
      <c r="E159" s="720" cm="1">
        <f t="array" ref="E159">SUMPRODUCT((inc_08_crac[[Client]:[Client]]=syndicat_etude)*(inc_08_crac[[Annee]:[Annee]]=E$155)*VALUE(inc_08_crac[[nb_incidents_bt_100km]:[nb_incidents_bt_100km]]))</f>
        <v>7.5</v>
      </c>
      <c r="F159" s="720" cm="1">
        <f t="array" ref="F159">SUMPRODUCT((inc_08_crac[[Client]:[Client]]=syndicat_etude)*(inc_08_crac[[Annee]:[Annee]]=F$155)*VALUE(inc_08_crac[[nb_incidents_bt_100km]:[nb_incidents_bt_100km]]))</f>
        <v>6.7</v>
      </c>
      <c r="G159" s="720" cm="1">
        <f t="array" ref="G159">SUMPRODUCT((inc_08_crac[[Client]:[Client]]=syndicat_etude)*(inc_08_crac[[Annee]:[Annee]]=G$155)*VALUE(inc_08_crac[[nb_incidents_bt_100km]:[nb_incidents_bt_100km]]))</f>
        <v>0</v>
      </c>
      <c r="H159" s="226">
        <f t="shared" si="7"/>
        <v>-1</v>
      </c>
      <c r="I159" s="65" t="s">
        <v>622</v>
      </c>
      <c r="U159" s="232"/>
      <c r="V159" s="232"/>
      <c r="W159" s="232"/>
      <c r="X159" s="232"/>
      <c r="Y159" s="232"/>
      <c r="Z159" s="232"/>
    </row>
    <row r="160" spans="1:26" ht="15" customHeight="1" x14ac:dyDescent="0.25">
      <c r="A160" s="28"/>
      <c r="B160" s="633" t="s">
        <v>717</v>
      </c>
      <c r="C160" s="737" cm="1">
        <f t="array" ref="C160">SUMPRODUCT((inc_08_crac[[Client]:[Client]]=syndicat_etude)*(inc_08_crac[[Annee]:[Annee]]=C$155)*VALUE(inc_08_crac[[nb_incidents_bt_100km_aerien]:[nb_incidents_bt_100km_aerien]]))</f>
        <v>1.6</v>
      </c>
      <c r="D160" s="737" cm="1">
        <f t="array" ref="D160">SUMPRODUCT((inc_08_crac[[Client]:[Client]]=syndicat_etude)*(inc_08_crac[[Annee]:[Annee]]=D$155)*VALUE(inc_08_crac[[nb_incidents_bt_100km_aerien]:[nb_incidents_bt_100km_aerien]]))</f>
        <v>1.9</v>
      </c>
      <c r="E160" s="737" cm="1">
        <f t="array" ref="E160">SUMPRODUCT((inc_08_crac[[Client]:[Client]]=syndicat_etude)*(inc_08_crac[[Annee]:[Annee]]=E$155)*VALUE(inc_08_crac[[nb_incidents_bt_100km_aerien]:[nb_incidents_bt_100km_aerien]]))</f>
        <v>1.9</v>
      </c>
      <c r="F160" s="737" cm="1">
        <f t="array" ref="F160">SUMPRODUCT((inc_08_crac[[Client]:[Client]]=syndicat_etude)*(inc_08_crac[[Annee]:[Annee]]=F$155)*VALUE(inc_08_crac[[nb_incidents_bt_100km_aerien]:[nb_incidents_bt_100km_aerien]]))</f>
        <v>1.6</v>
      </c>
      <c r="G160" s="737" cm="1">
        <f t="array" ref="G160">SUMPRODUCT((inc_08_crac[[Client]:[Client]]=syndicat_etude)*(inc_08_crac[[Annee]:[Annee]]=G$155)*VALUE(inc_08_crac[[nb_incidents_bt_100km_aerien]:[nb_incidents_bt_100km_aerien]]))</f>
        <v>0</v>
      </c>
      <c r="H160" s="227">
        <f t="shared" si="7"/>
        <v>-1</v>
      </c>
      <c r="I160" s="65" t="s">
        <v>622</v>
      </c>
      <c r="U160" s="232"/>
      <c r="V160" s="232"/>
      <c r="W160" s="232"/>
      <c r="X160" s="232"/>
      <c r="Y160" s="232"/>
      <c r="Z160" s="232"/>
    </row>
    <row r="161" spans="1:26" ht="15" customHeight="1" x14ac:dyDescent="0.25">
      <c r="A161" s="28"/>
      <c r="B161" s="633" t="s">
        <v>718</v>
      </c>
      <c r="C161" s="737" cm="1">
        <f t="array" ref="C161">SUMPRODUCT((inc_08_crac[[Client]:[Client]]=syndicat_etude)*(inc_08_crac[[Annee]:[Annee]]=C$155)*VALUE(inc_08_crac[[nb_incidents_bt_100km_souterrain]:[nb_incidents_bt_100km_souterrain]]))</f>
        <v>2.4</v>
      </c>
      <c r="D161" s="737" cm="1">
        <f t="array" ref="D161">SUMPRODUCT((inc_08_crac[[Client]:[Client]]=syndicat_etude)*(inc_08_crac[[Annee]:[Annee]]=D$155)*VALUE(inc_08_crac[[nb_incidents_bt_100km_souterrain]:[nb_incidents_bt_100km_souterrain]]))</f>
        <v>2.1</v>
      </c>
      <c r="E161" s="737" cm="1">
        <f t="array" ref="E161">SUMPRODUCT((inc_08_crac[[Client]:[Client]]=syndicat_etude)*(inc_08_crac[[Annee]:[Annee]]=E$155)*VALUE(inc_08_crac[[nb_incidents_bt_100km_souterrain]:[nb_incidents_bt_100km_souterrain]]))</f>
        <v>2.8</v>
      </c>
      <c r="F161" s="737" cm="1">
        <f t="array" ref="F161">SUMPRODUCT((inc_08_crac[[Client]:[Client]]=syndicat_etude)*(inc_08_crac[[Annee]:[Annee]]=F$155)*VALUE(inc_08_crac[[nb_incidents_bt_100km_souterrain]:[nb_incidents_bt_100km_souterrain]]))</f>
        <v>1.9</v>
      </c>
      <c r="G161" s="737" cm="1">
        <f t="array" ref="G161">SUMPRODUCT((inc_08_crac[[Client]:[Client]]=syndicat_etude)*(inc_08_crac[[Annee]:[Annee]]=G$155)*VALUE(inc_08_crac[[nb_incidents_bt_100km_souterrain]:[nb_incidents_bt_100km_souterrain]]))</f>
        <v>0</v>
      </c>
      <c r="H161" s="227">
        <f t="shared" si="7"/>
        <v>-1</v>
      </c>
      <c r="I161" s="65" t="s">
        <v>622</v>
      </c>
      <c r="U161" s="232"/>
      <c r="V161" s="232"/>
      <c r="W161" s="232"/>
      <c r="X161" s="232"/>
      <c r="Y161" s="232"/>
      <c r="Z161" s="232"/>
    </row>
    <row r="162" spans="1:26" ht="15" customHeight="1" x14ac:dyDescent="0.25">
      <c r="A162" s="28"/>
      <c r="B162" s="180" t="s">
        <v>720</v>
      </c>
      <c r="C162" s="720" cm="1">
        <f t="array" ref="C162">SUMPRODUCT((inc_08_crac[[Client]:[Client]]=syndicat_etude)*(inc_08_crac[[Annee]:[Annee]]=C$155)*VALUE(inc_08_crac[[nb_coupures_incident_reseau]:[nb_coupures_incident_reseau]]))</f>
        <v>559</v>
      </c>
      <c r="D162" s="720" cm="1">
        <f t="array" ref="D162">SUMPRODUCT((inc_08_crac[[Client]:[Client]]=syndicat_etude)*(inc_08_crac[[Annee]:[Annee]]=D$155)*VALUE(inc_08_crac[[nb_coupures_incident_reseau]:[nb_coupures_incident_reseau]]))</f>
        <v>637</v>
      </c>
      <c r="E162" s="720" cm="1">
        <f t="array" ref="E162">SUMPRODUCT((inc_08_crac[[Client]:[Client]]=syndicat_etude)*(inc_08_crac[[Annee]:[Annee]]=E$155)*VALUE(inc_08_crac[[nb_coupures_incident_reseau]:[nb_coupures_incident_reseau]]))</f>
        <v>770</v>
      </c>
      <c r="F162" s="720" cm="1">
        <f t="array" ref="F162">SUMPRODUCT((inc_08_crac[[Client]:[Client]]=syndicat_etude)*(inc_08_crac[[Annee]:[Annee]]=F$155)*VALUE(inc_08_crac[[nb_coupures_incident_reseau]:[nb_coupures_incident_reseau]]))</f>
        <v>566</v>
      </c>
      <c r="G162" s="720" cm="1">
        <f t="array" ref="G162">SUMPRODUCT((inc_08_crac[[Client]:[Client]]=syndicat_etude)*(inc_08_crac[[Annee]:[Annee]]=G$155)*VALUE(inc_08_crac[[nb_coupures_incident_reseau]:[nb_coupures_incident_reseau]]))</f>
        <v>0</v>
      </c>
      <c r="H162" s="226">
        <f t="shared" si="7"/>
        <v>-1</v>
      </c>
      <c r="I162" s="65" t="s">
        <v>622</v>
      </c>
      <c r="U162" s="232"/>
      <c r="V162" s="232"/>
      <c r="W162" s="232"/>
      <c r="X162" s="232"/>
      <c r="Y162" s="232"/>
      <c r="Z162" s="232"/>
    </row>
    <row r="163" spans="1:26" ht="15" customHeight="1" x14ac:dyDescent="0.25">
      <c r="A163" s="28"/>
      <c r="B163" s="633" t="s">
        <v>721</v>
      </c>
      <c r="C163" s="738" cm="1">
        <f t="array" ref="C163">SUMPRODUCT((inc_08_crac[[Client]:[Client]]=syndicat_etude)*(inc_08_crac[[Annee]:[Annee]]=C$155)*VALUE(inc_08_crac[[nb_coupures_longues]:[nb_coupures_longues]]))</f>
        <v>347</v>
      </c>
      <c r="D163" s="738" cm="1">
        <f t="array" ref="D163">SUMPRODUCT((inc_08_crac[[Client]:[Client]]=syndicat_etude)*(inc_08_crac[[Annee]:[Annee]]=D$155)*VALUE(inc_08_crac[[nb_coupures_longues]:[nb_coupures_longues]]))</f>
        <v>363</v>
      </c>
      <c r="E163" s="738" cm="1">
        <f t="array" ref="E163">SUMPRODUCT((inc_08_crac[[Client]:[Client]]=syndicat_etude)*(inc_08_crac[[Annee]:[Annee]]=E$155)*VALUE(inc_08_crac[[nb_coupures_longues]:[nb_coupures_longues]]))</f>
        <v>369</v>
      </c>
      <c r="F163" s="738" cm="1">
        <f t="array" ref="F163">SUMPRODUCT((inc_08_crac[[Client]:[Client]]=syndicat_etude)*(inc_08_crac[[Annee]:[Annee]]=F$155)*VALUE(inc_08_crac[[nb_coupures_longues]:[nb_coupures_longues]]))</f>
        <v>326</v>
      </c>
      <c r="G163" s="738" cm="1">
        <f t="array" ref="G163">SUMPRODUCT((inc_08_crac[[Client]:[Client]]=syndicat_etude)*(inc_08_crac[[Annee]:[Annee]]=G$155)*VALUE(inc_08_crac[[nb_coupures_longues]:[nb_coupures_longues]]))</f>
        <v>0</v>
      </c>
      <c r="H163" s="227">
        <f t="shared" si="7"/>
        <v>-1</v>
      </c>
      <c r="I163" s="65" t="s">
        <v>622</v>
      </c>
      <c r="U163" s="232"/>
      <c r="V163" s="232"/>
      <c r="W163" s="232"/>
      <c r="X163" s="232"/>
      <c r="Y163" s="232"/>
      <c r="Z163" s="232"/>
    </row>
    <row r="164" spans="1:26" ht="15" customHeight="1" x14ac:dyDescent="0.25">
      <c r="A164" s="28"/>
      <c r="B164" s="637" t="s">
        <v>722</v>
      </c>
      <c r="C164" s="739" cm="1">
        <f t="array" ref="C164">SUMPRODUCT((inc_08_crac[[Client]:[Client]]=syndicat_etude)*(inc_08_crac[[Annee]:[Annee]]=C$155)*VALUE(inc_08_crac[[nb_coupures_breves]:[nb_coupures_breves]]))</f>
        <v>212</v>
      </c>
      <c r="D164" s="739" cm="1">
        <f t="array" ref="D164">SUMPRODUCT((inc_08_crac[[Client]:[Client]]=syndicat_etude)*(inc_08_crac[[Annee]:[Annee]]=D$155)*VALUE(inc_08_crac[[nb_coupures_breves]:[nb_coupures_breves]]))</f>
        <v>274</v>
      </c>
      <c r="E164" s="739" cm="1">
        <f t="array" ref="E164">SUMPRODUCT((inc_08_crac[[Client]:[Client]]=syndicat_etude)*(inc_08_crac[[Annee]:[Annee]]=E$155)*VALUE(inc_08_crac[[nb_coupures_breves]:[nb_coupures_breves]]))</f>
        <v>401</v>
      </c>
      <c r="F164" s="739" cm="1">
        <f t="array" ref="F164">SUMPRODUCT((inc_08_crac[[Client]:[Client]]=syndicat_etude)*(inc_08_crac[[Annee]:[Annee]]=F$155)*VALUE(inc_08_crac[[nb_coupures_breves]:[nb_coupures_breves]]))</f>
        <v>240</v>
      </c>
      <c r="G164" s="739" cm="1">
        <f t="array" ref="G164">SUMPRODUCT((inc_08_crac[[Client]:[Client]]=syndicat_etude)*(inc_08_crac[[Annee]:[Annee]]=G$155)*VALUE(inc_08_crac[[nb_coupures_breves]:[nb_coupures_breves]]))</f>
        <v>0</v>
      </c>
      <c r="H164" s="638">
        <f t="shared" si="7"/>
        <v>-1</v>
      </c>
      <c r="I164" s="65" t="s">
        <v>622</v>
      </c>
      <c r="U164" s="232"/>
      <c r="V164" s="232"/>
      <c r="W164" s="232"/>
      <c r="X164" s="232"/>
      <c r="Y164" s="232"/>
      <c r="Z164" s="232"/>
    </row>
    <row r="165" spans="1:26" ht="15" customHeight="1" x14ac:dyDescent="0.25">
      <c r="B165" s="635"/>
      <c r="C165" s="626"/>
      <c r="D165" s="626"/>
      <c r="E165" s="626"/>
      <c r="F165" s="626"/>
      <c r="G165" s="626"/>
      <c r="H165" s="636"/>
      <c r="U165" s="232"/>
      <c r="V165" s="232"/>
      <c r="W165" s="232"/>
      <c r="X165" s="232"/>
      <c r="Y165" s="232"/>
      <c r="Z165" s="232"/>
    </row>
    <row r="166" spans="1:26" ht="30" customHeight="1" x14ac:dyDescent="0.25">
      <c r="A166" s="28" t="s">
        <v>3172</v>
      </c>
      <c r="B166" s="66" t="s">
        <v>723</v>
      </c>
      <c r="C166" s="67" cm="1">
        <f t="array" ref="C166">Exercice[Exercice N-4]</f>
        <v>2019</v>
      </c>
      <c r="D166" s="67" cm="1">
        <f t="array" ref="D166">Exercice[Exercice N-3]</f>
        <v>2020</v>
      </c>
      <c r="E166" s="67" cm="1">
        <f t="array" ref="E166">Exercice[Exercice N-2]</f>
        <v>2021</v>
      </c>
      <c r="F166" s="67" cm="1">
        <f t="array" ref="F166">Exercice[Exercice N-1]</f>
        <v>2022</v>
      </c>
      <c r="G166" s="67" cm="1">
        <f t="array" ref="G166">Exercice[Exercice N]</f>
        <v>2023</v>
      </c>
      <c r="H166" s="76" t="s">
        <v>273</v>
      </c>
      <c r="U166" s="232"/>
      <c r="V166" s="232"/>
      <c r="W166" s="232"/>
      <c r="X166" s="232"/>
      <c r="Y166" s="232"/>
      <c r="Z166" s="232"/>
    </row>
    <row r="167" spans="1:26" ht="15" customHeight="1" x14ac:dyDescent="0.25">
      <c r="A167" s="28"/>
      <c r="B167" s="180" t="s">
        <v>724</v>
      </c>
      <c r="C167" s="721" cm="1">
        <f t="array" ref="C167">SUMPRODUCT((inc_08_trv_crac[[Client]:[Client]]=syndicat_etude)*(inc_08_trv_crac[[Annee]:[Annee]]=C$166)*VALUE(inc_08_trv_crac[[nb_coupures_travaux]:[nb_coupures_travaux]]))</f>
        <v>483</v>
      </c>
      <c r="D167" s="721" cm="1">
        <f t="array" ref="D167">SUMPRODUCT((inc_08_trv_crac[[Client]:[Client]]=syndicat_etude)*(inc_08_trv_crac[[Annee]:[Annee]]=D$166)*VALUE(inc_08_trv_crac[[nb_coupures_travaux]:[nb_coupures_travaux]]))</f>
        <v>373</v>
      </c>
      <c r="E167" s="721" cm="1">
        <f t="array" ref="E167">SUMPRODUCT((inc_08_trv_crac[[Client]:[Client]]=syndicat_etude)*(inc_08_trv_crac[[Annee]:[Annee]]=E$166)*VALUE(inc_08_trv_crac[[nb_coupures_travaux]:[nb_coupures_travaux]]))</f>
        <v>534</v>
      </c>
      <c r="F167" s="721" cm="1">
        <f t="array" ref="F167">SUMPRODUCT((inc_08_trv_crac[[Client]:[Client]]=syndicat_etude)*(inc_08_trv_crac[[Annee]:[Annee]]=F$166)*VALUE(inc_08_trv_crac[[nb_coupures_travaux]:[nb_coupures_travaux]]))</f>
        <v>524</v>
      </c>
      <c r="G167" s="721" cm="1">
        <f t="array" ref="G167">SUMPRODUCT((inc_08_trv_crac[[Client]:[Client]]=syndicat_etude)*(inc_08_trv_crac[[Annee]:[Annee]]=G$166)*VALUE(inc_08_trv_crac[[nb_coupures_travaux]:[nb_coupures_travaux]]))</f>
        <v>0</v>
      </c>
      <c r="H167" s="226">
        <f>IFERROR(G167/F167-1,"")</f>
        <v>-1</v>
      </c>
      <c r="I167" s="65" t="s">
        <v>622</v>
      </c>
      <c r="U167" s="232"/>
      <c r="V167" s="232"/>
      <c r="W167" s="232"/>
      <c r="X167" s="232"/>
      <c r="Y167" s="232"/>
      <c r="Z167" s="232"/>
    </row>
    <row r="168" spans="1:26" ht="15" customHeight="1" x14ac:dyDescent="0.25">
      <c r="A168" s="28"/>
      <c r="B168" s="633" t="s">
        <v>725</v>
      </c>
      <c r="C168" s="738" cm="1">
        <f t="array" ref="C168">SUMPRODUCT((inc_08_trv_crac[[Client]:[Client]]=syndicat_etude)*(inc_08_trv_crac[[Annee]:[Annee]]=C$166)*VALUE(inc_08_trv_crac[[nb_coupures_travaux_hta]:[nb_coupures_travaux_hta]]))</f>
        <v>244</v>
      </c>
      <c r="D168" s="738" cm="1">
        <f t="array" ref="D168">SUMPRODUCT((inc_08_trv_crac[[Client]:[Client]]=syndicat_etude)*(inc_08_trv_crac[[Annee]:[Annee]]=D$166)*VALUE(inc_08_trv_crac[[nb_coupures_travaux_hta]:[nb_coupures_travaux_hta]]))</f>
        <v>215</v>
      </c>
      <c r="E168" s="738" cm="1">
        <f t="array" ref="E168">SUMPRODUCT((inc_08_trv_crac[[Client]:[Client]]=syndicat_etude)*(inc_08_trv_crac[[Annee]:[Annee]]=E$166)*VALUE(inc_08_trv_crac[[nb_coupures_travaux_hta]:[nb_coupures_travaux_hta]]))</f>
        <v>322</v>
      </c>
      <c r="F168" s="738" cm="1">
        <f t="array" ref="F168">SUMPRODUCT((inc_08_trv_crac[[Client]:[Client]]=syndicat_etude)*(inc_08_trv_crac[[Annee]:[Annee]]=F$166)*VALUE(inc_08_trv_crac[[nb_coupures_travaux_hta]:[nb_coupures_travaux_hta]]))</f>
        <v>290</v>
      </c>
      <c r="G168" s="738" cm="1">
        <f t="array" ref="G168">SUMPRODUCT((inc_08_trv_crac[[Client]:[Client]]=syndicat_etude)*(inc_08_trv_crac[[Annee]:[Annee]]=G$166)*VALUE(inc_08_trv_crac[[nb_coupures_travaux_hta]:[nb_coupures_travaux_hta]]))</f>
        <v>0</v>
      </c>
      <c r="H168" s="227">
        <f>IFERROR(G168/F168-1,"")</f>
        <v>-1</v>
      </c>
      <c r="I168" s="65" t="s">
        <v>622</v>
      </c>
      <c r="U168" s="232"/>
      <c r="V168" s="232"/>
      <c r="W168" s="232"/>
      <c r="X168" s="232"/>
      <c r="Y168" s="232"/>
      <c r="Z168" s="232"/>
    </row>
    <row r="169" spans="1:26" ht="15" customHeight="1" x14ac:dyDescent="0.25">
      <c r="A169" s="28"/>
      <c r="B169" s="633" t="s">
        <v>726</v>
      </c>
      <c r="C169" s="738" cm="1">
        <f t="array" ref="C169">SUMPRODUCT((inc_08_trv_crac[[Client]:[Client]]=syndicat_etude)*(inc_08_trv_crac[[Annee]:[Annee]]=C$166)*VALUE(inc_08_trv_crac[[nb_coupures_travaux_bt]:[nb_coupures_travaux_bt]]))</f>
        <v>239</v>
      </c>
      <c r="D169" s="738" cm="1">
        <f t="array" ref="D169">SUMPRODUCT((inc_08_trv_crac[[Client]:[Client]]=syndicat_etude)*(inc_08_trv_crac[[Annee]:[Annee]]=D$166)*VALUE(inc_08_trv_crac[[nb_coupures_travaux_bt]:[nb_coupures_travaux_bt]]))</f>
        <v>158</v>
      </c>
      <c r="E169" s="738" cm="1">
        <f t="array" ref="E169">SUMPRODUCT((inc_08_trv_crac[[Client]:[Client]]=syndicat_etude)*(inc_08_trv_crac[[Annee]:[Annee]]=E$166)*VALUE(inc_08_trv_crac[[nb_coupures_travaux_bt]:[nb_coupures_travaux_bt]]))</f>
        <v>212</v>
      </c>
      <c r="F169" s="738" cm="1">
        <f t="array" ref="F169">SUMPRODUCT((inc_08_trv_crac[[Client]:[Client]]=syndicat_etude)*(inc_08_trv_crac[[Annee]:[Annee]]=F$166)*VALUE(inc_08_trv_crac[[nb_coupures_travaux_bt]:[nb_coupures_travaux_bt]]))</f>
        <v>234</v>
      </c>
      <c r="G169" s="738" cm="1">
        <f t="array" ref="G169">SUMPRODUCT((inc_08_trv_crac[[Client]:[Client]]=syndicat_etude)*(inc_08_trv_crac[[Annee]:[Annee]]=G$166)*VALUE(inc_08_trv_crac[[nb_coupures_travaux_bt]:[nb_coupures_travaux_bt]]))</f>
        <v>0</v>
      </c>
      <c r="H169" s="227">
        <f>IFERROR(G169/F169-1,"")</f>
        <v>-1</v>
      </c>
      <c r="I169" s="65" t="s">
        <v>622</v>
      </c>
      <c r="U169" s="232"/>
      <c r="V169" s="232"/>
      <c r="W169" s="232"/>
      <c r="X169" s="232"/>
      <c r="Y169" s="232"/>
      <c r="Z169" s="232"/>
    </row>
    <row r="170" spans="1:26" ht="15" customHeight="1" x14ac:dyDescent="0.25">
      <c r="A170" s="28"/>
      <c r="B170" s="639" t="s">
        <v>727</v>
      </c>
      <c r="C170" s="722" cm="1">
        <f t="array" ref="C170">SUMPRODUCT((inc_08_trv_crac[[Client]:[Client]]=syndicat_etude)*(inc_08_trv_crac[[Annee]:[Annee]]=C$166)*VALUE(inc_08_trv_crac[[temps_moyen]:[temps_moyen]]))</f>
        <v>12</v>
      </c>
      <c r="D170" s="722" cm="1">
        <f t="array" ref="D170">SUMPRODUCT((inc_08_trv_crac[[Client]:[Client]]=syndicat_etude)*(inc_08_trv_crac[[Annee]:[Annee]]=D$166)*VALUE(inc_08_trv_crac[[temps_moyen]:[temps_moyen]]))</f>
        <v>12</v>
      </c>
      <c r="E170" s="722" cm="1">
        <f t="array" ref="E170">SUMPRODUCT((inc_08_trv_crac[[Client]:[Client]]=syndicat_etude)*(inc_08_trv_crac[[Annee]:[Annee]]=E$166)*VALUE(inc_08_trv_crac[[temps_moyen]:[temps_moyen]]))</f>
        <v>13</v>
      </c>
      <c r="F170" s="722" cm="1">
        <f t="array" ref="F170">SUMPRODUCT((inc_08_trv_crac[[Client]:[Client]]=syndicat_etude)*(inc_08_trv_crac[[Annee]:[Annee]]=F$166)*VALUE(inc_08_trv_crac[[temps_moyen]:[temps_moyen]]))</f>
        <v>14</v>
      </c>
      <c r="G170" s="623" cm="1">
        <f t="array" ref="G170">SUMPRODUCT((inc_08_trv_crac[[Client]:[Client]]=syndicat_etude)*(inc_08_trv_crac[[Annee]:[Annee]]=G$166)*VALUE(inc_08_trv_crac[[temps_moyen]:[temps_moyen]]))</f>
        <v>0</v>
      </c>
      <c r="H170" s="228">
        <f>IFERROR(G170/F170-1,"")</f>
        <v>-1</v>
      </c>
      <c r="I170" s="65" t="s">
        <v>622</v>
      </c>
      <c r="U170" s="232"/>
      <c r="V170" s="232"/>
      <c r="W170" s="232"/>
      <c r="X170" s="232"/>
      <c r="Y170" s="232"/>
      <c r="Z170" s="232"/>
    </row>
    <row r="171" spans="1:26" ht="15" customHeight="1" x14ac:dyDescent="0.25">
      <c r="U171" s="232"/>
      <c r="V171" s="232"/>
      <c r="W171" s="232"/>
      <c r="X171" s="232"/>
      <c r="Y171" s="232"/>
      <c r="Z171" s="232"/>
    </row>
    <row r="172" spans="1:26" ht="30" customHeight="1" x14ac:dyDescent="0.25">
      <c r="A172" s="25" t="s">
        <v>728</v>
      </c>
      <c r="B172" s="714" t="s">
        <v>729</v>
      </c>
      <c r="C172" s="715" cm="1">
        <f t="array" ref="C172">Exercice[Exercice N-4]</f>
        <v>2019</v>
      </c>
      <c r="D172" s="715" cm="1">
        <f t="array" ref="D172">Exercice[Exercice N-3]</f>
        <v>2020</v>
      </c>
      <c r="E172" s="716" cm="1">
        <f t="array" ref="E172">Exercice[Exercice N-2]</f>
        <v>2021</v>
      </c>
      <c r="F172" s="716" cm="1">
        <f t="array" ref="F172">Exercice[Exercice N-1]</f>
        <v>2022</v>
      </c>
      <c r="G172" s="717" cm="1">
        <f t="array" ref="G172">Exercice[Exercice N]</f>
        <v>2023</v>
      </c>
    </row>
    <row r="173" spans="1:26" ht="15" customHeight="1" x14ac:dyDescent="0.25">
      <c r="B173" s="718" t="s">
        <v>730</v>
      </c>
      <c r="C173" s="5" cm="1">
        <f t="array" ref="C173">SUMPRODUCT((inc_08[[client]:[client]]=syndicat_etude)*(inc_08[[annee]:[annee]]=C$172)*(inc_08[taux_incident_aerien_hta]))</f>
        <v>2.38</v>
      </c>
      <c r="D173" s="5" cm="1">
        <f t="array" ref="D173">SUMPRODUCT((inc_08[[client]:[client]]=syndicat_etude)*(inc_08[[annee]:[annee]]=D$172)*(inc_08[taux_incident_aerien_hta]))</f>
        <v>3.18</v>
      </c>
      <c r="E173" s="5" cm="1">
        <f t="array" ref="E173">SUMPRODUCT((inc_08[[client]:[client]]=syndicat_etude)*(inc_08[[annee]:[annee]]=E$172)*(inc_08[taux_incident_aerien_hta]))</f>
        <v>2.09</v>
      </c>
      <c r="F173" s="5" cm="1">
        <f t="array" ref="F173">SUMPRODUCT((inc_08[[client]:[client]]=syndicat_etude)*(inc_08[[annee]:[annee]]=F$172)*(inc_08[taux_incident_aerien_hta_aerien_nu]))</f>
        <v>0.45</v>
      </c>
      <c r="G173" s="112" cm="1">
        <f t="array" ref="G173">SUMPRODUCT((inc_08[[client]:[client]]=syndicat_etude)*(inc_08[[annee]:[annee]]=G$172)*(inc_08[taux_incident_aerien_hta_aerien_nu]))</f>
        <v>1.07</v>
      </c>
    </row>
    <row r="174" spans="1:26" ht="15" customHeight="1" x14ac:dyDescent="0.25">
      <c r="B174" s="719" t="s">
        <v>731</v>
      </c>
      <c r="C174" s="215" cm="1">
        <f t="array" ref="C174">SUMPRODUCT((inc_08[[client]:[client]]=syndicat_etude)*(inc_08[[annee]:[annee]]=C$172)*(inc_08[[moyenne_aerien_hta]:[moyenne_aerien_hta]]))</f>
        <v>3.5</v>
      </c>
      <c r="D174" s="215" cm="1">
        <f t="array" ref="D174">SUMPRODUCT((inc_08[[client]:[client]]=syndicat_etude)*(inc_08[[annee]:[annee]]=D$172)*(inc_08[[moyenne_aerien_hta]:[moyenne_aerien_hta]]))</f>
        <v>3.4</v>
      </c>
      <c r="E174" s="215" cm="1">
        <f t="array" ref="E174">SUMPRODUCT((inc_08[[client]:[client]]=syndicat_etude)*(inc_08[[annee]:[annee]]=E$172)*(inc_08[[moyenne_aerien_hta]:[moyenne_aerien_hta]]))</f>
        <v>3.8</v>
      </c>
      <c r="F174" s="215" cm="1">
        <f t="array" ref="F174">SUMPRODUCT((inc_08[[client]:[client]]=syndicat_etude)*(inc_08[[annee]:[annee]]=F$172)*(inc_08[[moyenne_aerien_hta]:[moyenne_aerien_hta]]))</f>
        <v>4.8</v>
      </c>
      <c r="G174" s="740" cm="1">
        <f t="array" ref="G174">SUMPRODUCT((inc_08[[client]:[client]]=syndicat_etude)*(inc_08[[annee]:[annee]]=G$172)*(inc_08[[moyenne_aerien_hta]:[moyenne_aerien_hta]]))</f>
        <v>5</v>
      </c>
    </row>
    <row r="175" spans="1:26" ht="15" customHeight="1" x14ac:dyDescent="0.25">
      <c r="B175" s="718" t="s">
        <v>732</v>
      </c>
      <c r="C175" s="5" cm="1">
        <f t="array" ref="C175">SUMPRODUCT((inc_08[[client]:[client]]=syndicat_etude)*(inc_08[[annee]:[annee]]=C$172)*(inc_08[taux_incident_souterrain_hta]))</f>
        <v>0.78</v>
      </c>
      <c r="D175" s="5" cm="1">
        <f t="array" ref="D175">SUMPRODUCT((inc_08[[client]:[client]]=syndicat_etude)*(inc_08[[annee]:[annee]]=D$172)*(inc_08[taux_incident_souterrain_hta]))</f>
        <v>0.69</v>
      </c>
      <c r="E175" s="5" cm="1">
        <f t="array" ref="E175">SUMPRODUCT((inc_08[[client]:[client]]=syndicat_etude)*(inc_08[[annee]:[annee]]=E$172)*(inc_08[taux_incident_souterrain_hta]))</f>
        <v>0.54</v>
      </c>
      <c r="F175" s="5" cm="1">
        <f t="array" ref="F175">SUMPRODUCT((inc_08[[client]:[client]]=syndicat_etude)*(inc_08[[annee]:[annee]]=F$172)*(inc_08[taux_incident_aerien_bt]))</f>
        <v>3.37</v>
      </c>
      <c r="G175" s="112" cm="1">
        <f t="array" ref="G175">SUMPRODUCT((inc_08[[client]:[client]]=syndicat_etude)*(inc_08[[annee]:[annee]]=G$172)*(inc_08[taux_incident_aerien_bt]))</f>
        <v>3.4</v>
      </c>
    </row>
    <row r="176" spans="1:26" ht="15" customHeight="1" x14ac:dyDescent="0.25">
      <c r="B176" s="719" t="s">
        <v>733</v>
      </c>
      <c r="C176" s="215" cm="1">
        <f t="array" ref="C176">SUMPRODUCT((inc_08[[client]:[client]]=syndicat_etude)*(inc_08[[annee]:[annee]]=C$172)*(inc_08[[moyenne_souterrain_hta]:[moyenne_souterrain_hta]]))</f>
        <v>2</v>
      </c>
      <c r="D176" s="215" cm="1">
        <f t="array" ref="D176">SUMPRODUCT((inc_08[[client]:[client]]=syndicat_etude)*(inc_08[[annee]:[annee]]=D$172)*(inc_08[[moyenne_souterrain_hta]:[moyenne_souterrain_hta]]))</f>
        <v>2.2000000000000002</v>
      </c>
      <c r="E176" s="215" cm="1">
        <f t="array" ref="E176">SUMPRODUCT((inc_08[[client]:[client]]=syndicat_etude)*(inc_08[[annee]:[annee]]=E$172)*(inc_08[[moyenne_souterrain_hta]:[moyenne_souterrain_hta]]))</f>
        <v>1.9</v>
      </c>
      <c r="F176" s="215" cm="1">
        <f t="array" ref="F176">SUMPRODUCT((inc_08[[client]:[client]]=syndicat_etude)*(inc_08[[annee]:[annee]]=F$172)*(inc_08[[moyenne_souterrain_hta]:[moyenne_souterrain_hta]]))</f>
        <v>2.9</v>
      </c>
      <c r="G176" s="740" cm="1">
        <f t="array" ref="G176">SUMPRODUCT((inc_08[[client]:[client]]=syndicat_etude)*(inc_08[[annee]:[annee]]=G$172)*(inc_08[[moyenne_souterrain_hta]:[moyenne_souterrain_hta]]))</f>
        <v>2.9</v>
      </c>
    </row>
    <row r="177" spans="1:8" ht="15" customHeight="1" x14ac:dyDescent="0.25">
      <c r="B177" s="718" t="s">
        <v>734</v>
      </c>
      <c r="C177" s="5" cm="1">
        <f t="array" ref="C177">SUMPRODUCT((inc_08[[client]:[client]]=syndicat_etude)*(inc_08[[annee]:[annee]]=C$172)*(inc_08[taux_incident_aerien_bt]))</f>
        <v>3.51</v>
      </c>
      <c r="D177" s="5" cm="1">
        <f t="array" ref="D177">SUMPRODUCT((inc_08[[client]:[client]]=syndicat_etude)*(inc_08[[annee]:[annee]]=D$172)*(inc_08[taux_incident_aerien_bt]))</f>
        <v>3.82</v>
      </c>
      <c r="E177" s="5" cm="1">
        <f t="array" ref="E177">SUMPRODUCT((inc_08[[client]:[client]]=syndicat_etude)*(inc_08[[annee]:[annee]]=E$172)*(inc_08[taux_incident_aerien_bt]))</f>
        <v>3.66</v>
      </c>
      <c r="F177" s="5" cm="1">
        <f t="array" ref="F177">SUMPRODUCT((inc_08[[client]:[client]]=syndicat_etude)*(inc_08[[annee]:[annee]]=F$172)*(inc_08[taux_incident_aerien_bt_aerien_nu]))</f>
        <v>12.01</v>
      </c>
      <c r="G177" s="112" cm="1">
        <f t="array" ref="G177">SUMPRODUCT((inc_08[[client]:[client]]=syndicat_etude)*(inc_08[[annee]:[annee]]=G$172)*(inc_08[taux_incident_aerien_bt_aerien_nu]))</f>
        <v>16.5</v>
      </c>
    </row>
    <row r="178" spans="1:8" ht="15" customHeight="1" x14ac:dyDescent="0.25">
      <c r="B178" s="223" t="s">
        <v>735</v>
      </c>
      <c r="C178" s="623" cm="1">
        <f t="array" ref="C178">SUMPRODUCT((inc_08[[client]:[client]]=syndicat_etude)*(inc_08[[annee]:[annee]]=C$172)*(inc_08[taux_incident_souterrain_bt]))</f>
        <v>2.69</v>
      </c>
      <c r="D178" s="623" cm="1">
        <f t="array" ref="D178">SUMPRODUCT((inc_08[[client]:[client]]=syndicat_etude)*(inc_08[[annee]:[annee]]=D$172)*(inc_08[taux_incident_souterrain_bt]))</f>
        <v>2.69</v>
      </c>
      <c r="E178" s="623" cm="1">
        <f t="array" ref="E178">SUMPRODUCT((inc_08[[client]:[client]]=syndicat_etude)*(inc_08[[annee]:[annee]]=E$172)*(inc_08[taux_incident_souterrain_bt]))</f>
        <v>3.12</v>
      </c>
      <c r="F178" s="623" cm="1">
        <f t="array" ref="F178">SUMPRODUCT((inc_08[[client]:[client]]=syndicat_etude)*(inc_08[[annee]:[annee]]=F$172)*(inc_08[taux_incident_hta_bt]))</f>
        <v>1.73</v>
      </c>
      <c r="G178" s="225" cm="1">
        <f t="array" ref="G178">SUMPRODUCT((inc_08[[client]:[client]]=syndicat_etude)*(inc_08[[annee]:[annee]]=G$172)*(inc_08[taux_incident_hta_bt]))</f>
        <v>2.19</v>
      </c>
    </row>
    <row r="179" spans="1:8" ht="15" customHeight="1" x14ac:dyDescent="0.25">
      <c r="C179" s="5"/>
      <c r="D179" s="5"/>
      <c r="E179" s="5"/>
    </row>
    <row r="180" spans="1:8" ht="15" customHeight="1" x14ac:dyDescent="0.25">
      <c r="A180" s="25" t="s">
        <v>736</v>
      </c>
      <c r="B180" s="98" t="s">
        <v>737</v>
      </c>
      <c r="C180" s="25">
        <v>2013</v>
      </c>
      <c r="D180" s="25">
        <v>2014</v>
      </c>
      <c r="E180" s="25">
        <v>2015</v>
      </c>
      <c r="F180" s="25">
        <v>2016</v>
      </c>
      <c r="G180" s="25">
        <v>2017</v>
      </c>
      <c r="H180" s="25">
        <v>2018</v>
      </c>
    </row>
    <row r="181" spans="1:8" ht="15" customHeight="1" x14ac:dyDescent="0.25">
      <c r="B181" s="25" t="s">
        <v>738</v>
      </c>
      <c r="C181" s="25">
        <v>4.5</v>
      </c>
      <c r="D181" s="25">
        <v>3.9</v>
      </c>
      <c r="E181" s="25">
        <v>3.6</v>
      </c>
      <c r="F181" s="25">
        <v>3.5</v>
      </c>
      <c r="G181" s="25">
        <v>4</v>
      </c>
      <c r="H181" s="25">
        <v>4</v>
      </c>
    </row>
    <row r="182" spans="1:8" ht="15" customHeight="1" x14ac:dyDescent="0.25">
      <c r="B182" s="25" t="s">
        <v>739</v>
      </c>
      <c r="C182" s="25">
        <v>2.6</v>
      </c>
      <c r="D182" s="25">
        <v>2.1</v>
      </c>
      <c r="E182" s="25">
        <v>2.5</v>
      </c>
      <c r="F182" s="25">
        <v>2</v>
      </c>
      <c r="G182" s="25">
        <v>2</v>
      </c>
      <c r="H182" s="25">
        <v>2.2000000000000002</v>
      </c>
    </row>
    <row r="183" spans="1:8" ht="15" customHeight="1" x14ac:dyDescent="0.25">
      <c r="B183" s="25" t="s">
        <v>740</v>
      </c>
      <c r="C183" s="25">
        <v>3.6</v>
      </c>
      <c r="D183" s="25">
        <v>3.1</v>
      </c>
      <c r="E183" s="25">
        <v>2.8</v>
      </c>
      <c r="F183" s="25">
        <v>3</v>
      </c>
      <c r="G183" s="25">
        <v>3.6</v>
      </c>
      <c r="H183" s="25">
        <v>3.4</v>
      </c>
    </row>
    <row r="184" spans="1:8" ht="15" customHeight="1" x14ac:dyDescent="0.25">
      <c r="C184" s="5"/>
      <c r="D184" s="5"/>
      <c r="E184" s="5"/>
    </row>
    <row r="185" spans="1:8" ht="15" customHeight="1" x14ac:dyDescent="0.25">
      <c r="A185" s="25" t="s">
        <v>736</v>
      </c>
      <c r="B185" s="98" t="s">
        <v>741</v>
      </c>
      <c r="C185" s="25">
        <v>2013</v>
      </c>
      <c r="D185" s="25">
        <v>2014</v>
      </c>
      <c r="E185" s="25">
        <v>2015</v>
      </c>
      <c r="F185" s="25">
        <v>2016</v>
      </c>
      <c r="G185" s="25">
        <v>2017</v>
      </c>
      <c r="H185" s="25">
        <v>2018</v>
      </c>
    </row>
    <row r="186" spans="1:8" ht="15" customHeight="1" x14ac:dyDescent="0.25">
      <c r="B186" s="25" t="s">
        <v>742</v>
      </c>
      <c r="C186" s="25">
        <v>7.3</v>
      </c>
      <c r="D186" s="25">
        <v>7.2</v>
      </c>
      <c r="E186" s="25">
        <v>7.2</v>
      </c>
      <c r="F186" s="25">
        <v>7.4</v>
      </c>
      <c r="G186" s="25">
        <v>7.9</v>
      </c>
      <c r="H186" s="25">
        <v>8.3000000000000007</v>
      </c>
    </row>
    <row r="187" spans="1:8" ht="15" customHeight="1" x14ac:dyDescent="0.25">
      <c r="B187" s="25" t="s">
        <v>743</v>
      </c>
      <c r="C187" s="25">
        <v>4.0999999999999996</v>
      </c>
      <c r="D187" s="25">
        <v>3.9</v>
      </c>
      <c r="E187" s="25">
        <v>4</v>
      </c>
      <c r="F187" s="25">
        <v>4.4000000000000004</v>
      </c>
      <c r="G187" s="25">
        <v>4.0999999999999996</v>
      </c>
      <c r="H187" s="25">
        <v>4.7</v>
      </c>
    </row>
    <row r="188" spans="1:8" ht="15" customHeight="1" x14ac:dyDescent="0.25">
      <c r="B188" s="25" t="s">
        <v>744</v>
      </c>
      <c r="C188" s="25">
        <v>17.5</v>
      </c>
      <c r="D188" s="25">
        <v>17.899999999999999</v>
      </c>
      <c r="E188" s="25">
        <v>18.100000000000001</v>
      </c>
      <c r="F188" s="25">
        <v>19.399999999999999</v>
      </c>
      <c r="G188" s="25">
        <v>22.5</v>
      </c>
      <c r="H188" s="25">
        <v>21.1</v>
      </c>
    </row>
    <row r="189" spans="1:8" ht="15" customHeight="1" x14ac:dyDescent="0.25">
      <c r="B189" s="25" t="s">
        <v>745</v>
      </c>
      <c r="C189" s="25">
        <v>1.8</v>
      </c>
      <c r="D189" s="25">
        <v>2.2999999999999998</v>
      </c>
      <c r="E189" s="25">
        <v>1.9</v>
      </c>
      <c r="F189" s="25">
        <v>2.2999999999999998</v>
      </c>
      <c r="G189" s="25">
        <v>2.6</v>
      </c>
      <c r="H189" s="25">
        <v>2.6</v>
      </c>
    </row>
    <row r="190" spans="1:8" ht="15" customHeight="1" x14ac:dyDescent="0.25">
      <c r="C190" s="5"/>
      <c r="D190" s="5"/>
      <c r="E190" s="5"/>
    </row>
    <row r="191" spans="1:8" ht="15" customHeight="1" x14ac:dyDescent="0.25">
      <c r="C191" s="5"/>
      <c r="D191" s="5"/>
      <c r="E191" s="5"/>
    </row>
    <row r="192" spans="1:8" ht="15" customHeight="1" x14ac:dyDescent="0.25">
      <c r="B192" s="25" t="s">
        <v>746</v>
      </c>
    </row>
    <row r="193" spans="1:7" ht="30" customHeight="1" x14ac:dyDescent="0.25">
      <c r="B193" s="66" t="s">
        <v>729</v>
      </c>
      <c r="C193" s="67" cm="1">
        <f t="array" ref="C193">Exercice[Exercice N-4]</f>
        <v>2019</v>
      </c>
      <c r="D193" s="67" cm="1">
        <f t="array" ref="D193">Exercice[Exercice N-3]</f>
        <v>2020</v>
      </c>
      <c r="E193" s="67" cm="1">
        <f t="array" ref="E193">Exercice[Exercice N-2]</f>
        <v>2021</v>
      </c>
      <c r="F193" s="67" cm="1">
        <f t="array" ref="F193">Exercice[Exercice N-1]</f>
        <v>2022</v>
      </c>
      <c r="G193" s="69" cm="1">
        <f t="array" ref="G193">Exercice[Exercice N]</f>
        <v>2023</v>
      </c>
    </row>
    <row r="194" spans="1:7" ht="15" customHeight="1" x14ac:dyDescent="0.25">
      <c r="A194" s="776" t="s">
        <v>296</v>
      </c>
      <c r="B194" s="58" t="s">
        <v>730</v>
      </c>
      <c r="C194" s="202" cm="1">
        <f t="array" ref="C194">SUMPRODUCT((inc_08[[client]:[client]]=syndicat_etude)*(inc_08[[annee]:[annee]]=C$193)*(inc_08[taux_incident_aerien_hta]))</f>
        <v>2.38</v>
      </c>
      <c r="D194" s="202" cm="1">
        <f t="array" ref="D194">SUMPRODUCT((inc_08[[client]:[client]]=syndicat_etude)*(inc_08[[annee]:[annee]]=D$193)*(inc_08[taux_incident_aerien_hta]))</f>
        <v>3.18</v>
      </c>
      <c r="E194" s="202" cm="1">
        <f t="array" ref="E194">SUMPRODUCT((inc_08[[client]:[client]]=syndicat_etude)*(inc_08[[annee]:[annee]]=E$193)*(inc_08[taux_incident_aerien_hta]))</f>
        <v>2.09</v>
      </c>
      <c r="F194" s="202" cm="1">
        <f t="array" ref="F194">SUMPRODUCT((inc_08[[client]:[client]]=syndicat_etude)*(inc_08[[annee]:[annee]]=F$193)*(inc_08[taux_incident_aerien_hta]))</f>
        <v>1.56</v>
      </c>
      <c r="G194" s="203" cm="1">
        <f t="array" ref="G194">SUMPRODUCT((inc_08[[client]:[client]]=syndicat_etude)*(inc_08[[annee]:[annee]]=G$193)*(inc_08[taux_incident_aerien_hta]))</f>
        <v>3.2</v>
      </c>
    </row>
    <row r="195" spans="1:7" ht="15" customHeight="1" x14ac:dyDescent="0.25">
      <c r="A195" s="776"/>
      <c r="B195" s="58" t="s">
        <v>747</v>
      </c>
      <c r="C195" s="202" cm="1">
        <f t="array" ref="C195">SUMPRODUCT((inc_08[[client]:[client]]=syndicat_etude)*(inc_08[[annee]:[annee]]=C$193)*(inc_08[taux_incident_aerien_hta_aerien_nu]))</f>
        <v>0.84</v>
      </c>
      <c r="D195" s="202" cm="1">
        <f t="array" ref="D195">SUMPRODUCT((inc_08[[client]:[client]]=syndicat_etude)*(inc_08[[annee]:[annee]]=D$193)*(inc_08[taux_incident_aerien_hta_aerien_nu]))</f>
        <v>1.24</v>
      </c>
      <c r="E195" s="202" cm="1">
        <f t="array" ref="E195">SUMPRODUCT((inc_08[[client]:[client]]=syndicat_etude)*(inc_08[[annee]:[annee]]=E$193)*(inc_08[taux_incident_aerien_hta_aerien_nu]))</f>
        <v>0.53</v>
      </c>
      <c r="F195" s="202" cm="1">
        <f t="array" ref="F195">SUMPRODUCT((inc_08[[client]:[client]]=syndicat_etude)*(inc_08[[annee]:[annee]]=F$193)*(inc_08[taux_incident_aerien_hta_aerien_nu]))</f>
        <v>0.45</v>
      </c>
      <c r="G195" s="203" cm="1">
        <f t="array" ref="G195">SUMPRODUCT((inc_08[[client]:[client]]=syndicat_etude)*(inc_08[[annee]:[annee]]=G$193)*(inc_08[taux_incident_aerien_hta_aerien_nu]))</f>
        <v>1.07</v>
      </c>
    </row>
    <row r="196" spans="1:7" ht="15" customHeight="1" x14ac:dyDescent="0.25">
      <c r="A196" s="776"/>
      <c r="B196" s="58" t="s">
        <v>748</v>
      </c>
      <c r="C196" s="202" cm="1">
        <f t="array" ref="C196">SUMPRODUCT((inc_08[[client]:[client]]=syndicat_etude)*(inc_08[[annee]:[annee]]=C$193)*(inc_08[taux_incident_aerien_hta_aerien_nu_faible_section]))</f>
        <v>6.64</v>
      </c>
      <c r="D196" s="202" cm="1">
        <f t="array" ref="D196">SUMPRODUCT((inc_08[[client]:[client]]=syndicat_etude)*(inc_08[[annee]:[annee]]=D$193)*(inc_08[taux_incident_aerien_hta_aerien_nu_faible_section]))</f>
        <v>6.73</v>
      </c>
      <c r="E196" s="202" cm="1">
        <f t="array" ref="E196">SUMPRODUCT((inc_08[[client]:[client]]=syndicat_etude)*(inc_08[[annee]:[annee]]=E$193)*(inc_08[taux_incident_aerien_hta_aerien_nu_faible_section]))</f>
        <v>0</v>
      </c>
      <c r="F196" s="202" cm="1">
        <f t="array" ref="F196">SUMPRODUCT((inc_08[[client]:[client]]=syndicat_etude)*(inc_08[[annee]:[annee]]=F$193)*(inc_08[taux_incident_aerien_hta_aerien_nu_faible_section]))</f>
        <v>6.73</v>
      </c>
      <c r="G196" s="203" cm="1">
        <f t="array" ref="G196">SUMPRODUCT((inc_08[[client]:[client]]=syndicat_etude)*(inc_08[[annee]:[annee]]=G$193)*(inc_08[taux_incident_aerien_hta_aerien_nu_faible_section]))</f>
        <v>39.68</v>
      </c>
    </row>
    <row r="197" spans="1:7" ht="15" customHeight="1" x14ac:dyDescent="0.25">
      <c r="A197" s="776"/>
      <c r="B197" s="58" t="s">
        <v>732</v>
      </c>
      <c r="C197" s="202" cm="1">
        <f t="array" ref="C197">SUMPRODUCT((inc_08[[client]:[client]]=syndicat_etude)*(inc_08[[annee]:[annee]]=C$193)*(inc_08[taux_incident_souterrain_hta]))</f>
        <v>0.78</v>
      </c>
      <c r="D197" s="202" cm="1">
        <f t="array" ref="D197">SUMPRODUCT((inc_08[[client]:[client]]=syndicat_etude)*(inc_08[[annee]:[annee]]=D$193)*(inc_08[taux_incident_souterrain_hta]))</f>
        <v>0.69</v>
      </c>
      <c r="E197" s="202" cm="1">
        <f t="array" ref="E197">SUMPRODUCT((inc_08[[client]:[client]]=syndicat_etude)*(inc_08[[annee]:[annee]]=E$193)*(inc_08[taux_incident_souterrain_hta]))</f>
        <v>0.54</v>
      </c>
      <c r="F197" s="202" cm="1">
        <f t="array" ref="F197">SUMPRODUCT((inc_08[[client]:[client]]=syndicat_etude)*(inc_08[[annee]:[annee]]=F$193)*(inc_08[taux_incident_souterrain_hta]))</f>
        <v>0.64</v>
      </c>
      <c r="G197" s="203" cm="1">
        <f t="array" ref="G197">SUMPRODUCT((inc_08[[client]:[client]]=syndicat_etude)*(inc_08[[annee]:[annee]]=G$193)*(inc_08[taux_incident_souterrain_hta]))</f>
        <v>0.71</v>
      </c>
    </row>
    <row r="198" spans="1:7" ht="15" customHeight="1" x14ac:dyDescent="0.25">
      <c r="A198" s="776" t="s">
        <v>298</v>
      </c>
      <c r="B198" s="204" t="s">
        <v>734</v>
      </c>
      <c r="C198" s="205" cm="1">
        <f t="array" ref="C198">SUMPRODUCT((inc_08[[client]:[client]]=syndicat_etude)*(inc_08[[annee]:[annee]]=C$193)*(inc_08[taux_incident_aerien_bt]))</f>
        <v>3.51</v>
      </c>
      <c r="D198" s="205" cm="1">
        <f t="array" ref="D198">SUMPRODUCT((inc_08[[client]:[client]]=syndicat_etude)*(inc_08[[annee]:[annee]]=D$193)*(inc_08[taux_incident_aerien_bt]))</f>
        <v>3.82</v>
      </c>
      <c r="E198" s="205" cm="1">
        <f t="array" ref="E198">SUMPRODUCT((inc_08[[client]:[client]]=syndicat_etude)*(inc_08[[annee]:[annee]]=E$193)*(inc_08[taux_incident_aerien_bt]))</f>
        <v>3.66</v>
      </c>
      <c r="F198" s="205" cm="1">
        <f t="array" ref="F198">SUMPRODUCT((inc_08[[client]:[client]]=syndicat_etude)*(inc_08[[annee]:[annee]]=F$193)*(inc_08[taux_incident_aerien_bt]))</f>
        <v>3.37</v>
      </c>
      <c r="G198" s="206" cm="1">
        <f t="array" ref="G198">SUMPRODUCT((inc_08[[client]:[client]]=syndicat_etude)*(inc_08[[annee]:[annee]]=G$193)*(inc_08[taux_incident_aerien_bt]))</f>
        <v>3.4</v>
      </c>
    </row>
    <row r="199" spans="1:7" ht="15" customHeight="1" x14ac:dyDescent="0.25">
      <c r="A199" s="776"/>
      <c r="B199" s="58" t="s">
        <v>749</v>
      </c>
      <c r="C199" s="202" cm="1">
        <f t="array" ref="C199">SUMPRODUCT((inc_08[[client]:[client]]=syndicat_etude)*(inc_08[[annee]:[annee]]=C$193)*(inc_08[taux_incident_aerien_bt_aerien_nu]))</f>
        <v>11.23</v>
      </c>
      <c r="D199" s="202" cm="1">
        <f t="array" ref="D199">SUMPRODUCT((inc_08[[client]:[client]]=syndicat_etude)*(inc_08[[annee]:[annee]]=D$193)*(inc_08[taux_incident_aerien_bt_aerien_nu]))</f>
        <v>15.3</v>
      </c>
      <c r="E199" s="202" cm="1">
        <f t="array" ref="E199">SUMPRODUCT((inc_08[[client]:[client]]=syndicat_etude)*(inc_08[[annee]:[annee]]=E$193)*(inc_08[taux_incident_aerien_bt_aerien_nu]))</f>
        <v>14.64</v>
      </c>
      <c r="F199" s="202" cm="1">
        <f t="array" ref="F199">SUMPRODUCT((inc_08[[client]:[client]]=syndicat_etude)*(inc_08[[annee]:[annee]]=F$193)*(inc_08[taux_incident_aerien_bt_aerien_nu]))</f>
        <v>12.01</v>
      </c>
      <c r="G199" s="203" cm="1">
        <f t="array" ref="G199">SUMPRODUCT((inc_08[[client]:[client]]=syndicat_etude)*(inc_08[[annee]:[annee]]=G$193)*(inc_08[taux_incident_aerien_bt_aerien_nu]))</f>
        <v>16.5</v>
      </c>
    </row>
    <row r="200" spans="1:7" ht="15" customHeight="1" x14ac:dyDescent="0.25">
      <c r="A200" s="776"/>
      <c r="B200" s="217" t="s">
        <v>750</v>
      </c>
      <c r="C200" s="218" t="s">
        <v>751</v>
      </c>
      <c r="D200" s="218" t="s">
        <v>751</v>
      </c>
      <c r="E200" s="218" t="s">
        <v>751</v>
      </c>
      <c r="F200" s="218" t="s">
        <v>751</v>
      </c>
      <c r="G200" s="219" t="s">
        <v>751</v>
      </c>
    </row>
    <row r="201" spans="1:7" ht="15" customHeight="1" x14ac:dyDescent="0.25">
      <c r="A201" s="776"/>
      <c r="B201" s="58" t="s">
        <v>752</v>
      </c>
      <c r="C201" s="202" cm="1">
        <f t="array" ref="C201">SUMPRODUCT((inc_08[[client]:[client]]=syndicat_etude)*(inc_08[[annee]:[annee]]=C$193)*(inc_08[taux_incident_aerien_bt_aerien_nu_faible_section]))</f>
        <v>14.81</v>
      </c>
      <c r="D201" s="202" cm="1">
        <f t="array" ref="D201">SUMPRODUCT((inc_08[[client]:[client]]=syndicat_etude)*(inc_08[[annee]:[annee]]=D$193)*(inc_08[taux_incident_aerien_bt_aerien_nu_faible_section]))</f>
        <v>5.35</v>
      </c>
      <c r="E201" s="202" cm="1">
        <f t="array" ref="E201">SUMPRODUCT((inc_08[[client]:[client]]=syndicat_etude)*(inc_08[[annee]:[annee]]=E$193)*(inc_08[taux_incident_aerien_bt_aerien_nu_faible_section]))</f>
        <v>20.9</v>
      </c>
      <c r="F201" s="202" cm="1">
        <f t="array" ref="F201">SUMPRODUCT((inc_08[[client]:[client]]=syndicat_etude)*(inc_08[[annee]:[annee]]=F$193)*(inc_08[taux_incident_aerien_bt_aerien_nu_faible_section]))</f>
        <v>9.26</v>
      </c>
      <c r="G201" s="203" cm="1">
        <f t="array" ref="G201">SUMPRODUCT((inc_08[[client]:[client]]=syndicat_etude)*(inc_08[[annee]:[annee]]=G$193)*(inc_08[taux_incident_aerien_bt_aerien_nu_faible_section]))</f>
        <v>13.29</v>
      </c>
    </row>
    <row r="202" spans="1:7" ht="15" customHeight="1" x14ac:dyDescent="0.25">
      <c r="A202" s="776"/>
      <c r="B202" s="58" t="s">
        <v>753</v>
      </c>
      <c r="C202" s="202" cm="1">
        <f t="array" ref="C202">SUMPRODUCT((inc_08[[client]:[client]]=syndicat_etude)*(inc_08[[annee]:[annee]]=C$193)*(inc_08[taux_incident_aerien_bt_torsade]))</f>
        <v>1.1399999999999999</v>
      </c>
      <c r="D202" s="202" cm="1">
        <f t="array" ref="D202">SUMPRODUCT((inc_08[[client]:[client]]=syndicat_etude)*(inc_08[[annee]:[annee]]=D$193)*(inc_08[taux_incident_aerien_bt_torsade]))</f>
        <v>1.48</v>
      </c>
      <c r="E202" s="202" cm="1">
        <f t="array" ref="E202">SUMPRODUCT((inc_08[[client]:[client]]=syndicat_etude)*(inc_08[[annee]:[annee]]=E$193)*(inc_08[taux_incident_aerien_bt_torsade]))</f>
        <v>1.49</v>
      </c>
      <c r="F202" s="202" cm="1">
        <f t="array" ref="F202">SUMPRODUCT((inc_08[[client]:[client]]=syndicat_etude)*(inc_08[[annee]:[annee]]=F$193)*(inc_08[taux_incident_aerien_bt_torsade]))</f>
        <v>1.68</v>
      </c>
      <c r="G202" s="203" cm="1">
        <f t="array" ref="G202">SUMPRODUCT((inc_08[[client]:[client]]=syndicat_etude)*(inc_08[[annee]:[annee]]=G$193)*(inc_08[taux_incident_aerien_bt_torsade]))</f>
        <v>0.93</v>
      </c>
    </row>
    <row r="203" spans="1:7" ht="15" customHeight="1" x14ac:dyDescent="0.25">
      <c r="A203" s="776"/>
      <c r="B203" s="217" t="s">
        <v>754</v>
      </c>
      <c r="C203" s="218" t="s">
        <v>751</v>
      </c>
      <c r="D203" s="218" t="s">
        <v>751</v>
      </c>
      <c r="E203" s="218" t="s">
        <v>751</v>
      </c>
      <c r="F203" s="218" t="s">
        <v>751</v>
      </c>
      <c r="G203" s="219" t="s">
        <v>751</v>
      </c>
    </row>
    <row r="204" spans="1:7" ht="15" customHeight="1" x14ac:dyDescent="0.25">
      <c r="A204" s="776"/>
      <c r="B204" s="58" t="s">
        <v>735</v>
      </c>
      <c r="C204" s="202" cm="1">
        <f t="array" ref="C204">SUMPRODUCT((inc_08[[client]:[client]]=syndicat_etude)*(inc_08[[annee]:[annee]]=C$193)*(inc_08[taux_incident_souterrain_bt]))</f>
        <v>2.69</v>
      </c>
      <c r="D204" s="202" cm="1">
        <f t="array" ref="D204">SUMPRODUCT((inc_08[[client]:[client]]=syndicat_etude)*(inc_08[[annee]:[annee]]=D$193)*(inc_08[taux_incident_souterrain_bt]))</f>
        <v>2.69</v>
      </c>
      <c r="E204" s="202" cm="1">
        <f t="array" ref="E204">SUMPRODUCT((inc_08[[client]:[client]]=syndicat_etude)*(inc_08[[annee]:[annee]]=E$193)*(inc_08[taux_incident_souterrain_bt]))</f>
        <v>3.12</v>
      </c>
      <c r="F204" s="202" cm="1">
        <f t="array" ref="F204">SUMPRODUCT((inc_08[[client]:[client]]=syndicat_etude)*(inc_08[[annee]:[annee]]=F$193)*(inc_08[taux_incident_souterrain_bt]))</f>
        <v>2.15</v>
      </c>
      <c r="G204" s="203" cm="1">
        <f t="array" ref="G204">SUMPRODUCT((inc_08[[client]:[client]]=syndicat_etude)*(inc_08[[annee]:[annee]]=G$193)*(inc_08[taux_incident_souterrain_bt]))</f>
        <v>2.19</v>
      </c>
    </row>
    <row r="205" spans="1:7" ht="15" customHeight="1" x14ac:dyDescent="0.25">
      <c r="A205" s="776"/>
      <c r="B205" s="220" t="s">
        <v>755</v>
      </c>
      <c r="C205" s="221"/>
      <c r="D205" s="221"/>
      <c r="E205" s="221"/>
      <c r="F205" s="221"/>
      <c r="G205" s="222"/>
    </row>
    <row r="207" spans="1:7" ht="30" customHeight="1" x14ac:dyDescent="0.25">
      <c r="A207" s="25" t="s">
        <v>756</v>
      </c>
      <c r="B207" s="66" t="s">
        <v>757</v>
      </c>
      <c r="C207" s="67" cm="1">
        <f t="array" ref="C207">Exercice[Exercice N-4]</f>
        <v>2019</v>
      </c>
      <c r="D207" s="67" cm="1">
        <f t="array" ref="D207">Exercice[Exercice N-3]</f>
        <v>2020</v>
      </c>
      <c r="E207" s="67" cm="1">
        <f t="array" ref="E207">Exercice[Exercice N-2]</f>
        <v>2021</v>
      </c>
      <c r="F207" s="67" cm="1">
        <f t="array" ref="F207">Exercice[Exercice N-1]</f>
        <v>2022</v>
      </c>
      <c r="G207" s="69" cm="1">
        <f t="array" ref="G207">Exercice[Exercice N]</f>
        <v>2023</v>
      </c>
    </row>
    <row r="208" spans="1:7" ht="15" customHeight="1" x14ac:dyDescent="0.25">
      <c r="B208" s="58" t="s">
        <v>758</v>
      </c>
      <c r="C208" s="84" cm="1">
        <f t="array" ref="C208">SUMPRODUCT((inc_09[[client]:[client]]=syndicat_etude)*(inc_09[[annee]:[annee]]=C$207)*(inc_09[freq_cb_hta]))</f>
        <v>1.2</v>
      </c>
      <c r="D208" s="84" cm="1">
        <f t="array" ref="D208">SUMPRODUCT((inc_09[[client]:[client]]=syndicat_etude)*(inc_09[[annee]:[annee]]=D$207)*(inc_09[freq_cb_hta]))</f>
        <v>1.54</v>
      </c>
      <c r="E208" s="84" cm="1">
        <f t="array" ref="E208">SUMPRODUCT((inc_09[[client]:[client]]=syndicat_etude)*(inc_09[[annee]:[annee]]=E$207)*(inc_09[freq_cb_hta]))</f>
        <v>1.72</v>
      </c>
      <c r="F208" s="84" cm="1">
        <f t="array" ref="F208">SUMPRODUCT((inc_09[[client]:[client]]=syndicat_etude)*(inc_09[[annee]:[annee]]=F$207)*(inc_09[freq_cb_hta]))</f>
        <v>1.1499999999999999</v>
      </c>
      <c r="G208" s="112" cm="1">
        <f t="array" ref="G208">SUMPRODUCT((inc_09[[client]:[client]]=syndicat_etude)*(inc_09[[annee]:[annee]]=G$207)*(inc_09[freq_cb_hta]))</f>
        <v>1.38</v>
      </c>
    </row>
    <row r="209" spans="1:7" ht="15" customHeight="1" x14ac:dyDescent="0.25">
      <c r="B209" s="58" t="s">
        <v>759</v>
      </c>
      <c r="C209" s="84" cm="1">
        <f t="array" ref="C209">SUMPRODUCT((inc_09[[client]:[client]]=syndicat_etude)*(inc_09[[annee]:[annee]]=C$207)*(inc_09[freq_cl_inc_hta]))</f>
        <v>0.61</v>
      </c>
      <c r="D209" s="84" cm="1">
        <f t="array" ref="D209">SUMPRODUCT((inc_09[[client]:[client]]=syndicat_etude)*(inc_09[[annee]:[annee]]=D$207)*(inc_09[freq_cl_inc_hta]))</f>
        <v>0.72</v>
      </c>
      <c r="E209" s="84" cm="1">
        <f t="array" ref="E209">SUMPRODUCT((inc_09[[client]:[client]]=syndicat_etude)*(inc_09[[annee]:[annee]]=E$207)*(inc_09[freq_cl_inc_hta]))</f>
        <v>0.52</v>
      </c>
      <c r="F209" s="84" cm="1">
        <f t="array" ref="F209">SUMPRODUCT((inc_09[[client]:[client]]=syndicat_etude)*(inc_09[[annee]:[annee]]=F$207)*(inc_09[freq_cl_inc_hta]))</f>
        <v>0.44</v>
      </c>
      <c r="G209" s="112" cm="1">
        <f t="array" ref="G209">SUMPRODUCT((inc_09[[client]:[client]]=syndicat_etude)*(inc_09[[annee]:[annee]]=G$207)*(inc_09[freq_cl_inc_hta]))</f>
        <v>0.65</v>
      </c>
    </row>
    <row r="210" spans="1:7" ht="15" customHeight="1" x14ac:dyDescent="0.25">
      <c r="B210" s="58" t="s">
        <v>760</v>
      </c>
      <c r="C210" s="84" cm="1">
        <f t="array" ref="C210">SUMPRODUCT((inc_09[[client]:[client]]=syndicat_etude)*(inc_09[[annee]:[annee]]=C$207)*(inc_09[freq_cl_inc_ps]))</f>
        <v>0.01</v>
      </c>
      <c r="D210" s="84" cm="1">
        <f t="array" ref="D210">SUMPRODUCT((inc_09[[client]:[client]]=syndicat_etude)*(inc_09[[annee]:[annee]]=D$207)*(inc_09[freq_cl_inc_ps]))</f>
        <v>0.02</v>
      </c>
      <c r="E210" s="84" cm="1">
        <f t="array" ref="E210">SUMPRODUCT((inc_09[[client]:[client]]=syndicat_etude)*(inc_09[[annee]:[annee]]=E$207)*(inc_09[freq_cl_inc_ps]))</f>
        <v>0.03</v>
      </c>
      <c r="F210" s="84" cm="1">
        <f t="array" ref="F210">SUMPRODUCT((inc_09[[client]:[client]]=syndicat_etude)*(inc_09[[annee]:[annee]]=F$207)*(inc_09[freq_cl_inc_ps]))</f>
        <v>0.04</v>
      </c>
      <c r="G210" s="112" cm="1">
        <f t="array" ref="G210">SUMPRODUCT((inc_09[[client]:[client]]=syndicat_etude)*(inc_09[[annee]:[annee]]=G$207)*(inc_09[freq_cl_inc_ps]))</f>
        <v>0.03</v>
      </c>
    </row>
    <row r="211" spans="1:7" ht="15" customHeight="1" x14ac:dyDescent="0.25">
      <c r="B211" s="223" t="s">
        <v>182</v>
      </c>
      <c r="C211" s="224" cm="1">
        <f t="array" ref="C211">SUMPRODUCT((inc_09[[client]:[client]]=syndicat_etude)*(inc_09[[annee]:[annee]]=C$207)*(inc_09[freq_total]))</f>
        <v>1.82</v>
      </c>
      <c r="D211" s="224" cm="1">
        <f t="array" ref="D211">SUMPRODUCT((inc_09[[client]:[client]]=syndicat_etude)*(inc_09[[annee]:[annee]]=D$207)*(inc_09[freq_total]))</f>
        <v>2.27</v>
      </c>
      <c r="E211" s="224" cm="1">
        <f t="array" ref="E211">SUMPRODUCT((inc_09[[client]:[client]]=syndicat_etude)*(inc_09[[annee]:[annee]]=E$207)*(inc_09[freq_total]))</f>
        <v>2.2599999999999998</v>
      </c>
      <c r="F211" s="224" cm="1">
        <f t="array" ref="F211">SUMPRODUCT((inc_09[[client]:[client]]=syndicat_etude)*(inc_09[[annee]:[annee]]=F$207)*(inc_09[freq_total]))</f>
        <v>1.62</v>
      </c>
      <c r="G211" s="225" cm="1">
        <f t="array" ref="G211">SUMPRODUCT((inc_09[[client]:[client]]=syndicat_etude)*(inc_09[[annee]:[annee]]=G$207)*(inc_09[freq_total]))</f>
        <v>2.0699999999999998</v>
      </c>
    </row>
    <row r="212" spans="1:7" ht="15" customHeight="1" x14ac:dyDescent="0.25">
      <c r="C212" s="5"/>
      <c r="D212" s="5"/>
      <c r="E212" s="5"/>
      <c r="F212" s="5"/>
      <c r="G212" s="5"/>
    </row>
    <row r="213" spans="1:7" ht="30" customHeight="1" x14ac:dyDescent="0.25">
      <c r="A213" s="25" t="s">
        <v>761</v>
      </c>
      <c r="B213" s="66" t="s">
        <v>762</v>
      </c>
      <c r="C213" s="67" cm="1">
        <f t="array" ref="C213">Exercice[Exercice N-4]</f>
        <v>2019</v>
      </c>
      <c r="D213" s="67" cm="1">
        <f t="array" ref="D213">Exercice[Exercice N-3]</f>
        <v>2020</v>
      </c>
      <c r="E213" s="67" cm="1">
        <f t="array" ref="E213">Exercice[Exercice N-2]</f>
        <v>2021</v>
      </c>
      <c r="F213" s="67" cm="1">
        <f t="array" ref="F213">Exercice[Exercice N-1]</f>
        <v>2022</v>
      </c>
      <c r="G213" s="69" cm="1">
        <f t="array" ref="G213">Exercice[Exercice N]</f>
        <v>2023</v>
      </c>
    </row>
    <row r="214" spans="1:7" ht="15" customHeight="1" x14ac:dyDescent="0.25">
      <c r="B214" s="58" t="s">
        <v>763</v>
      </c>
      <c r="C214" s="84" cm="1">
        <f t="array" ref="C214">SUMPRODUCT((inc_10[[client]:[client]]=syndicat_etude)*(inc_10[[annee]:[annee]]=C$213)*(inc_10[cb_ctb]))</f>
        <v>528</v>
      </c>
      <c r="D214" s="84" cm="1">
        <f t="array" ref="D214">SUMPRODUCT((inc_10[[client]:[client]]=syndicat_etude)*(inc_10[[annee]:[annee]]=D$213)*(inc_10[cb_ctb]))</f>
        <v>643</v>
      </c>
      <c r="E214" s="84" cm="1">
        <f t="array" ref="E214">SUMPRODUCT((inc_10[[client]:[client]]=syndicat_etude)*(inc_10[[annee]:[annee]]=E$213)*(inc_10[cb_ctb]))</f>
        <v>775</v>
      </c>
      <c r="F214" s="84" cm="1">
        <f t="array" ref="F214">SUMPRODUCT((inc_10[[client]:[client]]=syndicat_etude)*(inc_10[[annee]:[annee]]=F$213)*(inc_10[cb_ctb]))</f>
        <v>550</v>
      </c>
      <c r="G214" s="200" cm="1">
        <f t="array" ref="G214">SUMPRODUCT((inc_10[[client]:[client]]=syndicat_etude)*(inc_10[[annee]:[annee]]=G$213)*(inc_10[cb_ctb]))</f>
        <v>655</v>
      </c>
    </row>
    <row r="215" spans="1:7" ht="15" customHeight="1" x14ac:dyDescent="0.25">
      <c r="B215" s="190" t="s">
        <v>764</v>
      </c>
      <c r="C215" s="86" cm="1">
        <f t="array" ref="C215">SUMPRODUCT((inc_10[[client]:[client]]=syndicat_etude)*(inc_10[[annee]:[annee]]=C$213)*(inc_10[ctb]))</f>
        <v>316</v>
      </c>
      <c r="D215" s="86" cm="1">
        <f t="array" ref="D215">SUMPRODUCT((inc_10[[client]:[client]]=syndicat_etude)*(inc_10[[annee]:[annee]]=D$213)*(inc_10[ctb]))</f>
        <v>370</v>
      </c>
      <c r="E215" s="86" cm="1">
        <f t="array" ref="E215">SUMPRODUCT((inc_10[[client]:[client]]=syndicat_etude)*(inc_10[[annee]:[annee]]=E$213)*(inc_10[ctb]))</f>
        <v>468</v>
      </c>
      <c r="F215" s="86" cm="1">
        <f t="array" ref="F215">SUMPRODUCT((inc_10[[client]:[client]]=syndicat_etude)*(inc_10[[annee]:[annee]]=F$213)*(inc_10[ctb]))</f>
        <v>344</v>
      </c>
      <c r="G215" s="207" cm="1">
        <f t="array" ref="G215">SUMPRODUCT((inc_10[[client]:[client]]=syndicat_etude)*(inc_10[[annee]:[annee]]=G$213)*(inc_10[ctb]))</f>
        <v>404</v>
      </c>
    </row>
    <row r="216" spans="1:7" ht="15" customHeight="1" x14ac:dyDescent="0.25">
      <c r="B216" s="164" t="s">
        <v>765</v>
      </c>
      <c r="C216" s="229"/>
      <c r="D216" s="229"/>
      <c r="E216" s="229"/>
      <c r="F216" s="229"/>
      <c r="G216" s="229"/>
    </row>
    <row r="217" spans="1:7" ht="15" customHeight="1" x14ac:dyDescent="0.25">
      <c r="C217" s="5"/>
      <c r="D217" s="5"/>
      <c r="E217" s="5"/>
      <c r="F217" s="5"/>
      <c r="G217" s="5"/>
    </row>
    <row r="218" spans="1:7" ht="15" customHeight="1" x14ac:dyDescent="0.25">
      <c r="A218" s="25" t="s">
        <v>766</v>
      </c>
      <c r="B218" s="25" t="s">
        <v>767</v>
      </c>
      <c r="C218" s="5"/>
      <c r="D218" s="5"/>
      <c r="E218" s="5"/>
      <c r="F218" s="5"/>
      <c r="G218" s="5"/>
    </row>
    <row r="219" spans="1:7" ht="15" customHeight="1" x14ac:dyDescent="0.25">
      <c r="C219" s="5"/>
      <c r="D219" s="5"/>
      <c r="E219" s="5"/>
      <c r="F219" s="5"/>
      <c r="G219" s="5"/>
    </row>
    <row r="220" spans="1:7" ht="30" customHeight="1" x14ac:dyDescent="0.25">
      <c r="A220" s="25" t="s">
        <v>768</v>
      </c>
      <c r="B220" s="66" t="s">
        <v>769</v>
      </c>
      <c r="C220" s="67" cm="1">
        <f t="array" ref="C220">Exercice[Exercice N-4]</f>
        <v>2019</v>
      </c>
      <c r="D220" s="67" cm="1">
        <f t="array" ref="D220">Exercice[Exercice N-3]</f>
        <v>2020</v>
      </c>
      <c r="E220" s="67" cm="1">
        <f t="array" ref="E220">Exercice[Exercice N-2]</f>
        <v>2021</v>
      </c>
      <c r="F220" s="67" cm="1">
        <f t="array" ref="F220">Exercice[Exercice N-1]</f>
        <v>2022</v>
      </c>
      <c r="G220" s="69" cm="1">
        <f t="array" ref="G220">Exercice[Exercice N]</f>
        <v>2023</v>
      </c>
    </row>
    <row r="221" spans="1:7" ht="15" customHeight="1" x14ac:dyDescent="0.25">
      <c r="B221" s="58" t="s">
        <v>770</v>
      </c>
      <c r="C221" s="11" cm="1">
        <f t="array" ref="C221">SUMPRODUCT((inc_12[[client]:[client]]=syndicat_etude)*(inc_12[[annee]:[annee]]=C$220)*(inc_12[[nititot_bt]:[nititot_bt]]))</f>
        <v>720</v>
      </c>
      <c r="D221" s="11" cm="1">
        <f t="array" ref="D221">SUMPRODUCT((inc_12[[client]:[client]]=syndicat_etude)*(inc_12[[annee]:[annee]]=D$220)*(inc_12[[nititot_bt]:[nititot_bt]]))</f>
        <v>8451</v>
      </c>
      <c r="E221" s="11" cm="1">
        <f t="array" ref="E221">SUMPRODUCT((inc_12[[client]:[client]]=syndicat_etude)*(inc_12[[annee]:[annee]]=E$220)*(inc_12[[nititot_bt]:[nititot_bt]]))</f>
        <v>2086</v>
      </c>
      <c r="F221" s="11" cm="1">
        <f t="array" ref="F221">SUMPRODUCT((inc_12[[client]:[client]]=syndicat_etude)*(inc_12[[annee]:[annee]]=F$220)*(inc_12[[nititot_bt]:[nititot_bt]]))</f>
        <v>21215</v>
      </c>
      <c r="G221" s="93" cm="1">
        <f t="array" ref="G221">SUMPRODUCT((inc_12[[client]:[client]]=syndicat_etude)*(inc_12[[annee]:[annee]]=G$220)*(inc_12[[nititot_bt]:[nititot_bt]]))</f>
        <v>11783</v>
      </c>
    </row>
    <row r="222" spans="1:7" ht="15" customHeight="1" x14ac:dyDescent="0.25">
      <c r="B222" s="190" t="s">
        <v>771</v>
      </c>
      <c r="C222" s="94" cm="1">
        <f t="array" ref="C222">SUMPRODUCT((inc_12[[client]:[client]]=syndicat_etude)*(inc_12[[annee]:[annee]]=C$220)*(inc_12[[nititot_hta]:[nititot_hta]]))</f>
        <v>0</v>
      </c>
      <c r="D222" s="94" cm="1">
        <f t="array" ref="D222">SUMPRODUCT((inc_12[[client]:[client]]=syndicat_etude)*(inc_12[[annee]:[annee]]=D$220)*(inc_12[[nititot_hta]:[nititot_hta]]))</f>
        <v>21024</v>
      </c>
      <c r="E222" s="94" cm="1">
        <f t="array" ref="E222">SUMPRODUCT((inc_12[[client]:[client]]=syndicat_etude)*(inc_12[[annee]:[annee]]=E$220)*(inc_12[[nititot_hta]:[nititot_hta]]))</f>
        <v>12989</v>
      </c>
      <c r="F222" s="94" cm="1">
        <f t="array" ref="F222">SUMPRODUCT((inc_12[[client]:[client]]=syndicat_etude)*(inc_12[[annee]:[annee]]=F$220)*(inc_12[[nititot_hta]:[nititot_hta]]))</f>
        <v>43198</v>
      </c>
      <c r="G222" s="95" cm="1">
        <f t="array" ref="G222">SUMPRODUCT((inc_12[[client]:[client]]=syndicat_etude)*(inc_12[[annee]:[annee]]=G$220)*(inc_12[[nititot_hta]:[nititot_hta]]))</f>
        <v>0</v>
      </c>
    </row>
    <row r="224" spans="1:7" ht="30" customHeight="1" x14ac:dyDescent="0.25">
      <c r="A224" s="25" t="s">
        <v>772</v>
      </c>
      <c r="B224" s="66" t="s">
        <v>773</v>
      </c>
      <c r="C224" s="67" cm="1">
        <f t="array" ref="C224">Exercice[Exercice N-4]</f>
        <v>2019</v>
      </c>
      <c r="D224" s="67" cm="1">
        <f t="array" ref="D224">Exercice[Exercice N-3]</f>
        <v>2020</v>
      </c>
      <c r="E224" s="67" cm="1">
        <f t="array" ref="E224">Exercice[Exercice N-2]</f>
        <v>2021</v>
      </c>
      <c r="F224" s="67" cm="1">
        <f t="array" ref="F224">Exercice[Exercice N-1]</f>
        <v>2022</v>
      </c>
      <c r="G224" s="69" cm="1">
        <f t="array" ref="G224">Exercice[Exercice N]</f>
        <v>2023</v>
      </c>
    </row>
    <row r="225" spans="1:7" ht="15" customHeight="1" x14ac:dyDescent="0.25">
      <c r="B225" s="58" t="s">
        <v>774</v>
      </c>
      <c r="C225" s="11" cm="1">
        <f t="array" ref="C225">SUMPRODUCT((inc_12_face[[client]:[client]]=syndicat_etude)*(inc_12_face[[annee]:[annee]]=C$224)*(inc_12_face[[Code Regime FACE]:[Code Regime FACE]]="U")*(inc_12_face[[nitit_bt_elagage]:[nitit_bt_elagage]]))</f>
        <v>0</v>
      </c>
      <c r="D225" s="11" cm="1">
        <f t="array" ref="D225">SUMPRODUCT((inc_12_face[[client]:[client]]=syndicat_etude)*(inc_12_face[[annee]:[annee]]=D$224)*(inc_12_face[[Code Regime FACE]:[Code Regime FACE]]="U")*(inc_12_face[[nitit_bt_elagage]:[nitit_bt_elagage]]))</f>
        <v>0</v>
      </c>
      <c r="E225" s="11" cm="1">
        <f t="array" ref="E225">SUMPRODUCT((inc_12_face[[client]:[client]]=syndicat_etude)*(inc_12_face[[annee]:[annee]]=E$224)*(inc_12_face[[Code Regime FACE]:[Code Regime FACE]]="U")*(inc_12_face[[nitit_bt_elagage]:[nitit_bt_elagage]]))</f>
        <v>1306</v>
      </c>
      <c r="F225" s="11" cm="1">
        <f t="array" ref="F225">SUMPRODUCT((inc_12_face[[client]:[client]]=syndicat_etude)*(inc_12_face[[annee]:[annee]]=F$224)*(inc_12_face[[Code Regime FACE]:[Code Regime FACE]]="U")*(inc_12_face[[nitit_bt_elagage]:[nitit_bt_elagage]]))</f>
        <v>18590</v>
      </c>
      <c r="G225" s="93" cm="1">
        <f t="array" ref="G225">SUMPRODUCT((inc_12_face[[client]:[client]]=syndicat_etude)*(inc_12_face[[annee]:[annee]]=G$224)*(inc_12_face[[Code Regime FACE]:[Code Regime FACE]]="U")*(inc_12_face[[nitit_bt_elagage]:[nitit_bt_elagage]]))</f>
        <v>9817</v>
      </c>
    </row>
    <row r="226" spans="1:7" ht="15" customHeight="1" x14ac:dyDescent="0.25">
      <c r="B226" s="190" t="s">
        <v>775</v>
      </c>
      <c r="C226" s="94" cm="1">
        <f t="array" ref="C226">SUMPRODUCT((inc_12_face[[client]:[client]]=syndicat_etude)*(inc_12_face[[annee]:[annee]]=C$224)*(inc_12_face[[Code Regime FACE]:[Code Regime FACE]]="R")*(inc_12_face[[nitit_bt_elagage]:[nitit_bt_elagage]]))</f>
        <v>720</v>
      </c>
      <c r="D226" s="94" cm="1">
        <f t="array" ref="D226">SUMPRODUCT((inc_12_face[[client]:[client]]=syndicat_etude)*(inc_12_face[[annee]:[annee]]=D$224)*(inc_12_face[[Code Regime FACE]:[Code Regime FACE]]="R")*(inc_12_face[[nitit_bt_elagage]:[nitit_bt_elagage]]))</f>
        <v>8451</v>
      </c>
      <c r="E226" s="94" cm="1">
        <f t="array" ref="E226">SUMPRODUCT((inc_12_face[[client]:[client]]=syndicat_etude)*(inc_12_face[[annee]:[annee]]=E$224)*(inc_12_face[[Code Regime FACE]:[Code Regime FACE]]="R")*(inc_12_face[[nitit_bt_elagage]:[nitit_bt_elagage]]))</f>
        <v>780</v>
      </c>
      <c r="F226" s="94" cm="1">
        <f t="array" ref="F226">SUMPRODUCT((inc_12_face[[client]:[client]]=syndicat_etude)*(inc_12_face[[annee]:[annee]]=F$224)*(inc_12_face[[Code Regime FACE]:[Code Regime FACE]]="R")*(inc_12_face[[nitit_bt_elagage]:[nitit_bt_elagage]]))</f>
        <v>2625</v>
      </c>
      <c r="G226" s="95" cm="1">
        <f t="array" ref="G226">SUMPRODUCT((inc_12_face[[client]:[client]]=syndicat_etude)*(inc_12_face[[annee]:[annee]]=G$224)*(inc_12_face[[Code Regime FACE]:[Code Regime FACE]]="R")*(inc_12_face[[nitit_bt_elagage]:[nitit_bt_elagage]]))</f>
        <v>1966</v>
      </c>
    </row>
    <row r="228" spans="1:7" ht="30" customHeight="1" x14ac:dyDescent="0.25">
      <c r="B228" s="66" t="s">
        <v>776</v>
      </c>
      <c r="C228" s="67" cm="1">
        <f t="array" ref="C228">Exercice[Exercice N-4]</f>
        <v>2019</v>
      </c>
      <c r="D228" s="67" cm="1">
        <f t="array" ref="D228">Exercice[Exercice N-3]</f>
        <v>2020</v>
      </c>
      <c r="E228" s="67" cm="1">
        <f t="array" ref="E228">Exercice[Exercice N-2]</f>
        <v>2021</v>
      </c>
      <c r="F228" s="67" cm="1">
        <f t="array" ref="F228">Exercice[Exercice N-1]</f>
        <v>2022</v>
      </c>
      <c r="G228" s="69" cm="1">
        <f t="array" ref="G228">Exercice[Exercice N]</f>
        <v>2023</v>
      </c>
    </row>
    <row r="229" spans="1:7" ht="15" customHeight="1" x14ac:dyDescent="0.25">
      <c r="A229" s="25" t="s">
        <v>777</v>
      </c>
      <c r="B229" s="58" t="s">
        <v>778</v>
      </c>
      <c r="C229" s="7" cm="1">
        <f t="array" ref="C229">SUMPRODUCT((inc_12_elagage[[client]:[client]]=syndicat_etude)*(inc_12_elagage[[annee]:[annee]]=C$228)*(inc_12_elagage[[longueur elaguee bt]:[longueur elaguee bt]]))</f>
        <v>0</v>
      </c>
      <c r="D229" s="7" cm="1">
        <f t="array" ref="D229">SUMPRODUCT((inc_12_elagage[[client]:[client]]=syndicat_etude)*(inc_12_elagage[[annee]:[annee]]=D$228)*(inc_12_elagage[[longueur elaguee bt]:[longueur elaguee bt]]))</f>
        <v>0</v>
      </c>
      <c r="E229" s="7" cm="1">
        <f t="array" ref="E229">SUMPRODUCT((inc_12_elagage[[client]:[client]]=syndicat_etude)*(inc_12_elagage[[annee]:[annee]]=E$228)*(inc_12_elagage[[longueur elaguee bt]:[longueur elaguee bt]]))</f>
        <v>0</v>
      </c>
      <c r="F229" s="7" cm="1">
        <f t="array" ref="F229">SUMPRODUCT((inc_12_elagage[[client]:[client]]=syndicat_etude)*(inc_12_elagage[[annee]:[annee]]=F$228)*(inc_12_elagage[[longueur elaguee bt]:[longueur elaguee bt]]))</f>
        <v>20.07</v>
      </c>
      <c r="G229" s="83" cm="1">
        <f t="array" ref="G229">SUMPRODUCT((inc_12_elagage[[client]:[client]]=syndicat_etude)*(inc_12_elagage[[annee]:[annee]]=G$228)*(inc_12_elagage[[longueur elaguee bt]:[longueur elaguee bt]]))</f>
        <v>0</v>
      </c>
    </row>
    <row r="230" spans="1:7" ht="15" customHeight="1" x14ac:dyDescent="0.25">
      <c r="B230" s="190" t="s">
        <v>779</v>
      </c>
      <c r="C230" s="88" cm="1">
        <f t="array" ref="C230">SUMPRODUCT((inc_12_elagage[[client]:[client]]=syndicat_etude)*(inc_12_elagage[[annee]:[annee]]=C$228)*(inc_12_elagage[[longueur elaguee hta]:[longueur elaguee hta]]))</f>
        <v>0</v>
      </c>
      <c r="D230" s="88" cm="1">
        <f t="array" ref="D230">SUMPRODUCT((inc_12_elagage[[client]:[client]]=syndicat_etude)*(inc_12_elagage[[annee]:[annee]]=D$228)*(inc_12_elagage[[longueur elaguee hta]:[longueur elaguee hta]]))</f>
        <v>0</v>
      </c>
      <c r="E230" s="88" cm="1">
        <f t="array" ref="E230">SUMPRODUCT((inc_12_elagage[[client]:[client]]=syndicat_etude)*(inc_12_elagage[[annee]:[annee]]=E$228)*(inc_12_elagage[[longueur elaguee hta]:[longueur elaguee hta]]))</f>
        <v>0</v>
      </c>
      <c r="F230" s="88" cm="1">
        <f t="array" ref="F230">SUMPRODUCT((inc_12_elagage[[client]:[client]]=syndicat_etude)*(inc_12_elagage[[annee]:[annee]]=F$228)*(inc_12_elagage[[longueur elaguee hta]:[longueur elaguee hta]]))</f>
        <v>97.63</v>
      </c>
      <c r="G230" s="92" cm="1">
        <f t="array" ref="G230">SUMPRODUCT((inc_12_elagage[[client]:[client]]=syndicat_etude)*(inc_12_elagage[[annee]:[annee]]=G$228)*(inc_12_elagage[[longueur elaguee hta]:[longueur elaguee hta]]))</f>
        <v>0</v>
      </c>
    </row>
    <row r="232" spans="1:7" ht="30" customHeight="1" x14ac:dyDescent="0.25">
      <c r="A232" s="25" t="s">
        <v>780</v>
      </c>
      <c r="B232" s="66" t="s">
        <v>781</v>
      </c>
      <c r="C232" s="67" cm="1">
        <f t="array" ref="C232">Exercice[Exercice N-4]</f>
        <v>2019</v>
      </c>
      <c r="D232" s="67" cm="1">
        <f t="array" ref="D232">Exercice[Exercice N-3]</f>
        <v>2020</v>
      </c>
      <c r="E232" s="67" cm="1">
        <f t="array" ref="E232">Exercice[Exercice N-2]</f>
        <v>2021</v>
      </c>
      <c r="F232" s="67" cm="1">
        <f t="array" ref="F232">Exercice[Exercice N-1]</f>
        <v>2022</v>
      </c>
      <c r="G232" s="69" cm="1">
        <f t="array" ref="G232">Exercice[Exercice N]</f>
        <v>2023</v>
      </c>
    </row>
    <row r="233" spans="1:7" ht="15" customHeight="1" x14ac:dyDescent="0.25">
      <c r="B233" s="211" t="s">
        <v>782</v>
      </c>
      <c r="C233" s="151" cm="1">
        <f t="array" ref="C233">SUMPRODUCT((inc_13_inc[[client]:[client]]=syndicat_etude)*(inc_13_inc[[annee]:[annee]]=C$232)*(inc_13_inc[[crit_b_inc_elag]:[crit_b_inc_elag]]))</f>
        <v>4.4000000000000004</v>
      </c>
      <c r="D233" s="151" cm="1">
        <f t="array" ref="D233">SUMPRODUCT((inc_13_inc[[client]:[client]]=syndicat_etude)*(inc_13_inc[[annee]:[annee]]=D$232)*(inc_13_inc[[crit_b_inc_elag]:[crit_b_inc_elag]]))</f>
        <v>10.9</v>
      </c>
      <c r="E233" s="151" cm="1">
        <f t="array" ref="E233">SUMPRODUCT((inc_13_inc[[client]:[client]]=syndicat_etude)*(inc_13_inc[[annee]:[annee]]=E$232)*(inc_13_inc[[crit_b_inc_elag]:[crit_b_inc_elag]]))</f>
        <v>5.6</v>
      </c>
      <c r="F233" s="151" cm="1">
        <f t="array" ref="F233">SUMPRODUCT((inc_13_inc[[client]:[client]]=syndicat_etude)*(inc_13_inc[[annee]:[annee]]=F$232)*(inc_13_inc[[crit_b_inc_elag]:[crit_b_inc_elag]]))</f>
        <v>4.5</v>
      </c>
      <c r="G233" s="153" cm="1">
        <f t="array" ref="G233">SUMPRODUCT((inc_13_inc[[client]:[client]]=syndicat_etude)*(inc_13_inc[[annee]:[annee]]=G$232)*(inc_13_inc[[crit_b_inc_elag]:[crit_b_inc_elag]]))</f>
        <v>11</v>
      </c>
    </row>
    <row r="234" spans="1:7" ht="15" customHeight="1" x14ac:dyDescent="0.25">
      <c r="B234" s="184" t="s">
        <v>783</v>
      </c>
      <c r="C234" s="151" cm="1">
        <f t="array" ref="C234">SUMPRODUCT((inc_13_inc[[client]:[client]]=syndicat_etude)*(inc_13_inc[[annee]:[annee]]=C$232)*(inc_13_inc[[nititi_inc_elag]:[nititi_inc_elag]]))/1000</f>
        <v>775.91300000000001</v>
      </c>
      <c r="D234" s="151" cm="1">
        <f t="array" ref="D234">SUMPRODUCT((inc_13_inc[[client]:[client]]=syndicat_etude)*(inc_13_inc[[annee]:[annee]]=D$232)*(inc_13_inc[[nititi_inc_elag]:[nititi_inc_elag]]))/1000</f>
        <v>1924.1120000000001</v>
      </c>
      <c r="E234" s="151" cm="1">
        <f t="array" ref="E234">SUMPRODUCT((inc_13_inc[[client]:[client]]=syndicat_etude)*(inc_13_inc[[annee]:[annee]]=E$232)*(inc_13_inc[[nititi_inc_elag]:[nititi_inc_elag]]))/1000</f>
        <v>1006.968</v>
      </c>
      <c r="F234" s="151" cm="1">
        <f t="array" ref="F234">SUMPRODUCT((inc_13_inc[[client]:[client]]=syndicat_etude)*(inc_13_inc[[annee]:[annee]]=F$232)*(inc_13_inc[[nititi_inc_elag]:[nititi_inc_elag]]))/1000</f>
        <v>807.57799999999997</v>
      </c>
      <c r="G234" s="153" cm="1">
        <f t="array" ref="G234">SUMPRODUCT((inc_13_inc[[client]:[client]]=syndicat_etude)*(inc_13_inc[[annee]:[annee]]=G$232)*(inc_13_inc[[nititi_inc_elag]:[nititi_inc_elag]]))/1000</f>
        <v>2002.7170000000001</v>
      </c>
    </row>
    <row r="235" spans="1:7" ht="15" customHeight="1" x14ac:dyDescent="0.25">
      <c r="B235" s="175" t="s">
        <v>784</v>
      </c>
      <c r="C235" s="7" cm="1">
        <f t="array" ref="C235">SUMPRODUCT((inc_13_inc[[client]:[client]]=syndicat_etude)*(inc_13_inc[[annee]:[annee]]=C$232)*(inc_13_inc[[nititi_inc_elag_hta]:[nititi_inc_elag_hta]]))/1000</f>
        <v>759.23699999999997</v>
      </c>
      <c r="D235" s="7" cm="1">
        <f t="array" ref="D235">SUMPRODUCT((inc_13_inc[[client]:[client]]=syndicat_etude)*(inc_13_inc[[annee]:[annee]]=D$232)*(inc_13_inc[[nititi_inc_elag_hta]:[nititi_inc_elag_hta]]))/1000</f>
        <v>1887.6289999999999</v>
      </c>
      <c r="E235" s="7" cm="1">
        <f t="array" ref="E235">SUMPRODUCT((inc_13_inc[[client]:[client]]=syndicat_etude)*(inc_13_inc[[annee]:[annee]]=E$232)*(inc_13_inc[[nititi_inc_elag_hta]:[nititi_inc_elag_hta]]))/1000</f>
        <v>961.56600000000003</v>
      </c>
      <c r="F235" s="7" cm="1">
        <f t="array" ref="F235">SUMPRODUCT((inc_13_inc[[client]:[client]]=syndicat_etude)*(inc_13_inc[[annee]:[annee]]=F$232)*(inc_13_inc[[nititi_inc_elag_hta]:[nititi_inc_elag_hta]]))/1000</f>
        <v>772.65300000000002</v>
      </c>
      <c r="G235" s="83" cm="1">
        <f t="array" ref="G235">SUMPRODUCT((inc_13_inc[[client]:[client]]=syndicat_etude)*(inc_13_inc[[annee]:[annee]]=G$232)*(inc_13_inc[[nititi_inc_elag_hta]:[nititi_inc_elag_hta]]))/1000</f>
        <v>1947.2629999999999</v>
      </c>
    </row>
    <row r="236" spans="1:7" ht="15" customHeight="1" x14ac:dyDescent="0.25">
      <c r="B236" s="175" t="s">
        <v>785</v>
      </c>
      <c r="C236" s="7" cm="1">
        <f t="array" ref="C236">SUMPRODUCT((inc_13_inc[[client]:[client]]=syndicat_etude)*(inc_13_inc[[annee]:[annee]]=C$232)*(inc_13_inc[[nititi_inc_elag_bt]:[nititi_inc_elag_bt]]))/1000</f>
        <v>16.675999999999998</v>
      </c>
      <c r="D236" s="7" cm="1">
        <f t="array" ref="D236">SUMPRODUCT((inc_13_inc[[client]:[client]]=syndicat_etude)*(inc_13_inc[[annee]:[annee]]=D$232)*(inc_13_inc[[nititi_inc_elag_bt]:[nititi_inc_elag_bt]]))/1000</f>
        <v>36.482999999999997</v>
      </c>
      <c r="E236" s="7" cm="1">
        <f t="array" ref="E236">SUMPRODUCT((inc_13_inc[[client]:[client]]=syndicat_etude)*(inc_13_inc[[annee]:[annee]]=E$232)*(inc_13_inc[[nititi_inc_elag_bt]:[nititi_inc_elag_bt]]))/1000</f>
        <v>45.402000000000001</v>
      </c>
      <c r="F236" s="7" cm="1">
        <f t="array" ref="F236">SUMPRODUCT((inc_13_inc[[client]:[client]]=syndicat_etude)*(inc_13_inc[[annee]:[annee]]=F$232)*(inc_13_inc[[nititi_inc_elag_bt]:[nititi_inc_elag_bt]]))/1000</f>
        <v>34.924999999999997</v>
      </c>
      <c r="G236" s="83" cm="1">
        <f t="array" ref="G236">SUMPRODUCT((inc_13_inc[[client]:[client]]=syndicat_etude)*(inc_13_inc[[annee]:[annee]]=G$232)*(inc_13_inc[[nititi_inc_elag_bt]:[nititi_inc_elag_bt]]))/1000</f>
        <v>55.454000000000001</v>
      </c>
    </row>
    <row r="237" spans="1:7" ht="15" customHeight="1" x14ac:dyDescent="0.25">
      <c r="B237" s="211" t="s">
        <v>786</v>
      </c>
      <c r="C237" s="123" cm="1">
        <f t="array" ref="C237">SUMPRODUCT((inc_13_inc[[client]:[client]]=syndicat_etude)*(inc_13_inc[[annee]:[annee]]=C$232)*(inc_13_inc[[nb_cc_inc_elag]:[nb_cc_inc_elag]]))</f>
        <v>5702</v>
      </c>
      <c r="D237" s="123" cm="1">
        <f t="array" ref="D237">SUMPRODUCT((inc_13_inc[[client]:[client]]=syndicat_etude)*(inc_13_inc[[annee]:[annee]]=D$232)*(inc_13_inc[[nb_cc_inc_elag]:[nb_cc_inc_elag]]))</f>
        <v>15854</v>
      </c>
      <c r="E237" s="123" cm="1">
        <f t="array" ref="E237">SUMPRODUCT((inc_13_inc[[client]:[client]]=syndicat_etude)*(inc_13_inc[[annee]:[annee]]=E$232)*(inc_13_inc[[nb_cc_inc_elag]:[nb_cc_inc_elag]]))</f>
        <v>7642</v>
      </c>
      <c r="F237" s="123" cm="1">
        <f t="array" ref="F237">SUMPRODUCT((inc_13_inc[[client]:[client]]=syndicat_etude)*(inc_13_inc[[annee]:[annee]]=F$232)*(inc_13_inc[[nb_cc_inc_elag]:[nb_cc_inc_elag]]))</f>
        <v>6067</v>
      </c>
      <c r="G237" s="212" cm="1">
        <f t="array" ref="G237">SUMPRODUCT((inc_13_inc[[client]:[client]]=syndicat_etude)*(inc_13_inc[[annee]:[annee]]=G$232)*(inc_13_inc[[nb_cc_inc_elag]:[nb_cc_inc_elag]]))</f>
        <v>15280</v>
      </c>
    </row>
    <row r="238" spans="1:7" ht="15" customHeight="1" x14ac:dyDescent="0.25">
      <c r="B238" s="175" t="s">
        <v>784</v>
      </c>
      <c r="C238" s="11" cm="1">
        <f t="array" ref="C238">SUMPRODUCT((inc_13_inc[[client]:[client]]=syndicat_etude)*(inc_13_inc[[annee]:[annee]]=C$232)*(inc_13_inc[[nb_cc_inc_elag_hta]:[nb_cc_inc_elag_hta]]))</f>
        <v>5602</v>
      </c>
      <c r="D238" s="11" cm="1">
        <f t="array" ref="D238">SUMPRODUCT((inc_13_inc[[client]:[client]]=syndicat_etude)*(inc_13_inc[[annee]:[annee]]=D$232)*(inc_13_inc[[nb_cc_inc_elag_hta]:[nb_cc_inc_elag_hta]]))</f>
        <v>15621</v>
      </c>
      <c r="E238" s="11" cm="1">
        <f t="array" ref="E238">SUMPRODUCT((inc_13_inc[[client]:[client]]=syndicat_etude)*(inc_13_inc[[annee]:[annee]]=E$232)*(inc_13_inc[[nb_cc_inc_elag_hta]:[nb_cc_inc_elag_hta]]))</f>
        <v>7397</v>
      </c>
      <c r="F238" s="11" cm="1">
        <f t="array" ref="F238">SUMPRODUCT((inc_13_inc[[client]:[client]]=syndicat_etude)*(inc_13_inc[[annee]:[annee]]=F$232)*(inc_13_inc[[nb_cc_inc_elag_hta]:[nb_cc_inc_elag_hta]]))</f>
        <v>5761</v>
      </c>
      <c r="G238" s="93" cm="1">
        <f t="array" ref="G238">SUMPRODUCT((inc_13_inc[[client]:[client]]=syndicat_etude)*(inc_13_inc[[annee]:[annee]]=G$232)*(inc_13_inc[[nb_cc_inc_elag_hta]:[nb_cc_inc_elag_hta]]))</f>
        <v>14967</v>
      </c>
    </row>
    <row r="239" spans="1:7" ht="15" customHeight="1" x14ac:dyDescent="0.25">
      <c r="B239" s="176" t="s">
        <v>785</v>
      </c>
      <c r="C239" s="94" cm="1">
        <f t="array" ref="C239">SUMPRODUCT((inc_13_inc[[client]:[client]]=syndicat_etude)*(inc_13_inc[[annee]:[annee]]=C$232)*(inc_13_inc[[nb_cc_inc_elag_bt]:[nb_cc_inc_elag_bt]]))</f>
        <v>100</v>
      </c>
      <c r="D239" s="94" cm="1">
        <f t="array" ref="D239">SUMPRODUCT((inc_13_inc[[client]:[client]]=syndicat_etude)*(inc_13_inc[[annee]:[annee]]=D$232)*(inc_13_inc[[nb_cc_inc_elag_bt]:[nb_cc_inc_elag_bt]]))</f>
        <v>233</v>
      </c>
      <c r="E239" s="94" cm="1">
        <f t="array" ref="E239">SUMPRODUCT((inc_13_inc[[client]:[client]]=syndicat_etude)*(inc_13_inc[[annee]:[annee]]=E$232)*(inc_13_inc[[nb_cc_inc_elag_bt]:[nb_cc_inc_elag_bt]]))</f>
        <v>245</v>
      </c>
      <c r="F239" s="94" cm="1">
        <f t="array" ref="F239">SUMPRODUCT((inc_13_inc[[client]:[client]]=syndicat_etude)*(inc_13_inc[[annee]:[annee]]=F$232)*(inc_13_inc[[nb_cc_inc_elag_bt]:[nb_cc_inc_elag_bt]]))</f>
        <v>306</v>
      </c>
      <c r="G239" s="95" cm="1">
        <f t="array" ref="G239">SUMPRODUCT((inc_13_inc[[client]:[client]]=syndicat_etude)*(inc_13_inc[[annee]:[annee]]=G$232)*(inc_13_inc[[nb_cc_inc_elag_bt]:[nb_cc_inc_elag_bt]]))</f>
        <v>313</v>
      </c>
    </row>
    <row r="240" spans="1:7" ht="15" customHeight="1" x14ac:dyDescent="0.25">
      <c r="B240" s="230" t="s">
        <v>787</v>
      </c>
      <c r="C240" s="230"/>
      <c r="D240" s="230"/>
      <c r="E240" s="230"/>
      <c r="F240" s="230"/>
      <c r="G240" s="230"/>
    </row>
    <row r="242" spans="1:15" ht="30" customHeight="1" x14ac:dyDescent="0.25">
      <c r="A242" s="25" t="s">
        <v>788</v>
      </c>
      <c r="B242" s="66" t="s">
        <v>789</v>
      </c>
      <c r="C242" s="67" cm="1">
        <f t="array" ref="C242">Exercice[Exercice N-4]</f>
        <v>2019</v>
      </c>
      <c r="D242" s="67" cm="1">
        <f t="array" ref="D242">Exercice[Exercice N-3]</f>
        <v>2020</v>
      </c>
      <c r="E242" s="67" cm="1">
        <f t="array" ref="E242">Exercice[Exercice N-2]</f>
        <v>2021</v>
      </c>
      <c r="F242" s="67" cm="1">
        <f t="array" ref="F242">Exercice[Exercice N-1]</f>
        <v>2022</v>
      </c>
      <c r="G242" s="69" cm="1">
        <f t="array" ref="G242">Exercice[Exercice N]</f>
        <v>2023</v>
      </c>
    </row>
    <row r="243" spans="1:15" ht="15" customHeight="1" x14ac:dyDescent="0.25">
      <c r="B243" s="211" t="s">
        <v>782</v>
      </c>
      <c r="C243" s="151" t="e" cm="1">
        <f t="array" ref="C243">SUMPRODUCT((inc_13_trv[[Client]:[Client]]=syndicat_etude)*(inc_13_trv[[Annee]:[Annee]]=C$242)*(#REF!))</f>
        <v>#REF!</v>
      </c>
      <c r="D243" s="151" t="e" cm="1">
        <f t="array" ref="D243">SUMPRODUCT((inc_13_trv[[Client]:[Client]]=syndicat_etude)*(inc_13_trv[[Annee]:[Annee]]=D$242)*(#REF!))</f>
        <v>#REF!</v>
      </c>
      <c r="E243" s="151" t="e" cm="1">
        <f t="array" ref="E243">SUMPRODUCT((inc_13_trv[[Client]:[Client]]=syndicat_etude)*(inc_13_trv[[Annee]:[Annee]]=E$242)*(#REF!))</f>
        <v>#REF!</v>
      </c>
      <c r="F243" s="151" t="e" cm="1">
        <f t="array" ref="F243">SUMPRODUCT((inc_13_trv[[Client]:[Client]]=syndicat_etude)*(inc_13_trv[[Annee]:[Annee]]=F$242)*(#REF!))</f>
        <v>#REF!</v>
      </c>
      <c r="G243" s="153" t="e" cm="1">
        <f t="array" ref="G243">SUMPRODUCT((inc_13_trv[[Client]:[Client]]=syndicat_etude)*(inc_13_trv[[Annee]:[Annee]]=G$242)*(#REF!))</f>
        <v>#REF!</v>
      </c>
    </row>
    <row r="244" spans="1:15" ht="15" customHeight="1" x14ac:dyDescent="0.25">
      <c r="B244" s="184" t="s">
        <v>783</v>
      </c>
      <c r="C244" s="151" t="e" cm="1">
        <f t="array" ref="C244">SUMPRODUCT((inc_13_trv[[Client]:[Client]]=syndicat_etude)*(inc_13_trv[[Annee]:[Annee]]=C$242)*(#REF!))/1000</f>
        <v>#REF!</v>
      </c>
      <c r="D244" s="151" t="e" cm="1">
        <f t="array" ref="D244">SUMPRODUCT((inc_13_trv[[Client]:[Client]]=syndicat_etude)*(inc_13_trv[[Annee]:[Annee]]=D$242)*(#REF!))/1000</f>
        <v>#REF!</v>
      </c>
      <c r="E244" s="151" t="e" cm="1">
        <f t="array" ref="E244">SUMPRODUCT((inc_13_trv[[Client]:[Client]]=syndicat_etude)*(inc_13_trv[[Annee]:[Annee]]=E$242)*(#REF!))/1000</f>
        <v>#REF!</v>
      </c>
      <c r="F244" s="151" t="e" cm="1">
        <f t="array" ref="F244">SUMPRODUCT((inc_13_trv[[Client]:[Client]]=syndicat_etude)*(inc_13_trv[[Annee]:[Annee]]=F$242)*(#REF!))/1000</f>
        <v>#REF!</v>
      </c>
      <c r="G244" s="153" t="e" cm="1">
        <f t="array" ref="G244">SUMPRODUCT((inc_13_trv[[Client]:[Client]]=syndicat_etude)*(inc_13_trv[[Annee]:[Annee]]=G$242)*(#REF!))/1000</f>
        <v>#REF!</v>
      </c>
    </row>
    <row r="245" spans="1:15" ht="15" customHeight="1" x14ac:dyDescent="0.25">
      <c r="B245" s="175" t="s">
        <v>784</v>
      </c>
      <c r="C245" s="7" t="e" cm="1">
        <f t="array" ref="C245">SUMPRODUCT((inc_13_trv[[Client]:[Client]]=syndicat_etude)*(inc_13_trv[[Annee]:[Annee]]=C$242)*(#REF!))/1000</f>
        <v>#REF!</v>
      </c>
      <c r="D245" s="7" t="e" cm="1">
        <f t="array" ref="D245">SUMPRODUCT((inc_13_trv[[Client]:[Client]]=syndicat_etude)*(inc_13_trv[[Annee]:[Annee]]=D$242)*(#REF!))/1000</f>
        <v>#REF!</v>
      </c>
      <c r="E245" s="7" t="e" cm="1">
        <f t="array" ref="E245">SUMPRODUCT((inc_13_trv[[Client]:[Client]]=syndicat_etude)*(inc_13_trv[[Annee]:[Annee]]=E$242)*(#REF!))/1000</f>
        <v>#REF!</v>
      </c>
      <c r="F245" s="7" t="e" cm="1">
        <f t="array" ref="F245">SUMPRODUCT((inc_13_trv[[Client]:[Client]]=syndicat_etude)*(inc_13_trv[[Annee]:[Annee]]=F$242)*(#REF!))/1000</f>
        <v>#REF!</v>
      </c>
      <c r="G245" s="83" t="e" cm="1">
        <f t="array" ref="G245">SUMPRODUCT((inc_13_trv[[Client]:[Client]]=syndicat_etude)*(inc_13_trv[[Annee]:[Annee]]=G$242)*(#REF!))/1000</f>
        <v>#REF!</v>
      </c>
    </row>
    <row r="246" spans="1:15" ht="15" customHeight="1" x14ac:dyDescent="0.25">
      <c r="B246" s="175" t="s">
        <v>785</v>
      </c>
      <c r="C246" s="7" t="e" cm="1">
        <f t="array" ref="C246">SUMPRODUCT((inc_13_trv[[Client]:[Client]]=syndicat_etude)*(inc_13_trv[[Annee]:[Annee]]=C$242)*(#REF!))/1000</f>
        <v>#REF!</v>
      </c>
      <c r="D246" s="7" t="e" cm="1">
        <f t="array" ref="D246">SUMPRODUCT((inc_13_trv[[Client]:[Client]]=syndicat_etude)*(inc_13_trv[[Annee]:[Annee]]=D$242)*(#REF!))/1000</f>
        <v>#REF!</v>
      </c>
      <c r="E246" s="7" t="e" cm="1">
        <f t="array" ref="E246">SUMPRODUCT((inc_13_trv[[Client]:[Client]]=syndicat_etude)*(inc_13_trv[[Annee]:[Annee]]=E$242)*(#REF!))/1000</f>
        <v>#REF!</v>
      </c>
      <c r="F246" s="7" t="e" cm="1">
        <f t="array" ref="F246">SUMPRODUCT((inc_13_trv[[Client]:[Client]]=syndicat_etude)*(inc_13_trv[[Annee]:[Annee]]=F$242)*(#REF!))/1000</f>
        <v>#REF!</v>
      </c>
      <c r="G246" s="83" t="e" cm="1">
        <f t="array" ref="G246">SUMPRODUCT((inc_13_trv[[Client]:[Client]]=syndicat_etude)*(inc_13_trv[[Annee]:[Annee]]=G$242)*(#REF!))/1000</f>
        <v>#REF!</v>
      </c>
    </row>
    <row r="247" spans="1:15" ht="15" customHeight="1" x14ac:dyDescent="0.25">
      <c r="B247" s="211" t="s">
        <v>786</v>
      </c>
      <c r="C247" s="123" t="e" cm="1">
        <f t="array" ref="C247">SUMPRODUCT((inc_13_trv[[Client]:[Client]]=syndicat_etude)*(inc_13_trv[[Annee]:[Annee]]=C$242)*(#REF!))</f>
        <v>#REF!</v>
      </c>
      <c r="D247" s="123" t="e" cm="1">
        <f t="array" ref="D247">SUMPRODUCT((inc_13_trv[[Client]:[Client]]=syndicat_etude)*(inc_13_trv[[Annee]:[Annee]]=D$242)*(#REF!))</f>
        <v>#REF!</v>
      </c>
      <c r="E247" s="123" t="e" cm="1">
        <f t="array" ref="E247">SUMPRODUCT((inc_13_trv[[Client]:[Client]]=syndicat_etude)*(inc_13_trv[[Annee]:[Annee]]=E$242)*(#REF!))</f>
        <v>#REF!</v>
      </c>
      <c r="F247" s="123" t="e" cm="1">
        <f t="array" ref="F247">SUMPRODUCT((inc_13_trv[[Client]:[Client]]=syndicat_etude)*(inc_13_trv[[Annee]:[Annee]]=F$242)*(#REF!))</f>
        <v>#REF!</v>
      </c>
      <c r="G247" s="212" t="e" cm="1">
        <f t="array" ref="G247">SUMPRODUCT((inc_13_trv[[Client]:[Client]]=syndicat_etude)*(inc_13_trv[[Annee]:[Annee]]=G$242)*(#REF!))</f>
        <v>#REF!</v>
      </c>
    </row>
    <row r="248" spans="1:15" ht="15" customHeight="1" x14ac:dyDescent="0.25">
      <c r="B248" s="175" t="s">
        <v>784</v>
      </c>
      <c r="C248" s="11" t="e" cm="1">
        <f t="array" ref="C248">SUMPRODUCT((inc_13_trv[[Client]:[Client]]=syndicat_etude)*(inc_13_trv[[Annee]:[Annee]]=C$242)*(#REF!))</f>
        <v>#REF!</v>
      </c>
      <c r="D248" s="11" t="e" cm="1">
        <f t="array" ref="D248">SUMPRODUCT((inc_13_trv[[Client]:[Client]]=syndicat_etude)*(inc_13_trv[[Annee]:[Annee]]=D$242)*(#REF!))</f>
        <v>#REF!</v>
      </c>
      <c r="E248" s="11" t="e" cm="1">
        <f t="array" ref="E248">SUMPRODUCT((inc_13_trv[[Client]:[Client]]=syndicat_etude)*(inc_13_trv[[Annee]:[Annee]]=E$242)*(#REF!))</f>
        <v>#REF!</v>
      </c>
      <c r="F248" s="11" t="e" cm="1">
        <f t="array" ref="F248">SUMPRODUCT((inc_13_trv[[Client]:[Client]]=syndicat_etude)*(inc_13_trv[[Annee]:[Annee]]=F$242)*(#REF!))</f>
        <v>#REF!</v>
      </c>
      <c r="G248" s="93" t="e" cm="1">
        <f t="array" ref="G248">SUMPRODUCT((inc_13_trv[[Client]:[Client]]=syndicat_etude)*(inc_13_trv[[Annee]:[Annee]]=G$242)*(#REF!))</f>
        <v>#REF!</v>
      </c>
    </row>
    <row r="249" spans="1:15" ht="15" customHeight="1" x14ac:dyDescent="0.25">
      <c r="B249" s="176" t="s">
        <v>785</v>
      </c>
      <c r="C249" s="94" t="e" cm="1">
        <f t="array" ref="C249">SUMPRODUCT((inc_13_trv[[Client]:[Client]]=syndicat_etude)*(inc_13_trv[[Annee]:[Annee]]=C$242)*(#REF!))</f>
        <v>#REF!</v>
      </c>
      <c r="D249" s="94" t="e" cm="1">
        <f t="array" ref="D249">SUMPRODUCT((inc_13_trv[[Client]:[Client]]=syndicat_etude)*(inc_13_trv[[Annee]:[Annee]]=D$242)*(#REF!))</f>
        <v>#REF!</v>
      </c>
      <c r="E249" s="94" t="e" cm="1">
        <f t="array" ref="E249">SUMPRODUCT((inc_13_trv[[Client]:[Client]]=syndicat_etude)*(inc_13_trv[[Annee]:[Annee]]=E$242)*(#REF!))</f>
        <v>#REF!</v>
      </c>
      <c r="F249" s="94" t="e" cm="1">
        <f t="array" ref="F249">SUMPRODUCT((inc_13_trv[[Client]:[Client]]=syndicat_etude)*(inc_13_trv[[Annee]:[Annee]]=F$242)*(#REF!))</f>
        <v>#REF!</v>
      </c>
      <c r="G249" s="95" t="e" cm="1">
        <f t="array" ref="G249">SUMPRODUCT((inc_13_trv[[Client]:[Client]]=syndicat_etude)*(inc_13_trv[[Annee]:[Annee]]=G$242)*(#REF!))</f>
        <v>#REF!</v>
      </c>
    </row>
    <row r="250" spans="1:15" ht="15" customHeight="1" x14ac:dyDescent="0.25">
      <c r="C250" s="5"/>
      <c r="D250" s="5"/>
      <c r="E250" s="5"/>
      <c r="N250" s="173"/>
    </row>
    <row r="251" spans="1:15" ht="30" customHeight="1" x14ac:dyDescent="0.25">
      <c r="A251" s="25" t="s">
        <v>790</v>
      </c>
      <c r="B251" s="66" t="str" cm="1">
        <f t="array" ref="B251">"Incidents HIX sur le réseau AMONT (PT-PS) de l'exercice "&amp;Exercice[Exercice N]&amp;"
- Nombre par sièges et causes -"</f>
        <v>Incidents HIX sur le réseau AMONT (PT-PS) de l'exercice 2023
- Nombre par sièges et causes -</v>
      </c>
      <c r="C251" s="74" t="s">
        <v>791</v>
      </c>
      <c r="D251" s="74" t="s">
        <v>792</v>
      </c>
      <c r="E251" s="74" t="s">
        <v>793</v>
      </c>
      <c r="F251" s="74" t="s">
        <v>794</v>
      </c>
      <c r="G251" s="74" t="s">
        <v>795</v>
      </c>
      <c r="H251" s="74" t="s">
        <v>796</v>
      </c>
      <c r="I251" s="74" t="s">
        <v>797</v>
      </c>
      <c r="J251" s="74" t="s">
        <v>798</v>
      </c>
      <c r="K251" s="74" t="s">
        <v>799</v>
      </c>
      <c r="L251" s="69" t="s">
        <v>182</v>
      </c>
      <c r="N251" s="173"/>
    </row>
    <row r="252" spans="1:15" ht="15" customHeight="1" x14ac:dyDescent="0.25">
      <c r="B252" s="177" t="s">
        <v>800</v>
      </c>
      <c r="C252" s="195" cm="1">
        <f t="array" ref="C252">SUMPRODUCT((inc_05_amont[manipulation])*(inc_05_amont[[siege_cause]:[siege_cause]]="HTA autre"))</f>
        <v>0</v>
      </c>
      <c r="D252" s="195" cm="1">
        <f t="array" ref="D252">SUMPRODUCT((inc_05_amont[materiel])*(inc_05_amont[[siege_cause]:[siege_cause]]="HTA autre"))</f>
        <v>6</v>
      </c>
      <c r="E252" s="195" cm="1">
        <f t="array" ref="E252">SUMPRODUCT((inc_05_amont[externe])*(inc_05_amont[[siege_cause]:[siege_cause]]="HTA autre"))</f>
        <v>0</v>
      </c>
      <c r="F252" s="195" cm="1">
        <f t="array" ref="F252">SUMPRODUCT((inc_05_amont[bois])*(inc_05_amont[[siege_cause]:[siege_cause]]="HTA autre"))</f>
        <v>0</v>
      </c>
      <c r="G252" s="195" cm="1">
        <f t="array" ref="G252">SUMPRODUCT((inc_05_amont[climatique])*(inc_05_amont[[siege_cause]:[siege_cause]]="HTA autre"))</f>
        <v>0</v>
      </c>
      <c r="H252" s="195" cm="1">
        <f t="array" ref="H252">SUMPRODUCT((inc_05_amont[securite])*(inc_05_amont[[siege_cause]:[siege_cause]]="HTA autre"))</f>
        <v>0</v>
      </c>
      <c r="I252" s="195" cm="1">
        <f t="array" ref="I252">SUMPRODUCT((inc_05_amont[inconnue])*(inc_05_amont[[siege_cause]:[siege_cause]]="HTA autre"))</f>
        <v>1</v>
      </c>
      <c r="J252" s="195" cm="1">
        <f t="array" ref="J252">SUMPRODUCT((inc_05_amont[travaux])*(inc_05_amont[[siege_cause]:[siege_cause]]="HTA autre"))</f>
        <v>0</v>
      </c>
      <c r="K252" s="195" cm="1">
        <f t="array" ref="K252">SUMPRODUCT((inc_05_amont[rte])*(inc_05_amont[[siege_cause]:[siege_cause]]="HTA autre"))</f>
        <v>0</v>
      </c>
      <c r="L252" s="210">
        <f>SUM(C252:J252)</f>
        <v>7</v>
      </c>
      <c r="N252" s="173"/>
    </row>
    <row r="253" spans="1:15" ht="15" customHeight="1" x14ac:dyDescent="0.25">
      <c r="B253" s="196" t="s">
        <v>182</v>
      </c>
      <c r="C253" s="197">
        <f t="shared" ref="C253:K253" si="8">SUM(C252:C252)</f>
        <v>0</v>
      </c>
      <c r="D253" s="197">
        <f t="shared" si="8"/>
        <v>6</v>
      </c>
      <c r="E253" s="197">
        <f t="shared" si="8"/>
        <v>0</v>
      </c>
      <c r="F253" s="197">
        <f t="shared" si="8"/>
        <v>0</v>
      </c>
      <c r="G253" s="197">
        <f t="shared" si="8"/>
        <v>0</v>
      </c>
      <c r="H253" s="197">
        <f t="shared" si="8"/>
        <v>0</v>
      </c>
      <c r="I253" s="197">
        <f t="shared" si="8"/>
        <v>1</v>
      </c>
      <c r="J253" s="197">
        <f t="shared" si="8"/>
        <v>0</v>
      </c>
      <c r="K253" s="197">
        <f t="shared" si="8"/>
        <v>0</v>
      </c>
      <c r="L253" s="209">
        <f>SUM(C253:J253)</f>
        <v>7</v>
      </c>
      <c r="O253" s="173"/>
    </row>
    <row r="254" spans="1:15" ht="15" customHeight="1" x14ac:dyDescent="0.25">
      <c r="C254" s="5"/>
      <c r="D254" s="5"/>
      <c r="E254" s="5"/>
      <c r="O254" s="173"/>
    </row>
    <row r="255" spans="1:15" ht="30" customHeight="1" x14ac:dyDescent="0.25">
      <c r="A255" s="25" t="s">
        <v>801</v>
      </c>
      <c r="B255" s="66" t="str" cm="1">
        <f t="array" ref="B255">"Incidents HIX sur le réseau HTA de l'exercice "&amp;Exercice[Exercice N]&amp;"
- Nombre par sièges et causes -"</f>
        <v>Incidents HIX sur le réseau HTA de l'exercice 2023
- Nombre par sièges et causes -</v>
      </c>
      <c r="C255" s="74" t="s">
        <v>791</v>
      </c>
      <c r="D255" s="74" t="s">
        <v>792</v>
      </c>
      <c r="E255" s="74" t="s">
        <v>793</v>
      </c>
      <c r="F255" s="74" t="s">
        <v>794</v>
      </c>
      <c r="G255" s="74" t="s">
        <v>795</v>
      </c>
      <c r="H255" s="74" t="s">
        <v>796</v>
      </c>
      <c r="I255" s="74" t="s">
        <v>797</v>
      </c>
      <c r="J255" s="74" t="s">
        <v>798</v>
      </c>
      <c r="K255" s="69" t="s">
        <v>182</v>
      </c>
      <c r="M255" s="173"/>
    </row>
    <row r="256" spans="1:15" ht="15" customHeight="1" x14ac:dyDescent="0.25">
      <c r="B256" s="178" t="s">
        <v>686</v>
      </c>
      <c r="C256" s="198" cm="1">
        <f t="array" ref="C256">SUMPRODUCT((inc_05_hta[manipulation])*(inc_05_hta[[siege_cause]:[siege_cause]]=$B256))</f>
        <v>0</v>
      </c>
      <c r="D256" s="198" cm="1">
        <f t="array" ref="D256">SUMPRODUCT((inc_05_hta[materiel])*(inc_05_hta[[siege_cause]:[siege_cause]]=$B256))</f>
        <v>11</v>
      </c>
      <c r="E256" s="198" cm="1">
        <f t="array" ref="E256">SUMPRODUCT((inc_05_hta[externe])*(inc_05_hta[[siege_cause]:[siege_cause]]=$B256))</f>
        <v>8</v>
      </c>
      <c r="F256" s="198" cm="1">
        <f t="array" ref="F256">SUMPRODUCT((inc_05_hta[bois])*(inc_05_hta[[siege_cause]:[siege_cause]]=$B256))</f>
        <v>41</v>
      </c>
      <c r="G256" s="198" cm="1">
        <f t="array" ref="G256">SUMPRODUCT((inc_05_hta[climatique])*(inc_05_hta[[siege_cause]:[siege_cause]]=$B256))</f>
        <v>13</v>
      </c>
      <c r="H256" s="198" cm="1">
        <f t="array" ref="H256">SUMPRODUCT((inc_05_hta[securite])*(inc_05_hta[[siege_cause]:[siege_cause]]=$B256))</f>
        <v>0</v>
      </c>
      <c r="I256" s="198" cm="1">
        <f t="array" ref="I256">SUMPRODUCT((inc_05_hta[inconnue])*(inc_05_hta[[siege_cause]:[siege_cause]]=$B256))</f>
        <v>1</v>
      </c>
      <c r="J256" s="198" cm="1">
        <f t="array" ref="J256">SUMPRODUCT((inc_05_hta[travaux])*(inc_05_hta[[siege_cause]:[siege_cause]]=$B256))</f>
        <v>1</v>
      </c>
      <c r="K256" s="208">
        <f t="shared" ref="K256:K262" si="9">SUM(C256:J256)</f>
        <v>75</v>
      </c>
      <c r="M256" s="173"/>
    </row>
    <row r="257" spans="1:15" ht="15" customHeight="1" x14ac:dyDescent="0.25">
      <c r="B257" s="179" t="s">
        <v>689</v>
      </c>
      <c r="C257" s="199" cm="1">
        <f t="array" ref="C257">SUMPRODUCT((inc_05_hta[manipulation])*(inc_05_hta[[siege_cause]:[siege_cause]]=$B257))</f>
        <v>0</v>
      </c>
      <c r="D257" s="199" cm="1">
        <f t="array" ref="D257">SUMPRODUCT((inc_05_hta[materiel])*(inc_05_hta[[siege_cause]:[siege_cause]]=$B257))</f>
        <v>18</v>
      </c>
      <c r="E257" s="199" cm="1">
        <f t="array" ref="E257">SUMPRODUCT((inc_05_hta[externe])*(inc_05_hta[[siege_cause]:[siege_cause]]=$B257))</f>
        <v>8</v>
      </c>
      <c r="F257" s="199" cm="1">
        <f t="array" ref="F257">SUMPRODUCT((inc_05_hta[bois])*(inc_05_hta[[siege_cause]:[siege_cause]]=$B257))</f>
        <v>0</v>
      </c>
      <c r="G257" s="199" cm="1">
        <f t="array" ref="G257">SUMPRODUCT((inc_05_hta[climatique])*(inc_05_hta[[siege_cause]:[siege_cause]]=$B257))</f>
        <v>0</v>
      </c>
      <c r="H257" s="199" cm="1">
        <f t="array" ref="H257">SUMPRODUCT((inc_05_hta[securite])*(inc_05_hta[[siege_cause]:[siege_cause]]=$B257))</f>
        <v>0</v>
      </c>
      <c r="I257" s="199" cm="1">
        <f t="array" ref="I257">SUMPRODUCT((inc_05_hta[inconnue])*(inc_05_hta[[siege_cause]:[siege_cause]]=$B257))</f>
        <v>0</v>
      </c>
      <c r="J257" s="199" cm="1">
        <f t="array" ref="J257">SUMPRODUCT((inc_05_hta[travaux])*(inc_05_hta[[siege_cause]:[siege_cause]]=$B257))</f>
        <v>0</v>
      </c>
      <c r="K257" s="148">
        <f t="shared" si="9"/>
        <v>26</v>
      </c>
      <c r="M257" s="173"/>
    </row>
    <row r="258" spans="1:15" ht="15" customHeight="1" x14ac:dyDescent="0.25">
      <c r="B258" s="179" t="s">
        <v>685</v>
      </c>
      <c r="C258" s="199" cm="1">
        <f t="array" ref="C258">SUMPRODUCT((inc_05_hta[manipulation])*(inc_05_hta[[siege_cause]:[siege_cause]]=$B258))</f>
        <v>0</v>
      </c>
      <c r="D258" s="199" cm="1">
        <f t="array" ref="D258">SUMPRODUCT((inc_05_hta[materiel])*(inc_05_hta[[siege_cause]:[siege_cause]]=$B258))</f>
        <v>0</v>
      </c>
      <c r="E258" s="199" cm="1">
        <f t="array" ref="E258">SUMPRODUCT((inc_05_hta[externe])*(inc_05_hta[[siege_cause]:[siege_cause]]=$B258))</f>
        <v>0</v>
      </c>
      <c r="F258" s="199" cm="1">
        <f t="array" ref="F258">SUMPRODUCT((inc_05_hta[bois])*(inc_05_hta[[siege_cause]:[siege_cause]]=$B258))</f>
        <v>0</v>
      </c>
      <c r="G258" s="199" cm="1">
        <f t="array" ref="G258">SUMPRODUCT((inc_05_hta[climatique])*(inc_05_hta[[siege_cause]:[siege_cause]]=$B258))</f>
        <v>0</v>
      </c>
      <c r="H258" s="199" cm="1">
        <f t="array" ref="H258">SUMPRODUCT((inc_05_hta[securite])*(inc_05_hta[[siege_cause]:[siege_cause]]=$B258))</f>
        <v>0</v>
      </c>
      <c r="I258" s="199" cm="1">
        <f t="array" ref="I258">SUMPRODUCT((inc_05_hta[inconnue])*(inc_05_hta[[siege_cause]:[siege_cause]]=$B258))</f>
        <v>0</v>
      </c>
      <c r="J258" s="199" cm="1">
        <f t="array" ref="J258">SUMPRODUCT((inc_05_hta[travaux])*(inc_05_hta[[siege_cause]:[siege_cause]]=$B258))</f>
        <v>0</v>
      </c>
      <c r="K258" s="148">
        <f t="shared" si="9"/>
        <v>0</v>
      </c>
      <c r="M258" s="173"/>
    </row>
    <row r="259" spans="1:15" ht="15" customHeight="1" x14ac:dyDescent="0.25">
      <c r="B259" s="179" t="s">
        <v>690</v>
      </c>
      <c r="C259" s="199" cm="1">
        <f t="array" ref="C259">SUMPRODUCT((inc_05_hta[manipulation])*(inc_05_hta[[siege_cause]:[siege_cause]]=$B259))</f>
        <v>0</v>
      </c>
      <c r="D259" s="199" cm="1">
        <f t="array" ref="D259">SUMPRODUCT((inc_05_hta[materiel])*(inc_05_hta[[siege_cause]:[siege_cause]]=$B259))</f>
        <v>0</v>
      </c>
      <c r="E259" s="199" cm="1">
        <f t="array" ref="E259">SUMPRODUCT((inc_05_hta[externe])*(inc_05_hta[[siege_cause]:[siege_cause]]=$B259))</f>
        <v>0</v>
      </c>
      <c r="F259" s="199" cm="1">
        <f t="array" ref="F259">SUMPRODUCT((inc_05_hta[bois])*(inc_05_hta[[siege_cause]:[siege_cause]]=$B259))</f>
        <v>0</v>
      </c>
      <c r="G259" s="199" cm="1">
        <f t="array" ref="G259">SUMPRODUCT((inc_05_hta[climatique])*(inc_05_hta[[siege_cause]:[siege_cause]]=$B259))</f>
        <v>0</v>
      </c>
      <c r="H259" s="199" cm="1">
        <f t="array" ref="H259">SUMPRODUCT((inc_05_hta[securite])*(inc_05_hta[[siege_cause]:[siege_cause]]=$B259))</f>
        <v>0</v>
      </c>
      <c r="I259" s="199" cm="1">
        <f t="array" ref="I259">SUMPRODUCT((inc_05_hta[inconnue])*(inc_05_hta[[siege_cause]:[siege_cause]]=$B259))</f>
        <v>0</v>
      </c>
      <c r="J259" s="199" cm="1">
        <f t="array" ref="J259">SUMPRODUCT((inc_05_hta[travaux])*(inc_05_hta[[siege_cause]:[siege_cause]]=$B259))</f>
        <v>0</v>
      </c>
      <c r="K259" s="148">
        <f>SUM(C259:J259)</f>
        <v>0</v>
      </c>
      <c r="N259" s="173"/>
    </row>
    <row r="260" spans="1:15" ht="15" customHeight="1" x14ac:dyDescent="0.25">
      <c r="B260" s="179" t="s">
        <v>802</v>
      </c>
      <c r="C260" s="199" cm="1">
        <f t="array" ref="C260">SUMPRODUCT((inc_05_hta[manipulation])*(inc_05_hta[[siege_cause]:[siege_cause]]=$B260))</f>
        <v>0</v>
      </c>
      <c r="D260" s="199" cm="1">
        <f t="array" ref="D260">SUMPRODUCT((inc_05_hta[materiel])*(inc_05_hta[[siege_cause]:[siege_cause]]=$B260))</f>
        <v>7</v>
      </c>
      <c r="E260" s="199" cm="1">
        <f t="array" ref="E260">SUMPRODUCT((inc_05_hta[externe])*(inc_05_hta[[siege_cause]:[siege_cause]]=$B260))</f>
        <v>1</v>
      </c>
      <c r="F260" s="199" cm="1">
        <f t="array" ref="F260">SUMPRODUCT((inc_05_hta[bois])*(inc_05_hta[[siege_cause]:[siege_cause]]=$B260))</f>
        <v>0</v>
      </c>
      <c r="G260" s="199" cm="1">
        <f t="array" ref="G260">SUMPRODUCT((inc_05_hta[climatique])*(inc_05_hta[[siege_cause]:[siege_cause]]=$B260))</f>
        <v>2</v>
      </c>
      <c r="H260" s="199" cm="1">
        <f t="array" ref="H260">SUMPRODUCT((inc_05_hta[securite])*(inc_05_hta[[siege_cause]:[siege_cause]]=$B260))</f>
        <v>0</v>
      </c>
      <c r="I260" s="199" cm="1">
        <f t="array" ref="I260">SUMPRODUCT((inc_05_hta[inconnue])*(inc_05_hta[[siege_cause]:[siege_cause]]=$B260))</f>
        <v>0</v>
      </c>
      <c r="J260" s="199" cm="1">
        <f t="array" ref="J260">SUMPRODUCT((inc_05_hta[travaux])*(inc_05_hta[[siege_cause]:[siege_cause]]=$B260))</f>
        <v>0</v>
      </c>
      <c r="K260" s="148">
        <f t="shared" si="9"/>
        <v>10</v>
      </c>
    </row>
    <row r="261" spans="1:15" ht="15" customHeight="1" x14ac:dyDescent="0.25">
      <c r="B261" s="179" t="s">
        <v>803</v>
      </c>
      <c r="C261" s="199" cm="1">
        <f t="array" ref="C261">SUMPRODUCT((inc_05_hta[manipulation])*(inc_05_hta[[siege_cause]:[siege_cause]]=$B261))</f>
        <v>1</v>
      </c>
      <c r="D261" s="199" cm="1">
        <f t="array" ref="D261">SUMPRODUCT((inc_05_hta[materiel])*(inc_05_hta[[siege_cause]:[siege_cause]]=$B261))</f>
        <v>0</v>
      </c>
      <c r="E261" s="199" cm="1">
        <f t="array" ref="E261">SUMPRODUCT((inc_05_hta[externe])*(inc_05_hta[[siege_cause]:[siege_cause]]=$B261))</f>
        <v>1</v>
      </c>
      <c r="F261" s="199" cm="1">
        <f t="array" ref="F261">SUMPRODUCT((inc_05_hta[bois])*(inc_05_hta[[siege_cause]:[siege_cause]]=$B261))</f>
        <v>1</v>
      </c>
      <c r="G261" s="199" cm="1">
        <f t="array" ref="G261">SUMPRODUCT((inc_05_hta[climatique])*(inc_05_hta[[siege_cause]:[siege_cause]]=$B261))</f>
        <v>2</v>
      </c>
      <c r="H261" s="199" cm="1">
        <f t="array" ref="H261">SUMPRODUCT((inc_05_hta[securite])*(inc_05_hta[[siege_cause]:[siege_cause]]=$B261))</f>
        <v>0</v>
      </c>
      <c r="I261" s="199" cm="1">
        <f t="array" ref="I261">SUMPRODUCT((inc_05_hta[inconnue])*(inc_05_hta[[siege_cause]:[siege_cause]]=$B261))</f>
        <v>3</v>
      </c>
      <c r="J261" s="199" cm="1">
        <f t="array" ref="J261">SUMPRODUCT((inc_05_hta[travaux])*(inc_05_hta[[siege_cause]:[siege_cause]]=$B261))</f>
        <v>0</v>
      </c>
      <c r="K261" s="148">
        <f t="shared" si="9"/>
        <v>8</v>
      </c>
      <c r="N261" s="173"/>
    </row>
    <row r="262" spans="1:15" ht="15" customHeight="1" x14ac:dyDescent="0.25">
      <c r="B262" s="196" t="s">
        <v>182</v>
      </c>
      <c r="C262" s="197">
        <f t="shared" ref="C262:J262" si="10">SUM(C256:C261)</f>
        <v>1</v>
      </c>
      <c r="D262" s="197">
        <f t="shared" si="10"/>
        <v>36</v>
      </c>
      <c r="E262" s="197">
        <f t="shared" si="10"/>
        <v>18</v>
      </c>
      <c r="F262" s="197">
        <f t="shared" si="10"/>
        <v>42</v>
      </c>
      <c r="G262" s="197">
        <f t="shared" si="10"/>
        <v>17</v>
      </c>
      <c r="H262" s="197">
        <f t="shared" si="10"/>
        <v>0</v>
      </c>
      <c r="I262" s="197">
        <f t="shared" si="10"/>
        <v>4</v>
      </c>
      <c r="J262" s="197">
        <f t="shared" si="10"/>
        <v>1</v>
      </c>
      <c r="K262" s="209">
        <f t="shared" si="9"/>
        <v>119</v>
      </c>
      <c r="N262" s="173"/>
    </row>
    <row r="263" spans="1:15" ht="15" customHeight="1" x14ac:dyDescent="0.25">
      <c r="C263" s="5"/>
      <c r="D263" s="5"/>
      <c r="E263" s="5"/>
      <c r="O263" s="173"/>
    </row>
    <row r="264" spans="1:15" ht="30" customHeight="1" x14ac:dyDescent="0.25">
      <c r="A264" s="25" t="s">
        <v>804</v>
      </c>
      <c r="B264" s="66" t="str" cm="1">
        <f t="array" ref="B264">"Incidents HIX sur le réseau BT de l'exercice "&amp;Exercice[Exercice N]&amp;"
- Nombre par sièges et causes -"</f>
        <v>Incidents HIX sur le réseau BT de l'exercice 2023
- Nombre par sièges et causes -</v>
      </c>
      <c r="C264" s="74" t="s">
        <v>791</v>
      </c>
      <c r="D264" s="74" t="s">
        <v>792</v>
      </c>
      <c r="E264" s="74" t="s">
        <v>793</v>
      </c>
      <c r="F264" s="74" t="s">
        <v>794</v>
      </c>
      <c r="G264" s="74" t="s">
        <v>795</v>
      </c>
      <c r="H264" s="74" t="s">
        <v>796</v>
      </c>
      <c r="I264" s="74" t="s">
        <v>797</v>
      </c>
      <c r="J264" s="74" t="s">
        <v>798</v>
      </c>
      <c r="K264" s="75" t="s">
        <v>182</v>
      </c>
      <c r="N264" s="25">
        <f>--O224</f>
        <v>0</v>
      </c>
    </row>
    <row r="265" spans="1:15" ht="15" customHeight="1" x14ac:dyDescent="0.25">
      <c r="B265" s="178" t="s">
        <v>805</v>
      </c>
      <c r="C265" s="198" cm="1">
        <f t="array" ref="C265">SUMPRODUCT((inc_05_bt[manipulation])*(inc_05_bt[[siege_cause]:[siege_cause]]=$B265))</f>
        <v>0</v>
      </c>
      <c r="D265" s="198" cm="1">
        <f t="array" ref="D265">SUMPRODUCT((inc_05_bt[materiel])*(inc_05_bt[[siege_cause]:[siege_cause]]=$B265))</f>
        <v>21</v>
      </c>
      <c r="E265" s="198" cm="1">
        <f t="array" ref="E265">SUMPRODUCT((inc_05_bt[externe])*(inc_05_bt[[siege_cause]:[siege_cause]]=$B265))</f>
        <v>1</v>
      </c>
      <c r="F265" s="198" cm="1">
        <f t="array" ref="F265">SUMPRODUCT((inc_05_bt[bois])*(inc_05_bt[[siege_cause]:[siege_cause]]=$B265))</f>
        <v>9</v>
      </c>
      <c r="G265" s="198" cm="1">
        <f t="array" ref="G265">SUMPRODUCT((inc_05_bt[climatique])*(inc_05_bt[[siege_cause]:[siege_cause]]=$B265))</f>
        <v>6</v>
      </c>
      <c r="H265" s="198" cm="1">
        <f t="array" ref="H265">SUMPRODUCT((inc_05_bt[securite])*(inc_05_bt[[siege_cause]:[siege_cause]]=$B265))</f>
        <v>0</v>
      </c>
      <c r="I265" s="198" cm="1">
        <f t="array" ref="I265">SUMPRODUCT((inc_05_bt[inconnue])*(inc_05_bt[[siege_cause]:[siege_cause]]=$B265))</f>
        <v>0</v>
      </c>
      <c r="J265" s="198" cm="1">
        <f t="array" ref="J265">SUMPRODUCT((inc_05_bt[travaux])*(inc_05_bt[[siege_cause]:[siege_cause]]=$B265))</f>
        <v>0</v>
      </c>
      <c r="K265" s="208">
        <f t="shared" ref="K265:K272" si="11">SUM(C265:J265)</f>
        <v>37</v>
      </c>
    </row>
    <row r="266" spans="1:15" ht="15" customHeight="1" x14ac:dyDescent="0.25">
      <c r="B266" s="179" t="s">
        <v>806</v>
      </c>
      <c r="C266" s="199" cm="1">
        <f t="array" ref="C266">SUMPRODUCT((inc_05_bt[manipulation])*(inc_05_bt[[siege_cause]:[siege_cause]]=$B266))</f>
        <v>0</v>
      </c>
      <c r="D266" s="199" cm="1">
        <f t="array" ref="D266">SUMPRODUCT((inc_05_bt[materiel])*(inc_05_bt[[siege_cause]:[siege_cause]]=$B266))</f>
        <v>5</v>
      </c>
      <c r="E266" s="199" cm="1">
        <f t="array" ref="E266">SUMPRODUCT((inc_05_bt[externe])*(inc_05_bt[[siege_cause]:[siege_cause]]=$B266))</f>
        <v>0</v>
      </c>
      <c r="F266" s="199" cm="1">
        <f t="array" ref="F266">SUMPRODUCT((inc_05_bt[bois])*(inc_05_bt[[siege_cause]:[siege_cause]]=$B266))</f>
        <v>4</v>
      </c>
      <c r="G266" s="199" cm="1">
        <f t="array" ref="G266">SUMPRODUCT((inc_05_bt[climatique])*(inc_05_bt[[siege_cause]:[siege_cause]]=$B266))</f>
        <v>2</v>
      </c>
      <c r="H266" s="199" cm="1">
        <f t="array" ref="H266">SUMPRODUCT((inc_05_bt[securite])*(inc_05_bt[[siege_cause]:[siege_cause]]=$B266))</f>
        <v>0</v>
      </c>
      <c r="I266" s="199" cm="1">
        <f t="array" ref="I266">SUMPRODUCT((inc_05_bt[inconnue])*(inc_05_bt[[siege_cause]:[siege_cause]]=$B266))</f>
        <v>0</v>
      </c>
      <c r="J266" s="199" cm="1">
        <f t="array" ref="J266">SUMPRODUCT((inc_05_bt[travaux])*(inc_05_bt[[siege_cause]:[siege_cause]]=$B266))</f>
        <v>0</v>
      </c>
      <c r="K266" s="148">
        <f t="shared" si="11"/>
        <v>11</v>
      </c>
    </row>
    <row r="267" spans="1:15" ht="15" customHeight="1" x14ac:dyDescent="0.25">
      <c r="B267" s="179" t="s">
        <v>695</v>
      </c>
      <c r="C267" s="199" cm="1">
        <f t="array" ref="C267">SUMPRODUCT((inc_05_bt[manipulation])*(inc_05_bt[[siege_cause]:[siege_cause]]=$B267))</f>
        <v>0</v>
      </c>
      <c r="D267" s="199" cm="1">
        <f t="array" ref="D267">SUMPRODUCT((inc_05_bt[materiel])*(inc_05_bt[[siege_cause]:[siege_cause]]=$B267))</f>
        <v>43</v>
      </c>
      <c r="E267" s="199" cm="1">
        <f t="array" ref="E267">SUMPRODUCT((inc_05_bt[externe])*(inc_05_bt[[siege_cause]:[siege_cause]]=$B267))</f>
        <v>30</v>
      </c>
      <c r="F267" s="199" cm="1">
        <f t="array" ref="F267">SUMPRODUCT((inc_05_bt[bois])*(inc_05_bt[[siege_cause]:[siege_cause]]=$B267))</f>
        <v>0</v>
      </c>
      <c r="G267" s="199" cm="1">
        <f t="array" ref="G267">SUMPRODUCT((inc_05_bt[climatique])*(inc_05_bt[[siege_cause]:[siege_cause]]=$B267))</f>
        <v>0</v>
      </c>
      <c r="H267" s="199" cm="1">
        <f t="array" ref="H267">SUMPRODUCT((inc_05_bt[securite])*(inc_05_bt[[siege_cause]:[siege_cause]]=$B267))</f>
        <v>0</v>
      </c>
      <c r="I267" s="199" cm="1">
        <f t="array" ref="I267">SUMPRODUCT((inc_05_bt[inconnue])*(inc_05_bt[[siege_cause]:[siege_cause]]=$B267))</f>
        <v>0</v>
      </c>
      <c r="J267" s="199" cm="1">
        <f t="array" ref="J267">SUMPRODUCT((inc_05_bt[travaux])*(inc_05_bt[[siege_cause]:[siege_cause]]=$B267))</f>
        <v>0</v>
      </c>
      <c r="K267" s="148">
        <f t="shared" si="11"/>
        <v>73</v>
      </c>
    </row>
    <row r="268" spans="1:15" ht="15" customHeight="1" x14ac:dyDescent="0.25">
      <c r="B268" s="179" t="s">
        <v>807</v>
      </c>
      <c r="C268" s="199" cm="1">
        <f t="array" ref="C268">SUMPRODUCT((inc_05_bt[manipulation])*(inc_05_bt[[siege_cause]:[siege_cause]]=$B268))</f>
        <v>0</v>
      </c>
      <c r="D268" s="199" cm="1">
        <f t="array" ref="D268">SUMPRODUCT((inc_05_bt[materiel])*(inc_05_bt[[siege_cause]:[siege_cause]]=$B268))</f>
        <v>25</v>
      </c>
      <c r="E268" s="199" cm="1">
        <f t="array" ref="E268">SUMPRODUCT((inc_05_bt[externe])*(inc_05_bt[[siege_cause]:[siege_cause]]=$B268))</f>
        <v>6</v>
      </c>
      <c r="F268" s="199" cm="1">
        <f t="array" ref="F268">SUMPRODUCT((inc_05_bt[bois])*(inc_05_bt[[siege_cause]:[siege_cause]]=$B268))</f>
        <v>0</v>
      </c>
      <c r="G268" s="199" cm="1">
        <f t="array" ref="G268">SUMPRODUCT((inc_05_bt[climatique])*(inc_05_bt[[siege_cause]:[siege_cause]]=$B268))</f>
        <v>2</v>
      </c>
      <c r="H268" s="199" cm="1">
        <f t="array" ref="H268">SUMPRODUCT((inc_05_bt[securite])*(inc_05_bt[[siege_cause]:[siege_cause]]=$B268))</f>
        <v>0</v>
      </c>
      <c r="I268" s="199" cm="1">
        <f t="array" ref="I268">SUMPRODUCT((inc_05_bt[inconnue])*(inc_05_bt[[siege_cause]:[siege_cause]]=$B268))</f>
        <v>0</v>
      </c>
      <c r="J268" s="199" cm="1">
        <f t="array" ref="J268">SUMPRODUCT((inc_05_bt[travaux])*(inc_05_bt[[siege_cause]:[siege_cause]]=$B268))</f>
        <v>0</v>
      </c>
      <c r="K268" s="148">
        <f>SUM(C268:J268)</f>
        <v>33</v>
      </c>
    </row>
    <row r="269" spans="1:15" ht="15" customHeight="1" x14ac:dyDescent="0.25">
      <c r="B269" s="179" t="s">
        <v>691</v>
      </c>
      <c r="C269" s="199" cm="1">
        <f t="array" ref="C269">SUMPRODUCT((inc_05_bt[manipulation])*(inc_05_bt[[siege_cause]:[siege_cause]]=$B269))</f>
        <v>0</v>
      </c>
      <c r="D269" s="199" cm="1">
        <f t="array" ref="D269">SUMPRODUCT((inc_05_bt[materiel])*(inc_05_bt[[siege_cause]:[siege_cause]]=$B269))</f>
        <v>10</v>
      </c>
      <c r="E269" s="199" cm="1">
        <f t="array" ref="E269">SUMPRODUCT((inc_05_bt[externe])*(inc_05_bt[[siege_cause]:[siege_cause]]=$B269))</f>
        <v>4</v>
      </c>
      <c r="F269" s="199" cm="1">
        <f t="array" ref="F269">SUMPRODUCT((inc_05_bt[bois])*(inc_05_bt[[siege_cause]:[siege_cause]]=$B269))</f>
        <v>1</v>
      </c>
      <c r="G269" s="199" cm="1">
        <f t="array" ref="G269">SUMPRODUCT((inc_05_bt[climatique])*(inc_05_bt[[siege_cause]:[siege_cause]]=$B269))</f>
        <v>10</v>
      </c>
      <c r="H269" s="199" cm="1">
        <f t="array" ref="H269">SUMPRODUCT((inc_05_bt[securite])*(inc_05_bt[[siege_cause]:[siege_cause]]=$B269))</f>
        <v>0</v>
      </c>
      <c r="I269" s="199" cm="1">
        <f t="array" ref="I269">SUMPRODUCT((inc_05_bt[inconnue])*(inc_05_bt[[siege_cause]:[siege_cause]]=$B269))</f>
        <v>6</v>
      </c>
      <c r="J269" s="199" cm="1">
        <f t="array" ref="J269">SUMPRODUCT((inc_05_bt[travaux])*(inc_05_bt[[siege_cause]:[siege_cause]]=$B269))</f>
        <v>0</v>
      </c>
      <c r="K269" s="148">
        <f t="shared" si="11"/>
        <v>31</v>
      </c>
    </row>
    <row r="270" spans="1:15" ht="15" customHeight="1" x14ac:dyDescent="0.25">
      <c r="B270" s="179" t="s">
        <v>808</v>
      </c>
      <c r="C270" s="199" cm="1">
        <f t="array" ref="C270">SUMPRODUCT((inc_05_bt[manipulation])*(inc_05_bt[[siege_cause]:[siege_cause]]=$B270))</f>
        <v>0</v>
      </c>
      <c r="D270" s="199" cm="1">
        <f t="array" ref="D270">SUMPRODUCT((inc_05_bt[materiel])*(inc_05_bt[[siege_cause]:[siege_cause]]=$B270))</f>
        <v>30</v>
      </c>
      <c r="E270" s="199" cm="1">
        <f t="array" ref="E270">SUMPRODUCT((inc_05_bt[externe])*(inc_05_bt[[siege_cause]:[siege_cause]]=$B270))</f>
        <v>2</v>
      </c>
      <c r="F270" s="199" cm="1">
        <f t="array" ref="F270">SUMPRODUCT((inc_05_bt[bois])*(inc_05_bt[[siege_cause]:[siege_cause]]=$B270))</f>
        <v>0</v>
      </c>
      <c r="G270" s="199" cm="1">
        <f t="array" ref="G270">SUMPRODUCT((inc_05_bt[climatique])*(inc_05_bt[[siege_cause]:[siege_cause]]=$B270))</f>
        <v>1</v>
      </c>
      <c r="H270" s="199" cm="1">
        <f t="array" ref="H270">SUMPRODUCT((inc_05_bt[securite])*(inc_05_bt[[siege_cause]:[siege_cause]]=$B270))</f>
        <v>0</v>
      </c>
      <c r="I270" s="199" cm="1">
        <f t="array" ref="I270">SUMPRODUCT((inc_05_bt[inconnue])*(inc_05_bt[[siege_cause]:[siege_cause]]=$B270))</f>
        <v>0</v>
      </c>
      <c r="J270" s="199" cm="1">
        <f t="array" ref="J270">SUMPRODUCT((inc_05_bt[travaux])*(inc_05_bt[[siege_cause]:[siege_cause]]=$B270))</f>
        <v>0</v>
      </c>
      <c r="K270" s="148">
        <f t="shared" si="11"/>
        <v>33</v>
      </c>
    </row>
    <row r="271" spans="1:15" ht="15" customHeight="1" x14ac:dyDescent="0.25">
      <c r="B271" s="179" t="s">
        <v>803</v>
      </c>
      <c r="C271" s="199" cm="1">
        <f t="array" ref="C271">SUMPRODUCT((inc_05_bt[manipulation])*(inc_05_bt[[siege_cause]:[siege_cause]]=$B271))</f>
        <v>0</v>
      </c>
      <c r="D271" s="199" cm="1">
        <f t="array" ref="D271">SUMPRODUCT((inc_05_bt[materiel])*(inc_05_bt[[siege_cause]:[siege_cause]]=$B271))</f>
        <v>0</v>
      </c>
      <c r="E271" s="199" cm="1">
        <f t="array" ref="E271">SUMPRODUCT((inc_05_bt[externe])*(inc_05_bt[[siege_cause]:[siege_cause]]=$B271))</f>
        <v>0</v>
      </c>
      <c r="F271" s="199" cm="1">
        <f t="array" ref="F271">SUMPRODUCT((inc_05_bt[bois])*(inc_05_bt[[siege_cause]:[siege_cause]]=$B271))</f>
        <v>0</v>
      </c>
      <c r="G271" s="199" cm="1">
        <f t="array" ref="G271">SUMPRODUCT((inc_05_bt[climatique])*(inc_05_bt[[siege_cause]:[siege_cause]]=$B271))</f>
        <v>0</v>
      </c>
      <c r="H271" s="199" cm="1">
        <f t="array" ref="H271">SUMPRODUCT((inc_05_bt[securite])*(inc_05_bt[[siege_cause]:[siege_cause]]=$B271))</f>
        <v>0</v>
      </c>
      <c r="I271" s="199" cm="1">
        <f t="array" ref="I271">SUMPRODUCT((inc_05_bt[inconnue])*(inc_05_bt[[siege_cause]:[siege_cause]]=$B271))</f>
        <v>0</v>
      </c>
      <c r="J271" s="199" cm="1">
        <f t="array" ref="J271">SUMPRODUCT((inc_05_bt[travaux])*(inc_05_bt[[siege_cause]:[siege_cause]]=$B271))</f>
        <v>0</v>
      </c>
      <c r="K271" s="148">
        <f t="shared" si="11"/>
        <v>0</v>
      </c>
    </row>
    <row r="272" spans="1:15" ht="15" customHeight="1" x14ac:dyDescent="0.25">
      <c r="B272" s="196" t="s">
        <v>182</v>
      </c>
      <c r="C272" s="197">
        <f t="shared" ref="C272:J272" si="12">SUM(C265:C271)</f>
        <v>0</v>
      </c>
      <c r="D272" s="197">
        <f t="shared" si="12"/>
        <v>134</v>
      </c>
      <c r="E272" s="197">
        <f t="shared" si="12"/>
        <v>43</v>
      </c>
      <c r="F272" s="197">
        <f t="shared" si="12"/>
        <v>14</v>
      </c>
      <c r="G272" s="197">
        <f t="shared" si="12"/>
        <v>21</v>
      </c>
      <c r="H272" s="197">
        <f t="shared" si="12"/>
        <v>0</v>
      </c>
      <c r="I272" s="197">
        <f t="shared" si="12"/>
        <v>6</v>
      </c>
      <c r="J272" s="197">
        <f t="shared" si="12"/>
        <v>0</v>
      </c>
      <c r="K272" s="209">
        <f t="shared" si="11"/>
        <v>218</v>
      </c>
    </row>
  </sheetData>
  <mergeCells count="2">
    <mergeCell ref="A194:A197"/>
    <mergeCell ref="A198:A205"/>
  </mergeCells>
  <conditionalFormatting sqref="C252:J25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6:J26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5:J27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6:J26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7:J267 C265:J265 C269:J27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8:J26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388F-129F-4874-A0B4-F24DDA797223}">
  <sheetPr codeName="Feuil6">
    <tabColor theme="9" tint="0.39997558519241921"/>
  </sheetPr>
  <dimension ref="A1:H47"/>
  <sheetViews>
    <sheetView topLeftCell="J1" zoomScaleNormal="100" workbookViewId="0">
      <selection activeCell="X4" sqref="X4"/>
    </sheetView>
  </sheetViews>
  <sheetFormatPr defaultColWidth="11.7109375" defaultRowHeight="15" customHeight="1" x14ac:dyDescent="0.25"/>
  <cols>
    <col min="1" max="1" width="15.7109375" style="25" customWidth="1"/>
    <col min="2" max="2" width="55.7109375" style="25" customWidth="1"/>
    <col min="3" max="16384" width="11.7109375" style="25"/>
  </cols>
  <sheetData>
    <row r="1" spans="1:7" ht="40.15" customHeight="1" x14ac:dyDescent="0.25">
      <c r="A1" s="97" t="s">
        <v>618</v>
      </c>
    </row>
    <row r="4" spans="1:7" ht="30" customHeight="1" x14ac:dyDescent="0.25">
      <c r="A4" s="102" t="s">
        <v>809</v>
      </c>
      <c r="B4" s="66" t="s">
        <v>810</v>
      </c>
      <c r="C4" s="67" cm="1">
        <f t="array" ref="C4">Exercice[Exercice N-4]</f>
        <v>2019</v>
      </c>
      <c r="D4" s="67" cm="1">
        <f t="array" ref="D4">Exercice[Exercice N-3]</f>
        <v>2020</v>
      </c>
      <c r="E4" s="67" cm="1">
        <f t="array" ref="E4">Exercice[Exercice N-2]</f>
        <v>2021</v>
      </c>
      <c r="F4" s="67" cm="1">
        <f t="array" ref="F4">Exercice[Exercice N-1]</f>
        <v>2022</v>
      </c>
      <c r="G4" s="69" cm="1">
        <f t="array" ref="G4">Exercice[Exercice N]</f>
        <v>2023</v>
      </c>
    </row>
    <row r="5" spans="1:7" ht="15" customHeight="1" x14ac:dyDescent="0.25">
      <c r="B5" s="58" t="s">
        <v>811</v>
      </c>
      <c r="C5" s="84" cm="1">
        <f t="array" ref="C5">SUMPRODUCT((tens_01[[client]:[client]]=syndicat_etude)*(tens_01[[annee]:[annee]]=C$4)*(tens_01[nbr_chute_tension_sup_7_pourcent]))</f>
        <v>0</v>
      </c>
      <c r="D5" s="84" cm="1">
        <f t="array" ref="D5">SUMPRODUCT((tens_01[[client]:[client]]=syndicat_etude)*(tens_01[[annee]:[annee]]=D$4)*(tens_01[nbr_chute_tension_sup_7_pourcent]))</f>
        <v>0</v>
      </c>
      <c r="E5" s="84" cm="1">
        <f t="array" ref="E5">SUMPRODUCT((tens_01[[client]:[client]]=syndicat_etude)*(tens_01[[annee]:[annee]]=E$4)*(tens_01[nbr_chute_tension_sup_7_pourcent]))</f>
        <v>1</v>
      </c>
      <c r="F5" s="84" cm="1">
        <f t="array" ref="F5">SUMPRODUCT((tens_01[[client]:[client]]=syndicat_etude)*(tens_01[[annee]:[annee]]=F$4)*(tens_01[nbr_chute_tension_sup_7_pourcent]))</f>
        <v>0</v>
      </c>
      <c r="G5" s="200" cm="1">
        <f t="array" ref="G5">SUMPRODUCT((tens_01[[client]:[client]]=syndicat_etude)*(tens_01[[annee]:[annee]]=G$4)*(tens_01[nbr_chute_tension_sup_7_pourcent]))</f>
        <v>2</v>
      </c>
    </row>
    <row r="6" spans="1:7" ht="15" customHeight="1" x14ac:dyDescent="0.25">
      <c r="B6" s="58" t="s">
        <v>812</v>
      </c>
      <c r="C6" s="84" cm="1">
        <f t="array" ref="C6">SUMPRODUCT((tens_01[[client]:[client]]=syndicat_etude)*(tens_01[[annee]:[annee]]=C$4)*(tens_01[nbr_chute_tension_btw_5_and_7_pourcent]))</f>
        <v>1</v>
      </c>
      <c r="D6" s="84" cm="1">
        <f t="array" ref="D6">SUMPRODUCT((tens_01[[client]:[client]]=syndicat_etude)*(tens_01[[annee]:[annee]]=D$4)*(tens_01[nbr_chute_tension_btw_5_and_7_pourcent]))</f>
        <v>2</v>
      </c>
      <c r="E6" s="84" cm="1">
        <f t="array" ref="E6">SUMPRODUCT((tens_01[[client]:[client]]=syndicat_etude)*(tens_01[[annee]:[annee]]=E$4)*(tens_01[nbr_chute_tension_btw_5_and_7_pourcent]))</f>
        <v>1</v>
      </c>
      <c r="F6" s="84" cm="1">
        <f t="array" ref="F6">SUMPRODUCT((tens_01[[client]:[client]]=syndicat_etude)*(tens_01[[annee]:[annee]]=F$4)*(tens_01[nbr_chute_tension_btw_5_and_7_pourcent]))</f>
        <v>2</v>
      </c>
      <c r="G6" s="200" cm="1">
        <f t="array" ref="G6">SUMPRODUCT((tens_01[[client]:[client]]=syndicat_etude)*(tens_01[[annee]:[annee]]=G$4)*(tens_01[nbr_chute_tension_btw_5_and_7_pourcent]))</f>
        <v>1</v>
      </c>
    </row>
    <row r="7" spans="1:7" ht="15" customHeight="1" x14ac:dyDescent="0.25">
      <c r="B7" s="58" t="s">
        <v>813</v>
      </c>
      <c r="C7" s="84" cm="1">
        <f t="array" ref="C7">SUMPRODUCT((tens_01[[client]:[client]]=syndicat_etude)*(tens_01[[annee]:[annee]]=C$4)*(tens_01[nbr_chute_tension_btw_4_and_5_pourcent]))</f>
        <v>2</v>
      </c>
      <c r="D7" s="84" cm="1">
        <f t="array" ref="D7">SUMPRODUCT((tens_01[[client]:[client]]=syndicat_etude)*(tens_01[[annee]:[annee]]=D$4)*(tens_01[nbr_chute_tension_btw_4_and_5_pourcent]))</f>
        <v>5</v>
      </c>
      <c r="E7" s="84" cm="1">
        <f t="array" ref="E7">SUMPRODUCT((tens_01[[client]:[client]]=syndicat_etude)*(tens_01[[annee]:[annee]]=E$4)*(tens_01[nbr_chute_tension_btw_4_and_5_pourcent]))</f>
        <v>3</v>
      </c>
      <c r="F7" s="84" cm="1">
        <f t="array" ref="F7">SUMPRODUCT((tens_01[[client]:[client]]=syndicat_etude)*(tens_01[[annee]:[annee]]=F$4)*(tens_01[nbr_chute_tension_btw_4_and_5_pourcent]))</f>
        <v>4</v>
      </c>
      <c r="G7" s="200" cm="1">
        <f t="array" ref="G7">SUMPRODUCT((tens_01[[client]:[client]]=syndicat_etude)*(tens_01[[annee]:[annee]]=G$4)*(tens_01[nbr_chute_tension_btw_4_and_5_pourcent]))</f>
        <v>3</v>
      </c>
    </row>
    <row r="8" spans="1:7" ht="15" customHeight="1" x14ac:dyDescent="0.25">
      <c r="B8" s="191" t="s">
        <v>814</v>
      </c>
      <c r="C8" s="194" cm="1">
        <f t="array" ref="C8">SUMPRODUCT((tens_01[[client]:[client]]=syndicat_etude)*(tens_01[[annee]:[annee]]=C$4)*(tens_01[nbr_depart_hta_chute_tension_sup_5_pourcent]))</f>
        <v>1</v>
      </c>
      <c r="D8" s="194" cm="1">
        <f t="array" ref="D8">SUMPRODUCT((tens_01[[client]:[client]]=syndicat_etude)*(tens_01[[annee]:[annee]]=D$4)*(tens_01[nbr_depart_hta_chute_tension_sup_5_pourcent]))</f>
        <v>2</v>
      </c>
      <c r="E8" s="194" cm="1">
        <f t="array" ref="E8">SUMPRODUCT((tens_01[[client]:[client]]=syndicat_etude)*(tens_01[[annee]:[annee]]=E$4)*(tens_01[nbr_depart_hta_chute_tension_sup_5_pourcent]))</f>
        <v>2</v>
      </c>
      <c r="F8" s="194" cm="1">
        <f t="array" ref="F8">SUMPRODUCT((tens_01[[client]:[client]]=syndicat_etude)*(tens_01[[annee]:[annee]]=F$4)*(tens_01[nbr_depart_hta_chute_tension_sup_5_pourcent]))</f>
        <v>2</v>
      </c>
      <c r="G8" s="273" cm="1">
        <f t="array" ref="G8">SUMPRODUCT((tens_01[[client]:[client]]=syndicat_etude)*(tens_01[[annee]:[annee]]=G$4)*(tens_01[nbr_depart_hta_chute_tension_sup_5_pourcent]))</f>
        <v>3</v>
      </c>
    </row>
    <row r="9" spans="1:7" ht="15" customHeight="1" x14ac:dyDescent="0.25">
      <c r="B9" s="235" t="s">
        <v>815</v>
      </c>
      <c r="C9" s="272" cm="1">
        <f t="array" ref="C9">SUMPRODUCT((tens_01[[client]:[client]]=syndicat_etude)*(tens_01[[annee]:[annee]]=C$4)*(tens_01[pourcentage_depart_hta_chute_tension_sup_5_pourcent]))</f>
        <v>4.0000000000000001E-3</v>
      </c>
      <c r="D9" s="272" cm="1">
        <f t="array" ref="D9">SUMPRODUCT((tens_01[[client]:[client]]=syndicat_etude)*(tens_01[[annee]:[annee]]=D$4)*(tens_01[pourcentage_depart_hta_chute_tension_sup_5_pourcent]))</f>
        <v>7.9000000000000008E-3</v>
      </c>
      <c r="E9" s="272" cm="1">
        <f t="array" ref="E9">SUMPRODUCT((tens_01[[client]:[client]]=syndicat_etude)*(tens_01[[annee]:[annee]]=E$4)*(tens_01[pourcentage_depart_hta_chute_tension_sup_5_pourcent]))</f>
        <v>7.4000000000000003E-3</v>
      </c>
      <c r="F9" s="272" cm="1">
        <f t="array" ref="F9">SUMPRODUCT((tens_01[[client]:[client]]=syndicat_etude)*(tens_01[[annee]:[annee]]=F$4)*(tens_01[pourcentage_depart_hta_chute_tension_sup_5_pourcent]))</f>
        <v>7.4000000000000003E-3</v>
      </c>
      <c r="G9" s="133" cm="1">
        <f t="array" ref="G9">SUMPRODUCT((tens_01[[client]:[client]]=syndicat_etude)*(tens_01[[annee]:[annee]]=G$4)*(tens_01[pourcentage_depart_hta_chute_tension_sup_5_pourcent]))</f>
        <v>1.09E-2</v>
      </c>
    </row>
    <row r="11" spans="1:7" ht="15" customHeight="1" x14ac:dyDescent="0.25">
      <c r="A11" s="25" t="s">
        <v>816</v>
      </c>
      <c r="B11" s="25" t="s">
        <v>817</v>
      </c>
    </row>
    <row r="13" spans="1:7" ht="30" customHeight="1" x14ac:dyDescent="0.25">
      <c r="A13" s="25" t="s">
        <v>818</v>
      </c>
      <c r="B13" s="66" t="s">
        <v>819</v>
      </c>
      <c r="C13" s="67" cm="1">
        <f t="array" ref="C13">Exercice[Exercice N-4]</f>
        <v>2019</v>
      </c>
      <c r="D13" s="67" cm="1">
        <f t="array" ref="D13">Exercice[Exercice N-3]</f>
        <v>2020</v>
      </c>
      <c r="E13" s="67" cm="1">
        <f t="array" ref="E13">Exercice[Exercice N-2]</f>
        <v>2021</v>
      </c>
      <c r="F13" s="67" cm="1">
        <f t="array" ref="F13">Exercice[Exercice N-1]</f>
        <v>2022</v>
      </c>
      <c r="G13" s="69" cm="1">
        <f t="array" ref="G13">Exercice[Exercice N]</f>
        <v>2023</v>
      </c>
    </row>
    <row r="14" spans="1:7" ht="15" customHeight="1" x14ac:dyDescent="0.25">
      <c r="B14" s="58" t="s">
        <v>820</v>
      </c>
      <c r="C14" s="11" cm="1">
        <f t="array" ref="C14">SUMPRODUCT((tens_03[[client]:[client]]=syndicat_etude)*(tens_03[[annee]:[annee]]=C$13)*(tens_03[[nbr_poste_hta]:[nbr_poste_hta]]))</f>
        <v>0</v>
      </c>
      <c r="D14" s="11" cm="1">
        <f t="array" ref="D14">SUMPRODUCT((tens_03[[client]:[client]]=syndicat_etude)*(tens_03[[annee]:[annee]]=D$13)*(tens_03[[nbr_poste_hta]:[nbr_poste_hta]]))</f>
        <v>29</v>
      </c>
      <c r="E14" s="11" cm="1">
        <f t="array" ref="E14">SUMPRODUCT((tens_03[[client]:[client]]=syndicat_etude)*(tens_03[[annee]:[annee]]=E$13)*(tens_03[[nbr_poste_hta]:[nbr_poste_hta]]))</f>
        <v>36</v>
      </c>
      <c r="F14" s="11" cm="1">
        <f t="array" ref="F14">SUMPRODUCT((tens_03[[client]:[client]]=syndicat_etude)*(tens_03[[annee]:[annee]]=F$13)*(tens_03[[nbr_poste_hta]:[nbr_poste_hta]]))</f>
        <v>26</v>
      </c>
      <c r="G14" s="93" cm="1">
        <f t="array" ref="G14">SUMPRODUCT((tens_03[[client]:[client]]=syndicat_etude)*(tens_03[[annee]:[annee]]=G$13)*(tens_03[[nbr_poste_hta]:[nbr_poste_hta]]))</f>
        <v>82</v>
      </c>
    </row>
    <row r="15" spans="1:7" ht="15" customHeight="1" x14ac:dyDescent="0.25">
      <c r="A15" s="268"/>
      <c r="B15" s="190" t="s">
        <v>821</v>
      </c>
      <c r="C15" s="94" cm="1">
        <f t="array" ref="C15">SUMPRODUCT((tens_03[[client]:[client]]=syndicat_etude)*(tens_03[[annee]:[annee]]=C$13)*(tens_03[[nbr_departs]:[nbr_departs]]))</f>
        <v>0</v>
      </c>
      <c r="D15" s="94" cm="1">
        <f t="array" ref="D15">SUMPRODUCT((tens_03[[client]:[client]]=syndicat_etude)*(tens_03[[annee]:[annee]]=D$13)*(tens_03[[nbr_departs]:[nbr_departs]]))</f>
        <v>79</v>
      </c>
      <c r="E15" s="94" cm="1">
        <f t="array" ref="E15">SUMPRODUCT((tens_03[[client]:[client]]=syndicat_etude)*(tens_03[[annee]:[annee]]=E$13)*(tens_03[[nbr_departs]:[nbr_departs]]))</f>
        <v>93</v>
      </c>
      <c r="F15" s="94" cm="1">
        <f t="array" ref="F15">SUMPRODUCT((tens_03[[client]:[client]]=syndicat_etude)*(tens_03[[annee]:[annee]]=F$13)*(tens_03[[nbr_departs]:[nbr_departs]]))</f>
        <v>44</v>
      </c>
      <c r="G15" s="95" cm="1">
        <f t="array" ref="G15">SUMPRODUCT((tens_03[[client]:[client]]=syndicat_etude)*(tens_03[[annee]:[annee]]=G$13)*(tens_03[[nbr_departs]:[nbr_departs]]))</f>
        <v>171</v>
      </c>
    </row>
    <row r="17" spans="1:7" ht="15" customHeight="1" x14ac:dyDescent="0.25">
      <c r="A17" s="25" t="s">
        <v>822</v>
      </c>
      <c r="B17" s="25" t="s">
        <v>817</v>
      </c>
    </row>
    <row r="19" spans="1:7" ht="15" customHeight="1" x14ac:dyDescent="0.25">
      <c r="A19" s="25" t="s">
        <v>823</v>
      </c>
      <c r="B19" s="25" t="s">
        <v>817</v>
      </c>
    </row>
    <row r="21" spans="1:7" ht="30" customHeight="1" x14ac:dyDescent="0.25">
      <c r="A21" s="25" t="s">
        <v>824</v>
      </c>
      <c r="B21" s="71" t="s">
        <v>825</v>
      </c>
      <c r="C21" s="72" cm="1">
        <f t="array" ref="C21">Exercice[Exercice N-4]</f>
        <v>2019</v>
      </c>
      <c r="D21" s="72" cm="1">
        <f t="array" ref="D21">Exercice[Exercice N-3]</f>
        <v>2020</v>
      </c>
      <c r="E21" s="72" cm="1">
        <f t="array" ref="E21">Exercice[Exercice N-2]</f>
        <v>2021</v>
      </c>
      <c r="F21" s="72" cm="1">
        <f t="array" ref="F21">Exercice[Exercice N-1]</f>
        <v>2022</v>
      </c>
      <c r="G21" s="73" cm="1">
        <f t="array" ref="G21">Exercice[Exercice N]</f>
        <v>2023</v>
      </c>
    </row>
    <row r="22" spans="1:7" ht="15" customHeight="1" x14ac:dyDescent="0.25">
      <c r="B22" s="58" t="s">
        <v>826</v>
      </c>
      <c r="C22" s="11" cm="1">
        <f t="array" ref="C22">SUMPRODUCT((tens_06[[client]:[client]]=syndicat_etude)*(tens_06[[annee]:[annee]]=C$21)*(tens_06[nbr_total_depart_bt]))</f>
        <v>10684</v>
      </c>
      <c r="D22" s="11" cm="1">
        <f t="array" ref="D22">SUMPRODUCT((tens_06[[client]:[client]]=syndicat_etude)*(tens_06[[annee]:[annee]]=D$21)*(tens_06[nbr_total_depart_bt]))</f>
        <v>10780</v>
      </c>
      <c r="E22" s="11" cm="1">
        <f t="array" ref="E22">SUMPRODUCT((tens_06[[client]:[client]]=syndicat_etude)*(tens_06[[annee]:[annee]]=E$21)*(tens_06[nbr_total_depart_bt]))</f>
        <v>10902</v>
      </c>
      <c r="F22" s="11" cm="1">
        <f t="array" ref="F22">SUMPRODUCT((tens_06[[client]:[client]]=syndicat_etude)*(tens_06[[annee]:[annee]]=F$21)*(tens_06[nbr_total_depart_bt]))</f>
        <v>11022</v>
      </c>
      <c r="G22" s="93" cm="1">
        <f t="array" ref="G22">SUMPRODUCT((tens_06[[client]:[client]]=syndicat_etude)*(tens_06[[annee]:[annee]]=G$21)*(tens_06[nbr_total_depart_bt]))</f>
        <v>11172</v>
      </c>
    </row>
    <row r="23" spans="1:7" ht="15" customHeight="1" x14ac:dyDescent="0.25">
      <c r="B23" s="58" t="s">
        <v>827</v>
      </c>
      <c r="C23" s="11" cm="1">
        <f t="array" ref="C23">SUMPRODUCT((tens_06[[client]:[client]]=syndicat_etude)*(tens_06[[annee]:[annee]]=C$21)*(tens_06[nb_depart_bt_avec_cma]))</f>
        <v>0</v>
      </c>
      <c r="D23" s="11" cm="1">
        <f t="array" ref="D23">SUMPRODUCT((tens_06[[client]:[client]]=syndicat_etude)*(tens_06[[annee]:[annee]]=D$21)*(tens_06[nb_depart_bt_avec_cma]))</f>
        <v>0</v>
      </c>
      <c r="E23" s="11" cm="1">
        <f t="array" ref="E23">SUMPRODUCT((tens_06[[client]:[client]]=syndicat_etude)*(tens_06[[annee]:[annee]]=E$21)*(tens_06[nb_depart_bt_avec_cma]))</f>
        <v>0</v>
      </c>
      <c r="F23" s="11" cm="1">
        <f t="array" ref="F23">SUMPRODUCT((tens_06[[client]:[client]]=syndicat_etude)*(tens_06[[annee]:[annee]]=F$21)*(tens_06[nb_depart_bt_avec_cma]))</f>
        <v>0</v>
      </c>
      <c r="G23" s="93" cm="1">
        <f t="array" ref="G23">SUMPRODUCT((tens_06[[client]:[client]]=syndicat_etude)*(tens_06[[annee]:[annee]]=G$21)*(tens_06[nb_depart_bt_avec_cma]))</f>
        <v>0</v>
      </c>
    </row>
    <row r="24" spans="1:7" ht="15" customHeight="1" x14ac:dyDescent="0.25">
      <c r="B24" s="269" t="s">
        <v>828</v>
      </c>
      <c r="C24" s="274" cm="1">
        <f t="array" ref="C24">SUMPRODUCT((tens_06[[client]:[client]]=syndicat_etude)*(tens_06[[annee]:[annee]]=C$21)*(tens_06[taux_départ_bt_mal_alimente]))</f>
        <v>0</v>
      </c>
      <c r="D24" s="274" cm="1">
        <f t="array" ref="D24">SUMPRODUCT((tens_06[[client]:[client]]=syndicat_etude)*(tens_06[[annee]:[annee]]=D$21)*(tens_06[taux_départ_bt_mal_alimente]))</f>
        <v>0</v>
      </c>
      <c r="E24" s="274" cm="1">
        <f t="array" ref="E24">SUMPRODUCT((tens_06[[client]:[client]]=syndicat_etude)*(tens_06[[annee]:[annee]]=E$21)*(tens_06[taux_départ_bt_mal_alimente]))</f>
        <v>0</v>
      </c>
      <c r="F24" s="274" cm="1">
        <f t="array" ref="F24">SUMPRODUCT((tens_06[[client]:[client]]=syndicat_etude)*(tens_06[[annee]:[annee]]=F$21)*(tens_06[taux_départ_bt_mal_alimente]))</f>
        <v>0</v>
      </c>
      <c r="G24" s="275" cm="1">
        <f t="array" ref="G24">SUMPRODUCT((tens_06[[client]:[client]]=syndicat_etude)*(tens_06[[annee]:[annee]]=G$21)*(tens_06[taux_départ_bt_mal_alimente]))</f>
        <v>0</v>
      </c>
    </row>
    <row r="25" spans="1:7" ht="15" customHeight="1" x14ac:dyDescent="0.25">
      <c r="B25" s="214" t="s">
        <v>829</v>
      </c>
      <c r="C25" s="276" cm="1">
        <f t="array" ref="C25">SUMPRODUCT((tens_06[[client]:[client]]=syndicat_etude)*(tens_06[[annee]:[annee]]=C$21)*(tens_06[taux_depart_bt_mal_alimente_urbain]))</f>
        <v>0</v>
      </c>
      <c r="D25" s="276" cm="1">
        <f t="array" ref="D25">SUMPRODUCT((tens_06[[client]:[client]]=syndicat_etude)*(tens_06[[annee]:[annee]]=D$21)*(tens_06[taux_depart_bt_mal_alimente_urbain]))</f>
        <v>0</v>
      </c>
      <c r="E25" s="276" cm="1">
        <f t="array" ref="E25">SUMPRODUCT((tens_06[[client]:[client]]=syndicat_etude)*(tens_06[[annee]:[annee]]=E$21)*(tens_06[taux_depart_bt_mal_alimente_urbain]))</f>
        <v>0</v>
      </c>
      <c r="F25" s="276" cm="1">
        <f t="array" ref="F25">SUMPRODUCT((tens_06[[client]:[client]]=syndicat_etude)*(tens_06[[annee]:[annee]]=F$21)*(tens_06[taux_depart_bt_mal_alimente_urbain]))</f>
        <v>0</v>
      </c>
      <c r="G25" s="120" cm="1">
        <f t="array" ref="G25">SUMPRODUCT((tens_06[[client]:[client]]=syndicat_etude)*(tens_06[[annee]:[annee]]=G$21)*(tens_06[taux_depart_bt_mal_alimente_urbain]))</f>
        <v>0</v>
      </c>
    </row>
    <row r="26" spans="1:7" ht="15" customHeight="1" x14ac:dyDescent="0.25">
      <c r="B26" s="214" t="s">
        <v>830</v>
      </c>
      <c r="C26" s="276" cm="1">
        <f t="array" ref="C26">SUMPRODUCT((tens_06[[client]:[client]]=syndicat_etude)*(tens_06[[annee]:[annee]]=C$21)*(tens_06[taux_depart_bt_mal_alimente_rural]))</f>
        <v>0</v>
      </c>
      <c r="D26" s="276" cm="1">
        <f t="array" ref="D26">SUMPRODUCT((tens_06[[client]:[client]]=syndicat_etude)*(tens_06[[annee]:[annee]]=D$21)*(tens_06[taux_depart_bt_mal_alimente_rural]))</f>
        <v>0</v>
      </c>
      <c r="E26" s="276" cm="1">
        <f t="array" ref="E26">SUMPRODUCT((tens_06[[client]:[client]]=syndicat_etude)*(tens_06[[annee]:[annee]]=E$21)*(tens_06[taux_depart_bt_mal_alimente_rural]))</f>
        <v>0</v>
      </c>
      <c r="F26" s="276" cm="1">
        <f t="array" ref="F26">SUMPRODUCT((tens_06[[client]:[client]]=syndicat_etude)*(tens_06[[annee]:[annee]]=F$21)*(tens_06[taux_depart_bt_mal_alimente_rural]))</f>
        <v>0</v>
      </c>
      <c r="G26" s="120" cm="1">
        <f t="array" ref="G26">SUMPRODUCT((tens_06[[client]:[client]]=syndicat_etude)*(tens_06[[annee]:[annee]]=G$21)*(tens_06[taux_depart_bt_mal_alimente_rural]))</f>
        <v>0</v>
      </c>
    </row>
    <row r="27" spans="1:7" ht="15" customHeight="1" x14ac:dyDescent="0.25">
      <c r="B27" s="58" t="s">
        <v>831</v>
      </c>
      <c r="C27" s="84" cm="1">
        <f t="array" ref="C27">SUMPRODUCT((tens_06[[client]:[client]]=syndicat_etude)*(tens_06[[annee]:[annee]]=C$21)*(tens_06[longueur_troncon_mal_alimente_km]))</f>
        <v>35</v>
      </c>
      <c r="D27" s="84" cm="1">
        <f t="array" ref="D27">SUMPRODUCT((tens_06[[client]:[client]]=syndicat_etude)*(tens_06[[annee]:[annee]]=D$21)*(tens_06[longueur_troncon_mal_alimente_km]))</f>
        <v>43</v>
      </c>
      <c r="E27" s="84" cm="1">
        <f t="array" ref="E27">SUMPRODUCT((tens_06[[client]:[client]]=syndicat_etude)*(tens_06[[annee]:[annee]]=E$21)*(tens_06[longueur_troncon_mal_alimente_km]))</f>
        <v>34</v>
      </c>
      <c r="F27" s="84" cm="1">
        <f t="array" ref="F27">SUMPRODUCT((tens_06[[client]:[client]]=syndicat_etude)*(tens_06[[annee]:[annee]]=F$21)*(tens_06[longueur_troncon_mal_alimente_km]))</f>
        <v>33</v>
      </c>
      <c r="G27" s="200" cm="1">
        <f t="array" ref="G27">SUMPRODUCT((tens_06[[client]:[client]]=syndicat_etude)*(tens_06[[annee]:[annee]]=G$21)*(tens_06[longueur_troncon_mal_alimente_km]))</f>
        <v>31</v>
      </c>
    </row>
    <row r="28" spans="1:7" ht="15" customHeight="1" x14ac:dyDescent="0.25">
      <c r="B28" s="265" t="s">
        <v>832</v>
      </c>
      <c r="C28" s="167" cm="1">
        <f t="array" ref="C28">SUMPRODUCT((tens_06[[client]:[client]]=syndicat_etude)*(tens_06[[annee]:[annee]]=C$21)*(tens_06[longueur_troncon_mal_alimente_fsa_km]))</f>
        <v>1.79</v>
      </c>
      <c r="D28" s="167" cm="1">
        <f t="array" ref="D28">SUMPRODUCT((tens_06[[client]:[client]]=syndicat_etude)*(tens_06[[annee]:[annee]]=D$21)*(tens_06[longueur_troncon_mal_alimente_fsa_km]))</f>
        <v>1.57</v>
      </c>
      <c r="E28" s="167" cm="1">
        <f t="array" ref="E28">SUMPRODUCT((tens_06[[client]:[client]]=syndicat_etude)*(tens_06[[annee]:[annee]]=E$21)*(tens_06[longueur_troncon_mal_alimente_fsa_km]))</f>
        <v>1.0900000000000001</v>
      </c>
      <c r="F28" s="167" cm="1">
        <f t="array" ref="F28">SUMPRODUCT((tens_06[[client]:[client]]=syndicat_etude)*(tens_06[[annee]:[annee]]=F$21)*(tens_06[longueur_troncon_mal_alimente_fsa_km]))</f>
        <v>1.46</v>
      </c>
      <c r="G28" s="168" cm="1">
        <f t="array" ref="G28">SUMPRODUCT((tens_06[[client]:[client]]=syndicat_etude)*(tens_06[[annee]:[annee]]=G$21)*(tens_06[longueur_troncon_mal_alimente_fsa_km]))</f>
        <v>0.72</v>
      </c>
    </row>
    <row r="30" spans="1:7" ht="30" customHeight="1" x14ac:dyDescent="0.25">
      <c r="A30" s="102" t="s">
        <v>833</v>
      </c>
      <c r="B30" s="66" t="s">
        <v>834</v>
      </c>
      <c r="C30" s="67" cm="1">
        <f t="array" ref="C30">Exercice[Exercice N-4]</f>
        <v>2019</v>
      </c>
      <c r="D30" s="67" cm="1">
        <f t="array" ref="D30">Exercice[Exercice N-3]</f>
        <v>2020</v>
      </c>
      <c r="E30" s="67" cm="1">
        <f t="array" ref="E30">Exercice[Exercice N-2]</f>
        <v>2021</v>
      </c>
      <c r="F30" s="67" cm="1">
        <f t="array" ref="F30">Exercice[Exercice N-1]</f>
        <v>2022</v>
      </c>
      <c r="G30" s="69" cm="1">
        <f t="array" ref="G30">Exercice[Exercice N]</f>
        <v>2023</v>
      </c>
    </row>
    <row r="31" spans="1:7" ht="15" customHeight="1" x14ac:dyDescent="0.25">
      <c r="B31" s="269" t="s">
        <v>835</v>
      </c>
      <c r="C31" s="277" cm="1">
        <f t="array" ref="C31">SUMPRODUCT((tens_08[[client]:[client]]=syndicat_etude)*(tens_08[[annee]:[annee]]=C$30)*(tens_08[nbr_clients_mal_alimentes]))</f>
        <v>1165</v>
      </c>
      <c r="D31" s="277" cm="1">
        <f t="array" ref="D31">SUMPRODUCT((tens_08[[client]:[client]]=syndicat_etude)*(tens_08[[annee]:[annee]]=D$30)*(tens_08[nbr_clients_mal_alimentes]))</f>
        <v>1332</v>
      </c>
      <c r="E31" s="277" cm="1">
        <f t="array" ref="E31">SUMPRODUCT((tens_08[[client]:[client]]=syndicat_etude)*(tens_08[[annee]:[annee]]=E$30)*(tens_08[nbr_clients_mal_alimentes]))</f>
        <v>859</v>
      </c>
      <c r="F31" s="277" cm="1">
        <f t="array" ref="F31">SUMPRODUCT((tens_08[[client]:[client]]=syndicat_etude)*(tens_08[[annee]:[annee]]=F$30)*(tens_08[nbr_clients_mal_alimentes]))</f>
        <v>780</v>
      </c>
      <c r="G31" s="278" cm="1">
        <f t="array" ref="G31">SUMPRODUCT((tens_08[[client]:[client]]=syndicat_etude)*(tens_08[[annee]:[annee]]=G$30)*(tens_08[nbr_clients_mal_alimentes]))</f>
        <v>582</v>
      </c>
    </row>
    <row r="32" spans="1:7" ht="15" customHeight="1" x14ac:dyDescent="0.25">
      <c r="B32" s="214" t="s">
        <v>829</v>
      </c>
      <c r="C32" s="280" cm="1">
        <f t="array" ref="C32">SUMPRODUCT((tens_08[[client]:[client]]=syndicat_etude)*(tens_08[[annee]:[annee]]=C$30)*(tens_08[nbr_clients_mal_alimentes_urbain]))</f>
        <v>463</v>
      </c>
      <c r="D32" s="280" cm="1">
        <f t="array" ref="D32">SUMPRODUCT((tens_08[[client]:[client]]=syndicat_etude)*(tens_08[[annee]:[annee]]=D$30)*(tens_08[nbr_clients_mal_alimentes_urbain]))</f>
        <v>411</v>
      </c>
      <c r="E32" s="280" cm="1">
        <f t="array" ref="E32">SUMPRODUCT((tens_08[[client]:[client]]=syndicat_etude)*(tens_08[[annee]:[annee]]=E$30)*(tens_08[nbr_clients_mal_alimentes_urbain]))</f>
        <v>194</v>
      </c>
      <c r="F32" s="280" cm="1">
        <f t="array" ref="F32">SUMPRODUCT((tens_08[[client]:[client]]=syndicat_etude)*(tens_08[[annee]:[annee]]=F$30)*(tens_08[nbr_clients_mal_alimentes_urbain]))</f>
        <v>288</v>
      </c>
      <c r="G32" s="281" cm="1">
        <f t="array" ref="G32">SUMPRODUCT((tens_08[[client]:[client]]=syndicat_etude)*(tens_08[[annee]:[annee]]=G$30)*(tens_08[nbr_clients_mal_alimentes_urbain]))</f>
        <v>195</v>
      </c>
    </row>
    <row r="33" spans="1:8" ht="15" customHeight="1" x14ac:dyDescent="0.25">
      <c r="B33" s="235" t="s">
        <v>830</v>
      </c>
      <c r="C33" s="282" cm="1">
        <f t="array" ref="C33">SUMPRODUCT((tens_08[[client]:[client]]=syndicat_etude)*(tens_08[[annee]:[annee]]=C$30)*(tens_08[nbr_clients_mal_alimentes_rural]))</f>
        <v>702</v>
      </c>
      <c r="D33" s="282" cm="1">
        <f t="array" ref="D33">SUMPRODUCT((tens_08[[client]:[client]]=syndicat_etude)*(tens_08[[annee]:[annee]]=D$30)*(tens_08[nbr_clients_mal_alimentes_rural]))</f>
        <v>921</v>
      </c>
      <c r="E33" s="282" cm="1">
        <f t="array" ref="E33">SUMPRODUCT((tens_08[[client]:[client]]=syndicat_etude)*(tens_08[[annee]:[annee]]=E$30)*(tens_08[nbr_clients_mal_alimentes_rural]))</f>
        <v>665</v>
      </c>
      <c r="F33" s="282" cm="1">
        <f t="array" ref="F33">SUMPRODUCT((tens_08[[client]:[client]]=syndicat_etude)*(tens_08[[annee]:[annee]]=F$30)*(tens_08[nbr_clients_mal_alimentes_rural]))</f>
        <v>492</v>
      </c>
      <c r="G33" s="283" cm="1">
        <f t="array" ref="G33">SUMPRODUCT((tens_08[[client]:[client]]=syndicat_etude)*(tens_08[[annee]:[annee]]=G$30)*(tens_08[nbr_clients_mal_alimentes_rural]))</f>
        <v>387</v>
      </c>
    </row>
    <row r="34" spans="1:8" ht="15" customHeight="1" x14ac:dyDescent="0.25">
      <c r="B34" s="269" t="s">
        <v>836</v>
      </c>
      <c r="C34" s="274" cm="1">
        <f t="array" ref="C34">SUMPRODUCT((tens_08[[client]:[client]]=syndicat_etude)*(tens_08[[annee]:[annee]]=C$30)*(tens_08[taux_client_mal_alimentes]))</f>
        <v>6.6E-3</v>
      </c>
      <c r="D34" s="274" cm="1">
        <f t="array" ref="D34">SUMPRODUCT((tens_08[[client]:[client]]=syndicat_etude)*(tens_08[[annee]:[annee]]=D$30)*(tens_08[taux_client_mal_alimentes]))</f>
        <v>7.4999999999999997E-3</v>
      </c>
      <c r="E34" s="274" cm="1">
        <f t="array" ref="E34">SUMPRODUCT((tens_08[[client]:[client]]=syndicat_etude)*(tens_08[[annee]:[annee]]=E$30)*(tens_08[taux_client_mal_alimentes]))</f>
        <v>4.7999999999999996E-3</v>
      </c>
      <c r="F34" s="274" cm="1">
        <f t="array" ref="F34">SUMPRODUCT((tens_08[[client]:[client]]=syndicat_etude)*(tens_08[[annee]:[annee]]=F$30)*(tens_08[taux_client_mal_alimentes]))</f>
        <v>4.3E-3</v>
      </c>
      <c r="G34" s="275" cm="1">
        <f t="array" ref="G34">SUMPRODUCT((tens_08[[client]:[client]]=syndicat_etude)*(tens_08[[annee]:[annee]]=G$30)*(tens_08[taux_client_mal_alimentes]))</f>
        <v>3.2000000000000002E-3</v>
      </c>
      <c r="H34" s="16"/>
    </row>
    <row r="35" spans="1:8" ht="15" customHeight="1" x14ac:dyDescent="0.25">
      <c r="B35" s="214" t="s">
        <v>829</v>
      </c>
      <c r="C35" s="276" cm="1">
        <f t="array" ref="C35">SUMPRODUCT((tens_08[[client]:[client]]=syndicat_etude)*(tens_08[[annee]:[annee]]=C$30)*(tens_08[taux_client_mal_alimentes_urbain]))</f>
        <v>4.5999999999999999E-3</v>
      </c>
      <c r="D35" s="276" cm="1">
        <f t="array" ref="D35">SUMPRODUCT((tens_08[[client]:[client]]=syndicat_etude)*(tens_08[[annee]:[annee]]=D$30)*(tens_08[taux_client_mal_alimentes_urbain]))</f>
        <v>4.1000000000000003E-3</v>
      </c>
      <c r="E35" s="276" cm="1">
        <f t="array" ref="E35">SUMPRODUCT((tens_08[[client]:[client]]=syndicat_etude)*(tens_08[[annee]:[annee]]=E$30)*(tens_08[taux_client_mal_alimentes_urbain]))</f>
        <v>1.9E-3</v>
      </c>
      <c r="F35" s="276" cm="1">
        <f t="array" ref="F35">SUMPRODUCT((tens_08[[client]:[client]]=syndicat_etude)*(tens_08[[annee]:[annee]]=F$30)*(tens_08[taux_client_mal_alimentes_urbain]))</f>
        <v>2.8E-3</v>
      </c>
      <c r="G35" s="120" cm="1">
        <f t="array" ref="G35">SUMPRODUCT((tens_08[[client]:[client]]=syndicat_etude)*(tens_08[[annee]:[annee]]=G$30)*(tens_08[taux_client_mal_alimentes_urbain]))</f>
        <v>1.9E-3</v>
      </c>
    </row>
    <row r="36" spans="1:8" ht="15" customHeight="1" x14ac:dyDescent="0.25">
      <c r="B36" s="235" t="s">
        <v>830</v>
      </c>
      <c r="C36" s="272" cm="1">
        <f t="array" ref="C36">SUMPRODUCT((tens_08[[client]:[client]]=syndicat_etude)*(tens_08[[annee]:[annee]]=C$30)*(tens_08[taux_client_mal_alimentes_rural]))</f>
        <v>9.2999999999999992E-3</v>
      </c>
      <c r="D36" s="272" cm="1">
        <f t="array" ref="D36">SUMPRODUCT((tens_08[[client]:[client]]=syndicat_etude)*(tens_08[[annee]:[annee]]=D$30)*(tens_08[taux_client_mal_alimentes_rural]))</f>
        <v>1.21E-2</v>
      </c>
      <c r="E36" s="272" cm="1">
        <f t="array" ref="E36">SUMPRODUCT((tens_08[[client]:[client]]=syndicat_etude)*(tens_08[[annee]:[annee]]=E$30)*(tens_08[taux_client_mal_alimentes_rural]))</f>
        <v>8.6999999999999994E-3</v>
      </c>
      <c r="F36" s="272" cm="1">
        <f t="array" ref="F36">SUMPRODUCT((tens_08[[client]:[client]]=syndicat_etude)*(tens_08[[annee]:[annee]]=F$30)*(tens_08[taux_client_mal_alimentes_rural]))</f>
        <v>6.4000000000000003E-3</v>
      </c>
      <c r="G36" s="133" cm="1">
        <f t="array" ref="G36">SUMPRODUCT((tens_08[[client]:[client]]=syndicat_etude)*(tens_08[[annee]:[annee]]=G$30)*(tens_08[taux_client_mal_alimentes_rural]))</f>
        <v>5.0000000000000001E-3</v>
      </c>
    </row>
    <row r="38" spans="1:8" ht="30" customHeight="1" x14ac:dyDescent="0.25">
      <c r="A38" s="25" t="s">
        <v>837</v>
      </c>
      <c r="B38" s="66" t="s">
        <v>838</v>
      </c>
      <c r="C38" s="67" cm="1">
        <f t="array" ref="C38">Exercice[Exercice N-4]</f>
        <v>2019</v>
      </c>
      <c r="D38" s="67" cm="1">
        <f t="array" ref="D38">Exercice[Exercice N-3]</f>
        <v>2020</v>
      </c>
      <c r="E38" s="67" cm="1">
        <f t="array" ref="E38">Exercice[Exercice N-2]</f>
        <v>2021</v>
      </c>
      <c r="F38" s="67" cm="1">
        <f t="array" ref="F38">Exercice[Exercice N-1]</f>
        <v>2022</v>
      </c>
      <c r="G38" s="69" cm="1">
        <f t="array" ref="G38">Exercice[Exercice N]</f>
        <v>2023</v>
      </c>
    </row>
    <row r="39" spans="1:8" ht="15" customHeight="1" x14ac:dyDescent="0.25">
      <c r="B39" s="58" t="s">
        <v>839</v>
      </c>
      <c r="C39" s="84" cm="1">
        <f t="array" ref="C39">SUMPRODUCT((tens_07[[client]:[client]]=syndicat_etude)*(tens_07[[annee]:[annee]]=C$38)*(tens_07[nbr_chute_tension_sup_30]))</f>
        <v>1</v>
      </c>
      <c r="D39" s="84" cm="1">
        <f t="array" ref="D39">SUMPRODUCT((tens_07[[client]:[client]]=syndicat_etude)*(tens_07[[annee]:[annee]]=D$38)*(tens_07[nbr_chute_tension_sup_30]))</f>
        <v>0</v>
      </c>
      <c r="E39" s="84" cm="1">
        <f t="array" ref="E39">SUMPRODUCT((tens_07[[client]:[client]]=syndicat_etude)*(tens_07[[annee]:[annee]]=E$38)*(tens_07[nbr_chute_tension_sup_30]))</f>
        <v>0</v>
      </c>
      <c r="F39" s="84" cm="1">
        <f t="array" ref="F39">SUMPRODUCT((tens_07[[client]:[client]]=syndicat_etude)*(tens_07[[annee]:[annee]]=F$38)*(tens_07[nbr_chute_tension_sup_30]))</f>
        <v>0</v>
      </c>
      <c r="G39" s="200" cm="1">
        <f t="array" ref="G39">SUMPRODUCT((tens_07[[client]:[client]]=syndicat_etude)*(tens_07[[annee]:[annee]]=G$38)*(tens_07[nbr_chute_tension_sup_30]))</f>
        <v>0</v>
      </c>
    </row>
    <row r="40" spans="1:8" ht="15" customHeight="1" x14ac:dyDescent="0.25">
      <c r="B40" s="58" t="s">
        <v>840</v>
      </c>
      <c r="C40" s="84" cm="1">
        <f t="array" ref="C40">SUMPRODUCT((tens_07[[client]:[client]]=syndicat_etude)*(tens_07[[annee]:[annee]]=C$38)*(tens_07[nbr_chute_tension_btw_20_and_30]))</f>
        <v>0</v>
      </c>
      <c r="D40" s="84" cm="1">
        <f t="array" ref="D40">SUMPRODUCT((tens_07[[client]:[client]]=syndicat_etude)*(tens_07[[annee]:[annee]]=D$38)*(tens_07[nbr_chute_tension_btw_20_and_30]))</f>
        <v>0</v>
      </c>
      <c r="E40" s="84" cm="1">
        <f t="array" ref="E40">SUMPRODUCT((tens_07[[client]:[client]]=syndicat_etude)*(tens_07[[annee]:[annee]]=E$38)*(tens_07[nbr_chute_tension_btw_20_and_30]))</f>
        <v>1</v>
      </c>
      <c r="F40" s="84" cm="1">
        <f t="array" ref="F40">SUMPRODUCT((tens_07[[client]:[client]]=syndicat_etude)*(tens_07[[annee]:[annee]]=F$38)*(tens_07[nbr_chute_tension_btw_20_and_30]))</f>
        <v>2</v>
      </c>
      <c r="G40" s="200" cm="1">
        <f t="array" ref="G40">SUMPRODUCT((tens_07[[client]:[client]]=syndicat_etude)*(tens_07[[annee]:[annee]]=G$38)*(tens_07[nbr_chute_tension_btw_20_and_30]))</f>
        <v>2</v>
      </c>
    </row>
    <row r="41" spans="1:8" ht="15" customHeight="1" x14ac:dyDescent="0.25">
      <c r="B41" s="58" t="s">
        <v>841</v>
      </c>
      <c r="C41" s="84" cm="1">
        <f t="array" ref="C41">SUMPRODUCT((tens_07[[client]:[client]]=syndicat_etude)*(tens_07[[annee]:[annee]]=C$38)*(tens_07[nbr_chute_tension_btw_10_and_20]))</f>
        <v>90</v>
      </c>
      <c r="D41" s="84" cm="1">
        <f t="array" ref="D41">SUMPRODUCT((tens_07[[client]:[client]]=syndicat_etude)*(tens_07[[annee]:[annee]]=D$38)*(tens_07[nbr_chute_tension_btw_10_and_20]))</f>
        <v>74</v>
      </c>
      <c r="E41" s="84" cm="1">
        <f t="array" ref="E41">SUMPRODUCT((tens_07[[client]:[client]]=syndicat_etude)*(tens_07[[annee]:[annee]]=E$38)*(tens_07[nbr_chute_tension_btw_10_and_20]))</f>
        <v>66</v>
      </c>
      <c r="F41" s="84" cm="1">
        <f t="array" ref="F41">SUMPRODUCT((tens_07[[client]:[client]]=syndicat_etude)*(tens_07[[annee]:[annee]]=F$38)*(tens_07[nbr_chute_tension_btw_10_and_20]))</f>
        <v>78</v>
      </c>
      <c r="G41" s="200" cm="1">
        <f t="array" ref="G41">SUMPRODUCT((tens_07[[client]:[client]]=syndicat_etude)*(tens_07[[annee]:[annee]]=G$38)*(tens_07[nbr_chute_tension_btw_10_and_20]))</f>
        <v>52</v>
      </c>
    </row>
    <row r="42" spans="1:8" ht="15" customHeight="1" x14ac:dyDescent="0.25">
      <c r="B42" s="58" t="s">
        <v>842</v>
      </c>
      <c r="C42" s="84" cm="1">
        <f t="array" ref="C42">SUMPRODUCT((tens_07[[client]:[client]]=syndicat_etude)*(tens_07[[annee]:[annee]]=C$38)*(tens_07[nbr_depart_bt_contraite_sup_10_pourcent]))</f>
        <v>91</v>
      </c>
      <c r="D42" s="84" cm="1">
        <f t="array" ref="D42">SUMPRODUCT((tens_07[[client]:[client]]=syndicat_etude)*(tens_07[[annee]:[annee]]=D$38)*(tens_07[nbr_depart_bt_contraite_sup_10_pourcent]))</f>
        <v>74</v>
      </c>
      <c r="E42" s="84" cm="1">
        <f t="array" ref="E42">SUMPRODUCT((tens_07[[client]:[client]]=syndicat_etude)*(tens_07[[annee]:[annee]]=E$38)*(tens_07[nbr_depart_bt_contraite_sup_10_pourcent]))</f>
        <v>67</v>
      </c>
      <c r="F42" s="84" cm="1">
        <f t="array" ref="F42">SUMPRODUCT((tens_07[[client]:[client]]=syndicat_etude)*(tens_07[[annee]:[annee]]=F$38)*(tens_07[nbr_depart_bt_contraite_sup_10_pourcent]))</f>
        <v>80</v>
      </c>
      <c r="G42" s="200" cm="1">
        <f t="array" ref="G42">SUMPRODUCT((tens_07[[client]:[client]]=syndicat_etude)*(tens_07[[annee]:[annee]]=G$38)*(tens_07[nbr_depart_bt_contraite_sup_10_pourcent]))</f>
        <v>54</v>
      </c>
    </row>
    <row r="43" spans="1:8" ht="15" customHeight="1" x14ac:dyDescent="0.25">
      <c r="B43" s="265" t="s">
        <v>843</v>
      </c>
      <c r="C43" s="266" cm="1">
        <f t="array" ref="C43">SUMPRODUCT((tens_07[[client]:[client]]=syndicat_etude)*(tens_07[[annee]:[annee]]=C$38)*(tens_07[pourcentage_depart_bt_contrainte]))</f>
        <v>8.5000000000000006E-3</v>
      </c>
      <c r="D43" s="266" cm="1">
        <f t="array" ref="D43">SUMPRODUCT((tens_07[[client]:[client]]=syndicat_etude)*(tens_07[[annee]:[annee]]=D$38)*(tens_07[pourcentage_depart_bt_contrainte]))</f>
        <v>6.8999999999999999E-3</v>
      </c>
      <c r="E43" s="266" cm="1">
        <f t="array" ref="E43">SUMPRODUCT((tens_07[[client]:[client]]=syndicat_etude)*(tens_07[[annee]:[annee]]=E$38)*(tens_07[pourcentage_depart_bt_contrainte]))</f>
        <v>6.1000000000000004E-3</v>
      </c>
      <c r="F43" s="266" cm="1">
        <f t="array" ref="F43">SUMPRODUCT((tens_07[[client]:[client]]=syndicat_etude)*(tens_07[[annee]:[annee]]=F$38)*(tens_07[pourcentage_depart_bt_contrainte]))</f>
        <v>7.3000000000000001E-3</v>
      </c>
      <c r="G43" s="267" cm="1">
        <f t="array" ref="G43">SUMPRODUCT((tens_07[[client]:[client]]=syndicat_etude)*(tens_07[[annee]:[annee]]=G$38)*(tens_07[pourcentage_depart_bt_contrainte]))</f>
        <v>4.7999999999999996E-3</v>
      </c>
    </row>
    <row r="45" spans="1:8" ht="15" customHeight="1" x14ac:dyDescent="0.25">
      <c r="A45" s="25" t="s">
        <v>844</v>
      </c>
      <c r="B45" s="25" t="s">
        <v>817</v>
      </c>
    </row>
    <row r="47" spans="1:8" ht="30" customHeight="1" x14ac:dyDescent="0.25"/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D6D3-475D-445F-A79B-E84441A9B0A5}">
  <sheetPr codeName="Feuil4">
    <tabColor theme="9" tint="0.39997558519241921"/>
  </sheetPr>
  <dimension ref="A1:H88"/>
  <sheetViews>
    <sheetView zoomScaleNormal="100" workbookViewId="0">
      <selection activeCell="B80" sqref="B80:H88"/>
    </sheetView>
  </sheetViews>
  <sheetFormatPr defaultColWidth="11.42578125" defaultRowHeight="15" customHeight="1" x14ac:dyDescent="0.25"/>
  <cols>
    <col min="1" max="1" width="15.7109375" style="290" customWidth="1"/>
    <col min="2" max="2" width="55.7109375" style="290" customWidth="1"/>
    <col min="3" max="44" width="11.7109375" style="290" customWidth="1"/>
    <col min="45" max="16384" width="11.42578125" style="290"/>
  </cols>
  <sheetData>
    <row r="1" spans="1:8" ht="40.15" customHeight="1" x14ac:dyDescent="0.25">
      <c r="A1" s="97" t="s">
        <v>845</v>
      </c>
    </row>
    <row r="4" spans="1:8" ht="30" customHeight="1" x14ac:dyDescent="0.25">
      <c r="A4" s="290" t="s">
        <v>846</v>
      </c>
      <c r="B4" s="66" t="s">
        <v>847</v>
      </c>
      <c r="C4" s="67" cm="1">
        <f t="array" ref="C4">Exercice[Exercice N-4]</f>
        <v>2019</v>
      </c>
      <c r="D4" s="67" cm="1">
        <f t="array" ref="D4">Exercice[Exercice N-3]</f>
        <v>2020</v>
      </c>
      <c r="E4" s="67" cm="1">
        <f t="array" ref="E4">Exercice[Exercice N-2]</f>
        <v>2021</v>
      </c>
      <c r="F4" s="67" cm="1">
        <f t="array" ref="F4">Exercice[Exercice N-1]</f>
        <v>2022</v>
      </c>
      <c r="G4" s="67" cm="1">
        <f t="array" ref="G4">Exercice[Exercice N]</f>
        <v>2023</v>
      </c>
      <c r="H4" s="76" t="s">
        <v>273</v>
      </c>
    </row>
    <row r="5" spans="1:8" ht="15" customHeight="1" x14ac:dyDescent="0.25">
      <c r="A5" s="712" t="s">
        <v>3166</v>
      </c>
      <c r="B5" s="293" t="s">
        <v>848</v>
      </c>
      <c r="C5" s="294" cm="1">
        <f t="array" ref="C5">SUMPRODUCT((cex_05[[client]:[client]]=syndicat_etude)*(cex_05[[annee]:[annee]]=Exercice[[Exercice N-4]:[Exercice N-4]])*(cex_05[[libelle_crac]:[libelle_crac]]=$B5)*(cex_05[[valeur]:[valeur]]))</f>
        <v>4756</v>
      </c>
      <c r="D5" s="294" cm="1">
        <f t="array" ref="D5">SUMPRODUCT((cex_05[[client]:[client]]=syndicat_etude)*(cex_05[[annee]:[annee]]=Exercice[[Exercice N-3]:[Exercice N-3]])*(cex_05[[libelle_crac]:[libelle_crac]]=$B5)*(cex_05[[valeur]:[valeur]]))</f>
        <v>6707</v>
      </c>
      <c r="E5" s="294" cm="1">
        <f t="array" ref="E5">SUMPRODUCT((cex_05[[client]:[client]]=syndicat_etude)*(cex_05[[annee]:[annee]]=Exercice[[Exercice N-2]:[Exercice N-2]])*(cex_05[[libelle_crac]:[libelle_crac]]=$B5)*(cex_05[[valeur]:[valeur]]))</f>
        <v>9427</v>
      </c>
      <c r="F5" s="294" cm="1">
        <f t="array" ref="F5">SUMPRODUCT((cex_05[[client]:[client]]=syndicat_etude)*(cex_05[[annee]:[annee]]=Exercice[[Exercice N-1]:[Exercice N-1]])*(cex_05[[libelle_crac]:[libelle_crac]]=$B5)*(cex_05[[valeur]:[valeur]]))</f>
        <v>7046</v>
      </c>
      <c r="G5" s="294" cm="1">
        <f t="array" ref="G5">SUMPRODUCT((cex_05[[client]:[client]]=syndicat_etude)*(cex_05[[annee]:[annee]]=Exercice[[Exercice N]:[Exercice N]])*(cex_05[[libelle_crac]:[libelle_crac]]=$B5)*(cex_05[[valeur]:[valeur]]))</f>
        <v>9688</v>
      </c>
      <c r="H5" s="295">
        <f t="shared" ref="H5:H28" si="0">IFERROR(G5/F5-1,"")</f>
        <v>0.37496451887595805</v>
      </c>
    </row>
    <row r="6" spans="1:8" ht="15" customHeight="1" x14ac:dyDescent="0.25">
      <c r="A6" s="712" t="s">
        <v>3168</v>
      </c>
      <c r="B6" s="287" t="s">
        <v>849</v>
      </c>
      <c r="C6" s="11" cm="1">
        <f t="array" ref="C6">SUMPRODUCT((cex_05[[client]:[client]]=syndicat_etude)*(cex_05[[annee]:[annee]]=Exercice[[Exercice N-4]:[Exercice N-4]])*(cex_05[[libelle_crac]:[libelle_crac]]=$B6)*(cex_05[[valeur]:[valeur]]))</f>
        <v>357</v>
      </c>
      <c r="D6" s="11" cm="1">
        <f t="array" ref="D6">SUMPRODUCT((cex_05[[client]:[client]]=syndicat_etude)*(cex_05[[annee]:[annee]]=Exercice[[Exercice N-3]:[Exercice N-3]])*(cex_05[[libelle_crac]:[libelle_crac]]=$B6)*(cex_05[[valeur]:[valeur]]))</f>
        <v>851</v>
      </c>
      <c r="E6" s="11" cm="1">
        <f t="array" ref="E6">SUMPRODUCT((cex_05[[client]:[client]]=syndicat_etude)*(cex_05[[annee]:[annee]]=Exercice[[Exercice N-2]:[Exercice N-2]])*(cex_05[[libelle_crac]:[libelle_crac]]=$B6)*(cex_05[[valeur]:[valeur]]))</f>
        <v>552</v>
      </c>
      <c r="F6" s="11" cm="1">
        <f t="array" ref="F6">SUMPRODUCT((cex_05[[client]:[client]]=syndicat_etude)*(cex_05[[annee]:[annee]]=Exercice[[Exercice N-1]:[Exercice N-1]])*(cex_05[[libelle_crac]:[libelle_crac]]=$B6)*(cex_05[[valeur]:[valeur]]))</f>
        <v>806</v>
      </c>
      <c r="G6" s="11" cm="1">
        <f t="array" ref="G6">SUMPRODUCT((cex_05[[client]:[client]]=syndicat_etude)*(cex_05[[annee]:[annee]]=Exercice[[Exercice N]:[Exercice N]])*(cex_05[[libelle_crac]:[libelle_crac]]=$B6)*(cex_05[[valeur]:[valeur]]))</f>
        <v>174</v>
      </c>
      <c r="H6" s="292">
        <f t="shared" si="0"/>
        <v>-0.78411910669975182</v>
      </c>
    </row>
    <row r="7" spans="1:8" ht="15" customHeight="1" x14ac:dyDescent="0.25">
      <c r="A7" s="712"/>
      <c r="B7" s="287" t="s">
        <v>850</v>
      </c>
      <c r="C7" s="11" cm="1">
        <f t="array" ref="C7">SUMPRODUCT((cex_05[[client]:[client]]=syndicat_etude)*(cex_05[[annee]:[annee]]=Exercice[[Exercice N-4]:[Exercice N-4]])*(cex_05[[libelle_crac]:[libelle_crac]]=$B7)*(cex_05[[valeur]:[valeur]]))</f>
        <v>2825</v>
      </c>
      <c r="D7" s="11" cm="1">
        <f t="array" ref="D7">SUMPRODUCT((cex_05[[client]:[client]]=syndicat_etude)*(cex_05[[annee]:[annee]]=Exercice[[Exercice N-3]:[Exercice N-3]])*(cex_05[[libelle_crac]:[libelle_crac]]=$B7)*(cex_05[[valeur]:[valeur]]))</f>
        <v>2757</v>
      </c>
      <c r="E7" s="11" cm="1">
        <f t="array" ref="E7">SUMPRODUCT((cex_05[[client]:[client]]=syndicat_etude)*(cex_05[[annee]:[annee]]=Exercice[[Exercice N-2]:[Exercice N-2]])*(cex_05[[libelle_crac]:[libelle_crac]]=$B7)*(cex_05[[valeur]:[valeur]]))</f>
        <v>2949</v>
      </c>
      <c r="F7" s="11" cm="1">
        <f t="array" ref="F7">SUMPRODUCT((cex_05[[client]:[client]]=syndicat_etude)*(cex_05[[annee]:[annee]]=Exercice[[Exercice N-1]:[Exercice N-1]])*(cex_05[[libelle_crac]:[libelle_crac]]=$B7)*(cex_05[[valeur]:[valeur]]))</f>
        <v>3902</v>
      </c>
      <c r="G7" s="11" cm="1">
        <f t="array" ref="G7">SUMPRODUCT((cex_05[[client]:[client]]=syndicat_etude)*(cex_05[[annee]:[annee]]=Exercice[[Exercice N]:[Exercice N]])*(cex_05[[libelle_crac]:[libelle_crac]]=$B7)*(cex_05[[valeur]:[valeur]]))</f>
        <v>4997</v>
      </c>
      <c r="H7" s="292">
        <f t="shared" si="0"/>
        <v>0.28062532034853915</v>
      </c>
    </row>
    <row r="8" spans="1:8" ht="15" customHeight="1" x14ac:dyDescent="0.25">
      <c r="A8" s="712"/>
      <c r="B8" s="287" t="s">
        <v>851</v>
      </c>
      <c r="C8" s="11" cm="1">
        <f t="array" ref="C8">SUMPRODUCT((cex_05[[client]:[client]]=syndicat_etude)*(cex_05[[annee]:[annee]]=Exercice[[Exercice N-4]:[Exercice N-4]])*(cex_05[[libelle_crac]:[libelle_crac]]=$B8)*(cex_05[[valeur]:[valeur]]))</f>
        <v>539</v>
      </c>
      <c r="D8" s="11" cm="1">
        <f t="array" ref="D8">SUMPRODUCT((cex_05[[client]:[client]]=syndicat_etude)*(cex_05[[annee]:[annee]]=Exercice[[Exercice N-3]:[Exercice N-3]])*(cex_05[[libelle_crac]:[libelle_crac]]=$B8)*(cex_05[[valeur]:[valeur]]))</f>
        <v>2297</v>
      </c>
      <c r="E8" s="11" cm="1">
        <f t="array" ref="E8">SUMPRODUCT((cex_05[[client]:[client]]=syndicat_etude)*(cex_05[[annee]:[annee]]=Exercice[[Exercice N-2]:[Exercice N-2]])*(cex_05[[libelle_crac]:[libelle_crac]]=$B8)*(cex_05[[valeur]:[valeur]]))</f>
        <v>4785</v>
      </c>
      <c r="F8" s="11" cm="1">
        <f t="array" ref="F8">SUMPRODUCT((cex_05[[client]:[client]]=syndicat_etude)*(cex_05[[annee]:[annee]]=Exercice[[Exercice N-1]:[Exercice N-1]])*(cex_05[[libelle_crac]:[libelle_crac]]=$B8)*(cex_05[[valeur]:[valeur]]))</f>
        <v>452</v>
      </c>
      <c r="G8" s="11" cm="1">
        <f t="array" ref="G8">SUMPRODUCT((cex_05[[client]:[client]]=syndicat_etude)*(cex_05[[annee]:[annee]]=Exercice[[Exercice N]:[Exercice N]])*(cex_05[[libelle_crac]:[libelle_crac]]=$B8)*(cex_05[[valeur]:[valeur]]))</f>
        <v>364</v>
      </c>
      <c r="H8" s="292">
        <f t="shared" si="0"/>
        <v>-0.19469026548672563</v>
      </c>
    </row>
    <row r="9" spans="1:8" ht="15" customHeight="1" x14ac:dyDescent="0.25">
      <c r="A9" s="712"/>
      <c r="B9" s="287" t="s">
        <v>852</v>
      </c>
      <c r="C9" s="11" cm="1">
        <f t="array" ref="C9">SUMPRODUCT((cex_05[[client]:[client]]=syndicat_etude)*(cex_05[[annee]:[annee]]=Exercice[[Exercice N-4]:[Exercice N-4]])*(cex_05[[libelle_crac]:[libelle_crac]]=$B9)*(cex_05[[valeur]:[valeur]]))</f>
        <v>466</v>
      </c>
      <c r="D9" s="11" cm="1">
        <f t="array" ref="D9">SUMPRODUCT((cex_05[[client]:[client]]=syndicat_etude)*(cex_05[[annee]:[annee]]=Exercice[[Exercice N-3]:[Exercice N-3]])*(cex_05[[libelle_crac]:[libelle_crac]]=$B9)*(cex_05[[valeur]:[valeur]]))</f>
        <v>416</v>
      </c>
      <c r="E9" s="11" cm="1">
        <f t="array" ref="E9">SUMPRODUCT((cex_05[[client]:[client]]=syndicat_etude)*(cex_05[[annee]:[annee]]=Exercice[[Exercice N-2]:[Exercice N-2]])*(cex_05[[libelle_crac]:[libelle_crac]]=$B9)*(cex_05[[valeur]:[valeur]]))</f>
        <v>621</v>
      </c>
      <c r="F9" s="11" cm="1">
        <f t="array" ref="F9">SUMPRODUCT((cex_05[[client]:[client]]=syndicat_etude)*(cex_05[[annee]:[annee]]=Exercice[[Exercice N-1]:[Exercice N-1]])*(cex_05[[libelle_crac]:[libelle_crac]]=$B9)*(cex_05[[valeur]:[valeur]]))</f>
        <v>1514</v>
      </c>
      <c r="G9" s="11" cm="1">
        <f t="array" ref="G9">SUMPRODUCT((cex_05[[client]:[client]]=syndicat_etude)*(cex_05[[annee]:[annee]]=Exercice[[Exercice N]:[Exercice N]])*(cex_05[[libelle_crac]:[libelle_crac]]=$B9)*(cex_05[[valeur]:[valeur]]))</f>
        <v>2863</v>
      </c>
      <c r="H9" s="292">
        <f t="shared" si="0"/>
        <v>0.89101717305151906</v>
      </c>
    </row>
    <row r="10" spans="1:8" ht="15" customHeight="1" x14ac:dyDescent="0.25">
      <c r="A10" s="712"/>
      <c r="B10" s="293" t="s">
        <v>853</v>
      </c>
      <c r="C10" s="294" cm="1">
        <f t="array" ref="C10">SUMPRODUCT((cex_05[[client]:[client]]=syndicat_etude)*(cex_05[[annee]:[annee]]=Exercice[[Exercice N-4]:[Exercice N-4]])*(cex_05[[libelle_crac]:[libelle_crac]]=$B10)*(cex_05[[valeur]:[valeur]]))</f>
        <v>10421</v>
      </c>
      <c r="D10" s="294" cm="1">
        <f t="array" ref="D10">SUMPRODUCT((cex_05[[client]:[client]]=syndicat_etude)*(cex_05[[annee]:[annee]]=Exercice[[Exercice N-3]:[Exercice N-3]])*(cex_05[[libelle_crac]:[libelle_crac]]=$B10)*(cex_05[[valeur]:[valeur]]))</f>
        <v>11414</v>
      </c>
      <c r="E10" s="294" cm="1">
        <f t="array" ref="E10">SUMPRODUCT((cex_05[[client]:[client]]=syndicat_etude)*(cex_05[[annee]:[annee]]=Exercice[[Exercice N-2]:[Exercice N-2]])*(cex_05[[libelle_crac]:[libelle_crac]]=$B10)*(cex_05[[valeur]:[valeur]]))</f>
        <v>9745</v>
      </c>
      <c r="F10" s="294" cm="1">
        <f t="array" ref="F10">SUMPRODUCT((cex_05[[client]:[client]]=syndicat_etude)*(cex_05[[annee]:[annee]]=Exercice[[Exercice N-1]:[Exercice N-1]])*(cex_05[[libelle_crac]:[libelle_crac]]=$B10)*(cex_05[[valeur]:[valeur]]))</f>
        <v>8969</v>
      </c>
      <c r="G10" s="294" cm="1">
        <f t="array" ref="G10">SUMPRODUCT((cex_05[[client]:[client]]=syndicat_etude)*(cex_05[[annee]:[annee]]=Exercice[[Exercice N]:[Exercice N]])*(cex_05[[libelle_crac]:[libelle_crac]]=$B10)*(cex_05[[valeur]:[valeur]]))</f>
        <v>9890</v>
      </c>
      <c r="H10" s="295">
        <f t="shared" si="0"/>
        <v>0.10268703311405947</v>
      </c>
    </row>
    <row r="11" spans="1:8" ht="15" customHeight="1" x14ac:dyDescent="0.25">
      <c r="A11" s="712"/>
      <c r="B11" s="301" t="s">
        <v>854</v>
      </c>
      <c r="C11" s="134" cm="1">
        <f t="array" ref="C11">SUMPRODUCT((cex_05[[client]:[client]]=syndicat_etude)*(cex_05[[annee]:[annee]]=Exercice[[Exercice N-4]:[Exercice N-4]])*(cex_05[[libelle_crac]:[libelle_crac]]=$B11)*(cex_05[[valeur]:[valeur]]))</f>
        <v>8808</v>
      </c>
      <c r="D11" s="134" cm="1">
        <f t="array" ref="D11">SUMPRODUCT((cex_05[[client]:[client]]=syndicat_etude)*(cex_05[[annee]:[annee]]=Exercice[[Exercice N-3]:[Exercice N-3]])*(cex_05[[libelle_crac]:[libelle_crac]]=$B11)*(cex_05[[valeur]:[valeur]]))</f>
        <v>9055</v>
      </c>
      <c r="E11" s="134" cm="1">
        <f t="array" ref="E11">SUMPRODUCT((cex_05[[client]:[client]]=syndicat_etude)*(cex_05[[annee]:[annee]]=Exercice[[Exercice N-2]:[Exercice N-2]])*(cex_05[[libelle_crac]:[libelle_crac]]=$B11)*(cex_05[[valeur]:[valeur]]))</f>
        <v>7129</v>
      </c>
      <c r="F11" s="134" cm="1">
        <f t="array" ref="F11">SUMPRODUCT((cex_05[[client]:[client]]=syndicat_etude)*(cex_05[[annee]:[annee]]=Exercice[[Exercice N-1]:[Exercice N-1]])*(cex_05[[libelle_crac]:[libelle_crac]]=$B11)*(cex_05[[valeur]:[valeur]]))</f>
        <v>6799</v>
      </c>
      <c r="G11" s="134" cm="1">
        <f t="array" ref="G11">SUMPRODUCT((cex_05[[client]:[client]]=syndicat_etude)*(cex_05[[annee]:[annee]]=Exercice[[Exercice N]:[Exercice N]])*(cex_05[[libelle_crac]:[libelle_crac]]=$B11)*(cex_05[[valeur]:[valeur]]))</f>
        <v>8219</v>
      </c>
      <c r="H11" s="299">
        <f t="shared" si="0"/>
        <v>0.20885424327106938</v>
      </c>
    </row>
    <row r="12" spans="1:8" ht="15" customHeight="1" x14ac:dyDescent="0.25">
      <c r="A12" s="712"/>
      <c r="B12" s="287" t="s">
        <v>855</v>
      </c>
      <c r="C12" s="11" cm="1">
        <f t="array" ref="C12">SUMPRODUCT((cex_05[[client]:[client]]=syndicat_etude)*(cex_05[[annee]:[annee]]=Exercice[[Exercice N-4]:[Exercice N-4]])*(cex_05[[libelle_crac]:[libelle_crac]]=$B12)*(cex_05[[valeur]:[valeur]]))</f>
        <v>14</v>
      </c>
      <c r="D12" s="11" cm="1">
        <f t="array" ref="D12">SUMPRODUCT((cex_05[[client]:[client]]=syndicat_etude)*(cex_05[[annee]:[annee]]=Exercice[[Exercice N-3]:[Exercice N-3]])*(cex_05[[libelle_crac]:[libelle_crac]]=$B12)*(cex_05[[valeur]:[valeur]]))</f>
        <v>157</v>
      </c>
      <c r="E12" s="11" cm="1">
        <f t="array" ref="E12">SUMPRODUCT((cex_05[[client]:[client]]=syndicat_etude)*(cex_05[[annee]:[annee]]=Exercice[[Exercice N-2]:[Exercice N-2]])*(cex_05[[libelle_crac]:[libelle_crac]]=$B12)*(cex_05[[valeur]:[valeur]]))</f>
        <v>78</v>
      </c>
      <c r="F12" s="11" cm="1">
        <f t="array" ref="F12">SUMPRODUCT((cex_05[[client]:[client]]=syndicat_etude)*(cex_05[[annee]:[annee]]=Exercice[[Exercice N-1]:[Exercice N-1]])*(cex_05[[libelle_crac]:[libelle_crac]]=$B12)*(cex_05[[valeur]:[valeur]]))</f>
        <v>118</v>
      </c>
      <c r="G12" s="11" cm="1">
        <f t="array" ref="G12">SUMPRODUCT((cex_05[[client]:[client]]=syndicat_etude)*(cex_05[[annee]:[annee]]=Exercice[[Exercice N]:[Exercice N]])*(cex_05[[libelle_crac]:[libelle_crac]]=$B12)*(cex_05[[valeur]:[valeur]]))</f>
        <v>94</v>
      </c>
      <c r="H12" s="292">
        <f t="shared" si="0"/>
        <v>-0.20338983050847459</v>
      </c>
    </row>
    <row r="13" spans="1:8" ht="15" customHeight="1" x14ac:dyDescent="0.25">
      <c r="A13" s="712"/>
      <c r="B13" s="287" t="s">
        <v>856</v>
      </c>
      <c r="C13" s="11" cm="1">
        <f t="array" ref="C13">SUMPRODUCT((cex_05[[client]:[client]]=syndicat_etude)*(cex_05[[annee]:[annee]]=Exercice[[Exercice N-4]:[Exercice N-4]])*(cex_05[[libelle_crac]:[libelle_crac]]=$B13)*(cex_05[[valeur]:[valeur]]))</f>
        <v>93</v>
      </c>
      <c r="D13" s="11" cm="1">
        <f t="array" ref="D13">SUMPRODUCT((cex_05[[client]:[client]]=syndicat_etude)*(cex_05[[annee]:[annee]]=Exercice[[Exercice N-3]:[Exercice N-3]])*(cex_05[[libelle_crac]:[libelle_crac]]=$B13)*(cex_05[[valeur]:[valeur]]))</f>
        <v>66</v>
      </c>
      <c r="E13" s="11" cm="1">
        <f t="array" ref="E13">SUMPRODUCT((cex_05[[client]:[client]]=syndicat_etude)*(cex_05[[annee]:[annee]]=Exercice[[Exercice N-2]:[Exercice N-2]])*(cex_05[[libelle_crac]:[libelle_crac]]=$B13)*(cex_05[[valeur]:[valeur]]))</f>
        <v>10</v>
      </c>
      <c r="F13" s="11" cm="1">
        <f t="array" ref="F13">SUMPRODUCT((cex_05[[client]:[client]]=syndicat_etude)*(cex_05[[annee]:[annee]]=Exercice[[Exercice N-1]:[Exercice N-1]])*(cex_05[[libelle_crac]:[libelle_crac]]=$B13)*(cex_05[[valeur]:[valeur]]))</f>
        <v>0</v>
      </c>
      <c r="G13" s="11" cm="1">
        <f t="array" ref="G13">SUMPRODUCT((cex_05[[client]:[client]]=syndicat_etude)*(cex_05[[annee]:[annee]]=Exercice[[Exercice N]:[Exercice N]])*(cex_05[[libelle_crac]:[libelle_crac]]=$B13)*(cex_05[[valeur]:[valeur]]))</f>
        <v>0</v>
      </c>
      <c r="H13" s="292" t="str">
        <f t="shared" si="0"/>
        <v/>
      </c>
    </row>
    <row r="14" spans="1:8" ht="36" x14ac:dyDescent="0.25">
      <c r="A14" s="712"/>
      <c r="B14" s="286" t="s">
        <v>857</v>
      </c>
      <c r="C14" s="11" cm="1">
        <f t="array" ref="C14">SUMPRODUCT((cex_05[[client]:[client]]=syndicat_etude)*(cex_05[[annee]:[annee]]=Exercice[[Exercice N-4]:[Exercice N-4]])*(cex_05[[libelle_crac]:[libelle_crac]]=$B14)*(cex_05[[valeur]:[valeur]]))</f>
        <v>362</v>
      </c>
      <c r="D14" s="11" cm="1">
        <f t="array" ref="D14">SUMPRODUCT((cex_05[[client]:[client]]=syndicat_etude)*(cex_05[[annee]:[annee]]=Exercice[[Exercice N-3]:[Exercice N-3]])*(cex_05[[libelle_crac]:[libelle_crac]]=$B14)*(cex_05[[valeur]:[valeur]]))</f>
        <v>449</v>
      </c>
      <c r="E14" s="11" cm="1">
        <f t="array" ref="E14">SUMPRODUCT((cex_05[[client]:[client]]=syndicat_etude)*(cex_05[[annee]:[annee]]=Exercice[[Exercice N-2]:[Exercice N-2]])*(cex_05[[libelle_crac]:[libelle_crac]]=$B14)*(cex_05[[valeur]:[valeur]]))</f>
        <v>532</v>
      </c>
      <c r="F14" s="11" cm="1">
        <f t="array" ref="F14">SUMPRODUCT((cex_05[[client]:[client]]=syndicat_etude)*(cex_05[[annee]:[annee]]=Exercice[[Exercice N-1]:[Exercice N-1]])*(cex_05[[libelle_crac]:[libelle_crac]]=$B14)*(cex_05[[valeur]:[valeur]]))</f>
        <v>188</v>
      </c>
      <c r="G14" s="11" cm="1">
        <f t="array" ref="G14">SUMPRODUCT((cex_05[[client]:[client]]=syndicat_etude)*(cex_05[[annee]:[annee]]=Exercice[[Exercice N]:[Exercice N]])*(cex_05[[libelle_crac]:[libelle_crac]]=$B14)*(cex_05[[valeur]:[valeur]]))</f>
        <v>160</v>
      </c>
      <c r="H14" s="292">
        <f t="shared" si="0"/>
        <v>-0.14893617021276595</v>
      </c>
    </row>
    <row r="15" spans="1:8" ht="24" x14ac:dyDescent="0.25">
      <c r="A15" s="712"/>
      <c r="B15" s="286" t="s">
        <v>858</v>
      </c>
      <c r="C15" s="11" cm="1">
        <f t="array" ref="C15">SUMPRODUCT((cex_05[[client]:[client]]=syndicat_etude)*(cex_05[[annee]:[annee]]=Exercice[[Exercice N-4]:[Exercice N-4]])*(cex_05[[libelle_crac]:[libelle_crac]]=$B15)*(cex_05[[valeur]:[valeur]]))</f>
        <v>2722</v>
      </c>
      <c r="D15" s="11" cm="1">
        <f t="array" ref="D15">SUMPRODUCT((cex_05[[client]:[client]]=syndicat_etude)*(cex_05[[annee]:[annee]]=Exercice[[Exercice N-3]:[Exercice N-3]])*(cex_05[[libelle_crac]:[libelle_crac]]=$B15)*(cex_05[[valeur]:[valeur]]))</f>
        <v>3800</v>
      </c>
      <c r="E15" s="11" cm="1">
        <f t="array" ref="E15">SUMPRODUCT((cex_05[[client]:[client]]=syndicat_etude)*(cex_05[[annee]:[annee]]=Exercice[[Exercice N-2]:[Exercice N-2]])*(cex_05[[libelle_crac]:[libelle_crac]]=$B15)*(cex_05[[valeur]:[valeur]]))</f>
        <v>2788</v>
      </c>
      <c r="F15" s="11" cm="1">
        <f t="array" ref="F15">SUMPRODUCT((cex_05[[client]:[client]]=syndicat_etude)*(cex_05[[annee]:[annee]]=Exercice[[Exercice N-1]:[Exercice N-1]])*(cex_05[[libelle_crac]:[libelle_crac]]=$B15)*(cex_05[[valeur]:[valeur]]))</f>
        <v>4295</v>
      </c>
      <c r="G15" s="11" cm="1">
        <f t="array" ref="G15">SUMPRODUCT((cex_05[[client]:[client]]=syndicat_etude)*(cex_05[[annee]:[annee]]=Exercice[[Exercice N]:[Exercice N]])*(cex_05[[libelle_crac]:[libelle_crac]]=$B15)*(cex_05[[valeur]:[valeur]]))</f>
        <v>7087</v>
      </c>
      <c r="H15" s="292">
        <f t="shared" si="0"/>
        <v>0.65005820721769503</v>
      </c>
    </row>
    <row r="16" spans="1:8" ht="24" x14ac:dyDescent="0.25">
      <c r="A16" s="712"/>
      <c r="B16" s="286" t="s">
        <v>859</v>
      </c>
      <c r="C16" s="11" cm="1">
        <f t="array" ref="C16">SUMPRODUCT((cex_05[[client]:[client]]=syndicat_etude)*(cex_05[[annee]:[annee]]=Exercice[[Exercice N-4]:[Exercice N-4]])*(cex_05[[libelle_crac]:[libelle_crac]]=$B16)*(cex_05[[valeur]:[valeur]]))</f>
        <v>275</v>
      </c>
      <c r="D16" s="11" cm="1">
        <f t="array" ref="D16">SUMPRODUCT((cex_05[[client]:[client]]=syndicat_etude)*(cex_05[[annee]:[annee]]=Exercice[[Exercice N-3]:[Exercice N-3]])*(cex_05[[libelle_crac]:[libelle_crac]]=$B16)*(cex_05[[valeur]:[valeur]]))</f>
        <v>487</v>
      </c>
      <c r="E16" s="11" cm="1">
        <f t="array" ref="E16">SUMPRODUCT((cex_05[[client]:[client]]=syndicat_etude)*(cex_05[[annee]:[annee]]=Exercice[[Exercice N-2]:[Exercice N-2]])*(cex_05[[libelle_crac]:[libelle_crac]]=$B16)*(cex_05[[valeur]:[valeur]]))</f>
        <v>496</v>
      </c>
      <c r="F16" s="11" cm="1">
        <f t="array" ref="F16">SUMPRODUCT((cex_05[[client]:[client]]=syndicat_etude)*(cex_05[[annee]:[annee]]=Exercice[[Exercice N-1]:[Exercice N-1]])*(cex_05[[libelle_crac]:[libelle_crac]]=$B16)*(cex_05[[valeur]:[valeur]]))</f>
        <v>813</v>
      </c>
      <c r="G16" s="11" cm="1">
        <f t="array" ref="G16">SUMPRODUCT((cex_05[[client]:[client]]=syndicat_etude)*(cex_05[[annee]:[annee]]=Exercice[[Exercice N]:[Exercice N]])*(cex_05[[libelle_crac]:[libelle_crac]]=$B16)*(cex_05[[valeur]:[valeur]]))</f>
        <v>451</v>
      </c>
      <c r="H16" s="292">
        <f t="shared" si="0"/>
        <v>-0.44526445264452641</v>
      </c>
    </row>
    <row r="17" spans="1:8" ht="15" customHeight="1" x14ac:dyDescent="0.25">
      <c r="A17" s="712"/>
      <c r="B17" s="286" t="s">
        <v>860</v>
      </c>
      <c r="C17" s="11" cm="1">
        <f t="array" ref="C17">SUMPRODUCT((cex_05[[client]:[client]]=syndicat_etude)*(cex_05[[annee]:[annee]]=Exercice[[Exercice N-4]:[Exercice N-4]])*(cex_05[[libelle_crac]:[libelle_crac]]=$B17)*(cex_05[[valeur]:[valeur]]))</f>
        <v>1389</v>
      </c>
      <c r="D17" s="11" cm="1">
        <f t="array" ref="D17">SUMPRODUCT((cex_05[[client]:[client]]=syndicat_etude)*(cex_05[[annee]:[annee]]=Exercice[[Exercice N-3]:[Exercice N-3]])*(cex_05[[libelle_crac]:[libelle_crac]]=$B17)*(cex_05[[valeur]:[valeur]]))</f>
        <v>491</v>
      </c>
      <c r="E17" s="11" cm="1">
        <f t="array" ref="E17">SUMPRODUCT((cex_05[[client]:[client]]=syndicat_etude)*(cex_05[[annee]:[annee]]=Exercice[[Exercice N-2]:[Exercice N-2]])*(cex_05[[libelle_crac]:[libelle_crac]]=$B17)*(cex_05[[valeur]:[valeur]]))</f>
        <v>330</v>
      </c>
      <c r="F17" s="11" cm="1">
        <f t="array" ref="F17">SUMPRODUCT((cex_05[[client]:[client]]=syndicat_etude)*(cex_05[[annee]:[annee]]=Exercice[[Exercice N-1]:[Exercice N-1]])*(cex_05[[libelle_crac]:[libelle_crac]]=$B17)*(cex_05[[valeur]:[valeur]]))</f>
        <v>620</v>
      </c>
      <c r="G17" s="11" cm="1">
        <f t="array" ref="G17">SUMPRODUCT((cex_05[[client]:[client]]=syndicat_etude)*(cex_05[[annee]:[annee]]=Exercice[[Exercice N]:[Exercice N]])*(cex_05[[libelle_crac]:[libelle_crac]]=$B17)*(cex_05[[valeur]:[valeur]]))</f>
        <v>413</v>
      </c>
      <c r="H17" s="292">
        <f t="shared" si="0"/>
        <v>-0.33387096774193548</v>
      </c>
    </row>
    <row r="18" spans="1:8" ht="15" customHeight="1" x14ac:dyDescent="0.25">
      <c r="A18" s="712"/>
      <c r="B18" s="286" t="s">
        <v>861</v>
      </c>
      <c r="C18" s="11" cm="1">
        <f t="array" ref="C18">SUMPRODUCT((cex_05[[client]:[client]]=syndicat_etude)*(cex_05[[annee]:[annee]]=Exercice[[Exercice N-4]:[Exercice N-4]])*(cex_05[[libelle_crac]:[libelle_crac]]=$B18)*(cex_05[[valeur]:[valeur]]))</f>
        <v>81</v>
      </c>
      <c r="D18" s="11" cm="1">
        <f t="array" ref="D18">SUMPRODUCT((cex_05[[client]:[client]]=syndicat_etude)*(cex_05[[annee]:[annee]]=Exercice[[Exercice N-3]:[Exercice N-3]])*(cex_05[[libelle_crac]:[libelle_crac]]=$B18)*(cex_05[[valeur]:[valeur]]))</f>
        <v>43</v>
      </c>
      <c r="E18" s="11" cm="1">
        <f t="array" ref="E18">SUMPRODUCT((cex_05[[client]:[client]]=syndicat_etude)*(cex_05[[annee]:[annee]]=Exercice[[Exercice N-2]:[Exercice N-2]])*(cex_05[[libelle_crac]:[libelle_crac]]=$B18)*(cex_05[[valeur]:[valeur]]))</f>
        <v>47</v>
      </c>
      <c r="F18" s="11" cm="1">
        <f t="array" ref="F18">SUMPRODUCT((cex_05[[client]:[client]]=syndicat_etude)*(cex_05[[annee]:[annee]]=Exercice[[Exercice N-1]:[Exercice N-1]])*(cex_05[[libelle_crac]:[libelle_crac]]=$B18)*(cex_05[[valeur]:[valeur]]))</f>
        <v>42</v>
      </c>
      <c r="G18" s="11" cm="1">
        <f t="array" ref="G18">SUMPRODUCT((cex_05[[client]:[client]]=syndicat_etude)*(cex_05[[annee]:[annee]]=Exercice[[Exercice N]:[Exercice N]])*(cex_05[[libelle_crac]:[libelle_crac]]=$B18)*(cex_05[[valeur]:[valeur]]))</f>
        <v>14</v>
      </c>
      <c r="H18" s="292">
        <f t="shared" si="0"/>
        <v>-0.66666666666666674</v>
      </c>
    </row>
    <row r="19" spans="1:8" ht="15" customHeight="1" x14ac:dyDescent="0.25">
      <c r="A19" s="712"/>
      <c r="B19" s="286" t="s">
        <v>862</v>
      </c>
      <c r="C19" s="11" cm="1">
        <f t="array" ref="C19">SUMPRODUCT((cex_05[[client]:[client]]=syndicat_etude)*(cex_05[[annee]:[annee]]=Exercice[[Exercice N-4]:[Exercice N-4]])*(cex_05[[libelle_crac]:[libelle_crac]]=$B19)*(cex_05[[valeur]:[valeur]]))</f>
        <v>3872</v>
      </c>
      <c r="D19" s="11" cm="1">
        <f t="array" ref="D19">SUMPRODUCT((cex_05[[client]:[client]]=syndicat_etude)*(cex_05[[annee]:[annee]]=Exercice[[Exercice N-3]:[Exercice N-3]])*(cex_05[[libelle_crac]:[libelle_crac]]=$B19)*(cex_05[[valeur]:[valeur]]))</f>
        <v>3562</v>
      </c>
      <c r="E19" s="11" cm="1">
        <f t="array" ref="E19">SUMPRODUCT((cex_05[[client]:[client]]=syndicat_etude)*(cex_05[[annee]:[annee]]=Exercice[[Exercice N-2]:[Exercice N-2]])*(cex_05[[libelle_crac]:[libelle_crac]]=$B19)*(cex_05[[valeur]:[valeur]]))</f>
        <v>2848</v>
      </c>
      <c r="F19" s="11" cm="1">
        <f t="array" ref="F19">SUMPRODUCT((cex_05[[client]:[client]]=syndicat_etude)*(cex_05[[annee]:[annee]]=Exercice[[Exercice N-1]:[Exercice N-1]])*(cex_05[[libelle_crac]:[libelle_crac]]=$B19)*(cex_05[[valeur]:[valeur]]))</f>
        <v>722</v>
      </c>
      <c r="G19" s="11" cm="1">
        <f t="array" ref="G19">SUMPRODUCT((cex_05[[client]:[client]]=syndicat_etude)*(cex_05[[annee]:[annee]]=Exercice[[Exercice N]:[Exercice N]])*(cex_05[[libelle_crac]:[libelle_crac]]=$B19)*(cex_05[[valeur]:[valeur]]))</f>
        <v>0</v>
      </c>
      <c r="H19" s="292">
        <f t="shared" si="0"/>
        <v>-1</v>
      </c>
    </row>
    <row r="20" spans="1:8" ht="24" x14ac:dyDescent="0.25">
      <c r="A20" s="712"/>
      <c r="B20" s="302" t="s">
        <v>863</v>
      </c>
      <c r="C20" s="134" cm="1">
        <f t="array" ref="C20">SUMPRODUCT((cex_05[[client]:[client]]=syndicat_etude)*(cex_05[[annee]:[annee]]=Exercice[[Exercice N-4]:[Exercice N-4]])*(cex_05[[libelle_crac]:[libelle_crac]]=$B20)*(cex_05[[valeur]:[valeur]]))</f>
        <v>1613</v>
      </c>
      <c r="D20" s="134" cm="1">
        <f t="array" ref="D20">SUMPRODUCT((cex_05[[client]:[client]]=syndicat_etude)*(cex_05[[annee]:[annee]]=Exercice[[Exercice N-3]:[Exercice N-3]])*(cex_05[[libelle_crac]:[libelle_crac]]=$B20)*(cex_05[[valeur]:[valeur]]))</f>
        <v>2359</v>
      </c>
      <c r="E20" s="134" cm="1">
        <f t="array" ref="E20">SUMPRODUCT((cex_05[[client]:[client]]=syndicat_etude)*(cex_05[[annee]:[annee]]=Exercice[[Exercice N-2]:[Exercice N-2]])*(cex_05[[libelle_crac]:[libelle_crac]]=$B20)*(cex_05[[valeur]:[valeur]]))</f>
        <v>2616</v>
      </c>
      <c r="F20" s="134" cm="1">
        <f t="array" ref="F20">SUMPRODUCT((cex_05[[client]:[client]]=syndicat_etude)*(cex_05[[annee]:[annee]]=Exercice[[Exercice N-1]:[Exercice N-1]])*(cex_05[[libelle_crac]:[libelle_crac]]=$B20)*(cex_05[[valeur]:[valeur]]))</f>
        <v>2171</v>
      </c>
      <c r="G20" s="134" cm="1">
        <f t="array" ref="G20">SUMPRODUCT((cex_05[[client]:[client]]=syndicat_etude)*(cex_05[[annee]:[annee]]=Exercice[[Exercice N]:[Exercice N]])*(cex_05[[libelle_crac]:[libelle_crac]]=$B20)*(cex_05[[valeur]:[valeur]]))</f>
        <v>1671</v>
      </c>
      <c r="H20" s="299">
        <f t="shared" si="0"/>
        <v>-0.23030861354214649</v>
      </c>
    </row>
    <row r="21" spans="1:8" ht="15" customHeight="1" x14ac:dyDescent="0.25">
      <c r="A21" s="712"/>
      <c r="B21" s="287" t="s">
        <v>864</v>
      </c>
      <c r="C21" s="11" cm="1">
        <f t="array" ref="C21">SUMPRODUCT((cex_05[[client]:[client]]=syndicat_etude)*(cex_05[[annee]:[annee]]=Exercice[[Exercice N-4]:[Exercice N-4]])*(cex_05[[libelle_crac]:[libelle_crac]]=$B21)*(cex_05[[valeur]:[valeur]]))</f>
        <v>237</v>
      </c>
      <c r="D21" s="11" cm="1">
        <f t="array" ref="D21">SUMPRODUCT((cex_05[[client]:[client]]=syndicat_etude)*(cex_05[[annee]:[annee]]=Exercice[[Exercice N-3]:[Exercice N-3]])*(cex_05[[libelle_crac]:[libelle_crac]]=$B21)*(cex_05[[valeur]:[valeur]]))</f>
        <v>838</v>
      </c>
      <c r="E21" s="11" cm="1">
        <f t="array" ref="E21">SUMPRODUCT((cex_05[[client]:[client]]=syndicat_etude)*(cex_05[[annee]:[annee]]=Exercice[[Exercice N-2]:[Exercice N-2]])*(cex_05[[libelle_crac]:[libelle_crac]]=$B21)*(cex_05[[valeur]:[valeur]]))</f>
        <v>944</v>
      </c>
      <c r="F21" s="11" cm="1">
        <f t="array" ref="F21">SUMPRODUCT((cex_05[[client]:[client]]=syndicat_etude)*(cex_05[[annee]:[annee]]=Exercice[[Exercice N-1]:[Exercice N-1]])*(cex_05[[libelle_crac]:[libelle_crac]]=$B21)*(cex_05[[valeur]:[valeur]]))</f>
        <v>317</v>
      </c>
      <c r="G21" s="11" cm="1">
        <f t="array" ref="G21">SUMPRODUCT((cex_05[[client]:[client]]=syndicat_etude)*(cex_05[[annee]:[annee]]=Exercice[[Exercice N]:[Exercice N]])*(cex_05[[libelle_crac]:[libelle_crac]]=$B21)*(cex_05[[valeur]:[valeur]]))</f>
        <v>200</v>
      </c>
      <c r="H21" s="292">
        <f t="shared" si="0"/>
        <v>-0.36908517350157732</v>
      </c>
    </row>
    <row r="22" spans="1:8" ht="15" customHeight="1" x14ac:dyDescent="0.25">
      <c r="A22" s="712"/>
      <c r="B22" s="287" t="s">
        <v>865</v>
      </c>
      <c r="C22" s="11" cm="1">
        <f t="array" ref="C22">SUMPRODUCT((cex_05[[client]:[client]]=syndicat_etude)*(cex_05[[annee]:[annee]]=Exercice[[Exercice N-4]:[Exercice N-4]])*(cex_05[[libelle_crac]:[libelle_crac]]=$B22)*(cex_05[[valeur]:[valeur]]))</f>
        <v>1046</v>
      </c>
      <c r="D22" s="11" cm="1">
        <f t="array" ref="D22">SUMPRODUCT((cex_05[[client]:[client]]=syndicat_etude)*(cex_05[[annee]:[annee]]=Exercice[[Exercice N-3]:[Exercice N-3]])*(cex_05[[libelle_crac]:[libelle_crac]]=$B22)*(cex_05[[valeur]:[valeur]]))</f>
        <v>1030</v>
      </c>
      <c r="E22" s="11" cm="1">
        <f t="array" ref="E22">SUMPRODUCT((cex_05[[client]:[client]]=syndicat_etude)*(cex_05[[annee]:[annee]]=Exercice[[Exercice N-2]:[Exercice N-2]])*(cex_05[[libelle_crac]:[libelle_crac]]=$B22)*(cex_05[[valeur]:[valeur]]))</f>
        <v>1127</v>
      </c>
      <c r="F22" s="11" cm="1">
        <f t="array" ref="F22">SUMPRODUCT((cex_05[[client]:[client]]=syndicat_etude)*(cex_05[[annee]:[annee]]=Exercice[[Exercice N-1]:[Exercice N-1]])*(cex_05[[libelle_crac]:[libelle_crac]]=$B22)*(cex_05[[valeur]:[valeur]]))</f>
        <v>1063</v>
      </c>
      <c r="G22" s="11" cm="1">
        <f t="array" ref="G22">SUMPRODUCT((cex_05[[client]:[client]]=syndicat_etude)*(cex_05[[annee]:[annee]]=Exercice[[Exercice N]:[Exercice N]])*(cex_05[[libelle_crac]:[libelle_crac]]=$B22)*(cex_05[[valeur]:[valeur]]))</f>
        <v>950</v>
      </c>
      <c r="H22" s="292">
        <f t="shared" si="0"/>
        <v>-0.10630291627469424</v>
      </c>
    </row>
    <row r="23" spans="1:8" ht="15" customHeight="1" x14ac:dyDescent="0.25">
      <c r="A23" s="712"/>
      <c r="B23" s="287" t="s">
        <v>866</v>
      </c>
      <c r="C23" s="11" cm="1">
        <f t="array" ref="C23">SUMPRODUCT((cex_05[[client]:[client]]=syndicat_etude)*(cex_05[[annee]:[annee]]=Exercice[[Exercice N-4]:[Exercice N-4]])*(cex_05[[libelle_crac]:[libelle_crac]]=$B23)*(cex_05[[valeur]:[valeur]]))</f>
        <v>329</v>
      </c>
      <c r="D23" s="11" cm="1">
        <f t="array" ref="D23">SUMPRODUCT((cex_05[[client]:[client]]=syndicat_etude)*(cex_05[[annee]:[annee]]=Exercice[[Exercice N-3]:[Exercice N-3]])*(cex_05[[libelle_crac]:[libelle_crac]]=$B23)*(cex_05[[valeur]:[valeur]]))</f>
        <v>492</v>
      </c>
      <c r="E23" s="11" cm="1">
        <f t="array" ref="E23">SUMPRODUCT((cex_05[[client]:[client]]=syndicat_etude)*(cex_05[[annee]:[annee]]=Exercice[[Exercice N-2]:[Exercice N-2]])*(cex_05[[libelle_crac]:[libelle_crac]]=$B23)*(cex_05[[valeur]:[valeur]]))</f>
        <v>545</v>
      </c>
      <c r="F23" s="11" cm="1">
        <f t="array" ref="F23">SUMPRODUCT((cex_05[[client]:[client]]=syndicat_etude)*(cex_05[[annee]:[annee]]=Exercice[[Exercice N-1]:[Exercice N-1]])*(cex_05[[libelle_crac]:[libelle_crac]]=$B23)*(cex_05[[valeur]:[valeur]]))</f>
        <v>791</v>
      </c>
      <c r="G23" s="11" cm="1">
        <f t="array" ref="G23">SUMPRODUCT((cex_05[[client]:[client]]=syndicat_etude)*(cex_05[[annee]:[annee]]=Exercice[[Exercice N]:[Exercice N]])*(cex_05[[libelle_crac]:[libelle_crac]]=$B23)*(cex_05[[valeur]:[valeur]]))</f>
        <v>520</v>
      </c>
      <c r="H23" s="292">
        <f t="shared" si="0"/>
        <v>-0.34260429835651074</v>
      </c>
    </row>
    <row r="24" spans="1:8" ht="15" customHeight="1" x14ac:dyDescent="0.25">
      <c r="A24" s="326" t="s">
        <v>867</v>
      </c>
      <c r="B24" s="293" t="s">
        <v>868</v>
      </c>
      <c r="C24" s="294" cm="1">
        <f t="array" ref="C24">SUMPRODUCT((cex_05[[client]:[client]]=syndicat_etude)*(cex_05[[annee]:[annee]]=Exercice[[Exercice N-4]:[Exercice N-4]])*(cex_05[[libelle_crac]:[libelle_crac]]=$B24)*(cex_05[[valeur]:[valeur]]))</f>
        <v>93</v>
      </c>
      <c r="D24" s="294" cm="1">
        <f t="array" ref="D24">SUMPRODUCT((cex_05[[client]:[client]]=syndicat_etude)*(cex_05[[annee]:[annee]]=Exercice[[Exercice N-3]:[Exercice N-3]])*(cex_05[[libelle_crac]:[libelle_crac]]=$B24)*(cex_05[[valeur]:[valeur]]))</f>
        <v>21</v>
      </c>
      <c r="E24" s="294" cm="1">
        <f t="array" ref="E24">SUMPRODUCT((cex_05[[client]:[client]]=syndicat_etude)*(cex_05[[annee]:[annee]]=Exercice[[Exercice N-2]:[Exercice N-2]])*(cex_05[[libelle_crac]:[libelle_crac]]=$B24)*(cex_05[[valeur]:[valeur]]))</f>
        <v>108</v>
      </c>
      <c r="F24" s="294" cm="1">
        <f t="array" ref="F24">SUMPRODUCT((cex_05[[client]:[client]]=syndicat_etude)*(cex_05[[annee]:[annee]]=Exercice[[Exercice N-1]:[Exercice N-1]])*(cex_05[[libelle_crac]:[libelle_crac]]=$B24)*(cex_05[[valeur]:[valeur]]))</f>
        <v>748</v>
      </c>
      <c r="G24" s="294">
        <v>232</v>
      </c>
      <c r="H24" s="295">
        <f t="shared" si="0"/>
        <v>-0.68983957219251335</v>
      </c>
    </row>
    <row r="25" spans="1:8" ht="15" customHeight="1" x14ac:dyDescent="0.25">
      <c r="B25" s="293" t="s">
        <v>869</v>
      </c>
      <c r="C25" s="294" cm="1">
        <f t="array" ref="C25">SUMPRODUCT((cex_05[[client]:[client]]=syndicat_etude)*(cex_05[[annee]:[annee]]=Exercice[[Exercice N-4]:[Exercice N-4]])*(cex_05[[libelle_crac]:[libelle_crac]]=$B25)*(cex_05[[valeur]:[valeur]]))</f>
        <v>0</v>
      </c>
      <c r="D25" s="294" cm="1">
        <f t="array" ref="D25">SUMPRODUCT((cex_05[[client]:[client]]=syndicat_etude)*(cex_05[[annee]:[annee]]=Exercice[[Exercice N-3]:[Exercice N-3]])*(cex_05[[libelle_crac]:[libelle_crac]]=$B25)*(cex_05[[valeur]:[valeur]]))</f>
        <v>0</v>
      </c>
      <c r="E25" s="294" cm="1">
        <f t="array" ref="E25">SUMPRODUCT((cex_05[[client]:[client]]=syndicat_etude)*(cex_05[[annee]:[annee]]=Exercice[[Exercice N-2]:[Exercice N-2]])*(cex_05[[libelle_crac]:[libelle_crac]]=$B25)*(cex_05[[valeur]:[valeur]]))</f>
        <v>0</v>
      </c>
      <c r="F25" s="294" cm="1">
        <f t="array" ref="F25">SUMPRODUCT((cex_05[[client]:[client]]=syndicat_etude)*(cex_05[[annee]:[annee]]=Exercice[[Exercice N-1]:[Exercice N-1]])*(cex_05[[libelle_crac]:[libelle_crac]]=$B25)*(cex_05[[valeur]:[valeur]]))</f>
        <v>0</v>
      </c>
      <c r="G25" s="294" cm="1">
        <f t="array" ref="G25">SUMPRODUCT((cex_05[[client]:[client]]=syndicat_etude)*(cex_05[[annee]:[annee]]=Exercice[[Exercice N]:[Exercice N]])*(cex_05[[libelle_crac]:[libelle_crac]]=$B25)*(cex_05[[valeur]:[valeur]]))</f>
        <v>0</v>
      </c>
      <c r="H25" s="295" t="str">
        <f t="shared" si="0"/>
        <v/>
      </c>
    </row>
    <row r="26" spans="1:8" ht="15" customHeight="1" x14ac:dyDescent="0.25">
      <c r="B26" s="296" t="s">
        <v>870</v>
      </c>
      <c r="C26" s="297" cm="1">
        <f t="array" ref="C26">SUMPRODUCT((cex_05[[client]:[client]]=syndicat_etude)*(cex_05[[annee]:[annee]]=Exercice[[Exercice N-4]:[Exercice N-4]])*(cex_05[[libelle_crac]:[libelle_crac]]=$B26)*(cex_05[[valeur]:[valeur]]))</f>
        <v>15270</v>
      </c>
      <c r="D26" s="297" cm="1">
        <f t="array" ref="D26">SUMPRODUCT((cex_05[[client]:[client]]=syndicat_etude)*(cex_05[[annee]:[annee]]=Exercice[[Exercice N-3]:[Exercice N-3]])*(cex_05[[libelle_crac]:[libelle_crac]]=$B26)*(cex_05[[valeur]:[valeur]]))</f>
        <v>18142</v>
      </c>
      <c r="E26" s="297" cm="1">
        <f t="array" ref="E26">SUMPRODUCT((cex_05[[client]:[client]]=syndicat_etude)*(cex_05[[annee]:[annee]]=Exercice[[Exercice N-2]:[Exercice N-2]])*(cex_05[[libelle_crac]:[libelle_crac]]=$B26)*(cex_05[[valeur]:[valeur]]))</f>
        <v>19280</v>
      </c>
      <c r="F26" s="297" cm="1">
        <f t="array" ref="F26">SUMPRODUCT((cex_05[[client]:[client]]=syndicat_etude)*(cex_05[[annee]:[annee]]=Exercice[[Exercice N-1]:[Exercice N-1]])*(cex_05[[libelle_crac]:[libelle_crac]]=$B26)*(cex_05[[valeur]:[valeur]]))</f>
        <v>16763</v>
      </c>
      <c r="G26" s="297" cm="1">
        <f t="array" ref="G26">SUMPRODUCT((cex_05[[client]:[client]]=syndicat_etude)*(cex_05[[annee]:[annee]]=Exercice[[Exercice N]:[Exercice N]])*(cex_05[[libelle_crac]:[libelle_crac]]=LEFT($B26,36))*(cex_05[[valeur]:[valeur]]))</f>
        <v>19809</v>
      </c>
      <c r="H26" s="298">
        <f t="shared" si="0"/>
        <v>0.18170971783093726</v>
      </c>
    </row>
    <row r="27" spans="1:8" ht="15" customHeight="1" x14ac:dyDescent="0.25">
      <c r="B27" s="303" t="s">
        <v>871</v>
      </c>
      <c r="C27" s="280" cm="1">
        <f t="array" ref="C27">SUMPRODUCT((cex_05[[client]:[client]]=syndicat_etude)*(cex_05[[annee]:[annee]]=Exercice[[Exercice N-4]:[Exercice N-4]])*(cex_05[[libelle_crac]:[libelle_crac]]=$B27)*(cex_05[[valeur]:[valeur]]))</f>
        <v>1613</v>
      </c>
      <c r="D27" s="280" cm="1">
        <f t="array" ref="D27">SUMPRODUCT((cex_05[[client]:[client]]=syndicat_etude)*(cex_05[[annee]:[annee]]=Exercice[[Exercice N-3]:[Exercice N-3]])*(cex_05[[libelle_crac]:[libelle_crac]]=$B27)*(cex_05[[valeur]:[valeur]]))</f>
        <v>3062</v>
      </c>
      <c r="E27" s="280" cm="1">
        <f t="array" ref="E27">SUMPRODUCT((cex_05[[client]:[client]]=syndicat_etude)*(cex_05[[annee]:[annee]]=Exercice[[Exercice N-2]:[Exercice N-2]])*(cex_05[[libelle_crac]:[libelle_crac]]=$B27)*(cex_05[[valeur]:[valeur]]))</f>
        <v>1962</v>
      </c>
      <c r="F27" s="280" cm="1">
        <f t="array" ref="F27">SUMPRODUCT((cex_05[[client]:[client]]=syndicat_etude)*(cex_05[[annee]:[annee]]=Exercice[[Exercice N-1]:[Exercice N-1]])*(cex_05[[libelle_crac]:[libelle_crac]]=$B27)*(cex_05[[valeur]:[valeur]]))</f>
        <v>2958</v>
      </c>
      <c r="G27" s="280" cm="1">
        <f t="array" ref="G27">SUMPRODUCT((cex_05[[client]:[client]]=syndicat_etude)*(cex_05[[annee]:[annee]]=Exercice[[Exercice N]:[Exercice N]])*(cex_05[[libelle_crac]:[libelle_crac]]=$B27)*(cex_05[[valeur]:[valeur]]))</f>
        <v>4378</v>
      </c>
      <c r="H27" s="299">
        <f t="shared" si="0"/>
        <v>0.48005409060175785</v>
      </c>
    </row>
    <row r="28" spans="1:8" ht="15" customHeight="1" x14ac:dyDescent="0.25">
      <c r="B28" s="305" t="s">
        <v>872</v>
      </c>
      <c r="C28" s="282" cm="1">
        <f t="array" ref="C28">SUMPRODUCT((cex_05[[client]:[client]]=syndicat_etude)*(cex_05[[annee]:[annee]]=Exercice[[Exercice N-4]:[Exercice N-4]])*(cex_05[[libelle_crac]:[libelle_crac]]=$B28)*(cex_05[[valeur]:[valeur]]))</f>
        <v>109</v>
      </c>
      <c r="D28" s="282" cm="1">
        <f t="array" ref="D28">SUMPRODUCT((cex_05[[client]:[client]]=syndicat_etude)*(cex_05[[annee]:[annee]]=Exercice[[Exercice N-3]:[Exercice N-3]])*(cex_05[[libelle_crac]:[libelle_crac]]=$B28)*(cex_05[[valeur]:[valeur]]))</f>
        <v>25</v>
      </c>
      <c r="E28" s="282" cm="1">
        <f t="array" ref="E28">SUMPRODUCT((cex_05[[client]:[client]]=syndicat_etude)*(cex_05[[annee]:[annee]]=Exercice[[Exercice N-2]:[Exercice N-2]])*(cex_05[[libelle_crac]:[libelle_crac]]=$B28)*(cex_05[[valeur]:[valeur]]))</f>
        <v>0</v>
      </c>
      <c r="F28" s="282" cm="1">
        <f t="array" ref="F28">SUMPRODUCT((cex_05[[client]:[client]]=syndicat_etude)*(cex_05[[annee]:[annee]]=Exercice[[Exercice N-1]:[Exercice N-1]])*(cex_05[[libelle_crac]:[libelle_crac]]=$B28)*(cex_05[[valeur]:[valeur]]))</f>
        <v>0</v>
      </c>
      <c r="G28" s="282" cm="1">
        <f t="array" ref="G28">SUMPRODUCT((cex_05[[client]:[client]]=syndicat_etude)*(cex_05[[annee]:[annee]]=Exercice[[Exercice N]:[Exercice N]])*(cex_05[[libelle_crac]:[libelle_crac]]=$B28)*(cex_05[[valeur]:[valeur]]))</f>
        <v>0</v>
      </c>
      <c r="H28" s="300" t="str">
        <f t="shared" si="0"/>
        <v/>
      </c>
    </row>
    <row r="30" spans="1:8" ht="30" customHeight="1" x14ac:dyDescent="0.25">
      <c r="A30" s="290" t="s">
        <v>873</v>
      </c>
      <c r="B30" s="66" t="s">
        <v>874</v>
      </c>
      <c r="C30" s="67" cm="1">
        <f t="array" ref="C30">Exercice[Exercice N-4]</f>
        <v>2019</v>
      </c>
      <c r="D30" s="67" cm="1">
        <f t="array" ref="D30">Exercice[Exercice N-3]</f>
        <v>2020</v>
      </c>
      <c r="E30" s="67" cm="1">
        <f t="array" ref="E30">Exercice[Exercice N-2]</f>
        <v>2021</v>
      </c>
      <c r="F30" s="67" cm="1">
        <f t="array" ref="F30">Exercice[Exercice N-1]</f>
        <v>2022</v>
      </c>
      <c r="G30" s="69" cm="1">
        <f t="array" ref="G30">Exercice[Exercice N]</f>
        <v>2023</v>
      </c>
    </row>
    <row r="31" spans="1:8" ht="15" customHeight="1" x14ac:dyDescent="0.25">
      <c r="A31" s="712" t="s">
        <v>3167</v>
      </c>
      <c r="B31" s="306" t="s">
        <v>848</v>
      </c>
      <c r="C31" s="307" cm="1">
        <f t="array" ref="C31">SUMPRODUCT((cex_06[[client]:[client]]=syndicat_etude)*(cex_06[[annee]:[annee]]=Exercice[[Exercice N-4]:[Exercice N-4]])*(cex_06[[libelle_crac]:[libelle_crac]]=$B31)*(cex_06[[valeur]:[valeur]]))</f>
        <v>0.3115</v>
      </c>
      <c r="D31" s="307" cm="1">
        <f t="array" ref="D31">SUMPRODUCT((cex_06[[client]:[client]]=syndicat_etude)*(cex_06[[annee]:[annee]]=Exercice[[Exercice N-3]:[Exercice N-3]])*(cex_06[[libelle_crac]:[libelle_crac]]=$B31)*(cex_06[[valeur]:[valeur]]))</f>
        <v>0.36969999999999997</v>
      </c>
      <c r="E31" s="307" cm="1">
        <f t="array" ref="E31">SUMPRODUCT((cex_06[[client]:[client]]=syndicat_etude)*(cex_06[[annee]:[annee]]=Exercice[[Exercice N-2]:[Exercice N-2]])*(cex_06[[libelle_crac]:[libelle_crac]]=$B31)*(cex_06[[valeur]:[valeur]]))</f>
        <v>0.48899999999999999</v>
      </c>
      <c r="F31" s="307" cm="1">
        <f t="array" ref="F31">SUMPRODUCT((cex_06[[client]:[client]]=syndicat_etude)*(cex_06[[annee]:[annee]]=Exercice[[Exercice N-1]:[Exercice N-1]])*(cex_06[[libelle_crac]:[libelle_crac]]=$B31)*(cex_06[[valeur]:[valeur]]))</f>
        <v>0.42030000000000001</v>
      </c>
      <c r="G31" s="308" cm="1">
        <f t="array" ref="G31">SUMPRODUCT((cex_06[[client]:[client]]=syndicat_etude)*(cex_06[[annee]:[annee]]=Exercice[[Exercice N]:[Exercice N]])*(cex_06[[libelle_crac]:[libelle_crac]]=$B31)*(cex_06[[valeur]:[valeur]]))</f>
        <v>0.48909999999999998</v>
      </c>
      <c r="H31" s="314"/>
    </row>
    <row r="32" spans="1:8" ht="15" customHeight="1" x14ac:dyDescent="0.25">
      <c r="A32" s="712" t="s">
        <v>3168</v>
      </c>
      <c r="B32" s="286" t="s">
        <v>849</v>
      </c>
      <c r="C32" s="8" cm="1">
        <f t="array" ref="C32">SUMPRODUCT((cex_06[[client]:[client]]=syndicat_etude)*(cex_06[[annee]:[annee]]=Exercice[[Exercice N-4]:[Exercice N-4]])*(cex_06[[libelle_crac]:[libelle_crac]]=$B32)*(cex_06[[valeur]:[valeur]]))</f>
        <v>2.3400000000000001E-2</v>
      </c>
      <c r="D32" s="8" cm="1">
        <f t="array" ref="D32">SUMPRODUCT((cex_06[[client]:[client]]=syndicat_etude)*(cex_06[[annee]:[annee]]=Exercice[[Exercice N-3]:[Exercice N-3]])*(cex_06[[libelle_crac]:[libelle_crac]]=$B32)*(cex_06[[valeur]:[valeur]]))</f>
        <v>4.6899999999999997E-2</v>
      </c>
      <c r="E32" s="8" cm="1">
        <f t="array" ref="E32">SUMPRODUCT((cex_06[[client]:[client]]=syndicat_etude)*(cex_06[[annee]:[annee]]=Exercice[[Exercice N-2]:[Exercice N-2]])*(cex_06[[libelle_crac]:[libelle_crac]]=$B32)*(cex_06[[valeur]:[valeur]]))</f>
        <v>2.86E-2</v>
      </c>
      <c r="F32" s="8" cm="1">
        <f t="array" ref="F32">SUMPRODUCT((cex_06[[client]:[client]]=syndicat_etude)*(cex_06[[annee]:[annee]]=Exercice[[Exercice N-1]:[Exercice N-1]])*(cex_06[[libelle_crac]:[libelle_crac]]=$B32)*(cex_06[[valeur]:[valeur]]))</f>
        <v>4.8099999999999997E-2</v>
      </c>
      <c r="G32" s="80" cm="1">
        <f t="array" ref="G32">SUMPRODUCT((cex_06[[client]:[client]]=syndicat_etude)*(cex_06[[annee]:[annee]]=Exercice[[Exercice N]:[Exercice N]])*(cex_06[[libelle_crac]:[libelle_crac]]=$B32)*(cex_06[[valeur]:[valeur]]))</f>
        <v>8.8000000000000005E-3</v>
      </c>
      <c r="H32" s="314"/>
    </row>
    <row r="33" spans="1:8" ht="15" customHeight="1" x14ac:dyDescent="0.25">
      <c r="A33" s="712"/>
      <c r="B33" s="286" t="s">
        <v>850</v>
      </c>
      <c r="C33" s="8" cm="1">
        <f t="array" ref="C33">SUMPRODUCT((cex_06[[client]:[client]]=syndicat_etude)*(cex_06[[annee]:[annee]]=Exercice[[Exercice N-4]:[Exercice N-4]])*(cex_06[[libelle_crac]:[libelle_crac]]=$B33)*(cex_06[[valeur]:[valeur]]))</f>
        <v>0.185</v>
      </c>
      <c r="D33" s="8" cm="1">
        <f t="array" ref="D33">SUMPRODUCT((cex_06[[client]:[client]]=syndicat_etude)*(cex_06[[annee]:[annee]]=Exercice[[Exercice N-3]:[Exercice N-3]])*(cex_06[[libelle_crac]:[libelle_crac]]=$B33)*(cex_06[[valeur]:[valeur]]))</f>
        <v>0.152</v>
      </c>
      <c r="E33" s="8" cm="1">
        <f t="array" ref="E33">SUMPRODUCT((cex_06[[client]:[client]]=syndicat_etude)*(cex_06[[annee]:[annee]]=Exercice[[Exercice N-2]:[Exercice N-2]])*(cex_06[[libelle_crac]:[libelle_crac]]=$B33)*(cex_06[[valeur]:[valeur]]))</f>
        <v>0.153</v>
      </c>
      <c r="F33" s="8" cm="1">
        <f t="array" ref="F33">SUMPRODUCT((cex_06[[client]:[client]]=syndicat_etude)*(cex_06[[annee]:[annee]]=Exercice[[Exercice N-1]:[Exercice N-1]])*(cex_06[[libelle_crac]:[libelle_crac]]=$B33)*(cex_06[[valeur]:[valeur]]))</f>
        <v>0.23280000000000001</v>
      </c>
      <c r="G33" s="80" cm="1">
        <f t="array" ref="G33">SUMPRODUCT((cex_06[[client]:[client]]=syndicat_etude)*(cex_06[[annee]:[annee]]=Exercice[[Exercice N]:[Exercice N]])*(cex_06[[libelle_crac]:[libelle_crac]]=$B33)*(cex_06[[valeur]:[valeur]]))</f>
        <v>0.25230000000000002</v>
      </c>
      <c r="H33" s="314"/>
    </row>
    <row r="34" spans="1:8" ht="15" customHeight="1" x14ac:dyDescent="0.25">
      <c r="A34" s="712"/>
      <c r="B34" s="286" t="s">
        <v>851</v>
      </c>
      <c r="C34" s="8" cm="1">
        <f t="array" ref="C34">SUMPRODUCT((cex_06[[client]:[client]]=syndicat_etude)*(cex_06[[annee]:[annee]]=Exercice[[Exercice N-4]:[Exercice N-4]])*(cex_06[[libelle_crac]:[libelle_crac]]=$B34)*(cex_06[[valeur]:[valeur]]))</f>
        <v>3.5299999999999998E-2</v>
      </c>
      <c r="D34" s="8" cm="1">
        <f t="array" ref="D34">SUMPRODUCT((cex_06[[client]:[client]]=syndicat_etude)*(cex_06[[annee]:[annee]]=Exercice[[Exercice N-3]:[Exercice N-3]])*(cex_06[[libelle_crac]:[libelle_crac]]=$B34)*(cex_06[[valeur]:[valeur]]))</f>
        <v>0.12659999999999999</v>
      </c>
      <c r="E34" s="8" cm="1">
        <f t="array" ref="E34">SUMPRODUCT((cex_06[[client]:[client]]=syndicat_etude)*(cex_06[[annee]:[annee]]=Exercice[[Exercice N-2]:[Exercice N-2]])*(cex_06[[libelle_crac]:[libelle_crac]]=$B34)*(cex_06[[valeur]:[valeur]]))</f>
        <v>0.2482</v>
      </c>
      <c r="F34" s="8" cm="1">
        <f t="array" ref="F34">SUMPRODUCT((cex_06[[client]:[client]]=syndicat_etude)*(cex_06[[annee]:[annee]]=Exercice[[Exercice N-1]:[Exercice N-1]])*(cex_06[[libelle_crac]:[libelle_crac]]=$B34)*(cex_06[[valeur]:[valeur]]))</f>
        <v>2.7E-2</v>
      </c>
      <c r="G34" s="80" cm="1">
        <f t="array" ref="G34">SUMPRODUCT((cex_06[[client]:[client]]=syndicat_etude)*(cex_06[[annee]:[annee]]=Exercice[[Exercice N]:[Exercice N]])*(cex_06[[libelle_crac]:[libelle_crac]]=$B34)*(cex_06[[valeur]:[valeur]]))</f>
        <v>1.84E-2</v>
      </c>
      <c r="H34" s="314"/>
    </row>
    <row r="35" spans="1:8" ht="15" customHeight="1" x14ac:dyDescent="0.25">
      <c r="A35" s="712"/>
      <c r="B35" s="286" t="s">
        <v>852</v>
      </c>
      <c r="C35" s="8" cm="1">
        <f t="array" ref="C35">SUMPRODUCT((cex_06[[client]:[client]]=syndicat_etude)*(cex_06[[annee]:[annee]]=Exercice[[Exercice N-4]:[Exercice N-4]])*(cex_06[[libelle_crac]:[libelle_crac]]=$B35)*(cex_06[[valeur]:[valeur]]))</f>
        <v>3.0499999999999999E-2</v>
      </c>
      <c r="D35" s="8" cm="1">
        <f t="array" ref="D35">SUMPRODUCT((cex_06[[client]:[client]]=syndicat_etude)*(cex_06[[annee]:[annee]]=Exercice[[Exercice N-3]:[Exercice N-3]])*(cex_06[[libelle_crac]:[libelle_crac]]=$B35)*(cex_06[[valeur]:[valeur]]))</f>
        <v>2.29E-2</v>
      </c>
      <c r="E35" s="8" cm="1">
        <f t="array" ref="E35">SUMPRODUCT((cex_06[[client]:[client]]=syndicat_etude)*(cex_06[[annee]:[annee]]=Exercice[[Exercice N-2]:[Exercice N-2]])*(cex_06[[libelle_crac]:[libelle_crac]]=$B35)*(cex_06[[valeur]:[valeur]]))</f>
        <v>3.2199999999999999E-2</v>
      </c>
      <c r="F35" s="8" cm="1">
        <f t="array" ref="F35">SUMPRODUCT((cex_06[[client]:[client]]=syndicat_etude)*(cex_06[[annee]:[annee]]=Exercice[[Exercice N-1]:[Exercice N-1]])*(cex_06[[libelle_crac]:[libelle_crac]]=$B35)*(cex_06[[valeur]:[valeur]]))</f>
        <v>9.0300000000000005E-2</v>
      </c>
      <c r="G35" s="80" cm="1">
        <f t="array" ref="G35">SUMPRODUCT((cex_06[[client]:[client]]=syndicat_etude)*(cex_06[[annee]:[annee]]=Exercice[[Exercice N]:[Exercice N]])*(cex_06[[libelle_crac]:[libelle_crac]]=$B35)*(cex_06[[valeur]:[valeur]]))</f>
        <v>0.14449999999999999</v>
      </c>
      <c r="H35" s="314"/>
    </row>
    <row r="36" spans="1:8" ht="15" customHeight="1" x14ac:dyDescent="0.25">
      <c r="A36" s="712"/>
      <c r="B36" s="306" t="s">
        <v>853</v>
      </c>
      <c r="C36" s="307" cm="1">
        <f t="array" ref="C36">SUMPRODUCT((cex_06[[client]:[client]]=syndicat_etude)*(cex_06[[annee]:[annee]]=Exercice[[Exercice N-4]:[Exercice N-4]])*(cex_06[[libelle_crac]:[libelle_crac]]=$B36)*(cex_06[[valeur]:[valeur]]))</f>
        <v>0.68240000000000001</v>
      </c>
      <c r="D36" s="307" cm="1">
        <f t="array" ref="D36">SUMPRODUCT((cex_06[[client]:[client]]=syndicat_etude)*(cex_06[[annee]:[annee]]=Exercice[[Exercice N-3]:[Exercice N-3]])*(cex_06[[libelle_crac]:[libelle_crac]]=$B36)*(cex_06[[valeur]:[valeur]]))</f>
        <v>0.62909999999999999</v>
      </c>
      <c r="E36" s="307" cm="1">
        <f t="array" ref="E36">SUMPRODUCT((cex_06[[client]:[client]]=syndicat_etude)*(cex_06[[annee]:[annee]]=Exercice[[Exercice N-2]:[Exercice N-2]])*(cex_06[[libelle_crac]:[libelle_crac]]=$B36)*(cex_06[[valeur]:[valeur]]))</f>
        <v>0.50539999999999996</v>
      </c>
      <c r="F36" s="307" cm="1">
        <f t="array" ref="F36">SUMPRODUCT((cex_06[[client]:[client]]=syndicat_etude)*(cex_06[[annee]:[annee]]=Exercice[[Exercice N-1]:[Exercice N-1]])*(cex_06[[libelle_crac]:[libelle_crac]]=$B36)*(cex_06[[valeur]:[valeur]]))</f>
        <v>0.53500000000000003</v>
      </c>
      <c r="G36" s="308" cm="1">
        <f t="array" ref="G36">SUMPRODUCT((cex_06[[client]:[client]]=syndicat_etude)*(cex_06[[annee]:[annee]]=Exercice[[Exercice N]:[Exercice N]])*(cex_06[[libelle_crac]:[libelle_crac]]=$B36)*(cex_06[[valeur]:[valeur]]))</f>
        <v>0.49930000000000002</v>
      </c>
    </row>
    <row r="37" spans="1:8" ht="15" customHeight="1" x14ac:dyDescent="0.25">
      <c r="A37" s="712"/>
      <c r="B37" s="302" t="s">
        <v>854</v>
      </c>
      <c r="C37" s="242" cm="1">
        <f t="array" ref="C37">SUMPRODUCT((cex_06[[client]:[client]]=syndicat_etude)*(cex_06[[annee]:[annee]]=Exercice[[Exercice N-4]:[Exercice N-4]])*(cex_06[[libelle_crac]:[libelle_crac]]=$B37)*(cex_06[[valeur]:[valeur]]))</f>
        <v>0.57679999999999998</v>
      </c>
      <c r="D37" s="242" cm="1">
        <f t="array" ref="D37">SUMPRODUCT((cex_06[[client]:[client]]=syndicat_etude)*(cex_06[[annee]:[annee]]=Exercice[[Exercice N-3]:[Exercice N-3]])*(cex_06[[libelle_crac]:[libelle_crac]]=$B37)*(cex_06[[valeur]:[valeur]]))</f>
        <v>0.49909999999999999</v>
      </c>
      <c r="E37" s="242" cm="1">
        <f t="array" ref="E37">SUMPRODUCT((cex_06[[client]:[client]]=syndicat_etude)*(cex_06[[annee]:[annee]]=Exercice[[Exercice N-2]:[Exercice N-2]])*(cex_06[[libelle_crac]:[libelle_crac]]=$B37)*(cex_06[[valeur]:[valeur]]))</f>
        <v>0.36980000000000002</v>
      </c>
      <c r="F37" s="242" cm="1">
        <f t="array" ref="F37">SUMPRODUCT((cex_06[[client]:[client]]=syndicat_etude)*(cex_06[[annee]:[annee]]=Exercice[[Exercice N-1]:[Exercice N-1]])*(cex_06[[libelle_crac]:[libelle_crac]]=$B37)*(cex_06[[valeur]:[valeur]]))</f>
        <v>0.40560000000000002</v>
      </c>
      <c r="G37" s="243" cm="1">
        <f t="array" ref="G37">SUMPRODUCT((cex_06[[client]:[client]]=syndicat_etude)*(cex_06[[annee]:[annee]]=Exercice[[Exercice N]:[Exercice N]])*(cex_06[[libelle_crac]:[libelle_crac]]=$B37)*(cex_06[[valeur]:[valeur]]))</f>
        <v>0.41489999999999999</v>
      </c>
    </row>
    <row r="38" spans="1:8" ht="15" customHeight="1" x14ac:dyDescent="0.25">
      <c r="A38" s="712"/>
      <c r="B38" s="286" t="s">
        <v>855</v>
      </c>
      <c r="C38" s="8" cm="1">
        <f t="array" ref="C38">SUMPRODUCT((cex_06[[client]:[client]]=syndicat_etude)*(cex_06[[annee]:[annee]]=Exercice[[Exercice N-4]:[Exercice N-4]])*(cex_06[[libelle_crac]:[libelle_crac]]=$B38)*(cex_06[[valeur]:[valeur]]))</f>
        <v>8.9999999999999998E-4</v>
      </c>
      <c r="D38" s="8" cm="1">
        <f t="array" ref="D38">SUMPRODUCT((cex_06[[client]:[client]]=syndicat_etude)*(cex_06[[annee]:[annee]]=Exercice[[Exercice N-3]:[Exercice N-3]])*(cex_06[[libelle_crac]:[libelle_crac]]=$B38)*(cex_06[[valeur]:[valeur]]))</f>
        <v>8.6999999999999994E-3</v>
      </c>
      <c r="E38" s="8" cm="1">
        <f t="array" ref="E38">SUMPRODUCT((cex_06[[client]:[client]]=syndicat_etude)*(cex_06[[annee]:[annee]]=Exercice[[Exercice N-2]:[Exercice N-2]])*(cex_06[[libelle_crac]:[libelle_crac]]=$B38)*(cex_06[[valeur]:[valeur]]))</f>
        <v>4.0000000000000001E-3</v>
      </c>
      <c r="F38" s="8" cm="1">
        <f t="array" ref="F38">SUMPRODUCT((cex_06[[client]:[client]]=syndicat_etude)*(cex_06[[annee]:[annee]]=Exercice[[Exercice N-1]:[Exercice N-1]])*(cex_06[[libelle_crac]:[libelle_crac]]=$B38)*(cex_06[[valeur]:[valeur]]))</f>
        <v>7.0000000000000001E-3</v>
      </c>
      <c r="G38" s="80" cm="1">
        <f t="array" ref="G38">SUMPRODUCT((cex_06[[client]:[client]]=syndicat_etude)*(cex_06[[annee]:[annee]]=Exercice[[Exercice N]:[Exercice N]])*(cex_06[[libelle_crac]:[libelle_crac]]=$B38)*(cex_06[[valeur]:[valeur]]))</f>
        <v>4.7000000000000002E-3</v>
      </c>
    </row>
    <row r="39" spans="1:8" ht="15" customHeight="1" x14ac:dyDescent="0.25">
      <c r="A39" s="712"/>
      <c r="B39" s="286" t="s">
        <v>856</v>
      </c>
      <c r="C39" s="8" cm="1">
        <f t="array" ref="C39">SUMPRODUCT((cex_06[[client]:[client]]=syndicat_etude)*(cex_06[[annee]:[annee]]=Exercice[[Exercice N-4]:[Exercice N-4]])*(cex_06[[libelle_crac]:[libelle_crac]]=$B39)*(cex_06[[valeur]:[valeur]]))</f>
        <v>6.1000000000000004E-3</v>
      </c>
      <c r="D39" s="8" cm="1">
        <f t="array" ref="D39">SUMPRODUCT((cex_06[[client]:[client]]=syndicat_etude)*(cex_06[[annee]:[annee]]=Exercice[[Exercice N-3]:[Exercice N-3]])*(cex_06[[libelle_crac]:[libelle_crac]]=$B39)*(cex_06[[valeur]:[valeur]]))</f>
        <v>3.5999999999999999E-3</v>
      </c>
      <c r="E39" s="8" cm="1">
        <f t="array" ref="E39">SUMPRODUCT((cex_06[[client]:[client]]=syndicat_etude)*(cex_06[[annee]:[annee]]=Exercice[[Exercice N-2]:[Exercice N-2]])*(cex_06[[libelle_crac]:[libelle_crac]]=$B39)*(cex_06[[valeur]:[valeur]]))</f>
        <v>5.0000000000000001E-4</v>
      </c>
      <c r="F39" s="8" cm="1">
        <f t="array" ref="F39">SUMPRODUCT((cex_06[[client]:[client]]=syndicat_etude)*(cex_06[[annee]:[annee]]=Exercice[[Exercice N-1]:[Exercice N-1]])*(cex_06[[libelle_crac]:[libelle_crac]]=$B39)*(cex_06[[valeur]:[valeur]]))</f>
        <v>0</v>
      </c>
      <c r="G39" s="80" cm="1">
        <f t="array" ref="G39">SUMPRODUCT((cex_06[[client]:[client]]=syndicat_etude)*(cex_06[[annee]:[annee]]=Exercice[[Exercice N]:[Exercice N]])*(cex_06[[libelle_crac]:[libelle_crac]]=$B39)*(cex_06[[valeur]:[valeur]]))</f>
        <v>0</v>
      </c>
    </row>
    <row r="40" spans="1:8" ht="36" x14ac:dyDescent="0.25">
      <c r="A40" s="712"/>
      <c r="B40" s="286" t="s">
        <v>857</v>
      </c>
      <c r="C40" s="8" cm="1">
        <f t="array" ref="C40">SUMPRODUCT((cex_06[[client]:[client]]=syndicat_etude)*(cex_06[[annee]:[annee]]=Exercice[[Exercice N-4]:[Exercice N-4]])*(cex_06[[libelle_crac]:[libelle_crac]]=$B40)*(cex_06[[valeur]:[valeur]]))</f>
        <v>2.3699999999999999E-2</v>
      </c>
      <c r="D40" s="8" cm="1">
        <f t="array" ref="D40">SUMPRODUCT((cex_06[[client]:[client]]=syndicat_etude)*(cex_06[[annee]:[annee]]=Exercice[[Exercice N-3]:[Exercice N-3]])*(cex_06[[libelle_crac]:[libelle_crac]]=$B40)*(cex_06[[valeur]:[valeur]]))</f>
        <v>2.47E-2</v>
      </c>
      <c r="E40" s="8" cm="1">
        <f t="array" ref="E40">SUMPRODUCT((cex_06[[client]:[client]]=syndicat_etude)*(cex_06[[annee]:[annee]]=Exercice[[Exercice N-2]:[Exercice N-2]])*(cex_06[[libelle_crac]:[libelle_crac]]=$B40)*(cex_06[[valeur]:[valeur]]))</f>
        <v>2.76E-2</v>
      </c>
      <c r="F40" s="8" cm="1">
        <f t="array" ref="F40">SUMPRODUCT((cex_06[[client]:[client]]=syndicat_etude)*(cex_06[[annee]:[annee]]=Exercice[[Exercice N-1]:[Exercice N-1]])*(cex_06[[libelle_crac]:[libelle_crac]]=$B40)*(cex_06[[valeur]:[valeur]]))</f>
        <v>1.12E-2</v>
      </c>
      <c r="G40" s="80" cm="1">
        <f t="array" ref="G40">SUMPRODUCT((cex_06[[client]:[client]]=syndicat_etude)*(cex_06[[annee]:[annee]]=Exercice[[Exercice N]:[Exercice N]])*(cex_06[[libelle_crac]:[libelle_crac]]=$B40)*(cex_06[[valeur]:[valeur]]))</f>
        <v>8.0999999999999996E-3</v>
      </c>
    </row>
    <row r="41" spans="1:8" ht="24" x14ac:dyDescent="0.25">
      <c r="A41" s="712"/>
      <c r="B41" s="286" t="s">
        <v>858</v>
      </c>
      <c r="C41" s="8" cm="1">
        <f t="array" ref="C41">SUMPRODUCT((cex_06[[client]:[client]]=syndicat_etude)*(cex_06[[annee]:[annee]]=Exercice[[Exercice N-4]:[Exercice N-4]])*(cex_06[[libelle_crac]:[libelle_crac]]=$B41)*(cex_06[[valeur]:[valeur]]))</f>
        <v>0.17829999999999999</v>
      </c>
      <c r="D41" s="8" cm="1">
        <f t="array" ref="D41">SUMPRODUCT((cex_06[[client]:[client]]=syndicat_etude)*(cex_06[[annee]:[annee]]=Exercice[[Exercice N-3]:[Exercice N-3]])*(cex_06[[libelle_crac]:[libelle_crac]]=$B41)*(cex_06[[valeur]:[valeur]]))</f>
        <v>0.20949999999999999</v>
      </c>
      <c r="E41" s="8" cm="1">
        <f t="array" ref="E41">SUMPRODUCT((cex_06[[client]:[client]]=syndicat_etude)*(cex_06[[annee]:[annee]]=Exercice[[Exercice N-2]:[Exercice N-2]])*(cex_06[[libelle_crac]:[libelle_crac]]=$B41)*(cex_06[[valeur]:[valeur]]))</f>
        <v>0.14460000000000001</v>
      </c>
      <c r="F41" s="8" cm="1">
        <f t="array" ref="F41">SUMPRODUCT((cex_06[[client]:[client]]=syndicat_etude)*(cex_06[[annee]:[annee]]=Exercice[[Exercice N-1]:[Exercice N-1]])*(cex_06[[libelle_crac]:[libelle_crac]]=$B41)*(cex_06[[valeur]:[valeur]]))</f>
        <v>0.25619999999999998</v>
      </c>
      <c r="G41" s="80" cm="1">
        <f t="array" ref="G41">SUMPRODUCT((cex_06[[client]:[client]]=syndicat_etude)*(cex_06[[annee]:[annee]]=Exercice[[Exercice N]:[Exercice N]])*(cex_06[[libelle_crac]:[libelle_crac]]=$B41)*(cex_06[[valeur]:[valeur]]))</f>
        <v>0.35780000000000001</v>
      </c>
    </row>
    <row r="42" spans="1:8" ht="24" x14ac:dyDescent="0.25">
      <c r="A42" s="712"/>
      <c r="B42" s="286" t="s">
        <v>859</v>
      </c>
      <c r="C42" s="8" cm="1">
        <f t="array" ref="C42">SUMPRODUCT((cex_06[[client]:[client]]=syndicat_etude)*(cex_06[[annee]:[annee]]=Exercice[[Exercice N-4]:[Exercice N-4]])*(cex_06[[libelle_crac]:[libelle_crac]]=$B42)*(cex_06[[valeur]:[valeur]]))</f>
        <v>1.7999999999999999E-2</v>
      </c>
      <c r="D42" s="8" cm="1">
        <f t="array" ref="D42">SUMPRODUCT((cex_06[[client]:[client]]=syndicat_etude)*(cex_06[[annee]:[annee]]=Exercice[[Exercice N-3]:[Exercice N-3]])*(cex_06[[libelle_crac]:[libelle_crac]]=$B42)*(cex_06[[valeur]:[valeur]]))</f>
        <v>2.6800000000000001E-2</v>
      </c>
      <c r="E42" s="8" cm="1">
        <f t="array" ref="E42">SUMPRODUCT((cex_06[[client]:[client]]=syndicat_etude)*(cex_06[[annee]:[annee]]=Exercice[[Exercice N-2]:[Exercice N-2]])*(cex_06[[libelle_crac]:[libelle_crac]]=$B42)*(cex_06[[valeur]:[valeur]]))</f>
        <v>2.5700000000000001E-2</v>
      </c>
      <c r="F42" s="8" cm="1">
        <f t="array" ref="F42">SUMPRODUCT((cex_06[[client]:[client]]=syndicat_etude)*(cex_06[[annee]:[annee]]=Exercice[[Exercice N-1]:[Exercice N-1]])*(cex_06[[libelle_crac]:[libelle_crac]]=$B42)*(cex_06[[valeur]:[valeur]]))</f>
        <v>4.8500000000000001E-2</v>
      </c>
      <c r="G42" s="80" cm="1">
        <f t="array" ref="G42">SUMPRODUCT((cex_06[[client]:[client]]=syndicat_etude)*(cex_06[[annee]:[annee]]=Exercice[[Exercice N]:[Exercice N]])*(cex_06[[libelle_crac]:[libelle_crac]]=$B42)*(cex_06[[valeur]:[valeur]]))</f>
        <v>2.2800000000000001E-2</v>
      </c>
    </row>
    <row r="43" spans="1:8" ht="15" customHeight="1" x14ac:dyDescent="0.25">
      <c r="A43" s="712"/>
      <c r="B43" s="286" t="s">
        <v>860</v>
      </c>
      <c r="C43" s="8" cm="1">
        <f t="array" ref="C43">SUMPRODUCT((cex_06[[client]:[client]]=syndicat_etude)*(cex_06[[annee]:[annee]]=Exercice[[Exercice N-4]:[Exercice N-4]])*(cex_06[[libelle_crac]:[libelle_crac]]=$B43)*(cex_06[[valeur]:[valeur]]))</f>
        <v>9.0999999999999998E-2</v>
      </c>
      <c r="D43" s="8" cm="1">
        <f t="array" ref="D43">SUMPRODUCT((cex_06[[client]:[client]]=syndicat_etude)*(cex_06[[annee]:[annee]]=Exercice[[Exercice N-3]:[Exercice N-3]])*(cex_06[[libelle_crac]:[libelle_crac]]=$B43)*(cex_06[[valeur]:[valeur]]))</f>
        <v>2.7099999999999999E-2</v>
      </c>
      <c r="E43" s="8" cm="1">
        <f t="array" ref="E43">SUMPRODUCT((cex_06[[client]:[client]]=syndicat_etude)*(cex_06[[annee]:[annee]]=Exercice[[Exercice N-2]:[Exercice N-2]])*(cex_06[[libelle_crac]:[libelle_crac]]=$B43)*(cex_06[[valeur]:[valeur]]))</f>
        <v>1.7100000000000001E-2</v>
      </c>
      <c r="F43" s="8" cm="1">
        <f t="array" ref="F43">SUMPRODUCT((cex_06[[client]:[client]]=syndicat_etude)*(cex_06[[annee]:[annee]]=Exercice[[Exercice N-1]:[Exercice N-1]])*(cex_06[[libelle_crac]:[libelle_crac]]=$B43)*(cex_06[[valeur]:[valeur]]))</f>
        <v>3.6999999999999998E-2</v>
      </c>
      <c r="G43" s="80" cm="1">
        <f t="array" ref="G43">SUMPRODUCT((cex_06[[client]:[client]]=syndicat_etude)*(cex_06[[annee]:[annee]]=Exercice[[Exercice N]:[Exercice N]])*(cex_06[[libelle_crac]:[libelle_crac]]=$B43)*(cex_06[[valeur]:[valeur]]))</f>
        <v>2.0799999999999999E-2</v>
      </c>
    </row>
    <row r="44" spans="1:8" ht="15" customHeight="1" x14ac:dyDescent="0.25">
      <c r="A44" s="712"/>
      <c r="B44" s="286" t="s">
        <v>861</v>
      </c>
      <c r="C44" s="8" cm="1">
        <f t="array" ref="C44">SUMPRODUCT((cex_06[[client]:[client]]=syndicat_etude)*(cex_06[[annee]:[annee]]=Exercice[[Exercice N-4]:[Exercice N-4]])*(cex_06[[libelle_crac]:[libelle_crac]]=$B44)*(cex_06[[valeur]:[valeur]]))</f>
        <v>5.3E-3</v>
      </c>
      <c r="D44" s="8" cm="1">
        <f t="array" ref="D44">SUMPRODUCT((cex_06[[client]:[client]]=syndicat_etude)*(cex_06[[annee]:[annee]]=Exercice[[Exercice N-3]:[Exercice N-3]])*(cex_06[[libelle_crac]:[libelle_crac]]=$B44)*(cex_06[[valeur]:[valeur]]))</f>
        <v>2.3999999999999998E-3</v>
      </c>
      <c r="E44" s="8" cm="1">
        <f t="array" ref="E44">SUMPRODUCT((cex_06[[client]:[client]]=syndicat_etude)*(cex_06[[annee]:[annee]]=Exercice[[Exercice N-2]:[Exercice N-2]])*(cex_06[[libelle_crac]:[libelle_crac]]=$B44)*(cex_06[[valeur]:[valeur]]))</f>
        <v>2.3999999999999998E-3</v>
      </c>
      <c r="F44" s="8" cm="1">
        <f t="array" ref="F44">SUMPRODUCT((cex_06[[client]:[client]]=syndicat_etude)*(cex_06[[annee]:[annee]]=Exercice[[Exercice N-1]:[Exercice N-1]])*(cex_06[[libelle_crac]:[libelle_crac]]=$B44)*(cex_06[[valeur]:[valeur]]))</f>
        <v>2.5000000000000001E-3</v>
      </c>
      <c r="G44" s="80" cm="1">
        <f t="array" ref="G44">SUMPRODUCT((cex_06[[client]:[client]]=syndicat_etude)*(cex_06[[annee]:[annee]]=Exercice[[Exercice N]:[Exercice N]])*(cex_06[[libelle_crac]:[libelle_crac]]=$B44)*(cex_06[[valeur]:[valeur]]))</f>
        <v>6.9999999999999999E-4</v>
      </c>
    </row>
    <row r="45" spans="1:8" ht="15" customHeight="1" x14ac:dyDescent="0.25">
      <c r="A45" s="712"/>
      <c r="B45" s="286" t="s">
        <v>862</v>
      </c>
      <c r="C45" s="8" cm="1">
        <f t="array" ref="C45">SUMPRODUCT((cex_06[[client]:[client]]=syndicat_etude)*(cex_06[[annee]:[annee]]=Exercice[[Exercice N-4]:[Exercice N-4]])*(cex_06[[libelle_crac]:[libelle_crac]]=$B45)*(cex_06[[valeur]:[valeur]]))</f>
        <v>0.25359999999999999</v>
      </c>
      <c r="D45" s="8" cm="1">
        <f t="array" ref="D45">SUMPRODUCT((cex_06[[client]:[client]]=syndicat_etude)*(cex_06[[annee]:[annee]]=Exercice[[Exercice N-3]:[Exercice N-3]])*(cex_06[[libelle_crac]:[libelle_crac]]=$B45)*(cex_06[[valeur]:[valeur]]))</f>
        <v>0.1963</v>
      </c>
      <c r="E45" s="8" cm="1">
        <f t="array" ref="E45">SUMPRODUCT((cex_06[[client]:[client]]=syndicat_etude)*(cex_06[[annee]:[annee]]=Exercice[[Exercice N-2]:[Exercice N-2]])*(cex_06[[libelle_crac]:[libelle_crac]]=$B45)*(cex_06[[valeur]:[valeur]]))</f>
        <v>0.1477</v>
      </c>
      <c r="F45" s="8" cm="1">
        <f t="array" ref="F45">SUMPRODUCT((cex_06[[client]:[client]]=syndicat_etude)*(cex_06[[annee]:[annee]]=Exercice[[Exercice N-1]:[Exercice N-1]])*(cex_06[[libelle_crac]:[libelle_crac]]=$B45)*(cex_06[[valeur]:[valeur]]))</f>
        <v>4.3099999999999999E-2</v>
      </c>
      <c r="G45" s="80" cm="1">
        <f t="array" ref="G45">SUMPRODUCT((cex_06[[client]:[client]]=syndicat_etude)*(cex_06[[annee]:[annee]]=Exercice[[Exercice N]:[Exercice N]])*(cex_06[[libelle_crac]:[libelle_crac]]=$B45)*(cex_06[[valeur]:[valeur]]))</f>
        <v>0</v>
      </c>
    </row>
    <row r="46" spans="1:8" ht="24" x14ac:dyDescent="0.25">
      <c r="A46" s="712"/>
      <c r="B46" s="302" t="s">
        <v>863</v>
      </c>
      <c r="C46" s="242" cm="1">
        <f t="array" ref="C46">SUMPRODUCT((cex_06[[client]:[client]]=syndicat_etude)*(cex_06[[annee]:[annee]]=Exercice[[Exercice N-4]:[Exercice N-4]])*(cex_06[[libelle_crac]:[libelle_crac]]=$B46)*(cex_06[[valeur]:[valeur]]))</f>
        <v>0.1056</v>
      </c>
      <c r="D46" s="242" cm="1">
        <f t="array" ref="D46">SUMPRODUCT((cex_06[[client]:[client]]=syndicat_etude)*(cex_06[[annee]:[annee]]=Exercice[[Exercice N-3]:[Exercice N-3]])*(cex_06[[libelle_crac]:[libelle_crac]]=$B46)*(cex_06[[valeur]:[valeur]]))</f>
        <v>0.13</v>
      </c>
      <c r="E46" s="242" cm="1">
        <f t="array" ref="E46">SUMPRODUCT((cex_06[[client]:[client]]=syndicat_etude)*(cex_06[[annee]:[annee]]=Exercice[[Exercice N-2]:[Exercice N-2]])*(cex_06[[libelle_crac]:[libelle_crac]]=$B46)*(cex_06[[valeur]:[valeur]]))</f>
        <v>0.13569999999999999</v>
      </c>
      <c r="F46" s="242" cm="1">
        <f t="array" ref="F46">SUMPRODUCT((cex_06[[client]:[client]]=syndicat_etude)*(cex_06[[annee]:[annee]]=Exercice[[Exercice N-1]:[Exercice N-1]])*(cex_06[[libelle_crac]:[libelle_crac]]=$B46)*(cex_06[[valeur]:[valeur]]))</f>
        <v>0.1295</v>
      </c>
      <c r="G46" s="243" cm="1">
        <f t="array" ref="G46">SUMPRODUCT((cex_06[[client]:[client]]=syndicat_etude)*(cex_06[[annee]:[annee]]=Exercice[[Exercice N]:[Exercice N]])*(cex_06[[libelle_crac]:[libelle_crac]]=$B46)*(cex_06[[valeur]:[valeur]]))</f>
        <v>8.4400000000000003E-2</v>
      </c>
    </row>
    <row r="47" spans="1:8" ht="15" customHeight="1" x14ac:dyDescent="0.25">
      <c r="A47" s="712"/>
      <c r="B47" s="286" t="s">
        <v>864</v>
      </c>
      <c r="C47" s="8" cm="1">
        <f t="array" ref="C47">SUMPRODUCT((cex_06[[client]:[client]]=syndicat_etude)*(cex_06[[annee]:[annee]]=Exercice[[Exercice N-4]:[Exercice N-4]])*(cex_06[[libelle_crac]:[libelle_crac]]=$B47)*(cex_06[[valeur]:[valeur]]))</f>
        <v>1.55E-2</v>
      </c>
      <c r="D47" s="8" cm="1">
        <f t="array" ref="D47">SUMPRODUCT((cex_06[[client]:[client]]=syndicat_etude)*(cex_06[[annee]:[annee]]=Exercice[[Exercice N-3]:[Exercice N-3]])*(cex_06[[libelle_crac]:[libelle_crac]]=$B47)*(cex_06[[valeur]:[valeur]]))</f>
        <v>4.6199999999999998E-2</v>
      </c>
      <c r="E47" s="8" cm="1">
        <f t="array" ref="E47">SUMPRODUCT((cex_06[[client]:[client]]=syndicat_etude)*(cex_06[[annee]:[annee]]=Exercice[[Exercice N-2]:[Exercice N-2]])*(cex_06[[libelle_crac]:[libelle_crac]]=$B47)*(cex_06[[valeur]:[valeur]]))</f>
        <v>4.9000000000000002E-2</v>
      </c>
      <c r="F47" s="8" cm="1">
        <f t="array" ref="F47">SUMPRODUCT((cex_06[[client]:[client]]=syndicat_etude)*(cex_06[[annee]:[annee]]=Exercice[[Exercice N-1]:[Exercice N-1]])*(cex_06[[libelle_crac]:[libelle_crac]]=$B47)*(cex_06[[valeur]:[valeur]]))</f>
        <v>1.89E-2</v>
      </c>
      <c r="G47" s="80" cm="1">
        <f t="array" ref="G47">SUMPRODUCT((cex_06[[client]:[client]]=syndicat_etude)*(cex_06[[annee]:[annee]]=Exercice[[Exercice N]:[Exercice N]])*(cex_06[[libelle_crac]:[libelle_crac]]=$B47)*(cex_06[[valeur]:[valeur]]))</f>
        <v>1.01E-2</v>
      </c>
    </row>
    <row r="48" spans="1:8" ht="15" customHeight="1" x14ac:dyDescent="0.25">
      <c r="A48" s="712"/>
      <c r="B48" s="286" t="s">
        <v>865</v>
      </c>
      <c r="C48" s="8" cm="1">
        <f t="array" ref="C48">SUMPRODUCT((cex_06[[client]:[client]]=syndicat_etude)*(cex_06[[annee]:[annee]]=Exercice[[Exercice N-4]:[Exercice N-4]])*(cex_06[[libelle_crac]:[libelle_crac]]=$B48)*(cex_06[[valeur]:[valeur]]))</f>
        <v>6.8500000000000005E-2</v>
      </c>
      <c r="D48" s="8" cm="1">
        <f t="array" ref="D48">SUMPRODUCT((cex_06[[client]:[client]]=syndicat_etude)*(cex_06[[annee]:[annee]]=Exercice[[Exercice N-3]:[Exercice N-3]])*(cex_06[[libelle_crac]:[libelle_crac]]=$B48)*(cex_06[[valeur]:[valeur]]))</f>
        <v>5.6800000000000003E-2</v>
      </c>
      <c r="E48" s="8" cm="1">
        <f t="array" ref="E48">SUMPRODUCT((cex_06[[client]:[client]]=syndicat_etude)*(cex_06[[annee]:[annee]]=Exercice[[Exercice N-2]:[Exercice N-2]])*(cex_06[[libelle_crac]:[libelle_crac]]=$B48)*(cex_06[[valeur]:[valeur]]))</f>
        <v>5.8500000000000003E-2</v>
      </c>
      <c r="F48" s="8" cm="1">
        <f t="array" ref="F48">SUMPRODUCT((cex_06[[client]:[client]]=syndicat_etude)*(cex_06[[annee]:[annee]]=Exercice[[Exercice N-1]:[Exercice N-1]])*(cex_06[[libelle_crac]:[libelle_crac]]=$B48)*(cex_06[[valeur]:[valeur]]))</f>
        <v>6.3399999999999998E-2</v>
      </c>
      <c r="G48" s="80" cm="1">
        <f t="array" ref="G48">SUMPRODUCT((cex_06[[client]:[client]]=syndicat_etude)*(cex_06[[annee]:[annee]]=Exercice[[Exercice N]:[Exercice N]])*(cex_06[[libelle_crac]:[libelle_crac]]=$B48)*(cex_06[[valeur]:[valeur]]))</f>
        <v>4.8000000000000001E-2</v>
      </c>
    </row>
    <row r="49" spans="1:7" ht="15" customHeight="1" x14ac:dyDescent="0.25">
      <c r="A49" s="712"/>
      <c r="B49" s="286" t="s">
        <v>866</v>
      </c>
      <c r="C49" s="8" cm="1">
        <f t="array" ref="C49">SUMPRODUCT((cex_06[[client]:[client]]=syndicat_etude)*(cex_06[[annee]:[annee]]=Exercice[[Exercice N-4]:[Exercice N-4]])*(cex_06[[libelle_crac]:[libelle_crac]]=$B49)*(cex_06[[valeur]:[valeur]]))</f>
        <v>2.1499999999999998E-2</v>
      </c>
      <c r="D49" s="8" cm="1">
        <f t="array" ref="D49">SUMPRODUCT((cex_06[[client]:[client]]=syndicat_etude)*(cex_06[[annee]:[annee]]=Exercice[[Exercice N-3]:[Exercice N-3]])*(cex_06[[libelle_crac]:[libelle_crac]]=$B49)*(cex_06[[valeur]:[valeur]]))</f>
        <v>2.7099999999999999E-2</v>
      </c>
      <c r="E49" s="8" cm="1">
        <f t="array" ref="E49">SUMPRODUCT((cex_06[[client]:[client]]=syndicat_etude)*(cex_06[[annee]:[annee]]=Exercice[[Exercice N-2]:[Exercice N-2]])*(cex_06[[libelle_crac]:[libelle_crac]]=$B49)*(cex_06[[valeur]:[valeur]]))</f>
        <v>2.8299999999999999E-2</v>
      </c>
      <c r="F49" s="8" cm="1">
        <f t="array" ref="F49">SUMPRODUCT((cex_06[[client]:[client]]=syndicat_etude)*(cex_06[[annee]:[annee]]=Exercice[[Exercice N-1]:[Exercice N-1]])*(cex_06[[libelle_crac]:[libelle_crac]]=$B49)*(cex_06[[valeur]:[valeur]]))</f>
        <v>4.7199999999999999E-2</v>
      </c>
      <c r="G49" s="80" cm="1">
        <f t="array" ref="G49">SUMPRODUCT((cex_06[[client]:[client]]=syndicat_etude)*(cex_06[[annee]:[annee]]=Exercice[[Exercice N]:[Exercice N]])*(cex_06[[libelle_crac]:[libelle_crac]]=$B49)*(cex_06[[valeur]:[valeur]]))</f>
        <v>2.63E-2</v>
      </c>
    </row>
    <row r="50" spans="1:7" ht="15" customHeight="1" x14ac:dyDescent="0.25">
      <c r="A50" s="712"/>
      <c r="B50" s="306" t="s">
        <v>868</v>
      </c>
      <c r="C50" s="307" cm="1">
        <f t="array" ref="C50">SUMPRODUCT((cex_06[[client]:[client]]=syndicat_etude)*(cex_06[[annee]:[annee]]=Exercice[[Exercice N-4]:[Exercice N-4]])*(cex_06[[libelle_crac]:[libelle_crac]]=$B50)*(cex_06[[valeur]:[valeur]]))</f>
        <v>6.1000000000000004E-3</v>
      </c>
      <c r="D50" s="307" cm="1">
        <f t="array" ref="D50">SUMPRODUCT((cex_06[[client]:[client]]=syndicat_etude)*(cex_06[[annee]:[annee]]=Exercice[[Exercice N-3]:[Exercice N-3]])*(cex_06[[libelle_crac]:[libelle_crac]]=$B50)*(cex_06[[valeur]:[valeur]]))</f>
        <v>1.1999999999999999E-3</v>
      </c>
      <c r="E50" s="307" cm="1">
        <f t="array" ref="E50">SUMPRODUCT((cex_06[[client]:[client]]=syndicat_etude)*(cex_06[[annee]:[annee]]=Exercice[[Exercice N-2]:[Exercice N-2]])*(cex_06[[libelle_crac]:[libelle_crac]]=$B50)*(cex_06[[valeur]:[valeur]]))</f>
        <v>5.5999999999999999E-3</v>
      </c>
      <c r="F50" s="307" cm="1">
        <f t="array" ref="F50">SUMPRODUCT((cex_06[[client]:[client]]=syndicat_etude)*(cex_06[[annee]:[annee]]=Exercice[[Exercice N-1]:[Exercice N-1]])*(cex_06[[libelle_crac]:[libelle_crac]]=$B50)*(cex_06[[valeur]:[valeur]]))</f>
        <v>4.4600000000000001E-2</v>
      </c>
      <c r="G50" s="308" cm="1">
        <f t="array" ref="G50">SUMPRODUCT((cex_06[[client]:[client]]=syndicat_etude)*(cex_06[[annee]:[annee]]=Exercice[[Exercice N]:[Exercice N]])*(cex_06[[libelle_crac]:[libelle_crac]]=$B50)*(cex_06[[valeur]:[valeur]]))</f>
        <v>0</v>
      </c>
    </row>
    <row r="51" spans="1:7" ht="15" customHeight="1" x14ac:dyDescent="0.25">
      <c r="A51" s="712"/>
      <c r="B51" s="306" t="s">
        <v>869</v>
      </c>
      <c r="C51" s="307" cm="1">
        <f t="array" ref="C51">SUMPRODUCT((cex_06[[client]:[client]]=syndicat_etude)*(cex_06[[annee]:[annee]]=Exercice[[Exercice N-4]:[Exercice N-4]])*(cex_06[[libelle_crac]:[libelle_crac]]=$B51)*(cex_06[[valeur]:[valeur]]))</f>
        <v>0</v>
      </c>
      <c r="D51" s="307" cm="1">
        <f t="array" ref="D51">SUMPRODUCT((cex_06[[client]:[client]]=syndicat_etude)*(cex_06[[annee]:[annee]]=Exercice[[Exercice N-3]:[Exercice N-3]])*(cex_06[[libelle_crac]:[libelle_crac]]=$B51)*(cex_06[[valeur]:[valeur]]))</f>
        <v>0</v>
      </c>
      <c r="E51" s="307" cm="1">
        <f t="array" ref="E51">SUMPRODUCT((cex_06[[client]:[client]]=syndicat_etude)*(cex_06[[annee]:[annee]]=Exercice[[Exercice N-2]:[Exercice N-2]])*(cex_06[[libelle_crac]:[libelle_crac]]=$B51)*(cex_06[[valeur]:[valeur]]))</f>
        <v>0</v>
      </c>
      <c r="F51" s="307" cm="1">
        <f t="array" ref="F51">SUMPRODUCT((cex_06[[client]:[client]]=syndicat_etude)*(cex_06[[annee]:[annee]]=Exercice[[Exercice N-1]:[Exercice N-1]])*(cex_06[[libelle_crac]:[libelle_crac]]=$B51)*(cex_06[[valeur]:[valeur]]))</f>
        <v>0</v>
      </c>
      <c r="G51" s="308" cm="1">
        <f t="array" ref="G51">SUMPRODUCT((cex_06[[client]:[client]]=syndicat_etude)*(cex_06[[annee]:[annee]]=Exercice[[Exercice N]:[Exercice N]])*(cex_06[[libelle_crac]:[libelle_crac]]=$B51)*(cex_06[[valeur]:[valeur]]))</f>
        <v>0</v>
      </c>
    </row>
    <row r="52" spans="1:7" ht="15" customHeight="1" x14ac:dyDescent="0.25">
      <c r="A52" s="712"/>
      <c r="B52" s="309" t="s">
        <v>870</v>
      </c>
      <c r="C52" s="310" cm="1">
        <f t="array" ref="C52">SUMPRODUCT((cex_06[[client]:[client]]=syndicat_etude)*(cex_06[[annee]:[annee]]=Exercice[[Exercice N-4]:[Exercice N-4]])*(cex_06[[libelle_crac]:[libelle_crac]]=$B52)*(cex_06[[valeur]:[valeur]]))</f>
        <v>1</v>
      </c>
      <c r="D52" s="310" cm="1">
        <f t="array" ref="D52">SUMPRODUCT((cex_06[[client]:[client]]=syndicat_etude)*(cex_06[[annee]:[annee]]=Exercice[[Exercice N-3]:[Exercice N-3]])*(cex_06[[libelle_crac]:[libelle_crac]]=$B52)*(cex_06[[valeur]:[valeur]]))</f>
        <v>1</v>
      </c>
      <c r="E52" s="310" cm="1">
        <f t="array" ref="E52">SUMPRODUCT((cex_06[[client]:[client]]=syndicat_etude)*(cex_06[[annee]:[annee]]=Exercice[[Exercice N-2]:[Exercice N-2]])*(cex_06[[libelle_crac]:[libelle_crac]]=$B52)*(cex_06[[valeur]:[valeur]]))</f>
        <v>1</v>
      </c>
      <c r="F52" s="310" cm="1">
        <f t="array" ref="F52">SUMPRODUCT((cex_06[[client]:[client]]=syndicat_etude)*(cex_06[[annee]:[annee]]=Exercice[[Exercice N-1]:[Exercice N-1]])*(cex_06[[libelle_crac]:[libelle_crac]]=$B52)*(cex_06[[valeur]:[valeur]]))</f>
        <v>1</v>
      </c>
      <c r="G52" s="311" cm="1">
        <f t="array" ref="G52">SUMPRODUCT((cex_06[[client]:[client]]=syndicat_etude)*(cex_06[[annee]:[annee]]=Exercice[[Exercice N]:[Exercice N]])*(cex_06[[libelle_crac]:[libelle_crac]]=$B52)*(cex_06[[valeur]:[valeur]]))</f>
        <v>0</v>
      </c>
    </row>
    <row r="53" spans="1:7" ht="15" customHeight="1" x14ac:dyDescent="0.25">
      <c r="A53" s="712"/>
      <c r="B53" s="312" t="s">
        <v>871</v>
      </c>
      <c r="C53" s="276" cm="1">
        <f t="array" ref="C53">SUMPRODUCT((cex_06[[client]:[client]]=syndicat_etude)*(cex_06[[annee]:[annee]]=Exercice[[Exercice N-4]:[Exercice N-4]])*(cex_06[[libelle_crac]:[libelle_crac]]=$B53)*(cex_06[[valeur]:[valeur]]))</f>
        <v>0.1056</v>
      </c>
      <c r="D53" s="276" cm="1">
        <f t="array" ref="D53">SUMPRODUCT((cex_06[[client]:[client]]=syndicat_etude)*(cex_06[[annee]:[annee]]=Exercice[[Exercice N-3]:[Exercice N-3]])*(cex_06[[libelle_crac]:[libelle_crac]]=$B53)*(cex_06[[valeur]:[valeur]]))</f>
        <v>0.16880000000000001</v>
      </c>
      <c r="E53" s="276" cm="1">
        <f t="array" ref="E53">SUMPRODUCT((cex_06[[client]:[client]]=syndicat_etude)*(cex_06[[annee]:[annee]]=Exercice[[Exercice N-2]:[Exercice N-2]])*(cex_06[[libelle_crac]:[libelle_crac]]=$B53)*(cex_06[[valeur]:[valeur]]))</f>
        <v>0.1018</v>
      </c>
      <c r="F53" s="276" cm="1">
        <f t="array" ref="F53">SUMPRODUCT((cex_06[[client]:[client]]=syndicat_etude)*(cex_06[[annee]:[annee]]=Exercice[[Exercice N-1]:[Exercice N-1]])*(cex_06[[libelle_crac]:[libelle_crac]]=$B53)*(cex_06[[valeur]:[valeur]]))</f>
        <v>0.17649999999999999</v>
      </c>
      <c r="G53" s="120" cm="1">
        <f t="array" ref="G53">SUMPRODUCT((cex_06[[client]:[client]]=syndicat_etude)*(cex_06[[annee]:[annee]]=Exercice[[Exercice N]:[Exercice N]])*(cex_06[[libelle_crac]:[libelle_crac]]=$B53)*(cex_06[[valeur]:[valeur]]))</f>
        <v>0.221</v>
      </c>
    </row>
    <row r="54" spans="1:7" ht="15" customHeight="1" x14ac:dyDescent="0.25">
      <c r="A54" s="712"/>
      <c r="B54" s="313" t="s">
        <v>872</v>
      </c>
      <c r="C54" s="272" cm="1">
        <f t="array" ref="C54">SUMPRODUCT((cex_06[[client]:[client]]=syndicat_etude)*(cex_06[[annee]:[annee]]=Exercice[[Exercice N-4]:[Exercice N-4]])*(cex_06[[libelle_crac]:[libelle_crac]]=$B54)*(cex_06[[valeur]:[valeur]]))</f>
        <v>7.1000000000000004E-3</v>
      </c>
      <c r="D54" s="272" cm="1">
        <f t="array" ref="D54">SUMPRODUCT((cex_06[[client]:[client]]=syndicat_etude)*(cex_06[[annee]:[annee]]=Exercice[[Exercice N-3]:[Exercice N-3]])*(cex_06[[libelle_crac]:[libelle_crac]]=$B54)*(cex_06[[valeur]:[valeur]]))</f>
        <v>1.4E-3</v>
      </c>
      <c r="E54" s="272" cm="1">
        <f t="array" ref="E54">SUMPRODUCT((cex_06[[client]:[client]]=syndicat_etude)*(cex_06[[annee]:[annee]]=Exercice[[Exercice N-2]:[Exercice N-2]])*(cex_06[[libelle_crac]:[libelle_crac]]=$B54)*(cex_06[[valeur]:[valeur]]))</f>
        <v>0</v>
      </c>
      <c r="F54" s="272" cm="1">
        <f t="array" ref="F54">SUMPRODUCT((cex_06[[client]:[client]]=syndicat_etude)*(cex_06[[annee]:[annee]]=Exercice[[Exercice N-1]:[Exercice N-1]])*(cex_06[[libelle_crac]:[libelle_crac]]=$B54)*(cex_06[[valeur]:[valeur]]))</f>
        <v>0</v>
      </c>
      <c r="G54" s="133" cm="1">
        <f t="array" ref="G54">SUMPRODUCT((cex_06[[client]:[client]]=syndicat_etude)*(cex_06[[annee]:[annee]]=Exercice[[Exercice N]:[Exercice N]])*(cex_06[[libelle_crac]:[libelle_crac]]=$B54)*(cex_06[[valeur]:[valeur]]))</f>
        <v>0</v>
      </c>
    </row>
    <row r="55" spans="1:7" ht="15" customHeight="1" x14ac:dyDescent="0.25">
      <c r="C55" s="291"/>
      <c r="D55" s="291"/>
      <c r="E55" s="291"/>
      <c r="F55" s="291"/>
      <c r="G55" s="291"/>
    </row>
    <row r="56" spans="1:7" ht="30" customHeight="1" x14ac:dyDescent="0.25">
      <c r="A56" s="712"/>
      <c r="B56" s="66" t="s">
        <v>875</v>
      </c>
      <c r="C56" s="67" cm="1">
        <f t="array" ref="C56">Exercice[Exercice N-4]</f>
        <v>2019</v>
      </c>
      <c r="D56" s="67" cm="1">
        <f t="array" ref="D56">Exercice[Exercice N-3]</f>
        <v>2020</v>
      </c>
      <c r="E56" s="67" cm="1">
        <f t="array" ref="E56">Exercice[Exercice N-2]</f>
        <v>2021</v>
      </c>
      <c r="F56" s="67" cm="1">
        <f t="array" ref="F56">Exercice[Exercice N-1]</f>
        <v>2022</v>
      </c>
      <c r="G56" s="69" cm="1">
        <f t="array" ref="G56">Exercice[Exercice N]</f>
        <v>2023</v>
      </c>
    </row>
    <row r="57" spans="1:7" ht="15" customHeight="1" x14ac:dyDescent="0.25">
      <c r="A57" s="712" t="s">
        <v>3166</v>
      </c>
      <c r="B57" s="327" t="s">
        <v>876</v>
      </c>
      <c r="C57" s="123">
        <f>Invest!C$11</f>
        <v>8808</v>
      </c>
      <c r="D57" s="123">
        <f>Invest!D$11</f>
        <v>9055</v>
      </c>
      <c r="E57" s="123">
        <f>Invest!E$11</f>
        <v>7129</v>
      </c>
      <c r="F57" s="123">
        <f>Invest!F$11</f>
        <v>6799</v>
      </c>
      <c r="G57" s="212">
        <f>Invest!G$11</f>
        <v>8219</v>
      </c>
    </row>
    <row r="58" spans="1:7" ht="15" customHeight="1" x14ac:dyDescent="0.25">
      <c r="A58" s="712" t="s">
        <v>3168</v>
      </c>
      <c r="B58" s="286" t="s">
        <v>877</v>
      </c>
      <c r="C58" s="8">
        <f>IFERROR((Invest!C$12+Invest!C$13)/Invest!C$11,0)</f>
        <v>1.21480472297911E-2</v>
      </c>
      <c r="D58" s="8">
        <f>IFERROR((Invest!D$12+Invest!D$13)/Invest!D$11,0)</f>
        <v>2.4627277747101051E-2</v>
      </c>
      <c r="E58" s="8">
        <f>IFERROR((Invest!E$12+Invest!E$13)/Invest!E$11,0)</f>
        <v>1.2343947257679899E-2</v>
      </c>
      <c r="F58" s="8">
        <f>IFERROR((Invest!F$12+Invest!F$13)/Invest!F$11,0)</f>
        <v>1.7355493454919841E-2</v>
      </c>
      <c r="G58" s="80">
        <f>IFERROR((Invest!G$12+Invest!G$13)/Invest!G$11,0)</f>
        <v>1.1436914466480107E-2</v>
      </c>
    </row>
    <row r="59" spans="1:7" ht="15" customHeight="1" x14ac:dyDescent="0.25">
      <c r="A59" s="712"/>
      <c r="B59" s="286" t="s">
        <v>878</v>
      </c>
      <c r="C59" s="8">
        <f>IFERROR(Invest!C$14/Invest!C$11,0)</f>
        <v>4.1099000908265217E-2</v>
      </c>
      <c r="D59" s="8">
        <f>IFERROR(Invest!D$14/Invest!D$11,0)</f>
        <v>4.9585864163445612E-2</v>
      </c>
      <c r="E59" s="8">
        <f>IFERROR(Invest!E$14/Invest!E$11,0)</f>
        <v>7.462477205779211E-2</v>
      </c>
      <c r="F59" s="8">
        <f>IFERROR(Invest!F$14/Invest!F$11,0)</f>
        <v>2.7651125165465508E-2</v>
      </c>
      <c r="G59" s="80">
        <f>IFERROR(Invest!G$14/Invest!G$11,0)</f>
        <v>1.9467088453583161E-2</v>
      </c>
    </row>
    <row r="60" spans="1:7" ht="15" customHeight="1" x14ac:dyDescent="0.25">
      <c r="A60" s="712"/>
      <c r="B60" s="286" t="s">
        <v>879</v>
      </c>
      <c r="C60" s="8">
        <f>IFERROR(Invest!C$15/Invest!C$11,0)</f>
        <v>0.30903723887375112</v>
      </c>
      <c r="D60" s="8">
        <f>IFERROR(Invest!D$15/Invest!D$11,0)</f>
        <v>0.41965764770844838</v>
      </c>
      <c r="E60" s="8">
        <f>IFERROR(Invest!E$15/Invest!E$11,0)</f>
        <v>0.39107869266376771</v>
      </c>
      <c r="F60" s="8">
        <f>IFERROR(Invest!F$15/Invest!F$11,0)</f>
        <v>0.63171054566848062</v>
      </c>
      <c r="G60" s="80">
        <f>IFERROR(Invest!G$15/Invest!G$11,0)</f>
        <v>0.86227034919089918</v>
      </c>
    </row>
    <row r="61" spans="1:7" ht="30" customHeight="1" x14ac:dyDescent="0.25">
      <c r="A61" s="712"/>
      <c r="B61" s="286" t="s">
        <v>880</v>
      </c>
      <c r="C61" s="8">
        <f>IFERROR(Invest!C$16/Invest!C$11,0)</f>
        <v>3.1221616712079927E-2</v>
      </c>
      <c r="D61" s="8">
        <f>IFERROR(Invest!D$16/Invest!D$11,0)</f>
        <v>5.3782440640530095E-2</v>
      </c>
      <c r="E61" s="8">
        <f>IFERROR(Invest!E$16/Invest!E$11,0)</f>
        <v>6.9574975452377619E-2</v>
      </c>
      <c r="F61" s="8">
        <f>IFERROR(Invest!F$16/Invest!F$11,0)</f>
        <v>0.11957640829533756</v>
      </c>
      <c r="G61" s="80">
        <f>IFERROR(Invest!G$16/Invest!G$11,0)</f>
        <v>5.4872855578537535E-2</v>
      </c>
    </row>
    <row r="62" spans="1:7" ht="15" customHeight="1" x14ac:dyDescent="0.25">
      <c r="A62" s="712"/>
      <c r="B62" s="286" t="s">
        <v>862</v>
      </c>
      <c r="C62" s="8">
        <f>IFERROR(Invest!C$19/Invest!C$11,0)</f>
        <v>0.43960036330608537</v>
      </c>
      <c r="D62" s="8">
        <f>IFERROR(Invest!D$19/Invest!D$11,0)</f>
        <v>0.39337382661512976</v>
      </c>
      <c r="E62" s="8">
        <f>IFERROR(Invest!E$19/Invest!E$11,0)</f>
        <v>0.39949502033945855</v>
      </c>
      <c r="F62" s="8">
        <f>IFERROR(Invest!F$19/Invest!F$11,0)</f>
        <v>0.10619208707162818</v>
      </c>
      <c r="G62" s="80">
        <f>IFERROR(Invest!G$19/Invest!G$11,0)</f>
        <v>0</v>
      </c>
    </row>
    <row r="63" spans="1:7" ht="15" customHeight="1" x14ac:dyDescent="0.25">
      <c r="A63" s="712"/>
      <c r="B63" s="286" t="s">
        <v>258</v>
      </c>
      <c r="C63" s="8">
        <f>IFERROR((Invest!C$18+Invest!C$17)/Invest!C$11,0)</f>
        <v>0.16689373297002724</v>
      </c>
      <c r="D63" s="8">
        <f>IFERROR((Invest!D$18+Invest!D$17)/Invest!D$11,0)</f>
        <v>5.8972943125345116E-2</v>
      </c>
      <c r="E63" s="8">
        <f>IFERROR((Invest!E$18+Invest!E$17)/Invest!E$11,0)</f>
        <v>5.2882592228924115E-2</v>
      </c>
      <c r="F63" s="8">
        <f>IFERROR((Invest!F$18+Invest!F$17)/Invest!F$11,0)</f>
        <v>9.7367259891160463E-2</v>
      </c>
      <c r="G63" s="80">
        <f>IFERROR((Invest!G$18+Invest!G$17)/Invest!G$11,0)</f>
        <v>5.1952792310500061E-2</v>
      </c>
    </row>
    <row r="64" spans="1:7" ht="15" customHeight="1" x14ac:dyDescent="0.25">
      <c r="A64" s="712"/>
      <c r="B64" s="327" t="s">
        <v>881</v>
      </c>
      <c r="C64" s="123">
        <f>C$11-C$17-C$18-C$19-C$27</f>
        <v>1853</v>
      </c>
      <c r="D64" s="123">
        <f>D$11-D$17-D$18-D$19-D$27</f>
        <v>1897</v>
      </c>
      <c r="E64" s="123">
        <f>E$11-E$17-E$18-E$19-E$27</f>
        <v>1942</v>
      </c>
      <c r="F64" s="123">
        <f>F$11-F$17-F$18-F$19-F$27</f>
        <v>2457</v>
      </c>
      <c r="G64" s="212">
        <f>G$11-G$17-G$18-G$19-G$27</f>
        <v>3414</v>
      </c>
    </row>
    <row r="65" spans="1:8" ht="15" customHeight="1" x14ac:dyDescent="0.25">
      <c r="A65" s="712"/>
      <c r="B65" s="328" t="s">
        <v>882</v>
      </c>
      <c r="C65" s="272">
        <f>IFERROR(C$64/C$26,"-")</f>
        <v>0.12134905042567125</v>
      </c>
      <c r="D65" s="272">
        <f>IFERROR(D$64/D$26,"-")</f>
        <v>0.10456399514937714</v>
      </c>
      <c r="E65" s="272">
        <f>IFERROR(E$64/E$26,"-")</f>
        <v>0.10072614107883818</v>
      </c>
      <c r="F65" s="272">
        <f>IFERROR(F$64/F$26,"-")</f>
        <v>0.14657280916303764</v>
      </c>
      <c r="G65" s="133">
        <f>IFERROR(G$64/G$26,"-")</f>
        <v>0.17234590337725275</v>
      </c>
    </row>
    <row r="66" spans="1:8" ht="15" customHeight="1" x14ac:dyDescent="0.25">
      <c r="C66" s="291"/>
      <c r="D66" s="291"/>
      <c r="E66" s="291"/>
      <c r="F66" s="291"/>
      <c r="G66" s="291"/>
    </row>
    <row r="67" spans="1:8" ht="30" customHeight="1" x14ac:dyDescent="0.25">
      <c r="A67" s="290" t="s">
        <v>883</v>
      </c>
      <c r="B67" s="66" t="s">
        <v>884</v>
      </c>
      <c r="C67" s="67" cm="1">
        <f t="array" ref="C67">Exercice[Exercice N-4]</f>
        <v>2019</v>
      </c>
      <c r="D67" s="67" cm="1">
        <f t="array" ref="D67">Exercice[Exercice N-3]</f>
        <v>2020</v>
      </c>
      <c r="E67" s="67" cm="1">
        <f t="array" ref="E67">Exercice[Exercice N-2]</f>
        <v>2021</v>
      </c>
      <c r="F67" s="67" cm="1">
        <f t="array" ref="F67">Exercice[Exercice N-1]</f>
        <v>2022</v>
      </c>
      <c r="G67" s="69" cm="1">
        <f t="array" ref="G67">Exercice[Exercice N]</f>
        <v>2023</v>
      </c>
    </row>
    <row r="68" spans="1:8" ht="15" customHeight="1" x14ac:dyDescent="0.25">
      <c r="A68" s="712" t="s">
        <v>3169</v>
      </c>
      <c r="B68" s="284" t="s">
        <v>885</v>
      </c>
      <c r="C68" s="94" cm="1">
        <f t="array" ref="C68">SUMPRODUCT((cex_07[[client]:[client]]=syndicat_etude)*(cex_07[[annee]:[annee]]=Exercice[[Exercice N-4]:[Exercice N-4]])*(cex_07[[valeur]:[valeur]]))/1000</f>
        <v>200</v>
      </c>
      <c r="D68" s="94" cm="1">
        <f t="array" ref="D68">SUMPRODUCT((cex_07[[client]:[client]]=syndicat_etude)*(cex_07[[annee]:[annee]]=Exercice[[Exercice N-3]:[Exercice N-3]])*(cex_07[[valeur]:[valeur]]))/1000</f>
        <v>200</v>
      </c>
      <c r="E68" s="94" cm="1">
        <f t="array" ref="E68">SUMPRODUCT((cex_07[[client]:[client]]=syndicat_etude)*(cex_07[[annee]:[annee]]=Exercice[[Exercice N-2]:[Exercice N-2]])*(cex_07[[valeur]:[valeur]]))/1000</f>
        <v>187.16800000000001</v>
      </c>
      <c r="F68" s="94" cm="1">
        <f t="array" ref="F68">SUMPRODUCT((cex_07[[client]:[client]]=syndicat_etude)*(cex_07[[annee]:[annee]]=Exercice[[Exercice N-1]:[Exercice N-1]])*(cex_07[[valeur]:[valeur]]))/1000</f>
        <v>200</v>
      </c>
      <c r="G68" s="95" cm="1">
        <f t="array" ref="G68">SUMPRODUCT((cex_07[[client]:[client]]=syndicat_etude)*(cex_07[[annee]:[annee]]=Exercice[[Exercice N]:[Exercice N]])*(cex_07[[valeur]:[valeur]]))/1000</f>
        <v>200</v>
      </c>
    </row>
    <row r="70" spans="1:8" ht="30" customHeight="1" x14ac:dyDescent="0.25">
      <c r="A70" s="290" t="s">
        <v>886</v>
      </c>
      <c r="B70" s="66" t="s">
        <v>887</v>
      </c>
      <c r="C70" s="67" cm="1">
        <f t="array" ref="C70">Exercice[Exercice N-4]</f>
        <v>2019</v>
      </c>
      <c r="D70" s="67" cm="1">
        <f t="array" ref="D70">Exercice[Exercice N-3]</f>
        <v>2020</v>
      </c>
      <c r="E70" s="67" cm="1">
        <f t="array" ref="E70">Exercice[Exercice N-2]</f>
        <v>2021</v>
      </c>
      <c r="F70" s="67" cm="1">
        <f t="array" ref="F70">Exercice[Exercice N-1]</f>
        <v>2022</v>
      </c>
      <c r="G70" s="67" cm="1">
        <f t="array" ref="G70">Exercice[Exercice N]</f>
        <v>2023</v>
      </c>
      <c r="H70" s="76" t="s">
        <v>273</v>
      </c>
    </row>
    <row r="71" spans="1:8" ht="15" customHeight="1" x14ac:dyDescent="0.25">
      <c r="B71" s="50" t="s">
        <v>115</v>
      </c>
      <c r="C71" s="7" cm="1">
        <f t="array" ref="C71">SUMPRODUCT((cex_09[[client]:[client]]=syndicat_etude)*(cex_09[[annee]:[annee]]=Exercice[[Exercice N-4]:[Exercice N-4]])*(cex_09[[libelle_crac]:[libelle_crac]]=Invest!$B71)*(cex_09[[valeur]:[valeur]]))/1000</f>
        <v>59.762</v>
      </c>
      <c r="D71" s="7" cm="1">
        <f t="array" ref="D71">SUMPRODUCT((cex_09[[client]:[client]]=syndicat_etude)*(cex_09[[annee]:[annee]]=Exercice[[Exercice N-3]:[Exercice N-3]])*(cex_09[[libelle_crac]:[libelle_crac]]=Invest!$B71)*(cex_09[[valeur]:[valeur]]))/1000</f>
        <v>23.077000000000002</v>
      </c>
      <c r="E71" s="7" cm="1">
        <f t="array" ref="E71">SUMPRODUCT((cex_09[[client]:[client]]=syndicat_etude)*(cex_09[[annee]:[annee]]=Exercice[[Exercice N-2]:[Exercice N-2]])*(cex_09[[libelle_crac]:[libelle_crac]]=Invest!$B71)*(cex_09[[valeur]:[valeur]]))/1000</f>
        <v>145.20599999999999</v>
      </c>
      <c r="F71" s="7" cm="1">
        <f t="array" ref="F71">SUMPRODUCT((cex_09[[client]:[client]]=syndicat_etude)*(cex_09[[annee]:[annee]]=Exercice[[Exercice N-1]:[Exercice N-1]])*(cex_09[[libelle_crac]:[libelle_crac]]=Invest!$B71)*(cex_09[[valeur]:[valeur]]))/1000</f>
        <v>34.450000000000003</v>
      </c>
      <c r="G71" s="7" cm="1">
        <f t="array" ref="G71">SUMPRODUCT((cex_09[[client]:[client]]=syndicat_etude)*(cex_09[[annee]:[annee]]=Exercice[[Exercice N]:[Exercice N]])*(cex_09[[libelle_crac]:[libelle_crac]]=Invest!$B71)*(cex_09[[valeur]:[valeur]]))/1000</f>
        <v>28.614000000000001</v>
      </c>
      <c r="H71" s="101">
        <f t="shared" ref="H71:H77" si="1">IFERROR(G71/F71-1,"-")</f>
        <v>-0.16940493468795359</v>
      </c>
    </row>
    <row r="72" spans="1:8" ht="15" customHeight="1" x14ac:dyDescent="0.25">
      <c r="B72" s="50" t="s">
        <v>888</v>
      </c>
      <c r="C72" s="7" cm="1">
        <f t="array" ref="C72">SUMPRODUCT((cex_09[[client]:[client]]=syndicat_etude)*(cex_09[[annee]:[annee]]=Exercice[[Exercice N-4]:[Exercice N-4]])*(cex_09[[libelle_crac]:[libelle_crac]]=Invest!$B72)*(cex_09[[valeur]:[valeur]]))/1000</f>
        <v>0</v>
      </c>
      <c r="D72" s="7" cm="1">
        <f t="array" ref="D72">SUMPRODUCT((cex_09[[client]:[client]]=syndicat_etude)*(cex_09[[annee]:[annee]]=Exercice[[Exercice N-3]:[Exercice N-3]])*(cex_09[[libelle_crac]:[libelle_crac]]=Invest!$B72)*(cex_09[[valeur]:[valeur]]))/1000</f>
        <v>0</v>
      </c>
      <c r="E72" s="7" cm="1">
        <f t="array" ref="E72">SUMPRODUCT((cex_09[[client]:[client]]=syndicat_etude)*(cex_09[[annee]:[annee]]=Exercice[[Exercice N-2]:[Exercice N-2]])*(cex_09[[libelle_crac]:[libelle_crac]]=Invest!$B72)*(cex_09[[valeur]:[valeur]]))/1000</f>
        <v>0</v>
      </c>
      <c r="F72" s="7" cm="1">
        <f t="array" ref="F72">SUMPRODUCT((cex_09[[client]:[client]]=syndicat_etude)*(cex_09[[annee]:[annee]]=Exercice[[Exercice N-1]:[Exercice N-1]])*(cex_09[[libelle_crac]:[libelle_crac]]=Invest!$B72)*(cex_09[[valeur]:[valeur]]))/1000</f>
        <v>0</v>
      </c>
      <c r="G72" s="7" cm="1">
        <f t="array" ref="G72">SUMPRODUCT((cex_09[[client]:[client]]=syndicat_etude)*(cex_09[[annee]:[annee]]=Exercice[[Exercice N]:[Exercice N]])*(cex_09[[libelle_crac]:[libelle_crac]]=Invest!$B72)*(cex_09[[valeur]:[valeur]]))/1000</f>
        <v>0</v>
      </c>
      <c r="H72" s="101" t="str">
        <f t="shared" si="1"/>
        <v>-</v>
      </c>
    </row>
    <row r="73" spans="1:8" ht="15" customHeight="1" x14ac:dyDescent="0.25">
      <c r="B73" s="50" t="s">
        <v>113</v>
      </c>
      <c r="C73" s="7" cm="1">
        <f t="array" ref="C73">SUMPRODUCT((cex_09[[client]:[client]]=syndicat_etude)*(cex_09[[annee]:[annee]]=Exercice[[Exercice N-4]:[Exercice N-4]])*(cex_09[[libelle_crac]:[libelle_crac]]=Invest!$B73)*(cex_09[[valeur]:[valeur]]))/1000</f>
        <v>0.13300000000000001</v>
      </c>
      <c r="D73" s="7" cm="1">
        <f t="array" ref="D73">SUMPRODUCT((cex_09[[client]:[client]]=syndicat_etude)*(cex_09[[annee]:[annee]]=Exercice[[Exercice N-3]:[Exercice N-3]])*(cex_09[[libelle_crac]:[libelle_crac]]=Invest!$B73)*(cex_09[[valeur]:[valeur]]))/1000</f>
        <v>0</v>
      </c>
      <c r="E73" s="7" cm="1">
        <f t="array" ref="E73">SUMPRODUCT((cex_09[[client]:[client]]=syndicat_etude)*(cex_09[[annee]:[annee]]=Exercice[[Exercice N-2]:[Exercice N-2]])*(cex_09[[libelle_crac]:[libelle_crac]]=Invest!$B73)*(cex_09[[valeur]:[valeur]]))/1000</f>
        <v>0</v>
      </c>
      <c r="F73" s="7" cm="1">
        <f t="array" ref="F73">SUMPRODUCT((cex_09[[client]:[client]]=syndicat_etude)*(cex_09[[annee]:[annee]]=Exercice[[Exercice N-1]:[Exercice N-1]])*(cex_09[[libelle_crac]:[libelle_crac]]=Invest!$B73)*(cex_09[[valeur]:[valeur]]))/1000</f>
        <v>0</v>
      </c>
      <c r="G73" s="7" cm="1">
        <f t="array" ref="G73">SUMPRODUCT((cex_09[[client]:[client]]=syndicat_etude)*(cex_09[[annee]:[annee]]=Exercice[[Exercice N]:[Exercice N]])*(cex_09[[libelle_crac]:[libelle_crac]]=Invest!$B73)*(cex_09[[valeur]:[valeur]]))/1000</f>
        <v>0.66200000000000003</v>
      </c>
      <c r="H73" s="101" t="str">
        <f t="shared" si="1"/>
        <v>-</v>
      </c>
    </row>
    <row r="74" spans="1:8" ht="15" customHeight="1" x14ac:dyDescent="0.25">
      <c r="B74" s="293" t="s">
        <v>889</v>
      </c>
      <c r="C74" s="317">
        <f>SUM(C$71:C$73)</f>
        <v>59.895000000000003</v>
      </c>
      <c r="D74" s="317">
        <f>SUM(D$71:D$73)</f>
        <v>23.077000000000002</v>
      </c>
      <c r="E74" s="317">
        <f>SUM(E$71:E$73)</f>
        <v>145.20599999999999</v>
      </c>
      <c r="F74" s="317">
        <f>SUM(F$71:F$73)</f>
        <v>34.450000000000003</v>
      </c>
      <c r="G74" s="317">
        <f>SUM(G$71:G$73)</f>
        <v>29.276</v>
      </c>
      <c r="H74" s="318">
        <f t="shared" si="1"/>
        <v>-0.15018867924528312</v>
      </c>
    </row>
    <row r="75" spans="1:8" ht="15" customHeight="1" x14ac:dyDescent="0.25">
      <c r="B75" s="303" t="s">
        <v>890</v>
      </c>
      <c r="C75" s="319" cm="1">
        <f t="array" ref="C75">SUMPRODUCT((cex_09[[client]:[client]]=syndicat_etude)*(cex_09[[annee]:[annee]]=Exercice[[Exercice N-4]:[Exercice N-4]])*(cex_09[[libelle_crac]:[libelle_crac]]=Invest!$B75)*(cex_09[[valeur]:[valeur]]))/1000</f>
        <v>44.622</v>
      </c>
      <c r="D75" s="319" cm="1">
        <f t="array" ref="D75">SUMPRODUCT((cex_09[[client]:[client]]=syndicat_etude)*(cex_09[[annee]:[annee]]=Exercice[[Exercice N-3]:[Exercice N-3]])*(cex_09[[libelle_crac]:[libelle_crac]]=Invest!$B75)*(cex_09[[valeur]:[valeur]]))/1000</f>
        <v>10.167999999999999</v>
      </c>
      <c r="E75" s="319" cm="1">
        <f t="array" ref="E75">SUMPRODUCT((cex_09[[client]:[client]]=syndicat_etude)*(cex_09[[annee]:[annee]]=Exercice[[Exercice N-2]:[Exercice N-2]])*(cex_09[[libelle_crac]:[libelle_crac]]=Invest!$B75)*(cex_09[[valeur]:[valeur]]))/1000</f>
        <v>130.43100000000001</v>
      </c>
      <c r="F75" s="319" cm="1">
        <f t="array" ref="F75">SUMPRODUCT((cex_09[[client]:[client]]=syndicat_etude)*(cex_09[[annee]:[annee]]=Exercice[[Exercice N-1]:[Exercice N-1]])*(cex_09[[libelle_crac]:[libelle_crac]]=Invest!$B75)*(cex_09[[valeur]:[valeur]]))/1000</f>
        <v>22.38</v>
      </c>
      <c r="G75" s="319" cm="1">
        <f t="array" ref="G75">SUMPRODUCT((cex_09[[client]:[client]]=syndicat_etude)*(cex_09[[annee]:[annee]]=Exercice[[Exercice N]:[Exercice N]])*(cex_09[[libelle_crac]:[libelle_crac]]=Invest!$B75)*(cex_09[[valeur]:[valeur]]))/1000</f>
        <v>19.097999999999999</v>
      </c>
      <c r="H75" s="120">
        <f t="shared" si="1"/>
        <v>-0.14664879356568361</v>
      </c>
    </row>
    <row r="76" spans="1:8" ht="15" customHeight="1" x14ac:dyDescent="0.25">
      <c r="B76" s="303" t="s">
        <v>891</v>
      </c>
      <c r="C76" s="319" cm="1">
        <f t="array" ref="C76">SUMPRODUCT((cex_09[[client]:[client]]=syndicat_etude)*(cex_09[[annee]:[annee]]=Exercice[[Exercice N-4]:[Exercice N-4]])*(cex_09[[libelle_crac]:[libelle_crac]]=Invest!$B76)*(cex_09[[valeur]:[valeur]]))/1000</f>
        <v>10.138</v>
      </c>
      <c r="D76" s="319" cm="1">
        <f t="array" ref="D76">SUMPRODUCT((cex_09[[client]:[client]]=syndicat_etude)*(cex_09[[annee]:[annee]]=Exercice[[Exercice N-3]:[Exercice N-3]])*(cex_09[[libelle_crac]:[libelle_crac]]=Invest!$B76)*(cex_09[[valeur]:[valeur]]))/1000</f>
        <v>5.5119999999999996</v>
      </c>
      <c r="E76" s="319" cm="1">
        <f t="array" ref="E76">SUMPRODUCT((cex_09[[client]:[client]]=syndicat_etude)*(cex_09[[annee]:[annee]]=Exercice[[Exercice N-2]:[Exercice N-2]])*(cex_09[[libelle_crac]:[libelle_crac]]=Invest!$B76)*(cex_09[[valeur]:[valeur]]))/1000</f>
        <v>7.4729999999999999</v>
      </c>
      <c r="F76" s="319" cm="1">
        <f t="array" ref="F76">SUMPRODUCT((cex_09[[client]:[client]]=syndicat_etude)*(cex_09[[annee]:[annee]]=Exercice[[Exercice N-1]:[Exercice N-1]])*(cex_09[[libelle_crac]:[libelle_crac]]=Invest!$B76)*(cex_09[[valeur]:[valeur]]))/1000</f>
        <v>10.202</v>
      </c>
      <c r="G76" s="319" cm="1">
        <f t="array" ref="G76">SUMPRODUCT((cex_09[[client]:[client]]=syndicat_etude)*(cex_09[[annee]:[annee]]=Exercice[[Exercice N]:[Exercice N]])*(cex_09[[libelle_crac]:[libelle_crac]]=Invest!$B76)*(cex_09[[valeur]:[valeur]]))/1000</f>
        <v>4.1159999999999997</v>
      </c>
      <c r="H76" s="120">
        <f t="shared" si="1"/>
        <v>-0.59654969613801212</v>
      </c>
    </row>
    <row r="77" spans="1:8" ht="15" customHeight="1" x14ac:dyDescent="0.25">
      <c r="B77" s="303" t="s">
        <v>892</v>
      </c>
      <c r="C77" s="319" cm="1">
        <f t="array" ref="C77">SUMPRODUCT((cex_09[[client]:[client]]=syndicat_etude)*(cex_09[[annee]:[annee]]=Exercice[[Exercice N-4]:[Exercice N-4]])*(cex_09[[libelle_crac]:[libelle_crac]]=Invest!$B77)*(cex_09[[valeur]:[valeur]]))/1000</f>
        <v>5.1280000000000001</v>
      </c>
      <c r="D77" s="319" cm="1">
        <f t="array" ref="D77">SUMPRODUCT((cex_09[[client]:[client]]=syndicat_etude)*(cex_09[[annee]:[annee]]=Exercice[[Exercice N-3]:[Exercice N-3]])*(cex_09[[libelle_crac]:[libelle_crac]]=Invest!$B77)*(cex_09[[valeur]:[valeur]]))/1000</f>
        <v>7.3970000000000002</v>
      </c>
      <c r="E77" s="319" cm="1">
        <f t="array" ref="E77">SUMPRODUCT((cex_09[[client]:[client]]=syndicat_etude)*(cex_09[[annee]:[annee]]=Exercice[[Exercice N-2]:[Exercice N-2]])*(cex_09[[libelle_crac]:[libelle_crac]]=Invest!$B77)*(cex_09[[valeur]:[valeur]]))/1000</f>
        <v>7.3019999999999996</v>
      </c>
      <c r="F77" s="319" cm="1">
        <f t="array" ref="F77">SUMPRODUCT((cex_09[[client]:[client]]=syndicat_etude)*(cex_09[[annee]:[annee]]=Exercice[[Exercice N-1]:[Exercice N-1]])*(cex_09[[libelle_crac]:[libelle_crac]]=Invest!$B77)*(cex_09[[valeur]:[valeur]]))/1000</f>
        <v>1.8680000000000001</v>
      </c>
      <c r="G77" s="319" cm="1">
        <f t="array" ref="G77">SUMPRODUCT((cex_09[[client]:[client]]=syndicat_etude)*(cex_09[[annee]:[annee]]=Exercice[[Exercice N]:[Exercice N]])*(cex_09[[libelle_crac]:[libelle_crac]]=Invest!$B77)*(cex_09[[valeur]:[valeur]]))/1000</f>
        <v>6.0620000000000003</v>
      </c>
      <c r="H77" s="120">
        <f t="shared" si="1"/>
        <v>2.2451820128479656</v>
      </c>
    </row>
    <row r="78" spans="1:8" ht="15" customHeight="1" x14ac:dyDescent="0.25">
      <c r="B78" s="322" t="s">
        <v>893</v>
      </c>
      <c r="C78" s="323">
        <f>IFERROR((C$76+C$77)/Pat_Tech!C$20,"")</f>
        <v>3.2529992115749324E-3</v>
      </c>
      <c r="D78" s="323">
        <f>IFERROR((D$76+D$77)/Pat_Tech!D$20,"")</f>
        <v>2.7395428789711591E-3</v>
      </c>
      <c r="E78" s="323">
        <f>IFERROR((E$76+E$77)/Pat_Tech!E$20,"")</f>
        <v>3.0405613977321833E-3</v>
      </c>
      <c r="F78" s="323">
        <f>IFERROR((F$76+F$77)/Pat_Tech!F$20,"")</f>
        <v>2.4665876486696368E-3</v>
      </c>
      <c r="G78" s="323">
        <f>IFERROR((G$76+G$77)/Pat_Tech!G$20,"")</f>
        <v>2.0658858871049589E-3</v>
      </c>
      <c r="H78" s="325"/>
    </row>
    <row r="79" spans="1:8" ht="15" customHeight="1" x14ac:dyDescent="0.25">
      <c r="B79" s="103"/>
      <c r="C79" s="27"/>
      <c r="D79" s="27"/>
      <c r="E79" s="27"/>
      <c r="F79" s="27"/>
      <c r="G79" s="27"/>
      <c r="H79" s="324"/>
    </row>
    <row r="80" spans="1:8" ht="30" customHeight="1" x14ac:dyDescent="0.25">
      <c r="A80" s="290" t="s">
        <v>894</v>
      </c>
      <c r="B80" s="66" t="s">
        <v>895</v>
      </c>
      <c r="C80" s="67" cm="1">
        <f t="array" ref="C80">Exercice[Exercice N-4]</f>
        <v>2019</v>
      </c>
      <c r="D80" s="67" cm="1">
        <f t="array" ref="D80">Exercice[Exercice N-3]</f>
        <v>2020</v>
      </c>
      <c r="E80" s="67" cm="1">
        <f t="array" ref="E80">Exercice[Exercice N-2]</f>
        <v>2021</v>
      </c>
      <c r="F80" s="67" cm="1">
        <f t="array" ref="F80">Exercice[Exercice N-1]</f>
        <v>2022</v>
      </c>
      <c r="G80" s="67" cm="1">
        <f t="array" ref="G80">Exercice[Exercice N]</f>
        <v>2023</v>
      </c>
      <c r="H80" s="76" t="s">
        <v>273</v>
      </c>
    </row>
    <row r="81" spans="2:8" ht="15" customHeight="1" x14ac:dyDescent="0.25">
      <c r="B81" s="50" t="s">
        <v>115</v>
      </c>
      <c r="C81" s="7" cm="1">
        <f t="array" ref="C81">SUMPRODUCT((cex_10[[client]:[client]]=syndicat_etude)*(cex_10[[annee]:[annee]]=Exercice[[Exercice N-4]:[Exercice N-4]])*(cex_10[[libelle_crac]:[libelle_crac]]=Invest!$B81)*(cex_10[[valeur]:[valeur]]))/1000</f>
        <v>6.8609999999999998</v>
      </c>
      <c r="D81" s="7" cm="1">
        <f t="array" ref="D81">SUMPRODUCT((cex_10[[client]:[client]]=syndicat_etude)*(cex_10[[annee]:[annee]]=Exercice[[Exercice N-3]:[Exercice N-3]])*(cex_10[[libelle_crac]:[libelle_crac]]=Invest!$B81)*(cex_10[[valeur]:[valeur]]))/1000</f>
        <v>6.9729999999999999</v>
      </c>
      <c r="E81" s="7" cm="1">
        <f t="array" ref="E81">SUMPRODUCT((cex_10[[client]:[client]]=syndicat_etude)*(cex_10[[annee]:[annee]]=Exercice[[Exercice N-2]:[Exercice N-2]])*(cex_10[[libelle_crac]:[libelle_crac]]=Invest!$B81)*(cex_10[[valeur]:[valeur]]))/1000</f>
        <v>9.2430000000000003</v>
      </c>
      <c r="F81" s="7" cm="1">
        <f t="array" ref="F81">SUMPRODUCT((cex_10[[client]:[client]]=syndicat_etude)*(cex_10[[annee]:[annee]]=Exercice[[Exercice N-1]:[Exercice N-1]])*(cex_10[[libelle_crac]:[libelle_crac]]=Invest!$B81)*(cex_10[[valeur]:[valeur]]))/1000</f>
        <v>8.4819999999999993</v>
      </c>
      <c r="G81" s="7" cm="1">
        <f t="array" ref="G81">SUMPRODUCT((cex_10[[client]:[client]]=syndicat_etude)*(cex_10[[annee]:[annee]]=Exercice[[Exercice N]:[Exercice N]])*(cex_10[[libelle_crac]:[libelle_crac]]=Invest!$B81)*(cex_10[[valeur]:[valeur]]))/1000</f>
        <v>12.145</v>
      </c>
      <c r="H81" s="101">
        <f>IFERROR(G81/F81-1,"-")</f>
        <v>0.43185569441169536</v>
      </c>
    </row>
    <row r="82" spans="2:8" ht="15" customHeight="1" x14ac:dyDescent="0.25">
      <c r="B82" s="50" t="s">
        <v>888</v>
      </c>
      <c r="C82" s="7" cm="1">
        <f t="array" ref="C82">SUMPRODUCT((cex_10[[client]:[client]]=syndicat_etude)*(cex_10[[annee]:[annee]]=Exercice[[Exercice N-4]:[Exercice N-4]])*(cex_10[[libelle_crac]:[libelle_crac]]=Invest!$B82)*(cex_10[[valeur]:[valeur]]))/1000</f>
        <v>0.86299999999999999</v>
      </c>
      <c r="D82" s="7" cm="1">
        <f t="array" ref="D82">SUMPRODUCT((cex_10[[client]:[client]]=syndicat_etude)*(cex_10[[annee]:[annee]]=Exercice[[Exercice N-3]:[Exercice N-3]])*(cex_10[[libelle_crac]:[libelle_crac]]=Invest!$B82)*(cex_10[[valeur]:[valeur]]))/1000</f>
        <v>1.325</v>
      </c>
      <c r="E82" s="7" cm="1">
        <f t="array" ref="E82">SUMPRODUCT((cex_10[[client]:[client]]=syndicat_etude)*(cex_10[[annee]:[annee]]=Exercice[[Exercice N-2]:[Exercice N-2]])*(cex_10[[libelle_crac]:[libelle_crac]]=Invest!$B82)*(cex_10[[valeur]:[valeur]]))/1000</f>
        <v>1.2330000000000001</v>
      </c>
      <c r="F82" s="7" cm="1">
        <f t="array" ref="F82">SUMPRODUCT((cex_10[[client]:[client]]=syndicat_etude)*(cex_10[[annee]:[annee]]=Exercice[[Exercice N-1]:[Exercice N-1]])*(cex_10[[libelle_crac]:[libelle_crac]]=Invest!$B82)*(cex_10[[valeur]:[valeur]]))/1000</f>
        <v>1.323</v>
      </c>
      <c r="G82" s="7" cm="1">
        <f t="array" ref="G82">SUMPRODUCT((cex_10[[client]:[client]]=syndicat_etude)*(cex_10[[annee]:[annee]]=Exercice[[Exercice N]:[Exercice N]])*(cex_10[[libelle_crac]:[libelle_crac]]=Invest!$B82)*(cex_10[[valeur]:[valeur]]))/1000</f>
        <v>4.5650000000000004</v>
      </c>
      <c r="H82" s="101">
        <f t="shared" ref="H82:H87" si="2">IFERROR(G82/F82-1,"-")</f>
        <v>2.4504913076341652</v>
      </c>
    </row>
    <row r="83" spans="2:8" ht="15" customHeight="1" x14ac:dyDescent="0.25">
      <c r="B83" s="50" t="s">
        <v>113</v>
      </c>
      <c r="C83" s="7" cm="1">
        <f t="array" ref="C83">SUMPRODUCT((cex_10[[client]:[client]]=syndicat_etude)*(cex_10[[annee]:[annee]]=Exercice[[Exercice N-4]:[Exercice N-4]])*(cex_10[[libelle_crac]:[libelle_crac]]=Invest!$B83)*(cex_10[[valeur]:[valeur]]))/1000</f>
        <v>0</v>
      </c>
      <c r="D83" s="7" cm="1">
        <f t="array" ref="D83">SUMPRODUCT((cex_10[[client]:[client]]=syndicat_etude)*(cex_10[[annee]:[annee]]=Exercice[[Exercice N-3]:[Exercice N-3]])*(cex_10[[libelle_crac]:[libelle_crac]]=Invest!$B83)*(cex_10[[valeur]:[valeur]]))/1000</f>
        <v>0</v>
      </c>
      <c r="E83" s="7" cm="1">
        <f t="array" ref="E83">SUMPRODUCT((cex_10[[client]:[client]]=syndicat_etude)*(cex_10[[annee]:[annee]]=Exercice[[Exercice N-2]:[Exercice N-2]])*(cex_10[[libelle_crac]:[libelle_crac]]=Invest!$B83)*(cex_10[[valeur]:[valeur]]))/1000</f>
        <v>0</v>
      </c>
      <c r="F83" s="7" cm="1">
        <f t="array" ref="F83">SUMPRODUCT((cex_10[[client]:[client]]=syndicat_etude)*(cex_10[[annee]:[annee]]=Exercice[[Exercice N-1]:[Exercice N-1]])*(cex_10[[libelle_crac]:[libelle_crac]]=Invest!$B83)*(cex_10[[valeur]:[valeur]]))/1000</f>
        <v>0</v>
      </c>
      <c r="G83" s="7" cm="1">
        <f t="array" ref="G83">SUMPRODUCT((cex_10[[client]:[client]]=syndicat_etude)*(cex_10[[annee]:[annee]]=Exercice[[Exercice N]:[Exercice N]])*(cex_10[[libelle_crac]:[libelle_crac]]=Invest!$B83)*(cex_10[[valeur]:[valeur]]))/1000</f>
        <v>0</v>
      </c>
      <c r="H83" s="101" t="str">
        <f t="shared" si="2"/>
        <v>-</v>
      </c>
    </row>
    <row r="84" spans="2:8" ht="15" customHeight="1" x14ac:dyDescent="0.25">
      <c r="B84" s="293" t="s">
        <v>896</v>
      </c>
      <c r="C84" s="317">
        <f>SUM(C$81:C$83)</f>
        <v>7.7240000000000002</v>
      </c>
      <c r="D84" s="317">
        <f>SUM(D$81:D$83)</f>
        <v>8.298</v>
      </c>
      <c r="E84" s="317">
        <f>SUM(E$81:E$83)</f>
        <v>10.476000000000001</v>
      </c>
      <c r="F84" s="317">
        <f>SUM(F$81:F$83)</f>
        <v>9.8049999999999997</v>
      </c>
      <c r="G84" s="317">
        <f>SUM(G$81:G$83)</f>
        <v>16.71</v>
      </c>
      <c r="H84" s="318">
        <f t="shared" si="2"/>
        <v>0.7042325344212137</v>
      </c>
    </row>
    <row r="85" spans="2:8" ht="15" customHeight="1" x14ac:dyDescent="0.25">
      <c r="B85" s="303" t="s">
        <v>890</v>
      </c>
      <c r="C85" s="319" cm="1">
        <f t="array" ref="C85">SUMPRODUCT((cex_10[[client]:[client]]=syndicat_etude)*(cex_10[[annee]:[annee]]=Exercice[[Exercice N-4]:[Exercice N-4]])*(cex_10[[libelle_crac]:[libelle_crac]]=Invest!$B85)*(cex_10[[valeur]:[valeur]]))/1000</f>
        <v>4.4640000000000004</v>
      </c>
      <c r="D85" s="319" cm="1">
        <f t="array" ref="D85">SUMPRODUCT((cex_10[[client]:[client]]=syndicat_etude)*(cex_10[[annee]:[annee]]=Exercice[[Exercice N-3]:[Exercice N-3]])*(cex_10[[libelle_crac]:[libelle_crac]]=Invest!$B85)*(cex_10[[valeur]:[valeur]]))/1000</f>
        <v>5.391</v>
      </c>
      <c r="E85" s="319" cm="1">
        <f t="array" ref="E85">SUMPRODUCT((cex_10[[client]:[client]]=syndicat_etude)*(cex_10[[annee]:[annee]]=Exercice[[Exercice N-2]:[Exercice N-2]])*(cex_10[[libelle_crac]:[libelle_crac]]=Invest!$B85)*(cex_10[[valeur]:[valeur]]))/1000</f>
        <v>6.16</v>
      </c>
      <c r="F85" s="319" cm="1">
        <f t="array" ref="F85">SUMPRODUCT((cex_10[[client]:[client]]=syndicat_etude)*(cex_10[[annee]:[annee]]=Exercice[[Exercice N-1]:[Exercice N-1]])*(cex_10[[libelle_crac]:[libelle_crac]]=Invest!$B85)*(cex_10[[valeur]:[valeur]]))/1000</f>
        <v>6.702</v>
      </c>
      <c r="G85" s="319" cm="1">
        <f t="array" ref="G85">SUMPRODUCT((cex_10[[client]:[client]]=syndicat_etude)*(cex_10[[annee]:[annee]]=Exercice[[Exercice N]:[Exercice N]])*(cex_10[[libelle_crac]:[libelle_crac]]=Invest!$B85)*(cex_10[[valeur]:[valeur]]))/1000</f>
        <v>10.135</v>
      </c>
      <c r="H85" s="120">
        <f t="shared" si="2"/>
        <v>0.51223515368546702</v>
      </c>
    </row>
    <row r="86" spans="2:8" ht="15" customHeight="1" x14ac:dyDescent="0.25">
      <c r="B86" s="303" t="s">
        <v>891</v>
      </c>
      <c r="C86" s="319" cm="1">
        <f t="array" ref="C86">SUMPRODUCT((cex_10[[client]:[client]]=syndicat_etude)*(cex_10[[annee]:[annee]]=Exercice[[Exercice N-4]:[Exercice N-4]])*(cex_10[[libelle_crac]:[libelle_crac]]=Invest!$B86)*(cex_10[[valeur]:[valeur]]))/1000</f>
        <v>2.863</v>
      </c>
      <c r="D86" s="319" cm="1">
        <f t="array" ref="D86">SUMPRODUCT((cex_10[[client]:[client]]=syndicat_etude)*(cex_10[[annee]:[annee]]=Exercice[[Exercice N-3]:[Exercice N-3]])*(cex_10[[libelle_crac]:[libelle_crac]]=Invest!$B86)*(cex_10[[valeur]:[valeur]]))/1000</f>
        <v>2.4649999999999999</v>
      </c>
      <c r="E86" s="319" cm="1">
        <f t="array" ref="E86">SUMPRODUCT((cex_10[[client]:[client]]=syndicat_etude)*(cex_10[[annee]:[annee]]=Exercice[[Exercice N-2]:[Exercice N-2]])*(cex_10[[libelle_crac]:[libelle_crac]]=Invest!$B86)*(cex_10[[valeur]:[valeur]]))/1000</f>
        <v>4.25</v>
      </c>
      <c r="F86" s="319" cm="1">
        <f t="array" ref="F86">SUMPRODUCT((cex_10[[client]:[client]]=syndicat_etude)*(cex_10[[annee]:[annee]]=Exercice[[Exercice N-1]:[Exercice N-1]])*(cex_10[[libelle_crac]:[libelle_crac]]=Invest!$B86)*(cex_10[[valeur]:[valeur]]))/1000</f>
        <v>2.2349999999999999</v>
      </c>
      <c r="G86" s="319" cm="1">
        <f t="array" ref="G86">SUMPRODUCT((cex_10[[client]:[client]]=syndicat_etude)*(cex_10[[annee]:[annee]]=Exercice[[Exercice N]:[Exercice N]])*(cex_10[[libelle_crac]:[libelle_crac]]=Invest!$B86)*(cex_10[[valeur]:[valeur]]))/1000</f>
        <v>6.2069999999999999</v>
      </c>
      <c r="H86" s="120">
        <f t="shared" si="2"/>
        <v>1.7771812080536913</v>
      </c>
    </row>
    <row r="87" spans="2:8" ht="15" customHeight="1" x14ac:dyDescent="0.25">
      <c r="B87" s="303" t="s">
        <v>892</v>
      </c>
      <c r="C87" s="319" cm="1">
        <f t="array" ref="C87">SUMPRODUCT((cex_10[[client]:[client]]=syndicat_etude)*(cex_10[[annee]:[annee]]=Exercice[[Exercice N-4]:[Exercice N-4]])*(cex_10[[libelle_crac]:[libelle_crac]]=Invest!$B87)*(cex_10[[valeur]:[valeur]]))/1000</f>
        <v>0.39700000000000002</v>
      </c>
      <c r="D87" s="319" cm="1">
        <f t="array" ref="D87">SUMPRODUCT((cex_10[[client]:[client]]=syndicat_etude)*(cex_10[[annee]:[annee]]=Exercice[[Exercice N-3]:[Exercice N-3]])*(cex_10[[libelle_crac]:[libelle_crac]]=Invest!$B87)*(cex_10[[valeur]:[valeur]]))/1000</f>
        <v>0.442</v>
      </c>
      <c r="E87" s="319" cm="1">
        <f t="array" ref="E87">SUMPRODUCT((cex_10[[client]:[client]]=syndicat_etude)*(cex_10[[annee]:[annee]]=Exercice[[Exercice N-2]:[Exercice N-2]])*(cex_10[[libelle_crac]:[libelle_crac]]=Invest!$B87)*(cex_10[[valeur]:[valeur]]))/1000</f>
        <v>6.6000000000000003E-2</v>
      </c>
      <c r="F87" s="319" cm="1">
        <f t="array" ref="F87">SUMPRODUCT((cex_10[[client]:[client]]=syndicat_etude)*(cex_10[[annee]:[annee]]=Exercice[[Exercice N-1]:[Exercice N-1]])*(cex_10[[libelle_crac]:[libelle_crac]]=Invest!$B87)*(cex_10[[valeur]:[valeur]]))/1000</f>
        <v>0.86799999999999999</v>
      </c>
      <c r="G87" s="319" cm="1">
        <f t="array" ref="G87">SUMPRODUCT((cex_10[[client]:[client]]=syndicat_etude)*(cex_10[[annee]:[annee]]=Exercice[[Exercice N]:[Exercice N]])*(cex_10[[libelle_crac]:[libelle_crac]]=Invest!$B87)*(cex_10[[valeur]:[valeur]]))/1000</f>
        <v>0.36799999999999999</v>
      </c>
      <c r="H87" s="120">
        <f t="shared" si="2"/>
        <v>-0.57603686635944706</v>
      </c>
    </row>
    <row r="88" spans="2:8" ht="15" customHeight="1" x14ac:dyDescent="0.25">
      <c r="B88" s="322" t="s">
        <v>897</v>
      </c>
      <c r="C88" s="323">
        <f>IFERROR((C$86+C$87)/Pat_Tech!C$399,"")</f>
        <v>8.9608936704755032E-4</v>
      </c>
      <c r="D88" s="323">
        <f>IFERROR((D$86+D$87)/Pat_Tech!D$399,"")</f>
        <v>7.9429484814951435E-4</v>
      </c>
      <c r="E88" s="323">
        <f>IFERROR((E$86+E$87)/Pat_Tech!E$399,"")</f>
        <v>1.1692642791930018E-3</v>
      </c>
      <c r="F88" s="323">
        <f>IFERROR((F$86+F$87)/Pat_Tech!F$399,"")</f>
        <v>8.3712146759290474E-4</v>
      </c>
      <c r="G88" s="323">
        <f>IFERROR((G$86+G$87)/Pat_Tech!G$399,"")</f>
        <v>1.7580636967199747E-3</v>
      </c>
      <c r="H88" s="32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AE664-FD4D-4DA5-A8BA-C9DC848FE869}">
  <sheetPr codeName="Feuil7">
    <tabColor theme="9" tint="0.39997558519241921"/>
  </sheetPr>
  <dimension ref="A1:K226"/>
  <sheetViews>
    <sheetView topLeftCell="K163" zoomScale="85" zoomScaleNormal="85" workbookViewId="0">
      <selection activeCell="AI188" sqref="AI188:AI189"/>
    </sheetView>
  </sheetViews>
  <sheetFormatPr defaultColWidth="11.7109375" defaultRowHeight="15" customHeight="1" x14ac:dyDescent="0.25"/>
  <cols>
    <col min="1" max="1" width="15.7109375" style="25" customWidth="1"/>
    <col min="2" max="2" width="55.7109375" style="25" customWidth="1"/>
    <col min="3" max="6" width="11.7109375" style="25"/>
    <col min="7" max="7" width="11.7109375" style="25" customWidth="1"/>
    <col min="8" max="16384" width="11.7109375" style="25"/>
  </cols>
  <sheetData>
    <row r="1" spans="1:8" ht="40.15" customHeight="1" x14ac:dyDescent="0.25">
      <c r="A1" s="97" t="s">
        <v>898</v>
      </c>
    </row>
    <row r="4" spans="1:8" ht="30" customHeight="1" x14ac:dyDescent="0.25">
      <c r="A4" s="25" t="s">
        <v>899</v>
      </c>
      <c r="B4" s="66" t="s">
        <v>900</v>
      </c>
      <c r="C4" s="67" cm="1">
        <f t="array" ref="C4">Exercice[Exercice N-4]</f>
        <v>2019</v>
      </c>
      <c r="D4" s="67" cm="1">
        <f t="array" ref="D4">Exercice[Exercice N-3]</f>
        <v>2020</v>
      </c>
      <c r="E4" s="67" cm="1">
        <f t="array" ref="E4">Exercice[Exercice N-2]</f>
        <v>2021</v>
      </c>
      <c r="F4" s="67" cm="1">
        <f t="array" ref="F4">Exercice[Exercice N-1]</f>
        <v>2022</v>
      </c>
      <c r="G4" s="67" cm="1">
        <f t="array" ref="G4">Exercice[Exercice N]</f>
        <v>2023</v>
      </c>
      <c r="H4" s="68" t="s">
        <v>273</v>
      </c>
    </row>
    <row r="5" spans="1:8" ht="15" customHeight="1" x14ac:dyDescent="0.25">
      <c r="A5" s="59" t="s">
        <v>3166</v>
      </c>
      <c r="B5" s="126" t="s">
        <v>901</v>
      </c>
      <c r="C5" s="134">
        <f>C$56/1000</f>
        <v>529.57897300000002</v>
      </c>
      <c r="D5" s="134">
        <f>D$56/1000</f>
        <v>546.27222400000005</v>
      </c>
      <c r="E5" s="134">
        <f>E$56/1000</f>
        <v>568.31852000000003</v>
      </c>
      <c r="F5" s="134">
        <f>F$56/1000</f>
        <v>588.23829699999987</v>
      </c>
      <c r="G5" s="134">
        <f>G$56/1000</f>
        <v>605.87709999999981</v>
      </c>
      <c r="H5" s="120">
        <f t="shared" ref="H5:H11" si="0">IFERROR(G5/F5-1,"-")</f>
        <v>2.998581202542816E-2</v>
      </c>
    </row>
    <row r="6" spans="1:8" ht="15" customHeight="1" x14ac:dyDescent="0.25">
      <c r="A6" s="59" t="s">
        <v>3168</v>
      </c>
      <c r="B6" s="50" t="s">
        <v>902</v>
      </c>
      <c r="C6" s="11">
        <f>C$86/1000</f>
        <v>229.32256400000003</v>
      </c>
      <c r="D6" s="11">
        <f>D$86/1000</f>
        <v>241.56425200000007</v>
      </c>
      <c r="E6" s="11">
        <f>E$86/1000</f>
        <v>254.066259</v>
      </c>
      <c r="F6" s="11">
        <f>F$86/1000</f>
        <v>270.42305099999999</v>
      </c>
      <c r="G6" s="11">
        <f>G$86/1000</f>
        <v>283.78873500000003</v>
      </c>
      <c r="H6" s="243">
        <f t="shared" si="0"/>
        <v>4.9425091354361017E-2</v>
      </c>
    </row>
    <row r="7" spans="1:8" ht="15" customHeight="1" x14ac:dyDescent="0.25">
      <c r="A7" s="59"/>
      <c r="B7" s="110" t="s">
        <v>903</v>
      </c>
      <c r="C7" s="17">
        <f>IFERROR(C$6/C$5,"-")</f>
        <v>0.43302807643761948</v>
      </c>
      <c r="D7" s="17">
        <f>IFERROR(D$6/D$5,"-")</f>
        <v>0.4422048959970552</v>
      </c>
      <c r="E7" s="17">
        <f>IFERROR(E$6/E$5,"-")</f>
        <v>0.44704905798248484</v>
      </c>
      <c r="F7" s="17">
        <f>IFERROR(F$6/F$5,"-")</f>
        <v>0.45971683989150414</v>
      </c>
      <c r="G7" s="17">
        <f>IFERROR(G$6/G$5,"-")</f>
        <v>0.4683932351957189</v>
      </c>
      <c r="H7" s="120">
        <f t="shared" si="0"/>
        <v>1.8873346702423355E-2</v>
      </c>
    </row>
    <row r="8" spans="1:8" ht="15" customHeight="1" x14ac:dyDescent="0.25">
      <c r="A8" s="59"/>
      <c r="B8" s="126" t="s">
        <v>904</v>
      </c>
      <c r="C8" s="134">
        <f>C$71/1000</f>
        <v>300.25640800000002</v>
      </c>
      <c r="D8" s="134">
        <f>D$71/1000</f>
        <v>304.70797199999998</v>
      </c>
      <c r="E8" s="134">
        <f>E$71/1000</f>
        <v>314.25226000000004</v>
      </c>
      <c r="F8" s="134">
        <f>F$71/1000</f>
        <v>317.81524400000001</v>
      </c>
      <c r="G8" s="134">
        <f>G$71/1000</f>
        <v>322.08836400000001</v>
      </c>
      <c r="H8" s="120">
        <f t="shared" si="0"/>
        <v>1.3445295909091159E-2</v>
      </c>
    </row>
    <row r="9" spans="1:8" ht="15" customHeight="1" x14ac:dyDescent="0.25">
      <c r="A9" s="59"/>
      <c r="B9" s="364" t="s">
        <v>905</v>
      </c>
      <c r="C9" s="365" cm="1">
        <f t="array" ref="C9">SUMPRODUCT((pat_fin_04[[client]:[client]]=syndicat_etude)*(pat_fin_04[[annee]:[annee]]=C$4)*(pat_fin_04[nbr_usr]))/1000</f>
        <v>176.922</v>
      </c>
      <c r="D9" s="365" cm="1">
        <f t="array" ref="D9">SUMPRODUCT((pat_fin_04[[client]:[client]]=syndicat_etude)*(pat_fin_04[[annee]:[annee]]=D$4)*(pat_fin_04[nbr_usr]))/1000</f>
        <v>177.97399999999999</v>
      </c>
      <c r="E9" s="365" cm="1">
        <f t="array" ref="E9">SUMPRODUCT((pat_fin_04[[client]:[client]]=syndicat_etude)*(pat_fin_04[[annee]:[annee]]=E$4)*(pat_fin_04[nbr_usr]))/1000</f>
        <v>179.59</v>
      </c>
      <c r="F9" s="365" cm="1">
        <f t="array" ref="F9">SUMPRODUCT((pat_fin_04[[client]:[client]]=syndicat_etude)*(pat_fin_04[[annee]:[annee]]=F$4)*(pat_fin_04[nbr_usr]))/1000</f>
        <v>180.595</v>
      </c>
      <c r="G9" s="365" cm="1">
        <f t="array" ref="G9">SUMPRODUCT((pat_fin_04[[client]:[client]]=syndicat_etude)*(pat_fin_04[[annee]:[annee]]=G$4)*(pat_fin_04[nbr_usr]))/1000</f>
        <v>181.97499999999999</v>
      </c>
      <c r="H9" s="257">
        <f>IFERROR(G9/F9-1,"-")</f>
        <v>7.6414075694233308E-3</v>
      </c>
    </row>
    <row r="10" spans="1:8" ht="15" customHeight="1" x14ac:dyDescent="0.25">
      <c r="A10" s="59"/>
      <c r="B10" s="126" t="s">
        <v>5323</v>
      </c>
      <c r="C10" s="134">
        <f>IFERROR(C$5/C$9*10^3,"-")</f>
        <v>2993.2906761171594</v>
      </c>
      <c r="D10" s="134">
        <f>IFERROR(D$5/D$9*10^3,"-")</f>
        <v>3069.3934170159691</v>
      </c>
      <c r="E10" s="134">
        <f>IFERROR(E$5/E$9*10^3,"-")</f>
        <v>3164.5332145442399</v>
      </c>
      <c r="F10" s="134">
        <f>IFERROR(F$5/F$9*10^3,"-")</f>
        <v>3257.2236053046868</v>
      </c>
      <c r="G10" s="134">
        <f>IFERROR(G$5/G$9*10^3,"-")</f>
        <v>3329.4523973073215</v>
      </c>
      <c r="H10" s="120">
        <f t="shared" si="0"/>
        <v>2.2174956574981142E-2</v>
      </c>
    </row>
    <row r="11" spans="1:8" ht="15" customHeight="1" x14ac:dyDescent="0.25">
      <c r="A11" s="59"/>
      <c r="B11" s="127" t="s">
        <v>906</v>
      </c>
      <c r="C11" s="316">
        <f>IFERROR(C$8/C$9*10^3,"-")</f>
        <v>1697.1117667672761</v>
      </c>
      <c r="D11" s="316">
        <f>IFERROR(D$8/D$9*10^3,"-")</f>
        <v>1712.0926202703765</v>
      </c>
      <c r="E11" s="316">
        <f>IFERROR(E$8/E$9*10^3,"-")</f>
        <v>1749.8316164597138</v>
      </c>
      <c r="F11" s="316">
        <f>IFERROR(F$8/F$9*10^3,"-")</f>
        <v>1759.8230515795012</v>
      </c>
      <c r="G11" s="316">
        <f>IFERROR(G$8/G$9*10^3,"-")</f>
        <v>1769.959412007144</v>
      </c>
      <c r="H11" s="133">
        <f t="shared" si="0"/>
        <v>5.759874788857422E-3</v>
      </c>
    </row>
    <row r="13" spans="1:8" ht="30" customHeight="1" x14ac:dyDescent="0.25">
      <c r="B13" s="66" t="s">
        <v>907</v>
      </c>
      <c r="C13" s="67" cm="1">
        <f t="array" ref="C13">Exercice[Exercice N-4]</f>
        <v>2019</v>
      </c>
      <c r="D13" s="67" cm="1">
        <f t="array" ref="D13">Exercice[Exercice N-3]</f>
        <v>2020</v>
      </c>
      <c r="E13" s="67" cm="1">
        <f t="array" ref="E13">Exercice[Exercice N-2]</f>
        <v>2021</v>
      </c>
      <c r="F13" s="67" cm="1">
        <f t="array" ref="F13">Exercice[Exercice N-1]</f>
        <v>2022</v>
      </c>
      <c r="G13" s="69" cm="1">
        <f t="array" ref="G13">Exercice[Exercice N]</f>
        <v>2023</v>
      </c>
      <c r="H13" s="68" t="s">
        <v>273</v>
      </c>
    </row>
    <row r="14" spans="1:8" ht="15" customHeight="1" x14ac:dyDescent="0.25">
      <c r="B14" s="61" t="s">
        <v>908</v>
      </c>
      <c r="C14" s="363">
        <f>IFERROR(SUM(C$45:C$52)/C$56,"-")</f>
        <v>0.82931411629139595</v>
      </c>
      <c r="D14" s="363">
        <f>IFERROR(SUM(D$45:D$52)/D$56,"-")</f>
        <v>0.83054526491905256</v>
      </c>
      <c r="E14" s="363">
        <f>IFERROR(SUM(E$45:E$52)/E$56,"-")</f>
        <v>0.83229652801038378</v>
      </c>
      <c r="F14" s="363">
        <f>IFERROR(SUM(F$45:F$52)/F$56,"-")</f>
        <v>0.99661230829382752</v>
      </c>
      <c r="G14" s="363">
        <f>IFERROR(SUM(G$45:G$52)/G$56,"-")</f>
        <v>0.99667998014778914</v>
      </c>
      <c r="H14" s="257">
        <f>IFERROR(G14/F14-1,"-")</f>
        <v>6.7901884613030816E-5</v>
      </c>
    </row>
    <row r="15" spans="1:8" ht="15" customHeight="1" x14ac:dyDescent="0.25">
      <c r="B15" s="53" t="s">
        <v>909</v>
      </c>
      <c r="C15" s="338">
        <f>IFERROR(SUM(C$53:C$55)/C$56,"-")</f>
        <v>0.1706858837086041</v>
      </c>
      <c r="D15" s="338">
        <f>IFERROR(SUM(D$53:D$55)/D$56,"-")</f>
        <v>0.16945473508094747</v>
      </c>
      <c r="E15" s="338">
        <f>IFERROR(SUM(E$53:E$55)/E$56,"-")</f>
        <v>0.16770347198961597</v>
      </c>
      <c r="F15" s="338">
        <f>IFERROR(SUM(F$53:F$55)/F$56,"-")</f>
        <v>3.3876917061726095E-3</v>
      </c>
      <c r="G15" s="338">
        <f>IFERROR(SUM(G$53:G$55)/G$56,"-")</f>
        <v>3.3200198522109529E-3</v>
      </c>
      <c r="H15" s="368">
        <f>IFERROR(G15/F15-1,"-")</f>
        <v>-1.9975800583728942E-2</v>
      </c>
    </row>
    <row r="17" spans="1:8" ht="30" customHeight="1" x14ac:dyDescent="0.25">
      <c r="A17" s="25" t="s">
        <v>910</v>
      </c>
      <c r="B17" s="66" t="s">
        <v>911</v>
      </c>
      <c r="C17" s="67" cm="1">
        <f t="array" ref="C17">Exercice[Exercice N-4]</f>
        <v>2019</v>
      </c>
      <c r="D17" s="67" cm="1">
        <f t="array" ref="D17">Exercice[Exercice N-3]</f>
        <v>2020</v>
      </c>
      <c r="E17" s="67" cm="1">
        <f t="array" ref="E17">Exercice[Exercice N-2]</f>
        <v>2021</v>
      </c>
      <c r="F17" s="67" cm="1">
        <f t="array" ref="F17">Exercice[Exercice N-1]</f>
        <v>2022</v>
      </c>
      <c r="G17" s="67" cm="1">
        <f t="array" ref="G17">Exercice[Exercice N]</f>
        <v>2023</v>
      </c>
      <c r="H17" s="68" t="s">
        <v>273</v>
      </c>
    </row>
    <row r="18" spans="1:8" ht="15" customHeight="1" x14ac:dyDescent="0.25">
      <c r="B18" s="126" t="s">
        <v>912</v>
      </c>
      <c r="C18" s="134" cm="1">
        <f t="array" ref="C18">SUMPRODUCT((pat_fin_07[[client]:[client]]=syndicat_etude)*(pat_fin_07[[annee]:[annee]]=C$17)*(pat_fin_07[val_mc_local]))</f>
        <v>18373.606</v>
      </c>
      <c r="D18" s="134" cm="1">
        <f t="array" ref="D18">SUMPRODUCT((pat_fin_07[[client]:[client]]=syndicat_etude)*(pat_fin_07[[annee]:[annee]]=D$17)*(pat_fin_07[val_mc_local]))</f>
        <v>17344.734</v>
      </c>
      <c r="E18" s="134" cm="1">
        <f t="array" ref="E18">SUMPRODUCT((pat_fin_07[[client]:[client]]=syndicat_etude)*(pat_fin_07[[annee]:[annee]]=E$17)*(pat_fin_07[val_mc_local]))</f>
        <v>23253.173999999999</v>
      </c>
      <c r="F18" s="134" cm="1">
        <f t="array" ref="F18">SUMPRODUCT((pat_fin_07[[client]:[client]]=syndicat_etude)*(pat_fin_07[[annee]:[annee]]=F$17)*(pat_fin_07[val_mc_local]))</f>
        <v>116333.334</v>
      </c>
      <c r="G18" s="134" cm="1">
        <f t="array" ref="G18">SUMPRODUCT((pat_fin_07[[client]:[client]]=syndicat_etude)*(pat_fin_07[[annee]:[annee]]=G$17)*(pat_fin_07[val_mc_local]))</f>
        <v>22075.826000000001</v>
      </c>
      <c r="H18" s="120">
        <f t="shared" ref="H18:H24" si="1">IFERROR(G18/F18-1,"-")</f>
        <v>-0.81023645380953324</v>
      </c>
    </row>
    <row r="19" spans="1:8" ht="15" customHeight="1" x14ac:dyDescent="0.25">
      <c r="B19" s="288" t="s">
        <v>913</v>
      </c>
      <c r="C19" s="15" cm="1">
        <f t="array" ref="C19">SUMPRODUCT((pat_fin_07[[client]:[client]]=syndicat_etude)*(pat_fin_07[[annee]:[annee]]=C$17)*(pat_fin_07[val_mc_local_dont_finance_concessionnaire]))</f>
        <v>9804.1689999999999</v>
      </c>
      <c r="D19" s="15" cm="1">
        <f t="array" ref="D19">SUMPRODUCT((pat_fin_07[[client]:[client]]=syndicat_etude)*(pat_fin_07[[annee]:[annee]]=D$17)*(pat_fin_07[val_mc_local_dont_finance_concessionnaire]))</f>
        <v>8858.9310000000005</v>
      </c>
      <c r="E19" s="15" cm="1">
        <f t="array" ref="E19">SUMPRODUCT((pat_fin_07[[client]:[client]]=syndicat_etude)*(pat_fin_07[[annee]:[annee]]=E$17)*(pat_fin_07[val_mc_local_dont_finance_concessionnaire]))</f>
        <v>15370.382</v>
      </c>
      <c r="F19" s="15" cm="1">
        <f t="array" ref="F19">SUMPRODUCT((pat_fin_07[[client]:[client]]=syndicat_etude)*(pat_fin_07[[annee]:[annee]]=F$17)*(pat_fin_07[val_mc_local_dont_finance_concessionnaire]))</f>
        <v>51887.184999999998</v>
      </c>
      <c r="G19" s="15" cm="1">
        <f t="array" ref="G19">SUMPRODUCT((pat_fin_07[[client]:[client]]=syndicat_etude)*(pat_fin_07[[annee]:[annee]]=G$17)*(pat_fin_07[val_mc_local_dont_finance_concessionnaire]))</f>
        <v>14488.226000000001</v>
      </c>
      <c r="H19" s="120">
        <f t="shared" si="1"/>
        <v>-0.720774484104312</v>
      </c>
    </row>
    <row r="20" spans="1:8" ht="15" customHeight="1" x14ac:dyDescent="0.25">
      <c r="B20" s="288" t="s">
        <v>914</v>
      </c>
      <c r="C20" s="15" cm="1">
        <f t="array" ref="C20">SUMPRODUCT((pat_fin_07[[client]:[client]]=syndicat_etude)*(pat_fin_07[[annee]:[annee]]=C$17)*(pat_fin_07[val_mc_local_dont_finance_concedant]))</f>
        <v>8863.5490000000009</v>
      </c>
      <c r="D20" s="15" cm="1">
        <f t="array" ref="D20">SUMPRODUCT((pat_fin_07[[client]:[client]]=syndicat_etude)*(pat_fin_07[[annee]:[annee]]=D$17)*(pat_fin_07[val_mc_local_dont_finance_concedant]))</f>
        <v>9699.4889999999996</v>
      </c>
      <c r="E20" s="15" cm="1">
        <f t="array" ref="E20">SUMPRODUCT((pat_fin_07[[client]:[client]]=syndicat_etude)*(pat_fin_07[[annee]:[annee]]=E$17)*(pat_fin_07[val_mc_local_dont_finance_concedant]))</f>
        <v>9070.6919999999991</v>
      </c>
      <c r="F20" s="15" cm="1">
        <f t="array" ref="F20">SUMPRODUCT((pat_fin_07[[client]:[client]]=syndicat_etude)*(pat_fin_07[[annee]:[annee]]=F$17)*(pat_fin_07[val_mc_local_dont_finance_concedant]))</f>
        <v>65627.535999999993</v>
      </c>
      <c r="G20" s="15" cm="1">
        <f t="array" ref="G20">SUMPRODUCT((pat_fin_07[[client]:[client]]=syndicat_etude)*(pat_fin_07[[annee]:[annee]]=G$17)*(pat_fin_07[val_mc_local_dont_finance_concedant]))</f>
        <v>9997.7019999999993</v>
      </c>
      <c r="H20" s="120">
        <f t="shared" si="1"/>
        <v>-0.84765995176171172</v>
      </c>
    </row>
    <row r="21" spans="1:8" ht="15" customHeight="1" x14ac:dyDescent="0.25">
      <c r="B21" s="126" t="s">
        <v>915</v>
      </c>
      <c r="C21" s="134" cm="1">
        <f t="array" ref="C21">SUMPRODUCT((pat_fin_07[[client]:[client]]=syndicat_etude)*(pat_fin_07[[annee]:[annee]]=C$17)*(pat_fin_07[val_mc_nl]))</f>
        <v>3409.7370000000001</v>
      </c>
      <c r="D21" s="134" cm="1">
        <f t="array" ref="D21">SUMPRODUCT((pat_fin_07[[client]:[client]]=syndicat_etude)*(pat_fin_07[[annee]:[annee]]=D$17)*(pat_fin_07[val_mc_nl]))</f>
        <v>3052.4250000000002</v>
      </c>
      <c r="E21" s="134" cm="1">
        <f t="array" ref="E21">SUMPRODUCT((pat_fin_07[[client]:[client]]=syndicat_etude)*(pat_fin_07[[annee]:[annee]]=E$17)*(pat_fin_07[val_mc_nl]))</f>
        <v>3381.6529999999998</v>
      </c>
      <c r="F21" s="134" cm="1">
        <f t="array" ref="F21">SUMPRODUCT((pat_fin_07[[client]:[client]]=syndicat_etude)*(pat_fin_07[[annee]:[annee]]=F$17)*(pat_fin_07[val_mc_nl]))</f>
        <v>390.15499999999997</v>
      </c>
      <c r="G21" s="134" cm="1">
        <f t="array" ref="G21">SUMPRODUCT((pat_fin_07[[client]:[client]]=syndicat_etude)*(pat_fin_07[[annee]:[annee]]=G$17)*(pat_fin_07[val_mc_nl]))</f>
        <v>0</v>
      </c>
      <c r="H21" s="120">
        <f t="shared" si="1"/>
        <v>-1</v>
      </c>
    </row>
    <row r="22" spans="1:8" ht="15" customHeight="1" x14ac:dyDescent="0.25">
      <c r="B22" s="288" t="s">
        <v>913</v>
      </c>
      <c r="C22" s="15" cm="1">
        <f t="array" ref="C22">SUMPRODUCT((pat_fin_07[[client]:[client]]=syndicat_etude)*(pat_fin_07[[annee]:[annee]]=C$17)*(pat_fin_07[val_mc_nl_dont_finance_concessionnaire]))</f>
        <v>2455.1329999999998</v>
      </c>
      <c r="D22" s="15" cm="1">
        <f t="array" ref="D22">SUMPRODUCT((pat_fin_07[[client]:[client]]=syndicat_etude)*(pat_fin_07[[annee]:[annee]]=D$17)*(pat_fin_07[val_mc_nl_dont_finance_concessionnaire]))</f>
        <v>2485.2109999999998</v>
      </c>
      <c r="E22" s="15" cm="1">
        <f t="array" ref="E22">SUMPRODUCT((pat_fin_07[[client]:[client]]=syndicat_etude)*(pat_fin_07[[annee]:[annee]]=E$17)*(pat_fin_07[val_mc_nl_dont_finance_concessionnaire]))</f>
        <v>1788.6759999999999</v>
      </c>
      <c r="F22" s="15" cm="1">
        <f t="array" ref="F22">SUMPRODUCT((pat_fin_07[[client]:[client]]=syndicat_etude)*(pat_fin_07[[annee]:[annee]]=F$17)*(pat_fin_07[val_mc_nl_dont_finance_concessionnaire]))</f>
        <v>388.49799999999999</v>
      </c>
      <c r="G22" s="15" cm="1">
        <f t="array" ref="G22">SUMPRODUCT((pat_fin_07[[client]:[client]]=syndicat_etude)*(pat_fin_07[[annee]:[annee]]=G$17)*(pat_fin_07[val_mc_nl_dont_finance_concessionnaire]))</f>
        <v>0</v>
      </c>
      <c r="H22" s="120">
        <f t="shared" si="1"/>
        <v>-1</v>
      </c>
    </row>
    <row r="23" spans="1:8" ht="15" customHeight="1" x14ac:dyDescent="0.25">
      <c r="B23" s="288" t="s">
        <v>914</v>
      </c>
      <c r="C23" s="15" cm="1">
        <f t="array" ref="C23">SUMPRODUCT((pat_fin_07[[client]:[client]]=syndicat_etude)*(pat_fin_07[[annee]:[annee]]=C$17)*(pat_fin_07[val_mc_nl_dont_finance_concedant]))</f>
        <v>973.20399999999995</v>
      </c>
      <c r="D23" s="15" cm="1">
        <f t="array" ref="D23">SUMPRODUCT((pat_fin_07[[client]:[client]]=syndicat_etude)*(pat_fin_07[[annee]:[annee]]=D$17)*(pat_fin_07[val_mc_nl_dont_finance_concedant]))</f>
        <v>567.21400000000006</v>
      </c>
      <c r="E23" s="15" cm="1">
        <f t="array" ref="E23">SUMPRODUCT((pat_fin_07[[client]:[client]]=syndicat_etude)*(pat_fin_07[[annee]:[annee]]=E$17)*(pat_fin_07[val_mc_nl_dont_finance_concedant]))</f>
        <v>1594.423</v>
      </c>
      <c r="F23" s="15" cm="1">
        <f t="array" ref="F23">SUMPRODUCT((pat_fin_07[[client]:[client]]=syndicat_etude)*(pat_fin_07[[annee]:[annee]]=F$17)*(pat_fin_07[val_mc_nl_dont_finance_concedant]))</f>
        <v>1.6579999999999999</v>
      </c>
      <c r="G23" s="15" cm="1">
        <f t="array" ref="G23">SUMPRODUCT((pat_fin_07[[client]:[client]]=syndicat_etude)*(pat_fin_07[[annee]:[annee]]=G$17)*(pat_fin_07[val_mc_nl_dont_finance_concedant]))</f>
        <v>0</v>
      </c>
      <c r="H23" s="120">
        <f t="shared" si="1"/>
        <v>-1</v>
      </c>
    </row>
    <row r="24" spans="1:8" ht="15" customHeight="1" x14ac:dyDescent="0.25">
      <c r="B24" s="131" t="s">
        <v>521</v>
      </c>
      <c r="C24" s="141">
        <f>C$21+C$18</f>
        <v>21783.343000000001</v>
      </c>
      <c r="D24" s="141">
        <f>D$21+D$18</f>
        <v>20397.159</v>
      </c>
      <c r="E24" s="141">
        <f>E$21+E$18</f>
        <v>26634.826999999997</v>
      </c>
      <c r="F24" s="141">
        <f>F$21+F$18</f>
        <v>116723.489</v>
      </c>
      <c r="G24" s="141">
        <f>G$21+G$18</f>
        <v>22075.826000000001</v>
      </c>
      <c r="H24" s="130">
        <f t="shared" si="1"/>
        <v>-0.81087074941702608</v>
      </c>
    </row>
    <row r="26" spans="1:8" ht="30" customHeight="1" x14ac:dyDescent="0.25">
      <c r="A26" s="25" t="s">
        <v>916</v>
      </c>
      <c r="B26" s="66" t="s">
        <v>917</v>
      </c>
      <c r="C26" s="67" cm="1">
        <f t="array" ref="C26">Exercice[Exercice N-4]</f>
        <v>2019</v>
      </c>
      <c r="D26" s="67" cm="1">
        <f t="array" ref="D26">Exercice[Exercice N-3]</f>
        <v>2020</v>
      </c>
      <c r="E26" s="67" cm="1">
        <f t="array" ref="E26">Exercice[Exercice N-2]</f>
        <v>2021</v>
      </c>
      <c r="F26" s="67" cm="1">
        <f t="array" ref="F26">Exercice[Exercice N-1]</f>
        <v>2022</v>
      </c>
      <c r="G26" s="67" cm="1">
        <f t="array" ref="G26">Exercice[Exercice N]</f>
        <v>2023</v>
      </c>
      <c r="H26" s="68" t="s">
        <v>273</v>
      </c>
    </row>
    <row r="27" spans="1:8" ht="15" customHeight="1" x14ac:dyDescent="0.25">
      <c r="B27" s="50" t="s">
        <v>912</v>
      </c>
      <c r="C27" s="11" cm="1">
        <f t="array" ref="C27">SUMPRODUCT((pat_fin_08[[client]:[client]]=syndicat_etude)*(pat_fin_08[[annee]:[annee]]=C$26)*(pat_fin_08[val_mc_local]))</f>
        <v>-3701.5010000000002</v>
      </c>
      <c r="D27" s="11" cm="1">
        <f t="array" ref="D27">SUMPRODUCT((pat_fin_08[[client]:[client]]=syndicat_etude)*(pat_fin_08[[annee]:[annee]]=D$26)*(pat_fin_08[val_mc_local]))</f>
        <v>-1264.981</v>
      </c>
      <c r="E27" s="11" cm="1">
        <f t="array" ref="E27">SUMPRODUCT((pat_fin_08[[client]:[client]]=syndicat_etude)*(pat_fin_08[[annee]:[annee]]=E$26)*(pat_fin_08[val_mc_local]))</f>
        <v>-1558.8320000000001</v>
      </c>
      <c r="F27" s="11" cm="1">
        <f t="array" ref="F27">SUMPRODUCT((pat_fin_08[[client]:[client]]=syndicat_etude)*(pat_fin_08[[annee]:[annee]]=F$26)*(pat_fin_08[val_mc_local]))</f>
        <v>-1343.569</v>
      </c>
      <c r="G27" s="11" cm="1">
        <f t="array" ref="G27">SUMPRODUCT((pat_fin_08[[client]:[client]]=syndicat_etude)*(pat_fin_08[[annee]:[annee]]=G$26)*(pat_fin_08[val_mc_local]))</f>
        <v>-2204.0030000000002</v>
      </c>
      <c r="H27" s="120">
        <f>IFERROR(G27/F27-1,"-")</f>
        <v>0.64040923837927211</v>
      </c>
    </row>
    <row r="28" spans="1:8" ht="15" customHeight="1" x14ac:dyDescent="0.25">
      <c r="B28" s="50" t="s">
        <v>915</v>
      </c>
      <c r="C28" s="11" cm="1">
        <f t="array" ref="C28">SUMPRODUCT((pat_fin_08[[client]:[client]]=syndicat_etude)*(pat_fin_08[[annee]:[annee]]=C$26)*(pat_fin_08[val_mc_nl]))</f>
        <v>-1801.64</v>
      </c>
      <c r="D28" s="11" cm="1">
        <f t="array" ref="D28">SUMPRODUCT((pat_fin_08[[client]:[client]]=syndicat_etude)*(pat_fin_08[[annee]:[annee]]=D$26)*(pat_fin_08[val_mc_nl]))</f>
        <v>-837.55</v>
      </c>
      <c r="E28" s="11" cm="1">
        <f t="array" ref="E28">SUMPRODUCT((pat_fin_08[[client]:[client]]=syndicat_etude)*(pat_fin_08[[annee]:[annee]]=E$26)*(pat_fin_08[val_mc_nl]))</f>
        <v>-755.58699999999999</v>
      </c>
      <c r="F28" s="11" cm="1">
        <f t="array" ref="F28">SUMPRODUCT((pat_fin_08[[client]:[client]]=syndicat_etude)*(pat_fin_08[[annee]:[annee]]=F$26)*(pat_fin_08[val_mc_nl]))</f>
        <v>-93676.654999999999</v>
      </c>
      <c r="G28" s="11" cm="1">
        <f t="array" ref="G28">SUMPRODUCT((pat_fin_08[[client]:[client]]=syndicat_etude)*(pat_fin_08[[annee]:[annee]]=G$26)*(pat_fin_08[val_mc_nl]))</f>
        <v>0</v>
      </c>
      <c r="H28" s="120">
        <f>IFERROR(G28/F28-1,"-")</f>
        <v>-1</v>
      </c>
    </row>
    <row r="29" spans="1:8" ht="15" customHeight="1" x14ac:dyDescent="0.25">
      <c r="B29" s="131" t="s">
        <v>521</v>
      </c>
      <c r="C29" s="141">
        <f>SUM(C$27:C$28)</f>
        <v>-5503.1410000000005</v>
      </c>
      <c r="D29" s="141">
        <f>SUM(D$27:D$28)</f>
        <v>-2102.5309999999999</v>
      </c>
      <c r="E29" s="141">
        <f>SUM(E$27:E$28)</f>
        <v>-2314.4189999999999</v>
      </c>
      <c r="F29" s="141">
        <f>SUM(F$27:F$28)</f>
        <v>-95020.224000000002</v>
      </c>
      <c r="G29" s="141">
        <f>SUM(G$27:G$28)</f>
        <v>-2204.0030000000002</v>
      </c>
      <c r="H29" s="130">
        <f>IFERROR(G29/F29-1,"-")</f>
        <v>-0.97680490629026506</v>
      </c>
    </row>
    <row r="31" spans="1:8" ht="30" customHeight="1" x14ac:dyDescent="0.25">
      <c r="A31" s="102" t="s">
        <v>918</v>
      </c>
      <c r="B31" s="66" t="s">
        <v>919</v>
      </c>
      <c r="C31" s="67" cm="1">
        <f t="array" ref="C31">Exercice[Exercice N-4]</f>
        <v>2019</v>
      </c>
      <c r="D31" s="67" cm="1">
        <f t="array" ref="D31">Exercice[Exercice N-3]</f>
        <v>2020</v>
      </c>
      <c r="E31" s="67" cm="1">
        <f t="array" ref="E31">Exercice[Exercice N-2]</f>
        <v>2021</v>
      </c>
      <c r="F31" s="67" cm="1">
        <f t="array" ref="F31">Exercice[Exercice N-1]</f>
        <v>2022</v>
      </c>
      <c r="G31" s="67" cm="1">
        <f t="array" ref="G31">Exercice[Exercice N]</f>
        <v>2023</v>
      </c>
      <c r="H31" s="68" t="s">
        <v>273</v>
      </c>
    </row>
    <row r="32" spans="1:8" ht="15" customHeight="1" x14ac:dyDescent="0.25">
      <c r="A32" s="59" t="s">
        <v>3166</v>
      </c>
      <c r="B32" s="50" t="s">
        <v>920</v>
      </c>
      <c r="C32" s="11" cm="1">
        <f t="array" ref="C32">SUMPRODUCT((pat_fin_09[[client]:[client]]=syndicat_etude)*(pat_fin_09[[annee]:[annee]]=C$31)*(pat_fin_09[contre_val_biens_concedes]))</f>
        <v>300256.40899999999</v>
      </c>
      <c r="D32" s="11" cm="1">
        <f t="array" ref="D32">SUMPRODUCT((pat_fin_09[[client]:[client]]=syndicat_etude)*(pat_fin_09[[annee]:[annee]]=D$31)*(pat_fin_09[contre_val_biens_concedes]))</f>
        <v>304707.97100000002</v>
      </c>
      <c r="E32" s="11" cm="1">
        <f t="array" ref="E32">SUMPRODUCT((pat_fin_09[[client]:[client]]=syndicat_etude)*(pat_fin_09[[annee]:[annee]]=E$31)*(pat_fin_09[contre_val_biens_concedes]))</f>
        <v>314252.261</v>
      </c>
      <c r="F32" s="11" cm="1">
        <f t="array" ref="F32">SUMPRODUCT((pat_fin_09[[client]:[client]]=syndicat_etude)*(pat_fin_09[[annee]:[annee]]=F$31)*(pat_fin_09[contre_val_biens_concedes]))</f>
        <v>317815.24400000001</v>
      </c>
      <c r="G32" s="11" cm="1">
        <f t="array" ref="G32">SUMPRODUCT((pat_fin_09[[client]:[client]]=syndicat_etude)*(pat_fin_09[[annee]:[annee]]=G$31)*(pat_fin_09[contre_val_biens_concedes]))</f>
        <v>0</v>
      </c>
      <c r="H32" s="120">
        <f>IFERROR(G32/F32-1,"-")</f>
        <v>-1</v>
      </c>
    </row>
    <row r="33" spans="1:9" ht="15" customHeight="1" x14ac:dyDescent="0.25">
      <c r="A33" s="59" t="s">
        <v>3168</v>
      </c>
      <c r="B33" s="50" t="s">
        <v>921</v>
      </c>
      <c r="C33" s="11" cm="1">
        <f t="array" ref="C33">SUMPRODUCT((pat_fin_09[[client]:[client]]=syndicat_etude)*(pat_fin_09[[annee]:[annee]]=C$31)*(pat_fin_09[vnc_finance_ouvrage_existant]))</f>
        <v>122495.515</v>
      </c>
      <c r="D33" s="11" cm="1">
        <f t="array" ref="D33">SUMPRODUCT((pat_fin_09[[client]:[client]]=syndicat_etude)*(pat_fin_09[[annee]:[annee]]=D$31)*(pat_fin_09[vnc_finance_ouvrage_existant]))</f>
        <v>125694.609</v>
      </c>
      <c r="E33" s="11" cm="1">
        <f t="array" ref="E33">SUMPRODUCT((pat_fin_09[[client]:[client]]=syndicat_etude)*(pat_fin_09[[annee]:[annee]]=E$31)*(pat_fin_09[vnc_finance_ouvrage_existant]))</f>
        <v>134837.128</v>
      </c>
      <c r="F33" s="11" cm="1">
        <f t="array" ref="F33">SUMPRODUCT((pat_fin_09[[client]:[client]]=syndicat_etude)*(pat_fin_09[[annee]:[annee]]=F$31)*(pat_fin_09[vnc_finance_ouvrage_existant]))</f>
        <v>142094.62599999999</v>
      </c>
      <c r="G33" s="11" cm="1">
        <f t="array" ref="G33">SUMPRODUCT((pat_fin_09[[client]:[client]]=syndicat_etude)*(pat_fin_09[[annee]:[annee]]=G$31)*(pat_fin_09[vnc_finance_ouvrage_existant]))</f>
        <v>0</v>
      </c>
      <c r="H33" s="120">
        <f>IFERROR(G33/F33-1,"-")</f>
        <v>-1</v>
      </c>
      <c r="I33" s="336">
        <f>-G33</f>
        <v>0</v>
      </c>
    </row>
    <row r="34" spans="1:9" ht="15" customHeight="1" x14ac:dyDescent="0.25">
      <c r="A34" s="59"/>
      <c r="B34" s="50" t="s">
        <v>922</v>
      </c>
      <c r="C34" s="11" cm="1">
        <f t="array" ref="C34">SUMPRODUCT((pat_fin_09[[client]:[client]]=syndicat_etude)*(pat_fin_09[[annee]:[annee]]=C$31)*(pat_fin_09[amort_finance_concedant]))</f>
        <v>74337.752999999997</v>
      </c>
      <c r="D34" s="11" cm="1">
        <f t="array" ref="D34">SUMPRODUCT((pat_fin_09[[client]:[client]]=syndicat_etude)*(pat_fin_09[[annee]:[annee]]=D$31)*(pat_fin_09[amort_finance_concedant]))</f>
        <v>77932.36</v>
      </c>
      <c r="E34" s="11" cm="1">
        <f t="array" ref="E34">SUMPRODUCT((pat_fin_09[[client]:[client]]=syndicat_etude)*(pat_fin_09[[annee]:[annee]]=E$31)*(pat_fin_09[amort_finance_concedant]))</f>
        <v>80183.065000000002</v>
      </c>
      <c r="F34" s="11" cm="1">
        <f t="array" ref="F34">SUMPRODUCT((pat_fin_09[[client]:[client]]=syndicat_etude)*(pat_fin_09[[annee]:[annee]]=F$31)*(pat_fin_09[amort_finance_concedant]))</f>
        <v>83407.797999999995</v>
      </c>
      <c r="G34" s="11" cm="1">
        <f t="array" ref="G34">SUMPRODUCT((pat_fin_09[[client]:[client]]=syndicat_etude)*(pat_fin_09[[annee]:[annee]]=G$31)*(pat_fin_09[amort_finance_concedant]))</f>
        <v>0</v>
      </c>
      <c r="H34" s="120">
        <f>IFERROR(G34/F34-1,"-")</f>
        <v>-1</v>
      </c>
      <c r="I34" s="336"/>
    </row>
    <row r="35" spans="1:9" ht="15" customHeight="1" x14ac:dyDescent="0.25">
      <c r="A35" s="59"/>
      <c r="B35" s="131" t="s">
        <v>923</v>
      </c>
      <c r="C35" s="141" cm="1">
        <f t="array" ref="C35">SUMPRODUCT((pat_fin_09[[client]:[client]]=syndicat_etude)*(pat_fin_09[[annee]:[annee]]=C$31)*(pat_fin_09[[droits_concedant]:[droits_concedant]]))</f>
        <v>252098.64600000001</v>
      </c>
      <c r="D35" s="141" cm="1">
        <f t="array" ref="D35">SUMPRODUCT((pat_fin_09[[client]:[client]]=syndicat_etude)*(pat_fin_09[[annee]:[annee]]=D$31)*(pat_fin_09[[droits_concedant]:[droits_concedant]]))</f>
        <v>256945.72200000001</v>
      </c>
      <c r="E35" s="141" cm="1">
        <f t="array" ref="E35">SUMPRODUCT((pat_fin_09[[client]:[client]]=syndicat_etude)*(pat_fin_09[[annee]:[annee]]=E$31)*(pat_fin_09[[droits_concedant]:[droits_concedant]]))</f>
        <v>259598.198</v>
      </c>
      <c r="F35" s="141" cm="1">
        <f t="array" ref="F35">SUMPRODUCT((pat_fin_09[[client]:[client]]=syndicat_etude)*(pat_fin_09[[annee]:[annee]]=F$31)*(pat_fin_09[[droits_concedant]:[droits_concedant]]))</f>
        <v>259128.416</v>
      </c>
      <c r="G35" s="141" cm="1">
        <f t="array" ref="G35">SUMPRODUCT((pat_fin_09[[client]:[client]]=syndicat_etude)*(pat_fin_09[[annee]:[annee]]=G$31)*(pat_fin_09[[droits_concedant]:[droits_concedant]]))</f>
        <v>0</v>
      </c>
      <c r="H35" s="130">
        <f>IFERROR(G35/F35-1,"-")</f>
        <v>-1</v>
      </c>
    </row>
    <row r="37" spans="1:9" ht="30" customHeight="1" x14ac:dyDescent="0.25">
      <c r="A37" s="25" t="s">
        <v>924</v>
      </c>
      <c r="B37" s="66" t="s">
        <v>925</v>
      </c>
      <c r="C37" s="67" cm="1">
        <f t="array" ref="C37">Exercice[Exercice N-4]</f>
        <v>2019</v>
      </c>
      <c r="D37" s="67" cm="1">
        <f t="array" ref="D37">Exercice[Exercice N-3]</f>
        <v>2020</v>
      </c>
      <c r="E37" s="67" cm="1">
        <f t="array" ref="E37">Exercice[Exercice N-2]</f>
        <v>2021</v>
      </c>
      <c r="F37" s="67" cm="1">
        <f t="array" ref="F37">Exercice[Exercice N-1]</f>
        <v>2022</v>
      </c>
      <c r="G37" s="69" cm="1">
        <f t="array" ref="G37">Exercice[Exercice N]</f>
        <v>2023</v>
      </c>
      <c r="H37" s="68" t="s">
        <v>273</v>
      </c>
    </row>
    <row r="38" spans="1:9" ht="15" customHeight="1" x14ac:dyDescent="0.25">
      <c r="A38" s="59" t="s">
        <v>3166</v>
      </c>
      <c r="B38" s="337" t="s">
        <v>926</v>
      </c>
      <c r="C38" s="11" cm="1">
        <f t="array" ref="C38">SUMPRODUCT((pat_fin_11[[client]:[client]]=syndicat_etude)*(pat_fin_11[[annee]:[annee]]=C$37)*(pat_fin_11[[VNC Financement Concessionnaire (Créance Non Amrt)]:[VNC Financement Concessionnaire (Créance Non Amrt)]]))/1000</f>
        <v>122495.51549371715</v>
      </c>
      <c r="D38" s="11" cm="1">
        <f t="array" ref="D38">SUMPRODUCT((pat_fin_11[[client]:[client]]=syndicat_etude)*(pat_fin_11[[annee]:[annee]]=D$37)*(pat_fin_11[[VNC Financement Concessionnaire (Créance Non Amrt)]:[VNC Financement Concessionnaire (Créance Non Amrt)]]))/1000</f>
        <v>125694.60894170206</v>
      </c>
      <c r="E38" s="11" cm="1">
        <f t="array" ref="E38">SUMPRODUCT((pat_fin_11[[client]:[client]]=syndicat_etude)*(pat_fin_11[[annee]:[annee]]=E$37)*(pat_fin_11[[VNC Financement Concessionnaire (Créance Non Amrt)]:[VNC Financement Concessionnaire (Créance Non Amrt)]]))/1000</f>
        <v>134837.12839991186</v>
      </c>
      <c r="F38" s="11" cm="1">
        <f t="array" ref="F38">SUMPRODUCT((pat_fin_11[[client]:[client]]=syndicat_etude)*(pat_fin_11[[annee]:[annee]]=F$37)*(pat_fin_11[[VNC Financement Concessionnaire (Créance Non Amrt)]:[VNC Financement Concessionnaire (Créance Non Amrt)]]))/1000</f>
        <v>142094.62622992761</v>
      </c>
      <c r="G38" s="11" cm="1">
        <f t="array" ref="G38">SUMPRODUCT((pat_fin_11[[client]:[client]]=syndicat_etude)*(pat_fin_11[[annee]:[annee]]=G$37)*(pat_fin_11[[VNC Financement Concessionnaire (Créance Non Amrt)]:[VNC Financement Concessionnaire (Créance Non Amrt)]]))/1000</f>
        <v>148040.20110202429</v>
      </c>
      <c r="H38" s="257">
        <f>IFERROR(G38/F38-1,"-")</f>
        <v>4.1842362585028159E-2</v>
      </c>
    </row>
    <row r="39" spans="1:9" ht="15" customHeight="1" x14ac:dyDescent="0.25">
      <c r="A39" s="59" t="s">
        <v>3168</v>
      </c>
      <c r="B39" s="50" t="s">
        <v>922</v>
      </c>
      <c r="C39" s="11" cm="1">
        <f t="array" ref="C39">SUMPRODUCT((pat_fin_11[[client]:[client]]=syndicat_etude)*(pat_fin_11[[annee]:[annee]]=C$37)*(pat_fin_11[[Amortissement Financement concedant]:[Amortissement Financement concedant]]))/1000</f>
        <v>-74337.75250991121</v>
      </c>
      <c r="D39" s="11" cm="1">
        <f t="array" ref="D39">SUMPRODUCT((pat_fin_11[[client]:[client]]=syndicat_etude)*(pat_fin_11[[annee]:[annee]]=D$37)*(pat_fin_11[[Amortissement Financement concedant]:[Amortissement Financement concedant]]))/1000</f>
        <v>-77932.359649340055</v>
      </c>
      <c r="E39" s="11" cm="1">
        <f t="array" ref="E39">SUMPRODUCT((pat_fin_11[[client]:[client]]=syndicat_etude)*(pat_fin_11[[annee]:[annee]]=E$37)*(pat_fin_11[[Amortissement Financement concedant]:[Amortissement Financement concedant]]))/1000</f>
        <v>-80183.065085852184</v>
      </c>
      <c r="F39" s="11" cm="1">
        <f t="array" ref="F39">SUMPRODUCT((pat_fin_11[[client]:[client]]=syndicat_etude)*(pat_fin_11[[annee]:[annee]]=F$37)*(pat_fin_11[[Amortissement Financement concedant]:[Amortissement Financement concedant]]))/1000</f>
        <v>-83407.798209836386</v>
      </c>
      <c r="G39" s="11" cm="1">
        <f t="array" ref="G39">SUMPRODUCT((pat_fin_11[[client]:[client]]=syndicat_etude)*(pat_fin_11[[annee]:[annee]]=G$37)*(pat_fin_11[[Amortissement Financement concedant]:[Amortissement Financement concedant]]))/1000</f>
        <v>-87765.269070081835</v>
      </c>
      <c r="H39" s="120">
        <f>IFERROR(G39/F39-1,"-")</f>
        <v>5.22429671297997E-2</v>
      </c>
    </row>
    <row r="40" spans="1:9" ht="15" customHeight="1" x14ac:dyDescent="0.25">
      <c r="A40" s="59"/>
      <c r="B40" s="50" t="s">
        <v>927</v>
      </c>
      <c r="C40" s="11" cm="1">
        <f t="array" ref="C40">SUMPRODUCT((pat_fin_11[[client]:[client]]=syndicat_etude)*(pat_fin_11[[annee]:[annee]]=C$37)*(pat_fin_11[[Provision renouvellement (PR)]:[Provision renouvellement (PR)]]))/1000</f>
        <v>-41628.379339982828</v>
      </c>
      <c r="D40" s="11" cm="1">
        <f t="array" ref="D40">SUMPRODUCT((pat_fin_11[[client]:[client]]=syndicat_etude)*(pat_fin_11[[annee]:[annee]]=D$37)*(pat_fin_11[[Provision renouvellement (PR)]:[Provision renouvellement (PR)]]))/1000</f>
        <v>-41039.044237480659</v>
      </c>
      <c r="E40" s="11" cm="1">
        <f t="array" ref="E40">SUMPRODUCT((pat_fin_11[[client]:[client]]=syndicat_etude)*(pat_fin_11[[annee]:[annee]]=E$37)*(pat_fin_11[[Provision renouvellement (PR)]:[Provision renouvellement (PR)]]))/1000</f>
        <v>-40173.878527588866</v>
      </c>
      <c r="F40" s="11" cm="1">
        <f t="array" ref="F40">SUMPRODUCT((pat_fin_11[[client]:[client]]=syndicat_etude)*(pat_fin_11[[annee]:[annee]]=F$37)*(pat_fin_11[[Provision renouvellement (PR)]:[Provision renouvellement (PR)]]))/1000</f>
        <v>-41954.833377224641</v>
      </c>
      <c r="G40" s="11" cm="1">
        <f t="array" ref="G40">SUMPRODUCT((pat_fin_11[[client]:[client]]=syndicat_etude)*(pat_fin_11[[annee]:[annee]]=G$37)*(pat_fin_11[[Provision renouvellement (PR)]:[Provision renouvellement (PR)]]))/1000</f>
        <v>-41122.094754847465</v>
      </c>
      <c r="H40" s="120">
        <f>IFERROR(G40/F40-1,"-")</f>
        <v>-1.9848455001354681E-2</v>
      </c>
    </row>
    <row r="41" spans="1:9" ht="15" customHeight="1" x14ac:dyDescent="0.25">
      <c r="A41" s="59"/>
      <c r="B41" s="131" t="s">
        <v>928</v>
      </c>
      <c r="C41" s="141">
        <f>SUM(C$38:C$40)</f>
        <v>6529.3836438231083</v>
      </c>
      <c r="D41" s="141">
        <f>SUM(D$38:D$40)</f>
        <v>6723.2050548813422</v>
      </c>
      <c r="E41" s="141">
        <f>SUM(E$38:E$40)</f>
        <v>14480.184786470811</v>
      </c>
      <c r="F41" s="141">
        <f>SUM(F$38:F$40)</f>
        <v>16731.994642866586</v>
      </c>
      <c r="G41" s="141">
        <f>SUM(G$38:G$40)</f>
        <v>19152.837277094994</v>
      </c>
      <c r="H41" s="130">
        <f>IFERROR(G41/F41-1,"-")</f>
        <v>0.14468344545284051</v>
      </c>
    </row>
    <row r="42" spans="1:9" ht="15" customHeight="1" x14ac:dyDescent="0.25">
      <c r="B42" s="164" t="s">
        <v>929</v>
      </c>
      <c r="C42" s="229"/>
      <c r="D42" s="229"/>
      <c r="E42" s="229"/>
      <c r="F42" s="229"/>
      <c r="G42" s="229"/>
    </row>
    <row r="44" spans="1:9" ht="30" customHeight="1" x14ac:dyDescent="0.25">
      <c r="A44" s="102" t="s">
        <v>930</v>
      </c>
      <c r="B44" s="66" t="s">
        <v>931</v>
      </c>
      <c r="C44" s="67" cm="1">
        <f t="array" ref="C44">Exercice[Exercice N-4]</f>
        <v>2019</v>
      </c>
      <c r="D44" s="67" cm="1">
        <f t="array" ref="D44">Exercice[Exercice N-3]</f>
        <v>2020</v>
      </c>
      <c r="E44" s="67" cm="1">
        <f t="array" ref="E44">Exercice[Exercice N-2]</f>
        <v>2021</v>
      </c>
      <c r="F44" s="67" cm="1">
        <f t="array" ref="F44">Exercice[Exercice N-1]</f>
        <v>2022</v>
      </c>
      <c r="G44" s="67" cm="1">
        <f t="array" ref="G44">Exercice[Exercice N]</f>
        <v>2023</v>
      </c>
      <c r="H44" s="68" t="s">
        <v>273</v>
      </c>
    </row>
    <row r="45" spans="1:9" ht="15" customHeight="1" x14ac:dyDescent="0.25">
      <c r="A45" s="59" t="s">
        <v>3166</v>
      </c>
      <c r="B45" s="61" t="s">
        <v>932</v>
      </c>
      <c r="C45" s="119" cm="1">
        <f t="array" ref="C45">SUMPRODUCT((pat_fin_01[[client]:[client]]=syndicat_etude)*(pat_fin_01[[annee]:[annee]]=C$44)*(pat_fin_01[vb_canal_hta]))</f>
        <v>163927.016</v>
      </c>
      <c r="D45" s="119" cm="1">
        <f t="array" ref="D45">SUMPRODUCT((pat_fin_01[[client]:[client]]=syndicat_etude)*(pat_fin_01[[annee]:[annee]]=D$44)*(pat_fin_01[vb_canal_hta]))</f>
        <v>166905.49600000001</v>
      </c>
      <c r="E45" s="119" cm="1">
        <f t="array" ref="E45">SUMPRODUCT((pat_fin_01[[client]:[client]]=syndicat_etude)*(pat_fin_01[[annee]:[annee]]=E$44)*(pat_fin_01[vb_canal_hta]))</f>
        <v>176079.573</v>
      </c>
      <c r="F45" s="119" cm="1">
        <f t="array" ref="F45">SUMPRODUCT((pat_fin_01[[client]:[client]]=syndicat_etude)*(pat_fin_01[[annee]:[annee]]=F$44)*(pat_fin_01[vb_canal_hta]))</f>
        <v>179716.22</v>
      </c>
      <c r="G45" s="119" cm="1">
        <f t="array" ref="G45">SUMPRODUCT((pat_fin_01[[client]:[client]]=syndicat_etude)*(pat_fin_01[[annee]:[annee]]=G$44)*(pat_fin_01[vb_canal_hta]))</f>
        <v>183495.51800000001</v>
      </c>
      <c r="H45" s="257">
        <f>IFERROR(G45/F45-1,"-")</f>
        <v>2.1029253786887026E-2</v>
      </c>
    </row>
    <row r="46" spans="1:9" ht="15" customHeight="1" x14ac:dyDescent="0.25">
      <c r="A46" s="59" t="s">
        <v>3168</v>
      </c>
      <c r="B46" s="50" t="s">
        <v>933</v>
      </c>
      <c r="C46" s="11" cm="1">
        <f t="array" ref="C46">SUMPRODUCT((pat_fin_01[[client]:[client]]=syndicat_etude)*(pat_fin_01[[annee]:[annee]]=C$44)*(pat_fin_01[vb_canal_bt]))</f>
        <v>189706.37</v>
      </c>
      <c r="D46" s="11" cm="1">
        <f t="array" ref="D46">SUMPRODUCT((pat_fin_01[[client]:[client]]=syndicat_etude)*(pat_fin_01[[annee]:[annee]]=D$44)*(pat_fin_01[vb_canal_bt]))</f>
        <v>194684.38500000001</v>
      </c>
      <c r="E46" s="11" cm="1">
        <f t="array" ref="E46">SUMPRODUCT((pat_fin_01[[client]:[client]]=syndicat_etude)*(pat_fin_01[[annee]:[annee]]=E$44)*(pat_fin_01[vb_canal_bt]))</f>
        <v>201416.81599999999</v>
      </c>
      <c r="F46" s="11" cm="1">
        <f t="array" ref="F46">SUMPRODUCT((pat_fin_01[[client]:[client]]=syndicat_etude)*(pat_fin_01[[annee]:[annee]]=F$44)*(pat_fin_01[vb_canal_bt]))</f>
        <v>206617.122</v>
      </c>
      <c r="G46" s="11" cm="1">
        <f t="array" ref="G46">SUMPRODUCT((pat_fin_01[[client]:[client]]=syndicat_etude)*(pat_fin_01[[annee]:[annee]]=G$44)*(pat_fin_01[vb_canal_bt]))</f>
        <v>214038.12700000001</v>
      </c>
      <c r="H46" s="120">
        <f t="shared" ref="H46:H56" si="2">IFERROR(G46/F46-1,"-")</f>
        <v>3.5916699101055105E-2</v>
      </c>
    </row>
    <row r="47" spans="1:9" ht="15" customHeight="1" x14ac:dyDescent="0.25">
      <c r="A47" s="59"/>
      <c r="B47" s="50" t="s">
        <v>87</v>
      </c>
      <c r="C47" s="11" cm="1">
        <f t="array" ref="C47">SUMPRODUCT((pat_fin_01[[client]:[client]]=syndicat_etude)*(pat_fin_01[[annee]:[annee]]=C$44)*(pat_fin_01[vb_poste_hta_bt]))</f>
        <v>47371.845999999998</v>
      </c>
      <c r="D47" s="11" cm="1">
        <f t="array" ref="D47">SUMPRODUCT((pat_fin_01[[client]:[client]]=syndicat_etude)*(pat_fin_01[[annee]:[annee]]=D$44)*(pat_fin_01[vb_poste_hta_bt]))</f>
        <v>48842.031000000003</v>
      </c>
      <c r="E47" s="11" cm="1">
        <f t="array" ref="E47">SUMPRODUCT((pat_fin_01[[client]:[client]]=syndicat_etude)*(pat_fin_01[[annee]:[annee]]=E$44)*(pat_fin_01[vb_poste_hta_bt]))</f>
        <v>49417.85</v>
      </c>
      <c r="F47" s="11" cm="1">
        <f t="array" ref="F47">SUMPRODUCT((pat_fin_01[[client]:[client]]=syndicat_etude)*(pat_fin_01[[annee]:[annee]]=F$44)*(pat_fin_01[vb_poste_hta_bt]))</f>
        <v>50304.106</v>
      </c>
      <c r="G47" s="11" cm="1">
        <f t="array" ref="G47">SUMPRODUCT((pat_fin_01[[client]:[client]]=syndicat_etude)*(pat_fin_01[[annee]:[annee]]=G$44)*(pat_fin_01[vb_poste_hta_bt]))</f>
        <v>51849.767999999996</v>
      </c>
      <c r="H47" s="120">
        <f t="shared" si="2"/>
        <v>3.0726358599832748E-2</v>
      </c>
    </row>
    <row r="48" spans="1:9" ht="15" customHeight="1" x14ac:dyDescent="0.25">
      <c r="A48" s="59"/>
      <c r="B48" s="50" t="s">
        <v>599</v>
      </c>
      <c r="C48" s="11" cm="1">
        <f t="array" ref="C48">SUMPRODUCT((pat_fin_01[[client]:[client]]=syndicat_etude)*(pat_fin_01[[annee]:[annee]]=C$44)*(pat_fin_01[vb_transfo_hta_bt]))</f>
        <v>15453.501</v>
      </c>
      <c r="D48" s="11" cm="1">
        <f t="array" ref="D48">SUMPRODUCT((pat_fin_01[[client]:[client]]=syndicat_etude)*(pat_fin_01[[annee]:[annee]]=D$44)*(pat_fin_01[vb_transfo_hta_bt]))</f>
        <v>15566.076999999999</v>
      </c>
      <c r="E48" s="11" cm="1">
        <f t="array" ref="E48">SUMPRODUCT((pat_fin_01[[client]:[client]]=syndicat_etude)*(pat_fin_01[[annee]:[annee]]=E$44)*(pat_fin_01[vb_transfo_hta_bt]))</f>
        <v>15699.523999999999</v>
      </c>
      <c r="F48" s="11" cm="1">
        <f t="array" ref="F48">SUMPRODUCT((pat_fin_01[[client]:[client]]=syndicat_etude)*(pat_fin_01[[annee]:[annee]]=F$44)*(pat_fin_01[vb_transfo_hta_bt]))</f>
        <v>15946.537</v>
      </c>
      <c r="G48" s="11" cm="1">
        <f t="array" ref="G48">SUMPRODUCT((pat_fin_01[[client]:[client]]=syndicat_etude)*(pat_fin_01[[annee]:[annee]]=G$44)*(pat_fin_01[vb_transfo_hta_bt]))</f>
        <v>16673.260999999999</v>
      </c>
      <c r="H48" s="120">
        <f t="shared" si="2"/>
        <v>4.5572527753204195E-2</v>
      </c>
    </row>
    <row r="49" spans="1:8" ht="15" customHeight="1" x14ac:dyDescent="0.25">
      <c r="A49" s="59"/>
      <c r="B49" s="50" t="s">
        <v>934</v>
      </c>
      <c r="C49" s="11" cm="1">
        <f t="array" ref="C49">SUMPRODUCT((pat_fin_01[[client]:[client]]=syndicat_etude)*(pat_fin_01[[annee]:[annee]]=C$44)*(pat_fin_01[vb_comptage]))</f>
        <v>9041.6740000000009</v>
      </c>
      <c r="D49" s="11" cm="1">
        <f t="array" ref="D49">SUMPRODUCT((pat_fin_01[[client]:[client]]=syndicat_etude)*(pat_fin_01[[annee]:[annee]]=D$44)*(pat_fin_01[vb_comptage]))</f>
        <v>11870.473</v>
      </c>
      <c r="E49" s="11" cm="1">
        <f t="array" ref="E49">SUMPRODUCT((pat_fin_01[[client]:[client]]=syndicat_etude)*(pat_fin_01[[annee]:[annee]]=E$44)*(pat_fin_01[vb_comptage]))</f>
        <v>14793.63</v>
      </c>
      <c r="F49" s="11" cm="1">
        <f t="array" ref="F49">SUMPRODUCT((pat_fin_01[[client]:[client]]=syndicat_etude)*(pat_fin_01[[annee]:[annee]]=F$44)*(pat_fin_01[vb_comptage]))</f>
        <v>17721.773000000001</v>
      </c>
      <c r="G49" s="11" cm="1">
        <f t="array" ref="G49">SUMPRODUCT((pat_fin_01[[client]:[client]]=syndicat_etude)*(pat_fin_01[[annee]:[annee]]=G$44)*(pat_fin_01[vb_comptage]))</f>
        <v>18341.48</v>
      </c>
      <c r="H49" s="120">
        <f t="shared" si="2"/>
        <v>3.4968679488220467E-2</v>
      </c>
    </row>
    <row r="50" spans="1:8" ht="15" customHeight="1" x14ac:dyDescent="0.25">
      <c r="A50" s="59"/>
      <c r="B50" s="50" t="s">
        <v>935</v>
      </c>
      <c r="C50" s="11" cm="1">
        <f t="array" ref="C50">SUMPRODUCT((pat_fin_01[[client]:[client]]=syndicat_etude)*(pat_fin_01[[annee]:[annee]]=C$44)*(pat_fin_01[vb_branchements]))</f>
        <v>0</v>
      </c>
      <c r="D50" s="11" cm="1">
        <f t="array" ref="D50">SUMPRODUCT((pat_fin_01[[client]:[client]]=syndicat_etude)*(pat_fin_01[[annee]:[annee]]=D$44)*(pat_fin_01[vb_branchements]))</f>
        <v>0</v>
      </c>
      <c r="E50" s="11" cm="1">
        <f t="array" ref="E50">SUMPRODUCT((pat_fin_01[[client]:[client]]=syndicat_etude)*(pat_fin_01[[annee]:[annee]]=E$44)*(pat_fin_01[vb_branchements]))</f>
        <v>0</v>
      </c>
      <c r="F50" s="11" cm="1">
        <f t="array" ref="F50">SUMPRODUCT((pat_fin_01[[client]:[client]]=syndicat_etude)*(pat_fin_01[[annee]:[annee]]=F$44)*(pat_fin_01[vb_branchements]))</f>
        <v>99780.581999999995</v>
      </c>
      <c r="G50" s="11" cm="1">
        <f t="array" ref="G50">SUMPRODUCT((pat_fin_01[[client]:[client]]=syndicat_etude)*(pat_fin_01[[annee]:[annee]]=G$44)*(pat_fin_01[vb_branchements]))</f>
        <v>103332.951</v>
      </c>
      <c r="H50" s="120">
        <f t="shared" si="2"/>
        <v>3.5601806772383782E-2</v>
      </c>
    </row>
    <row r="51" spans="1:8" ht="15" customHeight="1" x14ac:dyDescent="0.25">
      <c r="A51" s="59"/>
      <c r="B51" s="50" t="s">
        <v>600</v>
      </c>
      <c r="C51" s="11" cm="1">
        <f t="array" ref="C51">SUMPRODUCT((pat_fin_01[[client]:[client]]=syndicat_etude)*(pat_fin_01[[annee]:[annee]]=C$44)*(pat_fin_01[vb_ouvrage_branch]))</f>
        <v>10233.531999999999</v>
      </c>
      <c r="D51" s="11" cm="1">
        <f t="array" ref="D51">SUMPRODUCT((pat_fin_01[[client]:[client]]=syndicat_etude)*(pat_fin_01[[annee]:[annee]]=D$44)*(pat_fin_01[vb_ouvrage_branch]))</f>
        <v>12368.96</v>
      </c>
      <c r="E51" s="11" cm="1">
        <f t="array" ref="E51">SUMPRODUCT((pat_fin_01[[client]:[client]]=syndicat_etude)*(pat_fin_01[[annee]:[annee]]=E$44)*(pat_fin_01[vb_ouvrage_branch]))</f>
        <v>12149.66</v>
      </c>
      <c r="F51" s="11" cm="1">
        <f t="array" ref="F51">SUMPRODUCT((pat_fin_01[[client]:[client]]=syndicat_etude)*(pat_fin_01[[annee]:[annee]]=F$44)*(pat_fin_01[vb_ouvrage_branch]))</f>
        <v>12568.950999999999</v>
      </c>
      <c r="G51" s="11" cm="1">
        <f t="array" ref="G51">SUMPRODUCT((pat_fin_01[[client]:[client]]=syndicat_etude)*(pat_fin_01[[annee]:[annee]]=G$44)*(pat_fin_01[vb_ouvrage_branch]))</f>
        <v>12957.249</v>
      </c>
      <c r="H51" s="120">
        <f t="shared" si="2"/>
        <v>3.089342937210926E-2</v>
      </c>
    </row>
    <row r="52" spans="1:8" ht="15" customHeight="1" x14ac:dyDescent="0.25">
      <c r="A52" s="59"/>
      <c r="B52" s="53" t="s">
        <v>936</v>
      </c>
      <c r="C52" s="94" cm="1">
        <f t="array" ref="C52">SUMPRODUCT((pat_fin_01[[client]:[client]]=syndicat_etude)*(pat_fin_01[[annee]:[annee]]=C$44)*(pat_fin_01[vb_autres_bl]))</f>
        <v>3453.3789999999999</v>
      </c>
      <c r="D52" s="94" cm="1">
        <f t="array" ref="D52">SUMPRODUCT((pat_fin_01[[client]:[client]]=syndicat_etude)*(pat_fin_01[[annee]:[annee]]=D$44)*(pat_fin_01[vb_autres_bl]))</f>
        <v>3466.3870000000002</v>
      </c>
      <c r="E52" s="94" cm="1">
        <f t="array" ref="E52">SUMPRODUCT((pat_fin_01[[client]:[client]]=syndicat_etude)*(pat_fin_01[[annee]:[annee]]=E$44)*(pat_fin_01[vb_autres_bl]))</f>
        <v>3452.4780000000001</v>
      </c>
      <c r="F52" s="94" cm="1">
        <f t="array" ref="F52">SUMPRODUCT((pat_fin_01[[client]:[client]]=syndicat_etude)*(pat_fin_01[[annee]:[annee]]=F$44)*(pat_fin_01[vb_autres_bl]))</f>
        <v>3590.2359999999999</v>
      </c>
      <c r="G52" s="94" cm="1">
        <f t="array" ref="G52">SUMPRODUCT((pat_fin_01[[client]:[client]]=syndicat_etude)*(pat_fin_01[[annee]:[annee]]=G$44)*(pat_fin_01[vb_autres_bl]))</f>
        <v>3177.2220000000002</v>
      </c>
      <c r="H52" s="133">
        <f t="shared" si="2"/>
        <v>-0.11503812005673153</v>
      </c>
    </row>
    <row r="53" spans="1:8" ht="15" customHeight="1" x14ac:dyDescent="0.25">
      <c r="A53" s="59"/>
      <c r="B53" s="61" t="s">
        <v>937</v>
      </c>
      <c r="C53" s="119" cm="1">
        <f t="array" ref="C53">SUMPRODUCT((pat_fin_01[[client]:[client]]=syndicat_etude)*(pat_fin_01[[annee]:[annee]]=C$44)*(pat_fin_01[vb_comptages_nl]))</f>
        <v>11009.98</v>
      </c>
      <c r="D53" s="119" cm="1">
        <f t="array" ref="D53">SUMPRODUCT((pat_fin_01[[client]:[client]]=syndicat_etude)*(pat_fin_01[[annee]:[annee]]=D$44)*(pat_fin_01[vb_comptages_nl]))</f>
        <v>10456.924999999999</v>
      </c>
      <c r="E53" s="119" cm="1">
        <f t="array" ref="E53">SUMPRODUCT((pat_fin_01[[client]:[client]]=syndicat_etude)*(pat_fin_01[[annee]:[annee]]=E$44)*(pat_fin_01[vb_comptages_nl]))</f>
        <v>10048.700999999999</v>
      </c>
      <c r="F53" s="119" cm="1">
        <f t="array" ref="F53">SUMPRODUCT((pat_fin_01[[client]:[client]]=syndicat_etude)*(pat_fin_01[[annee]:[annee]]=F$44)*(pat_fin_01[vb_comptages_nl]))</f>
        <v>473.44499999999999</v>
      </c>
      <c r="G53" s="119" cm="1">
        <f t="array" ref="G53">SUMPRODUCT((pat_fin_01[[client]:[client]]=syndicat_etude)*(pat_fin_01[[annee]:[annee]]=G$44)*(pat_fin_01[vb_comptages_nl]))</f>
        <v>350.75799999999998</v>
      </c>
      <c r="H53" s="257">
        <f t="shared" si="2"/>
        <v>-0.25913675294912819</v>
      </c>
    </row>
    <row r="54" spans="1:8" ht="15" customHeight="1" x14ac:dyDescent="0.25">
      <c r="A54" s="59"/>
      <c r="B54" s="50" t="s">
        <v>938</v>
      </c>
      <c r="C54" s="11" cm="1">
        <f t="array" ref="C54">SUMPRODUCT((pat_fin_01[[client]:[client]]=syndicat_etude)*(pat_fin_01[[annee]:[annee]]=C$44)*(pat_fin_01[vb_ouvrage_branch_nl]))</f>
        <v>78254.36</v>
      </c>
      <c r="D54" s="11" cm="1">
        <f t="array" ref="D54">SUMPRODUCT((pat_fin_01[[client]:[client]]=syndicat_etude)*(pat_fin_01[[annee]:[annee]]=D$44)*(pat_fin_01[vb_ouvrage_branch_nl]))</f>
        <v>80811.259999999995</v>
      </c>
      <c r="E54" s="11" cm="1">
        <f t="array" ref="E54">SUMPRODUCT((pat_fin_01[[client]:[client]]=syndicat_etude)*(pat_fin_01[[annee]:[annee]]=E$44)*(pat_fin_01[vb_ouvrage_branch_nl]))</f>
        <v>83857.282000000007</v>
      </c>
      <c r="F54" s="11" cm="1">
        <f t="array" ref="F54">SUMPRODUCT((pat_fin_01[[client]:[client]]=syndicat_etude)*(pat_fin_01[[annee]:[annee]]=F$44)*(pat_fin_01[vb_ouvrage_branch_nl]))</f>
        <v>0</v>
      </c>
      <c r="G54" s="11" cm="1">
        <f t="array" ref="G54">SUMPRODUCT((pat_fin_01[[client]:[client]]=syndicat_etude)*(pat_fin_01[[annee]:[annee]]=G$44)*(pat_fin_01[vb_ouvrage_branch_nl]))</f>
        <v>0</v>
      </c>
      <c r="H54" s="120" t="str">
        <f t="shared" si="2"/>
        <v>-</v>
      </c>
    </row>
    <row r="55" spans="1:8" ht="15" customHeight="1" x14ac:dyDescent="0.25">
      <c r="A55" s="59"/>
      <c r="B55" s="53" t="s">
        <v>939</v>
      </c>
      <c r="C55" s="94" cm="1">
        <f t="array" ref="C55">SUMPRODUCT((pat_fin_01[[client]:[client]]=syndicat_etude)*(pat_fin_01[[annee]:[annee]]=C$44)*(pat_fin_01[vb_autres_biens_nl]))</f>
        <v>1127.3150000000001</v>
      </c>
      <c r="D55" s="94" cm="1">
        <f t="array" ref="D55">SUMPRODUCT((pat_fin_01[[client]:[client]]=syndicat_etude)*(pat_fin_01[[annee]:[annee]]=D$44)*(pat_fin_01[vb_autres_biens_nl]))</f>
        <v>1300.23</v>
      </c>
      <c r="E55" s="94" cm="1">
        <f t="array" ref="E55">SUMPRODUCT((pat_fin_01[[client]:[client]]=syndicat_etude)*(pat_fin_01[[annee]:[annee]]=E$44)*(pat_fin_01[vb_autres_biens_nl]))</f>
        <v>1403.0060000000001</v>
      </c>
      <c r="F55" s="94" cm="1">
        <f t="array" ref="F55">SUMPRODUCT((pat_fin_01[[client]:[client]]=syndicat_etude)*(pat_fin_01[[annee]:[annee]]=F$44)*(pat_fin_01[vb_autres_biens_nl]))</f>
        <v>1519.325</v>
      </c>
      <c r="G55" s="94" cm="1">
        <f t="array" ref="G55">SUMPRODUCT((pat_fin_01[[client]:[client]]=syndicat_etude)*(pat_fin_01[[annee]:[annee]]=G$44)*(pat_fin_01[vb_autres_biens_nl]))</f>
        <v>1660.7660000000001</v>
      </c>
      <c r="H55" s="133">
        <f t="shared" si="2"/>
        <v>9.3094630839352988E-2</v>
      </c>
    </row>
    <row r="56" spans="1:8" ht="15" customHeight="1" x14ac:dyDescent="0.25">
      <c r="A56" s="59"/>
      <c r="B56" s="347" t="s">
        <v>521</v>
      </c>
      <c r="C56" s="348">
        <f>SUM(C45:C55)</f>
        <v>529578.973</v>
      </c>
      <c r="D56" s="348">
        <f>SUM(D45:D55)</f>
        <v>546272.22400000005</v>
      </c>
      <c r="E56" s="348">
        <f>SUM(E45:E55)</f>
        <v>568318.52</v>
      </c>
      <c r="F56" s="348">
        <f>SUM(F45:F55)</f>
        <v>588238.2969999999</v>
      </c>
      <c r="G56" s="348">
        <f>SUM(G45:G55)</f>
        <v>605877.09999999986</v>
      </c>
      <c r="H56" s="349">
        <f t="shared" si="2"/>
        <v>2.998581202542816E-2</v>
      </c>
    </row>
    <row r="57" spans="1:8" ht="15" customHeight="1" x14ac:dyDescent="0.25">
      <c r="A57" s="59"/>
      <c r="B57" s="142" t="s">
        <v>940</v>
      </c>
      <c r="C57" s="272">
        <f>IFERROR(C$56/1000/F$201,"-")</f>
        <v>6.0507406396033041E-3</v>
      </c>
      <c r="D57" s="272">
        <f>IFERROR(D$56/1000/G$201,"-")</f>
        <v>5.9897613403361808E-3</v>
      </c>
      <c r="E57" s="272">
        <f>IFERROR(E$56/1000/H$201,"-")</f>
        <v>6.006579436881712E-3</v>
      </c>
      <c r="F57" s="272">
        <f>IFERROR(F$56/1000/I$201,"-")</f>
        <v>5.9990647799704234E-3</v>
      </c>
      <c r="G57" s="272">
        <f>IFERROR(G$56/1000/J$201,"-")</f>
        <v>5.9608344893401395E-3</v>
      </c>
      <c r="H57" s="133"/>
    </row>
    <row r="59" spans="1:8" ht="30" customHeight="1" x14ac:dyDescent="0.25">
      <c r="A59" s="25" t="s">
        <v>941</v>
      </c>
      <c r="B59" s="66" t="s">
        <v>942</v>
      </c>
      <c r="C59" s="67" cm="1">
        <f t="array" ref="C59">Exercice[Exercice N-4]</f>
        <v>2019</v>
      </c>
      <c r="D59" s="67" cm="1">
        <f t="array" ref="D59">Exercice[Exercice N-3]</f>
        <v>2020</v>
      </c>
      <c r="E59" s="67" cm="1">
        <f t="array" ref="E59">Exercice[Exercice N-2]</f>
        <v>2021</v>
      </c>
      <c r="F59" s="67" cm="1">
        <f t="array" ref="F59">Exercice[Exercice N-1]</f>
        <v>2022</v>
      </c>
      <c r="G59" s="67" cm="1">
        <f t="array" ref="G59">Exercice[Exercice N]</f>
        <v>2023</v>
      </c>
      <c r="H59" s="68" t="s">
        <v>273</v>
      </c>
    </row>
    <row r="60" spans="1:8" ht="15" customHeight="1" x14ac:dyDescent="0.25">
      <c r="A60" s="59" t="s">
        <v>3166</v>
      </c>
      <c r="B60" s="61" t="s">
        <v>932</v>
      </c>
      <c r="C60" s="11" cm="1">
        <f t="array" ref="C60">SUMPRODUCT((Tableau_pat_fin_02[[client]:[client]]=syndicat_etude)*(Tableau_pat_fin_02[[annee]:[annee]]=C$59)*(Tableau_pat_fin_02[vnc_canal_hta]))</f>
        <v>89909.125</v>
      </c>
      <c r="D60" s="11" cm="1">
        <f t="array" ref="D60">SUMPRODUCT((Tableau_pat_fin_02[[client]:[client]]=syndicat_etude)*(Tableau_pat_fin_02[[annee]:[annee]]=D$59)*(Tableau_pat_fin_02[vnc_canal_hta]))</f>
        <v>89280.979000000007</v>
      </c>
      <c r="E60" s="11" cm="1">
        <f t="array" ref="E60">SUMPRODUCT((Tableau_pat_fin_02[[client]:[client]]=syndicat_etude)*(Tableau_pat_fin_02[[annee]:[annee]]=E$59)*(Tableau_pat_fin_02[vnc_canal_hta]))</f>
        <v>94618.328999999998</v>
      </c>
      <c r="F60" s="11" cm="1">
        <f t="array" ref="F60">SUMPRODUCT((Tableau_pat_fin_02[[client]:[client]]=syndicat_etude)*(Tableau_pat_fin_02[[annee]:[annee]]=F$59)*(Tableau_pat_fin_02[vnc_canal_hta]))</f>
        <v>94126.997000000003</v>
      </c>
      <c r="G60" s="11" cm="1">
        <f t="array" ref="G60">SUMPRODUCT((Tableau_pat_fin_02[[client]:[client]]=syndicat_etude)*(Tableau_pat_fin_02[[annee]:[annee]]=G$59)*(Tableau_pat_fin_02[vnc_canal_hta]))</f>
        <v>93593.248000000007</v>
      </c>
      <c r="H60" s="120">
        <f t="shared" ref="H60:H71" si="3">IFERROR(G60/F60-1,"-")</f>
        <v>-5.6705197978428323E-3</v>
      </c>
    </row>
    <row r="61" spans="1:8" ht="15" customHeight="1" x14ac:dyDescent="0.25">
      <c r="A61" s="59" t="s">
        <v>3168</v>
      </c>
      <c r="B61" s="50" t="s">
        <v>933</v>
      </c>
      <c r="C61" s="11" cm="1">
        <f t="array" ref="C61">SUMPRODUCT((Tableau_pat_fin_02[[client]:[client]]=syndicat_etude)*(Tableau_pat_fin_02[[annee]:[annee]]=C$59)*(Tableau_pat_fin_02[vnc_canal_bt]))</f>
        <v>117746.97900000001</v>
      </c>
      <c r="D61" s="11" cm="1">
        <f t="array" ref="D61">SUMPRODUCT((Tableau_pat_fin_02[[client]:[client]]=syndicat_etude)*(Tableau_pat_fin_02[[annee]:[annee]]=D$59)*(Tableau_pat_fin_02[vnc_canal_bt]))</f>
        <v>118597.41499999999</v>
      </c>
      <c r="E61" s="11" cm="1">
        <f t="array" ref="E61">SUMPRODUCT((Tableau_pat_fin_02[[client]:[client]]=syndicat_etude)*(Tableau_pat_fin_02[[annee]:[annee]]=E$59)*(Tableau_pat_fin_02[vnc_canal_bt]))</f>
        <v>120954.12699999999</v>
      </c>
      <c r="F61" s="11" cm="1">
        <f t="array" ref="F61">SUMPRODUCT((Tableau_pat_fin_02[[client]:[client]]=syndicat_etude)*(Tableau_pat_fin_02[[annee]:[annee]]=F$59)*(Tableau_pat_fin_02[vnc_canal_bt]))</f>
        <v>121837.488</v>
      </c>
      <c r="G61" s="11" cm="1">
        <f t="array" ref="G61">SUMPRODUCT((Tableau_pat_fin_02[[client]:[client]]=syndicat_etude)*(Tableau_pat_fin_02[[annee]:[annee]]=G$59)*(Tableau_pat_fin_02[vnc_canal_bt]))</f>
        <v>124713.88800000001</v>
      </c>
      <c r="H61" s="120">
        <f t="shared" si="3"/>
        <v>2.3608497246758731E-2</v>
      </c>
    </row>
    <row r="62" spans="1:8" ht="15" customHeight="1" x14ac:dyDescent="0.25">
      <c r="A62" s="59"/>
      <c r="B62" s="50" t="s">
        <v>87</v>
      </c>
      <c r="C62" s="11" cm="1">
        <f t="array" ref="C62">SUMPRODUCT((Tableau_pat_fin_02[[client]:[client]]=syndicat_etude)*(Tableau_pat_fin_02[[annee]:[annee]]=C$59)*(Tableau_pat_fin_02[vnc_poste_hta_bt]))</f>
        <v>16466.528999999999</v>
      </c>
      <c r="D62" s="11" cm="1">
        <f t="array" ref="D62">SUMPRODUCT((Tableau_pat_fin_02[[client]:[client]]=syndicat_etude)*(Tableau_pat_fin_02[[annee]:[annee]]=D$59)*(Tableau_pat_fin_02[vnc_poste_hta_bt]))</f>
        <v>16202.982</v>
      </c>
      <c r="E62" s="11" cm="1">
        <f t="array" ref="E62">SUMPRODUCT((Tableau_pat_fin_02[[client]:[client]]=syndicat_etude)*(Tableau_pat_fin_02[[annee]:[annee]]=E$59)*(Tableau_pat_fin_02[vnc_poste_hta_bt]))</f>
        <v>15558.656000000001</v>
      </c>
      <c r="F62" s="11" cm="1">
        <f t="array" ref="F62">SUMPRODUCT((Tableau_pat_fin_02[[client]:[client]]=syndicat_etude)*(Tableau_pat_fin_02[[annee]:[annee]]=F$59)*(Tableau_pat_fin_02[vnc_poste_hta_bt]))</f>
        <v>15195.668</v>
      </c>
      <c r="G62" s="11" cm="1">
        <f t="array" ref="G62">SUMPRODUCT((Tableau_pat_fin_02[[client]:[client]]=syndicat_etude)*(Tableau_pat_fin_02[[annee]:[annee]]=G$59)*(Tableau_pat_fin_02[vnc_poste_hta_bt]))</f>
        <v>15541.683999999999</v>
      </c>
      <c r="H62" s="120">
        <f t="shared" si="3"/>
        <v>2.277070017586591E-2</v>
      </c>
    </row>
    <row r="63" spans="1:8" ht="15" customHeight="1" x14ac:dyDescent="0.25">
      <c r="A63" s="59"/>
      <c r="B63" s="50" t="s">
        <v>599</v>
      </c>
      <c r="C63" s="11" cm="1">
        <f t="array" ref="C63">SUMPRODUCT((Tableau_pat_fin_02[[client]:[client]]=syndicat_etude)*(Tableau_pat_fin_02[[annee]:[annee]]=C$59)*(Tableau_pat_fin_02[vnc_transfo_hta_bt]))</f>
        <v>7948.6940000000004</v>
      </c>
      <c r="D63" s="11" cm="1">
        <f t="array" ref="D63">SUMPRODUCT((Tableau_pat_fin_02[[client]:[client]]=syndicat_etude)*(Tableau_pat_fin_02[[annee]:[annee]]=D$59)*(Tableau_pat_fin_02[vnc_transfo_hta_bt]))</f>
        <v>7806.1379999999999</v>
      </c>
      <c r="E63" s="11" cm="1">
        <f t="array" ref="E63">SUMPRODUCT((Tableau_pat_fin_02[[client]:[client]]=syndicat_etude)*(Tableau_pat_fin_02[[annee]:[annee]]=E$59)*(Tableau_pat_fin_02[vnc_transfo_hta_bt]))</f>
        <v>7687.6589999999997</v>
      </c>
      <c r="F63" s="11" cm="1">
        <f t="array" ref="F63">SUMPRODUCT((Tableau_pat_fin_02[[client]:[client]]=syndicat_etude)*(Tableau_pat_fin_02[[annee]:[annee]]=F$59)*(Tableau_pat_fin_02[vnc_transfo_hta_bt]))</f>
        <v>7709.4880000000003</v>
      </c>
      <c r="G63" s="11" cm="1">
        <f t="array" ref="G63">SUMPRODUCT((Tableau_pat_fin_02[[client]:[client]]=syndicat_etude)*(Tableau_pat_fin_02[[annee]:[annee]]=G$59)*(Tableau_pat_fin_02[vnc_transfo_hta_bt]))</f>
        <v>8099.63</v>
      </c>
      <c r="H63" s="120">
        <f t="shared" si="3"/>
        <v>5.0605435795476827E-2</v>
      </c>
    </row>
    <row r="64" spans="1:8" ht="15" customHeight="1" x14ac:dyDescent="0.25">
      <c r="A64" s="59"/>
      <c r="B64" s="50" t="s">
        <v>934</v>
      </c>
      <c r="C64" s="11" cm="1">
        <f t="array" ref="C64">SUMPRODUCT((Tableau_pat_fin_02[[client]:[client]]=syndicat_etude)*(Tableau_pat_fin_02[[annee]:[annee]]=C$59)*(Tableau_pat_fin_02[vnc_comptage]))</f>
        <v>8321.6560000000009</v>
      </c>
      <c r="D64" s="11" cm="1">
        <f t="array" ref="D64">SUMPRODUCT((Tableau_pat_fin_02[[client]:[client]]=syndicat_etude)*(Tableau_pat_fin_02[[annee]:[annee]]=D$59)*(Tableau_pat_fin_02[vnc_comptage]))</f>
        <v>10632.876</v>
      </c>
      <c r="E64" s="11" cm="1">
        <f t="array" ref="E64">SUMPRODUCT((Tableau_pat_fin_02[[client]:[client]]=syndicat_etude)*(Tableau_pat_fin_02[[annee]:[annee]]=E$59)*(Tableau_pat_fin_02[vnc_comptage]))</f>
        <v>12895.683999999999</v>
      </c>
      <c r="F64" s="11" cm="1">
        <f t="array" ref="F64">SUMPRODUCT((Tableau_pat_fin_02[[client]:[client]]=syndicat_etude)*(Tableau_pat_fin_02[[annee]:[annee]]=F$59)*(Tableau_pat_fin_02[vnc_comptage]))</f>
        <v>13528.125</v>
      </c>
      <c r="G64" s="11" cm="1">
        <f t="array" ref="G64">SUMPRODUCT((Tableau_pat_fin_02[[client]:[client]]=syndicat_etude)*(Tableau_pat_fin_02[[annee]:[annee]]=G$59)*(Tableau_pat_fin_02[vnc_comptage]))</f>
        <v>13325.598</v>
      </c>
      <c r="H64" s="120">
        <f t="shared" si="3"/>
        <v>-1.4970810810810864E-2</v>
      </c>
    </row>
    <row r="65" spans="1:8" ht="15" customHeight="1" x14ac:dyDescent="0.25">
      <c r="A65" s="59"/>
      <c r="B65" s="50" t="s">
        <v>935</v>
      </c>
      <c r="C65" s="11" cm="1">
        <f t="array" ref="C65">SUMPRODUCT((Tableau_pat_fin_02[[client]:[client]]=syndicat_etude)*(Tableau_pat_fin_02[[annee]:[annee]]=C$59)*(Tableau_pat_fin_02[[vnc_branchements]:[vnc_branchements]]))</f>
        <v>0</v>
      </c>
      <c r="D65" s="11" cm="1">
        <f t="array" ref="D65">SUMPRODUCT((Tableau_pat_fin_02[[client]:[client]]=syndicat_etude)*(Tableau_pat_fin_02[[annee]:[annee]]=D$59)*(Tableau_pat_fin_02[[vnc_branchements]:[vnc_branchements]]))</f>
        <v>0</v>
      </c>
      <c r="E65" s="11" cm="1">
        <f t="array" ref="E65">SUMPRODUCT((Tableau_pat_fin_02[[client]:[client]]=syndicat_etude)*(Tableau_pat_fin_02[[annee]:[annee]]=E$59)*(Tableau_pat_fin_02[[vnc_branchements]:[vnc_branchements]]))</f>
        <v>0</v>
      </c>
      <c r="F65" s="11" cm="1">
        <f t="array" ref="F65">SUMPRODUCT((Tableau_pat_fin_02[[client]:[client]]=syndicat_etude)*(Tableau_pat_fin_02[[annee]:[annee]]=F$59)*(Tableau_pat_fin_02[[vnc_branchements]:[vnc_branchements]]))</f>
        <v>54217.752999999997</v>
      </c>
      <c r="G65" s="11" cm="1">
        <f t="array" ref="G65">SUMPRODUCT((Tableau_pat_fin_02[[client]:[client]]=syndicat_etude)*(Tableau_pat_fin_02[[annee]:[annee]]=G$59)*(Tableau_pat_fin_02[[vnc_branchements]:[vnc_branchements]]))</f>
        <v>55698.591</v>
      </c>
      <c r="H65" s="120">
        <f t="shared" si="3"/>
        <v>2.7312788119419285E-2</v>
      </c>
    </row>
    <row r="66" spans="1:8" ht="15" customHeight="1" x14ac:dyDescent="0.25">
      <c r="A66" s="59"/>
      <c r="B66" s="50" t="s">
        <v>600</v>
      </c>
      <c r="C66" s="11" cm="1">
        <f t="array" ref="C66">SUMPRODUCT((Tableau_pat_fin_02[[client]:[client]]=syndicat_etude)*(Tableau_pat_fin_02[[annee]:[annee]]=C$59)*(Tableau_pat_fin_02[vnc_ouvrage_branch]))</f>
        <v>6916.165</v>
      </c>
      <c r="D66" s="11" cm="1">
        <f t="array" ref="D66">SUMPRODUCT((Tableau_pat_fin_02[[client]:[client]]=syndicat_etude)*(Tableau_pat_fin_02[[annee]:[annee]]=D$59)*(Tableau_pat_fin_02[vnc_ouvrage_branch]))</f>
        <v>8876.4390000000003</v>
      </c>
      <c r="E66" s="11" cm="1">
        <f t="array" ref="E66">SUMPRODUCT((Tableau_pat_fin_02[[client]:[client]]=syndicat_etude)*(Tableau_pat_fin_02[[annee]:[annee]]=E$59)*(Tableau_pat_fin_02[vnc_ouvrage_branch]))</f>
        <v>8440.3739999999998</v>
      </c>
      <c r="F66" s="11" cm="1">
        <f t="array" ref="F66">SUMPRODUCT((Tableau_pat_fin_02[[client]:[client]]=syndicat_etude)*(Tableau_pat_fin_02[[annee]:[annee]]=F$59)*(Tableau_pat_fin_02[vnc_ouvrage_branch]))</f>
        <v>8607.9259999999995</v>
      </c>
      <c r="G66" s="11" cm="1">
        <f t="array" ref="G66">SUMPRODUCT((Tableau_pat_fin_02[[client]:[client]]=syndicat_etude)*(Tableau_pat_fin_02[[annee]:[annee]]=G$59)*(Tableau_pat_fin_02[vnc_ouvrage_branch]))</f>
        <v>8738.1689999999999</v>
      </c>
      <c r="H66" s="120">
        <f t="shared" si="3"/>
        <v>1.5130590109627029E-2</v>
      </c>
    </row>
    <row r="67" spans="1:8" ht="15" customHeight="1" x14ac:dyDescent="0.25">
      <c r="A67" s="59"/>
      <c r="B67" s="53" t="s">
        <v>936</v>
      </c>
      <c r="C67" s="11" cm="1">
        <f t="array" ref="C67">SUMPRODUCT((Tableau_pat_fin_02[[client]:[client]]=syndicat_etude)*(Tableau_pat_fin_02[[annee]:[annee]]=C$59)*(Tableau_pat_fin_02[vnc_autres_bl]))</f>
        <v>1400.3330000000001</v>
      </c>
      <c r="D67" s="11" cm="1">
        <f t="array" ref="D67">SUMPRODUCT((Tableau_pat_fin_02[[client]:[client]]=syndicat_etude)*(Tableau_pat_fin_02[[annee]:[annee]]=D$59)*(Tableau_pat_fin_02[vnc_autres_bl]))</f>
        <v>1437.5530000000001</v>
      </c>
      <c r="E67" s="11" cm="1">
        <f t="array" ref="E67">SUMPRODUCT((Tableau_pat_fin_02[[client]:[client]]=syndicat_etude)*(Tableau_pat_fin_02[[annee]:[annee]]=E$59)*(Tableau_pat_fin_02[vnc_autres_bl]))</f>
        <v>1504.942</v>
      </c>
      <c r="F67" s="11" cm="1">
        <f t="array" ref="F67">SUMPRODUCT((Tableau_pat_fin_02[[client]:[client]]=syndicat_etude)*(Tableau_pat_fin_02[[annee]:[annee]]=F$59)*(Tableau_pat_fin_02[vnc_autres_bl]))</f>
        <v>1433.2750000000001</v>
      </c>
      <c r="G67" s="11" cm="1">
        <f t="array" ref="G67">SUMPRODUCT((Tableau_pat_fin_02[[client]:[client]]=syndicat_etude)*(Tableau_pat_fin_02[[annee]:[annee]]=G$59)*(Tableau_pat_fin_02[vnc_autres_bl]))</f>
        <v>1351.3330000000001</v>
      </c>
      <c r="H67" s="120">
        <f t="shared" si="3"/>
        <v>-5.7171163942718595E-2</v>
      </c>
    </row>
    <row r="68" spans="1:8" ht="15" customHeight="1" x14ac:dyDescent="0.25">
      <c r="A68" s="59"/>
      <c r="B68" s="61" t="s">
        <v>937</v>
      </c>
      <c r="C68" s="119" cm="1">
        <f t="array" ref="C68">SUMPRODUCT((Tableau_pat_fin_02[[client]:[client]]=syndicat_etude)*(Tableau_pat_fin_02[[annee]:[annee]]=C$59)*(Tableau_pat_fin_02[vnc_comptages_nl]))</f>
        <v>3139.8229999999999</v>
      </c>
      <c r="D68" s="119" cm="1">
        <f t="array" ref="D68">SUMPRODUCT((Tableau_pat_fin_02[[client]:[client]]=syndicat_etude)*(Tableau_pat_fin_02[[annee]:[annee]]=D$59)*(Tableau_pat_fin_02[vnc_comptages_nl]))</f>
        <v>2792.9380000000001</v>
      </c>
      <c r="E68" s="119" cm="1">
        <f t="array" ref="E68">SUMPRODUCT((Tableau_pat_fin_02[[client]:[client]]=syndicat_etude)*(Tableau_pat_fin_02[[annee]:[annee]]=E$59)*(Tableau_pat_fin_02[vnc_comptages_nl]))</f>
        <v>2528.7310000000002</v>
      </c>
      <c r="F68" s="119" cm="1">
        <f t="array" ref="F68">SUMPRODUCT((Tableau_pat_fin_02[[client]:[client]]=syndicat_etude)*(Tableau_pat_fin_02[[annee]:[annee]]=F$59)*(Tableau_pat_fin_02[vnc_comptages_nl]))</f>
        <v>220.93799999999999</v>
      </c>
      <c r="G68" s="119" cm="1">
        <f t="array" ref="G68">SUMPRODUCT((Tableau_pat_fin_02[[client]:[client]]=syndicat_etude)*(Tableau_pat_fin_02[[annee]:[annee]]=G$59)*(Tableau_pat_fin_02[vnc_comptages_nl]))</f>
        <v>111.604</v>
      </c>
      <c r="H68" s="257">
        <f t="shared" si="3"/>
        <v>-0.49486281219165551</v>
      </c>
    </row>
    <row r="69" spans="1:8" ht="15" customHeight="1" x14ac:dyDescent="0.25">
      <c r="A69" s="59"/>
      <c r="B69" s="50" t="s">
        <v>938</v>
      </c>
      <c r="C69" s="11" cm="1">
        <f t="array" ref="C69">SUMPRODUCT((Tableau_pat_fin_02[[client]:[client]]=syndicat_etude)*(Tableau_pat_fin_02[[annee]:[annee]]=C$59)*(Tableau_pat_fin_02[vnc_ouvrage_branch_nl]))</f>
        <v>47507.595999999998</v>
      </c>
      <c r="D69" s="11" cm="1">
        <f t="array" ref="D69">SUMPRODUCT((Tableau_pat_fin_02[[client]:[client]]=syndicat_etude)*(Tableau_pat_fin_02[[annee]:[annee]]=D$59)*(Tableau_pat_fin_02[vnc_ouvrage_branch_nl]))</f>
        <v>48078.697999999997</v>
      </c>
      <c r="E69" s="11" cm="1">
        <f t="array" ref="E69">SUMPRODUCT((Tableau_pat_fin_02[[client]:[client]]=syndicat_etude)*(Tableau_pat_fin_02[[annee]:[annee]]=E$59)*(Tableau_pat_fin_02[vnc_ouvrage_branch_nl]))</f>
        <v>49097.23</v>
      </c>
      <c r="F69" s="11" cm="1">
        <f t="array" ref="F69">SUMPRODUCT((Tableau_pat_fin_02[[client]:[client]]=syndicat_etude)*(Tableau_pat_fin_02[[annee]:[annee]]=F$59)*(Tableau_pat_fin_02[vnc_ouvrage_branch_nl]))</f>
        <v>0</v>
      </c>
      <c r="G69" s="11" cm="1">
        <f t="array" ref="G69">SUMPRODUCT((Tableau_pat_fin_02[[client]:[client]]=syndicat_etude)*(Tableau_pat_fin_02[[annee]:[annee]]=G$59)*(Tableau_pat_fin_02[vnc_ouvrage_branch_nl]))</f>
        <v>0</v>
      </c>
      <c r="H69" s="120" t="str">
        <f t="shared" si="3"/>
        <v>-</v>
      </c>
    </row>
    <row r="70" spans="1:8" ht="15" customHeight="1" x14ac:dyDescent="0.25">
      <c r="A70" s="59"/>
      <c r="B70" s="53" t="s">
        <v>939</v>
      </c>
      <c r="C70" s="94" cm="1">
        <f t="array" ref="C70">SUMPRODUCT((Tableau_pat_fin_02[[client]:[client]]=syndicat_etude)*(Tableau_pat_fin_02[[annee]:[annee]]=C$59)*(Tableau_pat_fin_02[vnc_autres_biens_nl]))</f>
        <v>899.50800000000004</v>
      </c>
      <c r="D70" s="94" cm="1">
        <f t="array" ref="D70">SUMPRODUCT((Tableau_pat_fin_02[[client]:[client]]=syndicat_etude)*(Tableau_pat_fin_02[[annee]:[annee]]=D$59)*(Tableau_pat_fin_02[vnc_autres_biens_nl]))</f>
        <v>1001.954</v>
      </c>
      <c r="E70" s="94" cm="1">
        <f t="array" ref="E70">SUMPRODUCT((Tableau_pat_fin_02[[client]:[client]]=syndicat_etude)*(Tableau_pat_fin_02[[annee]:[annee]]=E$59)*(Tableau_pat_fin_02[vnc_autres_biens_nl]))</f>
        <v>966.52800000000002</v>
      </c>
      <c r="F70" s="94" cm="1">
        <f t="array" ref="F70">SUMPRODUCT((Tableau_pat_fin_02[[client]:[client]]=syndicat_etude)*(Tableau_pat_fin_02[[annee]:[annee]]=F$59)*(Tableau_pat_fin_02[vnc_autres_biens_nl]))</f>
        <v>937.58600000000001</v>
      </c>
      <c r="G70" s="94" cm="1">
        <f t="array" ref="G70">SUMPRODUCT((Tableau_pat_fin_02[[client]:[client]]=syndicat_etude)*(Tableau_pat_fin_02[[annee]:[annee]]=G$59)*(Tableau_pat_fin_02[vnc_autres_biens_nl]))</f>
        <v>914.61900000000003</v>
      </c>
      <c r="H70" s="133">
        <f t="shared" si="3"/>
        <v>-2.4495886244035203E-2</v>
      </c>
    </row>
    <row r="71" spans="1:8" ht="15" customHeight="1" x14ac:dyDescent="0.25">
      <c r="A71" s="59"/>
      <c r="B71" s="347" t="s">
        <v>521</v>
      </c>
      <c r="C71" s="348">
        <f>SUM(C$60:C$70)</f>
        <v>300256.408</v>
      </c>
      <c r="D71" s="348">
        <f>SUM(D$60:D$70)</f>
        <v>304707.97200000001</v>
      </c>
      <c r="E71" s="348">
        <f>SUM(E$60:E$70)</f>
        <v>314252.26</v>
      </c>
      <c r="F71" s="348">
        <f>SUM(F$60:F$70)</f>
        <v>317815.24400000001</v>
      </c>
      <c r="G71" s="348">
        <f>SUM(G$60:G$70)</f>
        <v>322088.364</v>
      </c>
      <c r="H71" s="349">
        <f t="shared" si="3"/>
        <v>1.3445295909091159E-2</v>
      </c>
    </row>
    <row r="72" spans="1:8" ht="15" customHeight="1" x14ac:dyDescent="0.25">
      <c r="A72" s="59"/>
      <c r="B72" s="142" t="s">
        <v>940</v>
      </c>
      <c r="C72" s="272">
        <f>IFERROR(C$71/1000/F$203,"-")</f>
        <v>6.1740501727257776E-3</v>
      </c>
      <c r="D72" s="272">
        <f>IFERROR(D$71/1000/G$203,"-")</f>
        <v>6.0536003178702693E-3</v>
      </c>
      <c r="E72" s="272">
        <f>IFERROR(E$71/1000/H$203,"-")</f>
        <v>6.0764997292907423E-3</v>
      </c>
      <c r="F72" s="272">
        <f>IFERROR(F$71/1000/I$203,"-")</f>
        <v>5.9978720465010951E-3</v>
      </c>
      <c r="G72" s="272">
        <f>IFERROR(G$71/1000/J$203,"-")</f>
        <v>5.9236820480753315E-3</v>
      </c>
      <c r="H72" s="133"/>
    </row>
    <row r="74" spans="1:8" ht="30" customHeight="1" x14ac:dyDescent="0.25">
      <c r="A74" s="25" t="s">
        <v>943</v>
      </c>
      <c r="B74" s="66" t="s">
        <v>944</v>
      </c>
      <c r="C74" s="67" cm="1">
        <f t="array" ref="C74">Exercice[Exercice N-4]</f>
        <v>2019</v>
      </c>
      <c r="D74" s="67" cm="1">
        <f t="array" ref="D74">Exercice[Exercice N-3]</f>
        <v>2020</v>
      </c>
      <c r="E74" s="67" cm="1">
        <f t="array" ref="E74">Exercice[Exercice N-2]</f>
        <v>2021</v>
      </c>
      <c r="F74" s="67" cm="1">
        <f t="array" ref="F74">Exercice[Exercice N-1]</f>
        <v>2022</v>
      </c>
      <c r="G74" s="67" cm="1">
        <f t="array" ref="G74">Exercice[Exercice N]</f>
        <v>2023</v>
      </c>
      <c r="H74" s="68" t="s">
        <v>273</v>
      </c>
    </row>
    <row r="75" spans="1:8" ht="15" customHeight="1" x14ac:dyDescent="0.25">
      <c r="A75" s="59" t="s">
        <v>3166</v>
      </c>
      <c r="B75" s="61" t="s">
        <v>932</v>
      </c>
      <c r="C75" s="11" cm="1">
        <f t="array" ref="C75">SUMPRODUCT((pat_fin_03[[client]:[client]]=syndicat_etude)*(pat_fin_03[[annee]:[annee]]=C$74)*(pat_fin_03[amort_canal_hta]))</f>
        <v>74017.891000000003</v>
      </c>
      <c r="D75" s="11" cm="1">
        <f t="array" ref="D75">SUMPRODUCT((pat_fin_03[[client]:[client]]=syndicat_etude)*(pat_fin_03[[annee]:[annee]]=D$74)*(pat_fin_03[amort_canal_hta]))</f>
        <v>77624.517000000007</v>
      </c>
      <c r="E75" s="11" cm="1">
        <f t="array" ref="E75">SUMPRODUCT((pat_fin_03[[client]:[client]]=syndicat_etude)*(pat_fin_03[[annee]:[annee]]=E$74)*(pat_fin_03[amort_canal_hta]))</f>
        <v>81461.244000000006</v>
      </c>
      <c r="F75" s="11" cm="1">
        <f t="array" ref="F75">SUMPRODUCT((pat_fin_03[[client]:[client]]=syndicat_etude)*(pat_fin_03[[annee]:[annee]]=F$74)*(pat_fin_03[amort_canal_hta]))</f>
        <v>85589.221999999994</v>
      </c>
      <c r="G75" s="11" cm="1">
        <f t="array" ref="G75">SUMPRODUCT((pat_fin_03[[client]:[client]]=syndicat_etude)*(pat_fin_03[[annee]:[annee]]=G$74)*(pat_fin_03[amort_canal_hta]))</f>
        <v>89902.27</v>
      </c>
      <c r="H75" s="120">
        <f t="shared" ref="H75:H86" si="4">IFERROR(G75/F75-1,"-")</f>
        <v>5.0392419737148808E-2</v>
      </c>
    </row>
    <row r="76" spans="1:8" ht="15" customHeight="1" x14ac:dyDescent="0.25">
      <c r="A76" s="59" t="s">
        <v>3168</v>
      </c>
      <c r="B76" s="50" t="s">
        <v>933</v>
      </c>
      <c r="C76" s="11" cm="1">
        <f t="array" ref="C76">SUMPRODUCT((pat_fin_03[[client]:[client]]=syndicat_etude)*(pat_fin_03[[annee]:[annee]]=C$74)*(pat_fin_03[amort_canal_bt]))</f>
        <v>71959.391000000003</v>
      </c>
      <c r="D76" s="11" cm="1">
        <f t="array" ref="D76">SUMPRODUCT((pat_fin_03[[client]:[client]]=syndicat_etude)*(pat_fin_03[[annee]:[annee]]=D$74)*(pat_fin_03[amort_canal_bt]))</f>
        <v>76086.97</v>
      </c>
      <c r="E76" s="11" cm="1">
        <f t="array" ref="E76">SUMPRODUCT((pat_fin_03[[client]:[client]]=syndicat_etude)*(pat_fin_03[[annee]:[annee]]=E$74)*(pat_fin_03[amort_canal_bt]))</f>
        <v>80462.688999999998</v>
      </c>
      <c r="F76" s="11" cm="1">
        <f t="array" ref="F76">SUMPRODUCT((pat_fin_03[[client]:[client]]=syndicat_etude)*(pat_fin_03[[annee]:[annee]]=F$74)*(pat_fin_03[amort_canal_bt]))</f>
        <v>84779.634000000005</v>
      </c>
      <c r="G76" s="11" cm="1">
        <f t="array" ref="G76">SUMPRODUCT((pat_fin_03[[client]:[client]]=syndicat_etude)*(pat_fin_03[[annee]:[annee]]=G$74)*(pat_fin_03[amort_canal_bt]))</f>
        <v>89324.239000000001</v>
      </c>
      <c r="H76" s="120">
        <f t="shared" si="4"/>
        <v>5.3604914123597025E-2</v>
      </c>
    </row>
    <row r="77" spans="1:8" ht="15" customHeight="1" x14ac:dyDescent="0.25">
      <c r="A77" s="59"/>
      <c r="B77" s="50" t="s">
        <v>87</v>
      </c>
      <c r="C77" s="11" cm="1">
        <f t="array" ref="C77">SUMPRODUCT((pat_fin_03[[client]:[client]]=syndicat_etude)*(pat_fin_03[[annee]:[annee]]=C$74)*(pat_fin_03[amort_poste_hta_bt]))</f>
        <v>30905.316999999999</v>
      </c>
      <c r="D77" s="11" cm="1">
        <f t="array" ref="D77">SUMPRODUCT((pat_fin_03[[client]:[client]]=syndicat_etude)*(pat_fin_03[[annee]:[annee]]=D$74)*(pat_fin_03[amort_poste_hta_bt]))</f>
        <v>32639.047999999999</v>
      </c>
      <c r="E77" s="11" cm="1">
        <f t="array" ref="E77">SUMPRODUCT((pat_fin_03[[client]:[client]]=syndicat_etude)*(pat_fin_03[[annee]:[annee]]=E$74)*(pat_fin_03[amort_poste_hta_bt]))</f>
        <v>33859.192999999999</v>
      </c>
      <c r="F77" s="11" cm="1">
        <f t="array" ref="F77">SUMPRODUCT((pat_fin_03[[client]:[client]]=syndicat_etude)*(pat_fin_03[[annee]:[annee]]=F$74)*(pat_fin_03[amort_poste_hta_bt]))</f>
        <v>35108.438000000002</v>
      </c>
      <c r="G77" s="11" cm="1">
        <f t="array" ref="G77">SUMPRODUCT((pat_fin_03[[client]:[client]]=syndicat_etude)*(pat_fin_03[[annee]:[annee]]=G$74)*(pat_fin_03[amort_poste_hta_bt]))</f>
        <v>36308.082999999999</v>
      </c>
      <c r="H77" s="120">
        <f t="shared" si="4"/>
        <v>3.4169705869568912E-2</v>
      </c>
    </row>
    <row r="78" spans="1:8" ht="15" customHeight="1" x14ac:dyDescent="0.25">
      <c r="A78" s="59"/>
      <c r="B78" s="50" t="s">
        <v>599</v>
      </c>
      <c r="C78" s="11" cm="1">
        <f t="array" ref="C78">SUMPRODUCT((pat_fin_03[[client]:[client]]=syndicat_etude)*(pat_fin_03[[annee]:[annee]]=C$74)*(pat_fin_03[amort_transfo_hta_bt]))</f>
        <v>7504.8069999999998</v>
      </c>
      <c r="D78" s="11" cm="1">
        <f t="array" ref="D78">SUMPRODUCT((pat_fin_03[[client]:[client]]=syndicat_etude)*(pat_fin_03[[annee]:[annee]]=D$74)*(pat_fin_03[amort_transfo_hta_bt]))</f>
        <v>7759.9390000000003</v>
      </c>
      <c r="E78" s="11" cm="1">
        <f t="array" ref="E78">SUMPRODUCT((pat_fin_03[[client]:[client]]=syndicat_etude)*(pat_fin_03[[annee]:[annee]]=E$74)*(pat_fin_03[amort_transfo_hta_bt]))</f>
        <v>8011.8649999999998</v>
      </c>
      <c r="F78" s="11" cm="1">
        <f t="array" ref="F78">SUMPRODUCT((pat_fin_03[[client]:[client]]=syndicat_etude)*(pat_fin_03[[annee]:[annee]]=F$74)*(pat_fin_03[amort_transfo_hta_bt]))</f>
        <v>8237.0490000000009</v>
      </c>
      <c r="G78" s="11" cm="1">
        <f t="array" ref="G78">SUMPRODUCT((pat_fin_03[[client]:[client]]=syndicat_etude)*(pat_fin_03[[annee]:[annee]]=G$74)*(pat_fin_03[amort_transfo_hta_bt]))</f>
        <v>8573.6309999999994</v>
      </c>
      <c r="H78" s="120">
        <f t="shared" si="4"/>
        <v>4.0861964035906473E-2</v>
      </c>
    </row>
    <row r="79" spans="1:8" ht="15" customHeight="1" x14ac:dyDescent="0.25">
      <c r="A79" s="59"/>
      <c r="B79" s="50" t="s">
        <v>934</v>
      </c>
      <c r="C79" s="11" cm="1">
        <f t="array" ref="C79">SUMPRODUCT((pat_fin_03[[client]:[client]]=syndicat_etude)*(pat_fin_03[[annee]:[annee]]=C$74)*(pat_fin_03[amort_comptage]))</f>
        <v>720.01800000000003</v>
      </c>
      <c r="D79" s="11" cm="1">
        <f t="array" ref="D79">SUMPRODUCT((pat_fin_03[[client]:[client]]=syndicat_etude)*(pat_fin_03[[annee]:[annee]]=D$74)*(pat_fin_03[amort_comptage]))</f>
        <v>1237.598</v>
      </c>
      <c r="E79" s="11" cm="1">
        <f t="array" ref="E79">SUMPRODUCT((pat_fin_03[[client]:[client]]=syndicat_etude)*(pat_fin_03[[annee]:[annee]]=E$74)*(pat_fin_03[amort_comptage]))</f>
        <v>1897.9469999999999</v>
      </c>
      <c r="F79" s="11" cm="1">
        <f t="array" ref="F79">SUMPRODUCT((pat_fin_03[[client]:[client]]=syndicat_etude)*(pat_fin_03[[annee]:[annee]]=F$74)*(pat_fin_03[amort_comptage]))</f>
        <v>4193.6480000000001</v>
      </c>
      <c r="G79" s="11" cm="1">
        <f t="array" ref="G79">SUMPRODUCT((pat_fin_03[[client]:[client]]=syndicat_etude)*(pat_fin_03[[annee]:[annee]]=G$74)*(pat_fin_03[amort_comptage]))</f>
        <v>5015.8819999999996</v>
      </c>
      <c r="H79" s="120">
        <f t="shared" si="4"/>
        <v>0.19606652728125962</v>
      </c>
    </row>
    <row r="80" spans="1:8" ht="15" customHeight="1" x14ac:dyDescent="0.25">
      <c r="A80" s="59"/>
      <c r="B80" s="50" t="s">
        <v>935</v>
      </c>
      <c r="C80" s="11" cm="1">
        <f t="array" ref="C80">SUMPRODUCT((pat_fin_03[[client]:[client]]=syndicat_etude)*(pat_fin_03[[annee]:[annee]]=C$74)*(pat_fin_03[[amort_branchements]:[amort_branchements]]))</f>
        <v>0</v>
      </c>
      <c r="D80" s="11" cm="1">
        <f t="array" ref="D80">SUMPRODUCT((pat_fin_03[[client]:[client]]=syndicat_etude)*(pat_fin_03[[annee]:[annee]]=D$74)*(pat_fin_03[[amort_branchements]:[amort_branchements]]))</f>
        <v>0</v>
      </c>
      <c r="E80" s="11" cm="1">
        <f t="array" ref="E80">SUMPRODUCT((pat_fin_03[[client]:[client]]=syndicat_etude)*(pat_fin_03[[annee]:[annee]]=E$74)*(pat_fin_03[[amort_branchements]:[amort_branchements]]))</f>
        <v>0</v>
      </c>
      <c r="F80" s="11" cm="1">
        <f t="array" ref="F80">SUMPRODUCT((pat_fin_03[[client]:[client]]=syndicat_etude)*(pat_fin_03[[annee]:[annee]]=F$74)*(pat_fin_03[[amort_branchements]:[amort_branchements]]))</f>
        <v>45562.828000000001</v>
      </c>
      <c r="G80" s="11" cm="1">
        <f t="array" ref="G80">SUMPRODUCT((pat_fin_03[[client]:[client]]=syndicat_etude)*(pat_fin_03[[annee]:[annee]]=G$74)*(pat_fin_03[[amort_branchements]:[amort_branchements]]))</f>
        <v>47634.358999999997</v>
      </c>
      <c r="H80" s="120">
        <f t="shared" si="4"/>
        <v>4.5465373659422381E-2</v>
      </c>
    </row>
    <row r="81" spans="1:8" ht="15" customHeight="1" x14ac:dyDescent="0.25">
      <c r="A81" s="59"/>
      <c r="B81" s="50" t="s">
        <v>600</v>
      </c>
      <c r="C81" s="11" cm="1">
        <f t="array" ref="C81">SUMPRODUCT((pat_fin_03[[client]:[client]]=syndicat_etude)*(pat_fin_03[[annee]:[annee]]=C$74)*(pat_fin_03[amort_ouvrage_branch]))</f>
        <v>3317.366</v>
      </c>
      <c r="D81" s="11" cm="1">
        <f t="array" ref="D81">SUMPRODUCT((pat_fin_03[[client]:[client]]=syndicat_etude)*(pat_fin_03[[annee]:[annee]]=D$74)*(pat_fin_03[amort_ouvrage_branch]))</f>
        <v>3492.5210000000002</v>
      </c>
      <c r="E81" s="11" cm="1">
        <f t="array" ref="E81">SUMPRODUCT((pat_fin_03[[client]:[client]]=syndicat_etude)*(pat_fin_03[[annee]:[annee]]=E$74)*(pat_fin_03[amort_ouvrage_branch]))</f>
        <v>3709.2860000000001</v>
      </c>
      <c r="F81" s="11" cm="1">
        <f t="array" ref="F81">SUMPRODUCT((pat_fin_03[[client]:[client]]=syndicat_etude)*(pat_fin_03[[annee]:[annee]]=F$74)*(pat_fin_03[amort_ouvrage_branch]))</f>
        <v>3961.0250000000001</v>
      </c>
      <c r="G81" s="11" cm="1">
        <f t="array" ref="G81">SUMPRODUCT((pat_fin_03[[client]:[client]]=syndicat_etude)*(pat_fin_03[[annee]:[annee]]=G$74)*(pat_fin_03[amort_ouvrage_branch]))</f>
        <v>4219.08</v>
      </c>
      <c r="H81" s="120">
        <f t="shared" si="4"/>
        <v>6.5148541097316937E-2</v>
      </c>
    </row>
    <row r="82" spans="1:8" ht="15" customHeight="1" x14ac:dyDescent="0.25">
      <c r="A82" s="59"/>
      <c r="B82" s="53" t="s">
        <v>936</v>
      </c>
      <c r="C82" s="11" cm="1">
        <f t="array" ref="C82">SUMPRODUCT((pat_fin_03[[client]:[client]]=syndicat_etude)*(pat_fin_03[[annee]:[annee]]=C$74)*(pat_fin_03[amort_autres_bl]))</f>
        <v>2053.0459999999998</v>
      </c>
      <c r="D82" s="11" cm="1">
        <f t="array" ref="D82">SUMPRODUCT((pat_fin_03[[client]:[client]]=syndicat_etude)*(pat_fin_03[[annee]:[annee]]=D$74)*(pat_fin_03[amort_autres_bl]))</f>
        <v>2028.8340000000001</v>
      </c>
      <c r="E82" s="11" cm="1">
        <f t="array" ref="E82">SUMPRODUCT((pat_fin_03[[client]:[client]]=syndicat_etude)*(pat_fin_03[[annee]:[annee]]=E$74)*(pat_fin_03[amort_autres_bl]))</f>
        <v>1947.5360000000001</v>
      </c>
      <c r="F82" s="11" cm="1">
        <f t="array" ref="F82">SUMPRODUCT((pat_fin_03[[client]:[client]]=syndicat_etude)*(pat_fin_03[[annee]:[annee]]=F$74)*(pat_fin_03[amort_autres_bl]))</f>
        <v>2156.9609999999998</v>
      </c>
      <c r="G82" s="11" cm="1">
        <f t="array" ref="G82">SUMPRODUCT((pat_fin_03[[client]:[client]]=syndicat_etude)*(pat_fin_03[[annee]:[annee]]=G$74)*(pat_fin_03[amort_autres_bl]))</f>
        <v>1825.8889999999999</v>
      </c>
      <c r="H82" s="120">
        <f t="shared" si="4"/>
        <v>-0.1534900260134513</v>
      </c>
    </row>
    <row r="83" spans="1:8" ht="15" customHeight="1" x14ac:dyDescent="0.25">
      <c r="A83" s="59"/>
      <c r="B83" s="61" t="s">
        <v>937</v>
      </c>
      <c r="C83" s="119" cm="1">
        <f t="array" ref="C83">SUMPRODUCT((pat_fin_03[[client]:[client]]=syndicat_etude)*(pat_fin_03[[annee]:[annee]]=C$74)*(pat_fin_03[amort_comptages_nl]))</f>
        <v>7870.1570000000002</v>
      </c>
      <c r="D83" s="119" cm="1">
        <f t="array" ref="D83">SUMPRODUCT((pat_fin_03[[client]:[client]]=syndicat_etude)*(pat_fin_03[[annee]:[annee]]=D$74)*(pat_fin_03[amort_comptages_nl]))</f>
        <v>7663.9870000000001</v>
      </c>
      <c r="E83" s="119" cm="1">
        <f t="array" ref="E83">SUMPRODUCT((pat_fin_03[[client]:[client]]=syndicat_etude)*(pat_fin_03[[annee]:[annee]]=E$74)*(pat_fin_03[amort_comptages_nl]))</f>
        <v>7519.97</v>
      </c>
      <c r="F83" s="119" cm="1">
        <f t="array" ref="F83">SUMPRODUCT((pat_fin_03[[client]:[client]]=syndicat_etude)*(pat_fin_03[[annee]:[annee]]=F$74)*(pat_fin_03[amort_comptages_nl]))</f>
        <v>252.50700000000001</v>
      </c>
      <c r="G83" s="119" cm="1">
        <f t="array" ref="G83">SUMPRODUCT((pat_fin_03[[client]:[client]]=syndicat_etude)*(pat_fin_03[[annee]:[annee]]=G$74)*(pat_fin_03[amort_comptages_nl]))</f>
        <v>239.154</v>
      </c>
      <c r="H83" s="257">
        <f t="shared" si="4"/>
        <v>-5.2881702289441557E-2</v>
      </c>
    </row>
    <row r="84" spans="1:8" ht="15" customHeight="1" x14ac:dyDescent="0.25">
      <c r="A84" s="59"/>
      <c r="B84" s="50" t="s">
        <v>938</v>
      </c>
      <c r="C84" s="11" cm="1">
        <f t="array" ref="C84">SUMPRODUCT((pat_fin_03[[client]:[client]]=syndicat_etude)*(pat_fin_03[[annee]:[annee]]=C$74)*(pat_fin_03[amort_ouvrage_branch_nl]))</f>
        <v>30746.763999999999</v>
      </c>
      <c r="D84" s="11" cm="1">
        <f t="array" ref="D84">SUMPRODUCT((pat_fin_03[[client]:[client]]=syndicat_etude)*(pat_fin_03[[annee]:[annee]]=D$74)*(pat_fin_03[amort_ouvrage_branch_nl]))</f>
        <v>32732.562000000002</v>
      </c>
      <c r="E84" s="11" cm="1">
        <f t="array" ref="E84">SUMPRODUCT((pat_fin_03[[client]:[client]]=syndicat_etude)*(pat_fin_03[[annee]:[annee]]=E$74)*(pat_fin_03[amort_ouvrage_branch_nl]))</f>
        <v>34760.050999999999</v>
      </c>
      <c r="F84" s="11" cm="1">
        <f t="array" ref="F84">SUMPRODUCT((pat_fin_03[[client]:[client]]=syndicat_etude)*(pat_fin_03[[annee]:[annee]]=F$74)*(pat_fin_03[amort_ouvrage_branch_nl]))</f>
        <v>0</v>
      </c>
      <c r="G84" s="11" cm="1">
        <f t="array" ref="G84">SUMPRODUCT((pat_fin_03[[client]:[client]]=syndicat_etude)*(pat_fin_03[[annee]:[annee]]=G$74)*(pat_fin_03[amort_ouvrage_branch_nl]))</f>
        <v>0</v>
      </c>
      <c r="H84" s="120" t="str">
        <f t="shared" si="4"/>
        <v>-</v>
      </c>
    </row>
    <row r="85" spans="1:8" ht="15" customHeight="1" x14ac:dyDescent="0.25">
      <c r="A85" s="59"/>
      <c r="B85" s="53" t="s">
        <v>939</v>
      </c>
      <c r="C85" s="94" cm="1">
        <f t="array" ref="C85">SUMPRODUCT((pat_fin_03[[client]:[client]]=syndicat_etude)*(pat_fin_03[[annee]:[annee]]=C$74)*(pat_fin_03[amort_autres_biens_nl]))</f>
        <v>227.80699999999999</v>
      </c>
      <c r="D85" s="94" cm="1">
        <f t="array" ref="D85">SUMPRODUCT((pat_fin_03[[client]:[client]]=syndicat_etude)*(pat_fin_03[[annee]:[annee]]=D$74)*(pat_fin_03[amort_autres_biens_nl]))</f>
        <v>298.27600000000001</v>
      </c>
      <c r="E85" s="94" cm="1">
        <f t="array" ref="E85">SUMPRODUCT((pat_fin_03[[client]:[client]]=syndicat_etude)*(pat_fin_03[[annee]:[annee]]=E$74)*(pat_fin_03[amort_autres_biens_nl]))</f>
        <v>436.47800000000001</v>
      </c>
      <c r="F85" s="94" cm="1">
        <f t="array" ref="F85">SUMPRODUCT((pat_fin_03[[client]:[client]]=syndicat_etude)*(pat_fin_03[[annee]:[annee]]=F$74)*(pat_fin_03[amort_autres_biens_nl]))</f>
        <v>581.73900000000003</v>
      </c>
      <c r="G85" s="94" cm="1">
        <f t="array" ref="G85">SUMPRODUCT((pat_fin_03[[client]:[client]]=syndicat_etude)*(pat_fin_03[[annee]:[annee]]=G$74)*(pat_fin_03[amort_autres_biens_nl]))</f>
        <v>746.14800000000002</v>
      </c>
      <c r="H85" s="133">
        <f t="shared" si="4"/>
        <v>0.2826164310799173</v>
      </c>
    </row>
    <row r="86" spans="1:8" ht="15" customHeight="1" x14ac:dyDescent="0.25">
      <c r="A86" s="59"/>
      <c r="B86" s="350" t="s">
        <v>521</v>
      </c>
      <c r="C86" s="351">
        <f>SUM(C$75:C$85)</f>
        <v>229322.56400000004</v>
      </c>
      <c r="D86" s="351">
        <f>SUM(D$75:D$85)</f>
        <v>241564.25200000007</v>
      </c>
      <c r="E86" s="351">
        <f>SUM(E$75:E$85)</f>
        <v>254066.25899999999</v>
      </c>
      <c r="F86" s="351">
        <f>SUM(F$75:F$85)</f>
        <v>270423.05099999998</v>
      </c>
      <c r="G86" s="351">
        <f>SUM(G$75:G$85)</f>
        <v>283788.73500000004</v>
      </c>
      <c r="H86" s="352">
        <f t="shared" si="4"/>
        <v>4.9425091354361239E-2</v>
      </c>
    </row>
    <row r="87" spans="1:8" ht="15" customHeight="1" x14ac:dyDescent="0.25">
      <c r="A87" s="59"/>
    </row>
    <row r="88" spans="1:8" ht="30" customHeight="1" x14ac:dyDescent="0.25">
      <c r="B88" s="66" t="s">
        <v>945</v>
      </c>
      <c r="C88" s="67" cm="1">
        <f t="array" ref="C88">Exercice[Exercice N-4]</f>
        <v>2019</v>
      </c>
      <c r="D88" s="67" cm="1">
        <f t="array" ref="D88">Exercice[Exercice N-3]</f>
        <v>2020</v>
      </c>
      <c r="E88" s="67" cm="1">
        <f t="array" ref="E88">Exercice[Exercice N-2]</f>
        <v>2021</v>
      </c>
      <c r="F88" s="67" cm="1">
        <f t="array" ref="F88">Exercice[Exercice N-1]</f>
        <v>2022</v>
      </c>
      <c r="G88" s="67" cm="1">
        <f t="array" ref="G88">Exercice[Exercice N]</f>
        <v>2023</v>
      </c>
      <c r="H88" s="68" t="s">
        <v>273</v>
      </c>
    </row>
    <row r="89" spans="1:8" ht="15" customHeight="1" x14ac:dyDescent="0.25">
      <c r="A89" s="59" t="s">
        <v>3166</v>
      </c>
      <c r="B89" s="61" t="s">
        <v>932</v>
      </c>
      <c r="C89" s="8">
        <f t="shared" ref="C89:G100" si="5">IFERROR(C75/C45,"-")</f>
        <v>0.45152954531911932</v>
      </c>
      <c r="D89" s="8">
        <f t="shared" si="5"/>
        <v>0.46508065258677883</v>
      </c>
      <c r="E89" s="8">
        <f t="shared" si="5"/>
        <v>0.4626388093296887</v>
      </c>
      <c r="F89" s="8">
        <f t="shared" si="5"/>
        <v>0.4762465068539723</v>
      </c>
      <c r="G89" s="8">
        <f t="shared" si="5"/>
        <v>0.48994259358422038</v>
      </c>
      <c r="H89" s="120">
        <f t="shared" ref="H89:H100" si="6">IFERROR(G89/F89-1,"-")</f>
        <v>2.8758398294032261E-2</v>
      </c>
    </row>
    <row r="90" spans="1:8" ht="15" customHeight="1" x14ac:dyDescent="0.25">
      <c r="A90" s="59" t="s">
        <v>3168</v>
      </c>
      <c r="B90" s="50" t="s">
        <v>933</v>
      </c>
      <c r="C90" s="8">
        <f t="shared" si="5"/>
        <v>0.37931984571735788</v>
      </c>
      <c r="D90" s="8">
        <f t="shared" si="5"/>
        <v>0.39082215042567486</v>
      </c>
      <c r="E90" s="8">
        <f t="shared" si="5"/>
        <v>0.39948347212479024</v>
      </c>
      <c r="F90" s="8">
        <f t="shared" si="5"/>
        <v>0.41032240300007666</v>
      </c>
      <c r="G90" s="8">
        <f t="shared" si="5"/>
        <v>0.41732863322991048</v>
      </c>
      <c r="H90" s="120">
        <f t="shared" si="6"/>
        <v>1.707493955632855E-2</v>
      </c>
    </row>
    <row r="91" spans="1:8" ht="15" customHeight="1" x14ac:dyDescent="0.25">
      <c r="A91" s="59"/>
      <c r="B91" s="50" t="s">
        <v>87</v>
      </c>
      <c r="C91" s="8">
        <f t="shared" si="5"/>
        <v>0.65239840980653363</v>
      </c>
      <c r="D91" s="8">
        <f t="shared" si="5"/>
        <v>0.66825738675772917</v>
      </c>
      <c r="E91" s="8">
        <f t="shared" si="5"/>
        <v>0.68516119175561063</v>
      </c>
      <c r="F91" s="8">
        <f t="shared" si="5"/>
        <v>0.69792390307065599</v>
      </c>
      <c r="G91" s="8">
        <f t="shared" si="5"/>
        <v>0.70025545726646266</v>
      </c>
      <c r="H91" s="120">
        <f t="shared" si="6"/>
        <v>3.340699731802399E-3</v>
      </c>
    </row>
    <row r="92" spans="1:8" ht="15" customHeight="1" x14ac:dyDescent="0.25">
      <c r="A92" s="59"/>
      <c r="B92" s="50" t="s">
        <v>599</v>
      </c>
      <c r="C92" s="8">
        <f t="shared" si="5"/>
        <v>0.48563797938085357</v>
      </c>
      <c r="D92" s="8">
        <f t="shared" si="5"/>
        <v>0.4985160358643993</v>
      </c>
      <c r="E92" s="8">
        <f t="shared" si="5"/>
        <v>0.51032534489580705</v>
      </c>
      <c r="F92" s="8">
        <f t="shared" si="5"/>
        <v>0.51654155381823652</v>
      </c>
      <c r="G92" s="8">
        <f t="shared" si="5"/>
        <v>0.51421440592815049</v>
      </c>
      <c r="H92" s="120">
        <f t="shared" si="6"/>
        <v>-4.5052481700338376E-3</v>
      </c>
    </row>
    <row r="93" spans="1:8" ht="15" customHeight="1" x14ac:dyDescent="0.25">
      <c r="A93" s="59"/>
      <c r="B93" s="50" t="s">
        <v>934</v>
      </c>
      <c r="C93" s="8">
        <f t="shared" si="5"/>
        <v>7.9633262601593466E-2</v>
      </c>
      <c r="D93" s="8">
        <f t="shared" si="5"/>
        <v>0.10425852449182101</v>
      </c>
      <c r="E93" s="8">
        <f t="shared" si="5"/>
        <v>0.12829488097241853</v>
      </c>
      <c r="F93" s="8">
        <f t="shared" si="5"/>
        <v>0.2366381738441182</v>
      </c>
      <c r="G93" s="8">
        <f t="shared" si="5"/>
        <v>0.27347204260506786</v>
      </c>
      <c r="H93" s="120">
        <f t="shared" si="6"/>
        <v>0.15565480481274085</v>
      </c>
    </row>
    <row r="94" spans="1:8" ht="15" customHeight="1" x14ac:dyDescent="0.25">
      <c r="A94" s="59"/>
      <c r="B94" s="50" t="s">
        <v>935</v>
      </c>
      <c r="C94" s="8" t="str">
        <f t="shared" si="5"/>
        <v>-</v>
      </c>
      <c r="D94" s="8" t="str">
        <f t="shared" si="5"/>
        <v>-</v>
      </c>
      <c r="E94" s="8" t="str">
        <f t="shared" si="5"/>
        <v>-</v>
      </c>
      <c r="F94" s="8">
        <f t="shared" si="5"/>
        <v>0.45663020887170214</v>
      </c>
      <c r="G94" s="8">
        <f t="shared" si="5"/>
        <v>0.4609793733656169</v>
      </c>
      <c r="H94" s="120">
        <f t="shared" si="6"/>
        <v>9.5244782526788807E-3</v>
      </c>
    </row>
    <row r="95" spans="1:8" ht="15" customHeight="1" x14ac:dyDescent="0.25">
      <c r="A95" s="59"/>
      <c r="B95" s="50" t="s">
        <v>600</v>
      </c>
      <c r="C95" s="8">
        <f t="shared" si="5"/>
        <v>0.3241662800292216</v>
      </c>
      <c r="D95" s="8">
        <f t="shared" si="5"/>
        <v>0.28236173453548241</v>
      </c>
      <c r="E95" s="8">
        <f t="shared" si="5"/>
        <v>0.30529957216909775</v>
      </c>
      <c r="F95" s="8">
        <f t="shared" si="5"/>
        <v>0.31514364245671739</v>
      </c>
      <c r="G95" s="8">
        <f t="shared" si="5"/>
        <v>0.32561541419787488</v>
      </c>
      <c r="H95" s="120">
        <f t="shared" si="6"/>
        <v>3.3228567327344027E-2</v>
      </c>
    </row>
    <row r="96" spans="1:8" ht="15" customHeight="1" x14ac:dyDescent="0.25">
      <c r="A96" s="59"/>
      <c r="B96" s="53" t="s">
        <v>936</v>
      </c>
      <c r="C96" s="8">
        <f t="shared" si="5"/>
        <v>0.59450352828345798</v>
      </c>
      <c r="D96" s="8">
        <f t="shared" si="5"/>
        <v>0.58528779389029562</v>
      </c>
      <c r="E96" s="8">
        <f t="shared" si="5"/>
        <v>0.56409801887224187</v>
      </c>
      <c r="F96" s="8">
        <f t="shared" si="5"/>
        <v>0.60078529656546253</v>
      </c>
      <c r="G96" s="8">
        <f t="shared" si="5"/>
        <v>0.57468096343283526</v>
      </c>
      <c r="H96" s="120">
        <f t="shared" si="6"/>
        <v>-4.3450352866255426E-2</v>
      </c>
    </row>
    <row r="97" spans="1:8" ht="15" customHeight="1" x14ac:dyDescent="0.25">
      <c r="A97" s="59"/>
      <c r="B97" s="61" t="s">
        <v>937</v>
      </c>
      <c r="C97" s="240">
        <f t="shared" si="5"/>
        <v>0.71482028123575159</v>
      </c>
      <c r="D97" s="240">
        <f t="shared" si="5"/>
        <v>0.73291020065650281</v>
      </c>
      <c r="E97" s="240">
        <f t="shared" si="5"/>
        <v>0.74835244873939433</v>
      </c>
      <c r="F97" s="240">
        <f t="shared" si="5"/>
        <v>0.53333966986661596</v>
      </c>
      <c r="G97" s="240">
        <f t="shared" si="5"/>
        <v>0.68182051442875147</v>
      </c>
      <c r="H97" s="257">
        <f t="shared" si="6"/>
        <v>0.27839827590411459</v>
      </c>
    </row>
    <row r="98" spans="1:8" ht="15" customHeight="1" x14ac:dyDescent="0.25">
      <c r="A98" s="59"/>
      <c r="B98" s="50" t="s">
        <v>938</v>
      </c>
      <c r="C98" s="8">
        <f t="shared" si="5"/>
        <v>0.39290799899200501</v>
      </c>
      <c r="D98" s="8">
        <f t="shared" si="5"/>
        <v>0.40504951908929526</v>
      </c>
      <c r="E98" s="8">
        <f t="shared" si="5"/>
        <v>0.41451440078871143</v>
      </c>
      <c r="F98" s="8" t="str">
        <f t="shared" si="5"/>
        <v>-</v>
      </c>
      <c r="G98" s="8" t="str">
        <f t="shared" si="5"/>
        <v>-</v>
      </c>
      <c r="H98" s="120" t="str">
        <f t="shared" si="6"/>
        <v>-</v>
      </c>
    </row>
    <row r="99" spans="1:8" ht="15" customHeight="1" x14ac:dyDescent="0.25">
      <c r="A99" s="59"/>
      <c r="B99" s="53" t="s">
        <v>939</v>
      </c>
      <c r="C99" s="81">
        <f t="shared" si="5"/>
        <v>0.20207927686582719</v>
      </c>
      <c r="D99" s="81">
        <f t="shared" si="5"/>
        <v>0.22940249032863416</v>
      </c>
      <c r="E99" s="81">
        <f t="shared" si="5"/>
        <v>0.31110201952094285</v>
      </c>
      <c r="F99" s="81">
        <f t="shared" si="5"/>
        <v>0.38289306106330112</v>
      </c>
      <c r="G99" s="81">
        <f t="shared" si="5"/>
        <v>0.4492794288900423</v>
      </c>
      <c r="H99" s="133">
        <f t="shared" si="6"/>
        <v>0.17338096345330722</v>
      </c>
    </row>
    <row r="100" spans="1:8" ht="15" customHeight="1" x14ac:dyDescent="0.25">
      <c r="A100" s="59"/>
      <c r="B100" s="347" t="s">
        <v>521</v>
      </c>
      <c r="C100" s="354">
        <f t="shared" si="5"/>
        <v>0.43302807643761954</v>
      </c>
      <c r="D100" s="354">
        <f t="shared" si="5"/>
        <v>0.4422048959970552</v>
      </c>
      <c r="E100" s="354">
        <f t="shared" si="5"/>
        <v>0.44704905798248484</v>
      </c>
      <c r="F100" s="354">
        <f t="shared" si="5"/>
        <v>0.45971683989150408</v>
      </c>
      <c r="G100" s="354">
        <f t="shared" si="5"/>
        <v>0.4683932351957189</v>
      </c>
      <c r="H100" s="349">
        <f t="shared" si="6"/>
        <v>1.8873346702423355E-2</v>
      </c>
    </row>
    <row r="101" spans="1:8" ht="15" customHeight="1" x14ac:dyDescent="0.25">
      <c r="A101" s="59"/>
      <c r="B101" s="142" t="s">
        <v>946</v>
      </c>
      <c r="C101" s="272">
        <f>F204</f>
        <v>0.44435177039178275</v>
      </c>
      <c r="D101" s="272">
        <f>G204</f>
        <v>0.44808719202640324</v>
      </c>
      <c r="E101" s="272">
        <f>H204</f>
        <v>0.45341168512725122</v>
      </c>
      <c r="F101" s="272">
        <f>I204</f>
        <v>0.45960940288613533</v>
      </c>
      <c r="G101" s="272">
        <f>J204</f>
        <v>0.46505907932666291</v>
      </c>
      <c r="H101" s="133"/>
    </row>
    <row r="103" spans="1:8" ht="30" customHeight="1" x14ac:dyDescent="0.25">
      <c r="A103" s="25" t="s">
        <v>947</v>
      </c>
      <c r="B103" s="66" t="s">
        <v>948</v>
      </c>
      <c r="C103" s="67" cm="1">
        <f t="array" ref="C103">Exercice[Exercice N-4]</f>
        <v>2019</v>
      </c>
      <c r="D103" s="67" cm="1">
        <f t="array" ref="D103">Exercice[Exercice N-3]</f>
        <v>2020</v>
      </c>
      <c r="E103" s="67" cm="1">
        <f t="array" ref="E103">Exercice[Exercice N-2]</f>
        <v>2021</v>
      </c>
      <c r="F103" s="67" cm="1">
        <f t="array" ref="F103">Exercice[Exercice N-1]</f>
        <v>2022</v>
      </c>
      <c r="G103" s="67" cm="1">
        <f t="array" ref="G103">Exercice[Exercice N]</f>
        <v>2023</v>
      </c>
      <c r="H103" s="68" t="s">
        <v>273</v>
      </c>
    </row>
    <row r="104" spans="1:8" ht="15" customHeight="1" x14ac:dyDescent="0.25">
      <c r="A104" s="59" t="s">
        <v>3166</v>
      </c>
      <c r="B104" s="61" t="s">
        <v>932</v>
      </c>
      <c r="C104" s="11" cm="1">
        <f t="array" ref="C104">SUMPRODUCT((pat_fin_05[[client]:[client]]=syndicat_etude)*(pat_fin_05[[annee]:[annee]]=C$103)*(pat_fin_05[vr_canal_hta]))</f>
        <v>225212.11600000001</v>
      </c>
      <c r="D104" s="11" cm="1">
        <f t="array" ref="D104">SUMPRODUCT((pat_fin_05[[client]:[client]]=syndicat_etude)*(pat_fin_05[[annee]:[annee]]=D$103)*(pat_fin_05[vr_canal_hta]))</f>
        <v>229846.038</v>
      </c>
      <c r="E104" s="11" cm="1">
        <f t="array" ref="E104">SUMPRODUCT((pat_fin_05[[client]:[client]]=syndicat_etude)*(pat_fin_05[[annee]:[annee]]=E$103)*(pat_fin_05[vr_canal_hta]))</f>
        <v>240873.56099999999</v>
      </c>
      <c r="F104" s="11" cm="1">
        <f t="array" ref="F104">SUMPRODUCT((pat_fin_05[[client]:[client]]=syndicat_etude)*(pat_fin_05[[annee]:[annee]]=F$103)*(pat_fin_05[vr_canal_hta]))</f>
        <v>251768.035</v>
      </c>
      <c r="G104" s="11" cm="1">
        <f t="array" ref="G104">SUMPRODUCT((pat_fin_05[[client]:[client]]=syndicat_etude)*(pat_fin_05[[annee]:[annee]]=G$103)*(pat_fin_05[vr_canal_hta]))</f>
        <v>264408.95699999999</v>
      </c>
      <c r="H104" s="120">
        <f t="shared" ref="H104:H115" si="7">IFERROR(G104/F104-1,"-")</f>
        <v>5.0208605711205445E-2</v>
      </c>
    </row>
    <row r="105" spans="1:8" ht="15" customHeight="1" x14ac:dyDescent="0.25">
      <c r="A105" s="59" t="s">
        <v>3168</v>
      </c>
      <c r="B105" s="50" t="s">
        <v>933</v>
      </c>
      <c r="C105" s="11" cm="1">
        <f t="array" ref="C105">SUMPRODUCT((pat_fin_05[[client]:[client]]=syndicat_etude)*(pat_fin_05[[annee]:[annee]]=C$103)*(pat_fin_05[vr_canal_bt]))</f>
        <v>239287.217</v>
      </c>
      <c r="D105" s="11" cm="1">
        <f t="array" ref="D105">SUMPRODUCT((pat_fin_05[[client]:[client]]=syndicat_etude)*(pat_fin_05[[annee]:[annee]]=D$103)*(pat_fin_05[vr_canal_bt]))</f>
        <v>246354.34099999999</v>
      </c>
      <c r="E105" s="11" cm="1">
        <f t="array" ref="E105">SUMPRODUCT((pat_fin_05[[client]:[client]]=syndicat_etude)*(pat_fin_05[[annee]:[annee]]=E$103)*(pat_fin_05[vr_canal_bt]))</f>
        <v>255332.383</v>
      </c>
      <c r="F105" s="11" cm="1">
        <f t="array" ref="F105">SUMPRODUCT((pat_fin_05[[client]:[client]]=syndicat_etude)*(pat_fin_05[[annee]:[annee]]=F$103)*(pat_fin_05[vr_canal_bt]))</f>
        <v>268689.10600000003</v>
      </c>
      <c r="G105" s="11" cm="1">
        <f t="array" ref="G105">SUMPRODUCT((pat_fin_05[[client]:[client]]=syndicat_etude)*(pat_fin_05[[annee]:[annee]]=G$103)*(pat_fin_05[vr_canal_bt]))</f>
        <v>286158.86900000001</v>
      </c>
      <c r="H105" s="120">
        <f t="shared" si="7"/>
        <v>6.5018501345566193E-2</v>
      </c>
    </row>
    <row r="106" spans="1:8" ht="15" customHeight="1" x14ac:dyDescent="0.25">
      <c r="A106" s="59"/>
      <c r="B106" s="50" t="s">
        <v>87</v>
      </c>
      <c r="C106" s="11" cm="1">
        <f t="array" ref="C106">SUMPRODUCT((pat_fin_05[[client]:[client]]=syndicat_etude)*(pat_fin_05[[annee]:[annee]]=C$103)*(pat_fin_05[vr_poste_hta_bt]))</f>
        <v>64840.659</v>
      </c>
      <c r="D106" s="11" cm="1">
        <f t="array" ref="D106">SUMPRODUCT((pat_fin_05[[client]:[client]]=syndicat_etude)*(pat_fin_05[[annee]:[annee]]=D$103)*(pat_fin_05[vr_poste_hta_bt]))</f>
        <v>66891.485000000001</v>
      </c>
      <c r="E106" s="11" cm="1">
        <f t="array" ref="E106">SUMPRODUCT((pat_fin_05[[client]:[client]]=syndicat_etude)*(pat_fin_05[[annee]:[annee]]=E$103)*(pat_fin_05[vr_poste_hta_bt]))</f>
        <v>67833.661999999997</v>
      </c>
      <c r="F106" s="11" cm="1">
        <f t="array" ref="F106">SUMPRODUCT((pat_fin_05[[client]:[client]]=syndicat_etude)*(pat_fin_05[[annee]:[annee]]=F$103)*(pat_fin_05[vr_poste_hta_bt]))</f>
        <v>70184.414999999994</v>
      </c>
      <c r="G106" s="11" cm="1">
        <f t="array" ref="G106">SUMPRODUCT((pat_fin_05[[client]:[client]]=syndicat_etude)*(pat_fin_05[[annee]:[annee]]=G$103)*(pat_fin_05[vr_poste_hta_bt]))</f>
        <v>73476.160000000003</v>
      </c>
      <c r="H106" s="120">
        <f t="shared" si="7"/>
        <v>4.6901366920277354E-2</v>
      </c>
    </row>
    <row r="107" spans="1:8" ht="15" customHeight="1" x14ac:dyDescent="0.25">
      <c r="A107" s="59"/>
      <c r="B107" s="50" t="s">
        <v>599</v>
      </c>
      <c r="C107" s="11" cm="1">
        <f t="array" ref="C107">SUMPRODUCT((pat_fin_05[[client]:[client]]=syndicat_etude)*(pat_fin_05[[annee]:[annee]]=C$103)*(pat_fin_05[vr_transfo_hta_bt]))</f>
        <v>19331.535</v>
      </c>
      <c r="D107" s="11" cm="1">
        <f t="array" ref="D107">SUMPRODUCT((pat_fin_05[[client]:[client]]=syndicat_etude)*(pat_fin_05[[annee]:[annee]]=D$103)*(pat_fin_05[vr_transfo_hta_bt]))</f>
        <v>19395.715</v>
      </c>
      <c r="E107" s="11" cm="1">
        <f t="array" ref="E107">SUMPRODUCT((pat_fin_05[[client]:[client]]=syndicat_etude)*(pat_fin_05[[annee]:[annee]]=E$103)*(pat_fin_05[vr_transfo_hta_bt]))</f>
        <v>19204.319</v>
      </c>
      <c r="F107" s="11" cm="1">
        <f t="array" ref="F107">SUMPRODUCT((pat_fin_05[[client]:[client]]=syndicat_etude)*(pat_fin_05[[annee]:[annee]]=F$103)*(pat_fin_05[vr_transfo_hta_bt]))</f>
        <v>21980.504000000001</v>
      </c>
      <c r="G107" s="11" cm="1">
        <f t="array" ref="G107">SUMPRODUCT((pat_fin_05[[client]:[client]]=syndicat_etude)*(pat_fin_05[[annee]:[annee]]=G$103)*(pat_fin_05[vr_transfo_hta_bt]))</f>
        <v>25311.286</v>
      </c>
      <c r="H107" s="120">
        <f t="shared" si="7"/>
        <v>0.15153346802238921</v>
      </c>
    </row>
    <row r="108" spans="1:8" ht="15" customHeight="1" x14ac:dyDescent="0.25">
      <c r="A108" s="59"/>
      <c r="B108" s="50" t="s">
        <v>934</v>
      </c>
      <c r="C108" s="11" cm="1">
        <f t="array" ref="C108">SUMPRODUCT((pat_fin_05[[client]:[client]]=syndicat_etude)*(pat_fin_05[[annee]:[annee]]=C$103)*(pat_fin_05[vr_comptage]))</f>
        <v>9041.6740000000009</v>
      </c>
      <c r="D108" s="11" cm="1">
        <f t="array" ref="D108">SUMPRODUCT((pat_fin_05[[client]:[client]]=syndicat_etude)*(pat_fin_05[[annee]:[annee]]=D$103)*(pat_fin_05[vr_comptage]))</f>
        <v>11870.473</v>
      </c>
      <c r="E108" s="11" cm="1">
        <f t="array" ref="E108">SUMPRODUCT((pat_fin_05[[client]:[client]]=syndicat_etude)*(pat_fin_05[[annee]:[annee]]=E$103)*(pat_fin_05[vr_comptage]))</f>
        <v>14793.63</v>
      </c>
      <c r="F108" s="11" cm="1">
        <f t="array" ref="F108">SUMPRODUCT((pat_fin_05[[client]:[client]]=syndicat_etude)*(pat_fin_05[[annee]:[annee]]=F$103)*(pat_fin_05[vr_comptage]))</f>
        <v>17721.773000000001</v>
      </c>
      <c r="G108" s="11" cm="1">
        <f t="array" ref="G108">SUMPRODUCT((pat_fin_05[[client]:[client]]=syndicat_etude)*(pat_fin_05[[annee]:[annee]]=G$103)*(pat_fin_05[vr_comptage]))</f>
        <v>18341.48</v>
      </c>
      <c r="H108" s="120">
        <f t="shared" si="7"/>
        <v>3.4968679488220467E-2</v>
      </c>
    </row>
    <row r="109" spans="1:8" ht="15" customHeight="1" x14ac:dyDescent="0.25">
      <c r="A109" s="59"/>
      <c r="B109" s="50" t="s">
        <v>935</v>
      </c>
      <c r="C109" s="11" cm="1">
        <f t="array" ref="C109">SUMPRODUCT((pat_fin_05[[client]:[client]]=syndicat_etude)*(pat_fin_05[[annee]:[annee]]=C$103)*(pat_fin_05[[vr_branchements]:[vr_branchements]]))</f>
        <v>0</v>
      </c>
      <c r="D109" s="11" cm="1">
        <f t="array" ref="D109">SUMPRODUCT((pat_fin_05[[client]:[client]]=syndicat_etude)*(pat_fin_05[[annee]:[annee]]=D$103)*(pat_fin_05[[vr_branchements]:[vr_branchements]]))</f>
        <v>0</v>
      </c>
      <c r="E109" s="11" cm="1">
        <f t="array" ref="E109">SUMPRODUCT((pat_fin_05[[client]:[client]]=syndicat_etude)*(pat_fin_05[[annee]:[annee]]=E$103)*(pat_fin_05[[vr_branchements]:[vr_branchements]]))</f>
        <v>0</v>
      </c>
      <c r="F109" s="11" cm="1">
        <f t="array" ref="F109">SUMPRODUCT((pat_fin_05[[client]:[client]]=syndicat_etude)*(pat_fin_05[[annee]:[annee]]=F$103)*(pat_fin_05[[vr_branchements]:[vr_branchements]]))</f>
        <v>131632.11900000001</v>
      </c>
      <c r="G109" s="11" cm="1">
        <f t="array" ref="G109">SUMPRODUCT((pat_fin_05[[client]:[client]]=syndicat_etude)*(pat_fin_05[[annee]:[annee]]=G$103)*(pat_fin_05[[vr_branchements]:[vr_branchements]]))</f>
        <v>140394.693</v>
      </c>
      <c r="H109" s="120">
        <f t="shared" si="7"/>
        <v>6.6568661710900479E-2</v>
      </c>
    </row>
    <row r="110" spans="1:8" ht="15" customHeight="1" x14ac:dyDescent="0.25">
      <c r="A110" s="59"/>
      <c r="B110" s="50" t="s">
        <v>600</v>
      </c>
      <c r="C110" s="11" cm="1">
        <f t="array" ref="C110">SUMPRODUCT((pat_fin_05[[client]:[client]]=syndicat_etude)*(pat_fin_05[[annee]:[annee]]=C$103)*(pat_fin_05[vr_ouvrage_branch]))</f>
        <v>11961.472</v>
      </c>
      <c r="D110" s="11" cm="1">
        <f t="array" ref="D110">SUMPRODUCT((pat_fin_05[[client]:[client]]=syndicat_etude)*(pat_fin_05[[annee]:[annee]]=D$103)*(pat_fin_05[vr_ouvrage_branch]))</f>
        <v>14240.823</v>
      </c>
      <c r="E110" s="11" cm="1">
        <f t="array" ref="E110">SUMPRODUCT((pat_fin_05[[client]:[client]]=syndicat_etude)*(pat_fin_05[[annee]:[annee]]=E$103)*(pat_fin_05[vr_ouvrage_branch]))</f>
        <v>14178.540999999999</v>
      </c>
      <c r="F110" s="11" cm="1">
        <f t="array" ref="F110">SUMPRODUCT((pat_fin_05[[client]:[client]]=syndicat_etude)*(pat_fin_05[[annee]:[annee]]=F$103)*(pat_fin_05[vr_ouvrage_branch]))</f>
        <v>15120.632</v>
      </c>
      <c r="G110" s="11" cm="1">
        <f t="array" ref="G110">SUMPRODUCT((pat_fin_05[[client]:[client]]=syndicat_etude)*(pat_fin_05[[annee]:[annee]]=G$103)*(pat_fin_05[vr_ouvrage_branch]))</f>
        <v>16152.098</v>
      </c>
      <c r="H110" s="120">
        <f t="shared" si="7"/>
        <v>6.821579944542E-2</v>
      </c>
    </row>
    <row r="111" spans="1:8" ht="15" customHeight="1" x14ac:dyDescent="0.25">
      <c r="A111" s="59"/>
      <c r="B111" s="53" t="s">
        <v>936</v>
      </c>
      <c r="C111" s="11" cm="1">
        <f t="array" ref="C111">SUMPRODUCT((pat_fin_05[[client]:[client]]=syndicat_etude)*(pat_fin_05[[annee]:[annee]]=C$103)*(pat_fin_05[vr_autres_bl]))</f>
        <v>3641.0010000000002</v>
      </c>
      <c r="D111" s="11" cm="1">
        <f t="array" ref="D111">SUMPRODUCT((pat_fin_05[[client]:[client]]=syndicat_etude)*(pat_fin_05[[annee]:[annee]]=D$103)*(pat_fin_05[vr_autres_bl]))</f>
        <v>3689.86</v>
      </c>
      <c r="E111" s="11" cm="1">
        <f t="array" ref="E111">SUMPRODUCT((pat_fin_05[[client]:[client]]=syndicat_etude)*(pat_fin_05[[annee]:[annee]]=E$103)*(pat_fin_05[vr_autres_bl]))</f>
        <v>3686.7130000000002</v>
      </c>
      <c r="F111" s="11" cm="1">
        <f t="array" ref="F111">SUMPRODUCT((pat_fin_05[[client]:[client]]=syndicat_etude)*(pat_fin_05[[annee]:[annee]]=F$103)*(pat_fin_05[vr_autres_bl]))</f>
        <v>3909.3229999999999</v>
      </c>
      <c r="G111" s="11" cm="1">
        <f t="array" ref="G111">SUMPRODUCT((pat_fin_05[[client]:[client]]=syndicat_etude)*(pat_fin_05[[annee]:[annee]]=G$103)*(pat_fin_05[vr_autres_bl]))</f>
        <v>3535.069</v>
      </c>
      <c r="H111" s="120">
        <f t="shared" si="7"/>
        <v>-9.5733711438016234E-2</v>
      </c>
    </row>
    <row r="112" spans="1:8" ht="15" customHeight="1" x14ac:dyDescent="0.25">
      <c r="A112" s="59"/>
      <c r="B112" s="61" t="s">
        <v>937</v>
      </c>
      <c r="C112" s="119" cm="1">
        <f t="array" ref="C112">SUMPRODUCT((pat_fin_05[[client]:[client]]=syndicat_etude)*(pat_fin_05[[annee]:[annee]]=C$103)*(pat_fin_05[vr_comptages_nl]))</f>
        <v>11009.98</v>
      </c>
      <c r="D112" s="119" cm="1">
        <f t="array" ref="D112">SUMPRODUCT((pat_fin_05[[client]:[client]]=syndicat_etude)*(pat_fin_05[[annee]:[annee]]=D$103)*(pat_fin_05[vr_comptages_nl]))</f>
        <v>10456.924999999999</v>
      </c>
      <c r="E112" s="119" cm="1">
        <f t="array" ref="E112">SUMPRODUCT((pat_fin_05[[client]:[client]]=syndicat_etude)*(pat_fin_05[[annee]:[annee]]=E$103)*(pat_fin_05[vr_comptages_nl]))</f>
        <v>10048.700999999999</v>
      </c>
      <c r="F112" s="119" cm="1">
        <f t="array" ref="F112">SUMPRODUCT((pat_fin_05[[client]:[client]]=syndicat_etude)*(pat_fin_05[[annee]:[annee]]=F$103)*(pat_fin_05[vr_comptages_nl]))</f>
        <v>473.44499999999999</v>
      </c>
      <c r="G112" s="119" cm="1">
        <f t="array" ref="G112">SUMPRODUCT((pat_fin_05[[client]:[client]]=syndicat_etude)*(pat_fin_05[[annee]:[annee]]=G$103)*(pat_fin_05[vr_comptages_nl]))</f>
        <v>350.75799999999998</v>
      </c>
      <c r="H112" s="257">
        <f t="shared" si="7"/>
        <v>-0.25913675294912819</v>
      </c>
    </row>
    <row r="113" spans="1:8" ht="15" customHeight="1" x14ac:dyDescent="0.25">
      <c r="A113" s="59"/>
      <c r="B113" s="50" t="s">
        <v>938</v>
      </c>
      <c r="C113" s="11" cm="1">
        <f t="array" ref="C113">SUMPRODUCT((pat_fin_05[[client]:[client]]=syndicat_etude)*(pat_fin_05[[annee]:[annee]]=C$103)*(pat_fin_05[vr_ouvrage_branch_nl]))</f>
        <v>97451.89</v>
      </c>
      <c r="D113" s="11" cm="1">
        <f t="array" ref="D113">SUMPRODUCT((pat_fin_05[[client]:[client]]=syndicat_etude)*(pat_fin_05[[annee]:[annee]]=D$103)*(pat_fin_05[vr_ouvrage_branch_nl]))</f>
        <v>101070.55</v>
      </c>
      <c r="E113" s="11" cm="1">
        <f t="array" ref="E113">SUMPRODUCT((pat_fin_05[[client]:[client]]=syndicat_etude)*(pat_fin_05[[annee]:[annee]]=E$103)*(pat_fin_05[vr_ouvrage_branch_nl]))</f>
        <v>105225.22199999999</v>
      </c>
      <c r="F113" s="11" cm="1">
        <f t="array" ref="F113">SUMPRODUCT((pat_fin_05[[client]:[client]]=syndicat_etude)*(pat_fin_05[[annee]:[annee]]=F$103)*(pat_fin_05[vr_ouvrage_branch_nl]))</f>
        <v>0</v>
      </c>
      <c r="G113" s="11" cm="1">
        <f t="array" ref="G113">SUMPRODUCT((pat_fin_05[[client]:[client]]=syndicat_etude)*(pat_fin_05[[annee]:[annee]]=G$103)*(pat_fin_05[vr_ouvrage_branch_nl]))</f>
        <v>0</v>
      </c>
      <c r="H113" s="120" t="str">
        <f t="shared" si="7"/>
        <v>-</v>
      </c>
    </row>
    <row r="114" spans="1:8" ht="15" customHeight="1" x14ac:dyDescent="0.25">
      <c r="A114" s="59"/>
      <c r="B114" s="53" t="s">
        <v>939</v>
      </c>
      <c r="C114" s="94" cm="1">
        <f t="array" ref="C114">SUMPRODUCT((pat_fin_05[[client]:[client]]=syndicat_etude)*(pat_fin_05[[annee]:[annee]]=C$103)*(pat_fin_05[vr_autres_biens_nl]))</f>
        <v>1133.4459999999999</v>
      </c>
      <c r="D114" s="94" cm="1">
        <f t="array" ref="D114">SUMPRODUCT((pat_fin_05[[client]:[client]]=syndicat_etude)*(pat_fin_05[[annee]:[annee]]=D$103)*(pat_fin_05[vr_autres_biens_nl]))</f>
        <v>1305.624</v>
      </c>
      <c r="E114" s="94" cm="1">
        <f t="array" ref="E114">SUMPRODUCT((pat_fin_05[[client]:[client]]=syndicat_etude)*(pat_fin_05[[annee]:[annee]]=E$103)*(pat_fin_05[vr_autres_biens_nl]))</f>
        <v>1454.752</v>
      </c>
      <c r="F114" s="94" cm="1">
        <f t="array" ref="F114">SUMPRODUCT((pat_fin_05[[client]:[client]]=syndicat_etude)*(pat_fin_05[[annee]:[annee]]=F$103)*(pat_fin_05[vr_autres_biens_nl]))</f>
        <v>1622.7080000000001</v>
      </c>
      <c r="G114" s="94" cm="1">
        <f t="array" ref="G114">SUMPRODUCT((pat_fin_05[[client]:[client]]=syndicat_etude)*(pat_fin_05[[annee]:[annee]]=G$103)*(pat_fin_05[vr_autres_biens_nl]))</f>
        <v>1827.9760000000001</v>
      </c>
      <c r="H114" s="133">
        <f t="shared" si="7"/>
        <v>0.12649718865008364</v>
      </c>
    </row>
    <row r="115" spans="1:8" ht="15" customHeight="1" x14ac:dyDescent="0.25">
      <c r="A115" s="59"/>
      <c r="B115" s="131" t="s">
        <v>521</v>
      </c>
      <c r="C115" s="141">
        <f>SUM(C$104:C$114)</f>
        <v>682910.99</v>
      </c>
      <c r="D115" s="141">
        <f>SUM(D$104:D$114)</f>
        <v>705121.83399999992</v>
      </c>
      <c r="E115" s="141">
        <f>SUM(E$104:E$114)</f>
        <v>732631.48399999994</v>
      </c>
      <c r="F115" s="141">
        <f>SUM(F$104:F$114)</f>
        <v>783102.05999999994</v>
      </c>
      <c r="G115" s="141">
        <f>SUM(G$104:G$114)</f>
        <v>829957.34600000002</v>
      </c>
      <c r="H115" s="130">
        <f t="shared" si="7"/>
        <v>5.983292394863593E-2</v>
      </c>
    </row>
    <row r="116" spans="1:8" ht="15" customHeight="1" x14ac:dyDescent="0.25">
      <c r="A116" s="59"/>
    </row>
    <row r="117" spans="1:8" ht="30" customHeight="1" x14ac:dyDescent="0.25">
      <c r="A117" s="25" t="s">
        <v>949</v>
      </c>
      <c r="B117" s="66" t="s">
        <v>950</v>
      </c>
      <c r="C117" s="67" cm="1">
        <f t="array" ref="C117">Exercice[Exercice N-4]</f>
        <v>2019</v>
      </c>
      <c r="D117" s="67" cm="1">
        <f t="array" ref="D117">Exercice[Exercice N-3]</f>
        <v>2020</v>
      </c>
      <c r="E117" s="67" cm="1">
        <f t="array" ref="E117">Exercice[Exercice N-2]</f>
        <v>2021</v>
      </c>
      <c r="F117" s="67" cm="1">
        <f t="array" ref="F117">Exercice[Exercice N-1]</f>
        <v>2022</v>
      </c>
      <c r="G117" s="67" cm="1">
        <f t="array" ref="G117">Exercice[Exercice N]</f>
        <v>2023</v>
      </c>
      <c r="H117" s="68" t="s">
        <v>273</v>
      </c>
    </row>
    <row r="118" spans="1:8" ht="15" customHeight="1" x14ac:dyDescent="0.25">
      <c r="A118" s="59" t="s">
        <v>3166</v>
      </c>
      <c r="B118" s="61" t="s">
        <v>932</v>
      </c>
      <c r="C118" s="11" cm="1">
        <f t="array" ref="C118">SUMPRODUCT((pat_fin_06[[client]:[client]]=syndicat_etude)*(pat_fin_06[[annee]:[annee]]=C$117)*(pat_fin_06[pr_canal_hta]))</f>
        <v>24434.003000000001</v>
      </c>
      <c r="D118" s="11" cm="1">
        <f t="array" ref="D118">SUMPRODUCT((pat_fin_06[[client]:[client]]=syndicat_etude)*(pat_fin_06[[annee]:[annee]]=D$117)*(pat_fin_06[pr_canal_hta]))</f>
        <v>23778.438999999998</v>
      </c>
      <c r="E118" s="11" cm="1">
        <f t="array" ref="E118">SUMPRODUCT((pat_fin_06[[client]:[client]]=syndicat_etude)*(pat_fin_06[[annee]:[annee]]=E$117)*(pat_fin_06[pr_canal_hta]))</f>
        <v>23461.571</v>
      </c>
      <c r="F118" s="11" cm="1">
        <f t="array" ref="F118">SUMPRODUCT((pat_fin_06[[client]:[client]]=syndicat_etude)*(pat_fin_06[[annee]:[annee]]=F$117)*(pat_fin_06[pr_canal_hta]))</f>
        <v>23249.892</v>
      </c>
      <c r="G118" s="11" cm="1">
        <f t="array" ref="G118">SUMPRODUCT((pat_fin_06[[client]:[client]]=syndicat_etude)*(pat_fin_06[[annee]:[annee]]=G$117)*(pat_fin_06[pr_canal_hta]))</f>
        <v>22703.365000000002</v>
      </c>
      <c r="H118" s="120">
        <f t="shared" ref="H118:H129" si="8">IFERROR(G118/F118-1,"-")</f>
        <v>-2.350664682657444E-2</v>
      </c>
    </row>
    <row r="119" spans="1:8" ht="15" customHeight="1" x14ac:dyDescent="0.25">
      <c r="A119" s="59" t="s">
        <v>3168</v>
      </c>
      <c r="B119" s="50" t="s">
        <v>933</v>
      </c>
      <c r="C119" s="11" cm="1">
        <f t="array" ref="C119">SUMPRODUCT((pat_fin_06[[client]:[client]]=syndicat_etude)*(pat_fin_06[[annee]:[annee]]=C$117)*(pat_fin_06[pr_canal_bt]))</f>
        <v>7421.64</v>
      </c>
      <c r="D119" s="11" cm="1">
        <f t="array" ref="D119">SUMPRODUCT((pat_fin_06[[client]:[client]]=syndicat_etude)*(pat_fin_06[[annee]:[annee]]=D$117)*(pat_fin_06[pr_canal_bt]))</f>
        <v>7308.6310000000003</v>
      </c>
      <c r="E119" s="11" cm="1">
        <f t="array" ref="E119">SUMPRODUCT((pat_fin_06[[client]:[client]]=syndicat_etude)*(pat_fin_06[[annee]:[annee]]=E$117)*(pat_fin_06[pr_canal_bt]))</f>
        <v>6872.192</v>
      </c>
      <c r="F119" s="11" cm="1">
        <f t="array" ref="F119">SUMPRODUCT((pat_fin_06[[client]:[client]]=syndicat_etude)*(pat_fin_06[[annee]:[annee]]=F$117)*(pat_fin_06[pr_canal_bt]))</f>
        <v>6486.2380000000003</v>
      </c>
      <c r="G119" s="11" cm="1">
        <f t="array" ref="G119">SUMPRODUCT((pat_fin_06[[client]:[client]]=syndicat_etude)*(pat_fin_06[[annee]:[annee]]=G$117)*(pat_fin_06[pr_canal_bt]))</f>
        <v>6247.2030000000004</v>
      </c>
      <c r="H119" s="120">
        <f t="shared" si="8"/>
        <v>-3.6852640929919578E-2</v>
      </c>
    </row>
    <row r="120" spans="1:8" ht="15" customHeight="1" x14ac:dyDescent="0.25">
      <c r="A120" s="59"/>
      <c r="B120" s="50" t="s">
        <v>87</v>
      </c>
      <c r="C120" s="11" cm="1">
        <f t="array" ref="C120">SUMPRODUCT((pat_fin_06[[client]:[client]]=syndicat_etude)*(pat_fin_06[[annee]:[annee]]=C$117)*(pat_fin_06[pr_poste_hta_bt]))</f>
        <v>4947.4110000000001</v>
      </c>
      <c r="D120" s="11" cm="1">
        <f t="array" ref="D120">SUMPRODUCT((pat_fin_06[[client]:[client]]=syndicat_etude)*(pat_fin_06[[annee]:[annee]]=D$117)*(pat_fin_06[pr_poste_hta_bt]))</f>
        <v>4964.067</v>
      </c>
      <c r="E120" s="11" cm="1">
        <f t="array" ref="E120">SUMPRODUCT((pat_fin_06[[client]:[client]]=syndicat_etude)*(pat_fin_06[[annee]:[annee]]=E$117)*(pat_fin_06[pr_poste_hta_bt]))</f>
        <v>4777.4070000000002</v>
      </c>
      <c r="F120" s="11" cm="1">
        <f t="array" ref="F120">SUMPRODUCT((pat_fin_06[[client]:[client]]=syndicat_etude)*(pat_fin_06[[annee]:[annee]]=F$117)*(pat_fin_06[pr_poste_hta_bt]))</f>
        <v>4319.7209999999995</v>
      </c>
      <c r="G120" s="11" cm="1">
        <f t="array" ref="G120">SUMPRODUCT((pat_fin_06[[client]:[client]]=syndicat_etude)*(pat_fin_06[[annee]:[annee]]=G$117)*(pat_fin_06[pr_poste_hta_bt]))</f>
        <v>4319.0529999999999</v>
      </c>
      <c r="H120" s="120">
        <f t="shared" si="8"/>
        <v>-1.5463961677142368E-4</v>
      </c>
    </row>
    <row r="121" spans="1:8" ht="15" customHeight="1" x14ac:dyDescent="0.25">
      <c r="A121" s="59"/>
      <c r="B121" s="50" t="s">
        <v>599</v>
      </c>
      <c r="C121" s="11" cm="1">
        <f t="array" ref="C121">SUMPRODUCT((pat_fin_06[[client]:[client]]=syndicat_etude)*(pat_fin_06[[annee]:[annee]]=C$117)*(pat_fin_06[pr_transfo_hta_bt]))</f>
        <v>354.46</v>
      </c>
      <c r="D121" s="11" cm="1">
        <f t="array" ref="D121">SUMPRODUCT((pat_fin_06[[client]:[client]]=syndicat_etude)*(pat_fin_06[[annee]:[annee]]=D$117)*(pat_fin_06[pr_transfo_hta_bt]))</f>
        <v>339.59399999999999</v>
      </c>
      <c r="E121" s="11" cm="1">
        <f t="array" ref="E121">SUMPRODUCT((pat_fin_06[[client]:[client]]=syndicat_etude)*(pat_fin_06[[annee]:[annee]]=E$117)*(pat_fin_06[pr_transfo_hta_bt]))</f>
        <v>343.94200000000001</v>
      </c>
      <c r="F121" s="11" cm="1">
        <f t="array" ref="F121">SUMPRODUCT((pat_fin_06[[client]:[client]]=syndicat_etude)*(pat_fin_06[[annee]:[annee]]=F$117)*(pat_fin_06[pr_transfo_hta_bt]))</f>
        <v>324.96199999999999</v>
      </c>
      <c r="G121" s="11" cm="1">
        <f t="array" ref="G121">SUMPRODUCT((pat_fin_06[[client]:[client]]=syndicat_etude)*(pat_fin_06[[annee]:[annee]]=G$117)*(pat_fin_06[pr_transfo_hta_bt]))</f>
        <v>327.31599999999997</v>
      </c>
      <c r="H121" s="120">
        <f t="shared" si="8"/>
        <v>7.2439239049488791E-3</v>
      </c>
    </row>
    <row r="122" spans="1:8" ht="15" customHeight="1" x14ac:dyDescent="0.25">
      <c r="A122" s="59"/>
      <c r="B122" s="50" t="s">
        <v>934</v>
      </c>
      <c r="C122" s="11" cm="1">
        <f t="array" ref="C122">SUMPRODUCT((pat_fin_06[[client]:[client]]=syndicat_etude)*(pat_fin_06[[annee]:[annee]]=C$117)*(pat_fin_06[pr_comptage]))</f>
        <v>0</v>
      </c>
      <c r="D122" s="11" cm="1">
        <f t="array" ref="D122">SUMPRODUCT((pat_fin_06[[client]:[client]]=syndicat_etude)*(pat_fin_06[[annee]:[annee]]=D$117)*(pat_fin_06[pr_comptage]))</f>
        <v>0</v>
      </c>
      <c r="E122" s="11" cm="1">
        <f t="array" ref="E122">SUMPRODUCT((pat_fin_06[[client]:[client]]=syndicat_etude)*(pat_fin_06[[annee]:[annee]]=E$117)*(pat_fin_06[pr_comptage]))</f>
        <v>0</v>
      </c>
      <c r="F122" s="11" cm="1">
        <f t="array" ref="F122">SUMPRODUCT((pat_fin_06[[client]:[client]]=syndicat_etude)*(pat_fin_06[[annee]:[annee]]=F$117)*(pat_fin_06[pr_comptage]))</f>
        <v>0</v>
      </c>
      <c r="G122" s="11" cm="1">
        <f t="array" ref="G122">SUMPRODUCT((pat_fin_06[[client]:[client]]=syndicat_etude)*(pat_fin_06[[annee]:[annee]]=G$117)*(pat_fin_06[pr_comptage]))</f>
        <v>0</v>
      </c>
      <c r="H122" s="120" t="str">
        <f t="shared" si="8"/>
        <v>-</v>
      </c>
    </row>
    <row r="123" spans="1:8" ht="15" customHeight="1" x14ac:dyDescent="0.25">
      <c r="A123" s="59"/>
      <c r="B123" s="50" t="s">
        <v>935</v>
      </c>
      <c r="C123" s="11" cm="1">
        <f t="array" ref="C123">SUMPRODUCT((pat_fin_06[[client]:[client]]=syndicat_etude)*(pat_fin_06[[annee]:[annee]]=C$117)*(pat_fin_06[[pr_branchements]:[pr_branchements]]))</f>
        <v>0</v>
      </c>
      <c r="D123" s="11" cm="1">
        <f t="array" ref="D123">SUMPRODUCT((pat_fin_06[[client]:[client]]=syndicat_etude)*(pat_fin_06[[annee]:[annee]]=D$117)*(pat_fin_06[[pr_branchements]:[pr_branchements]]))</f>
        <v>0</v>
      </c>
      <c r="E123" s="11" cm="1">
        <f t="array" ref="E123">SUMPRODUCT((pat_fin_06[[client]:[client]]=syndicat_etude)*(pat_fin_06[[annee]:[annee]]=E$117)*(pat_fin_06[[pr_branchements]:[pr_branchements]]))</f>
        <v>0</v>
      </c>
      <c r="F123" s="11" cm="1">
        <f t="array" ref="F123">SUMPRODUCT((pat_fin_06[[client]:[client]]=syndicat_etude)*(pat_fin_06[[annee]:[annee]]=F$117)*(pat_fin_06[[pr_branchements]:[pr_branchements]]))</f>
        <v>7450.7449999999999</v>
      </c>
      <c r="G123" s="11" cm="1">
        <f t="array" ref="G123">SUMPRODUCT((pat_fin_06[[client]:[client]]=syndicat_etude)*(pat_fin_06[[annee]:[annee]]=G$117)*(pat_fin_06[[pr_branchements]:[pr_branchements]]))</f>
        <v>7401.8789999999999</v>
      </c>
      <c r="H123" s="120">
        <f t="shared" si="8"/>
        <v>-6.558538776994749E-3</v>
      </c>
    </row>
    <row r="124" spans="1:8" ht="15" customHeight="1" x14ac:dyDescent="0.25">
      <c r="A124" s="59"/>
      <c r="B124" s="50" t="s">
        <v>600</v>
      </c>
      <c r="C124" s="11" cm="1">
        <f t="array" ref="C124">SUMPRODUCT((pat_fin_06[[client]:[client]]=syndicat_etude)*(pat_fin_06[[annee]:[annee]]=C$117)*(pat_fin_06[pr_ouvrage_branch]))</f>
        <v>0</v>
      </c>
      <c r="D124" s="11" cm="1">
        <f t="array" ref="D124">SUMPRODUCT((pat_fin_06[[client]:[client]]=syndicat_etude)*(pat_fin_06[[annee]:[annee]]=D$117)*(pat_fin_06[pr_ouvrage_branch]))</f>
        <v>0</v>
      </c>
      <c r="E124" s="11" cm="1">
        <f t="array" ref="E124">SUMPRODUCT((pat_fin_06[[client]:[client]]=syndicat_etude)*(pat_fin_06[[annee]:[annee]]=E$117)*(pat_fin_06[pr_ouvrage_branch]))</f>
        <v>0</v>
      </c>
      <c r="F124" s="11" cm="1">
        <f t="array" ref="F124">SUMPRODUCT((pat_fin_06[[client]:[client]]=syndicat_etude)*(pat_fin_06[[annee]:[annee]]=F$117)*(pat_fin_06[pr_ouvrage_branch]))</f>
        <v>0</v>
      </c>
      <c r="G124" s="11" cm="1">
        <f t="array" ref="G124">SUMPRODUCT((pat_fin_06[[client]:[client]]=syndicat_etude)*(pat_fin_06[[annee]:[annee]]=G$117)*(pat_fin_06[pr_ouvrage_branch]))</f>
        <v>0</v>
      </c>
      <c r="H124" s="120" t="str">
        <f t="shared" si="8"/>
        <v>-</v>
      </c>
    </row>
    <row r="125" spans="1:8" ht="15" customHeight="1" x14ac:dyDescent="0.25">
      <c r="A125" s="59"/>
      <c r="B125" s="53" t="s">
        <v>936</v>
      </c>
      <c r="C125" s="11" cm="1">
        <f t="array" ref="C125">SUMPRODUCT((pat_fin_06[[client]:[client]]=syndicat_etude)*(pat_fin_06[[annee]:[annee]]=C$117)*(pat_fin_06[pr_autres_bl]))</f>
        <v>91.734999999999999</v>
      </c>
      <c r="D125" s="11" cm="1">
        <f t="array" ref="D125">SUMPRODUCT((pat_fin_06[[client]:[client]]=syndicat_etude)*(pat_fin_06[[annee]:[annee]]=D$117)*(pat_fin_06[pr_autres_bl]))</f>
        <v>115.751</v>
      </c>
      <c r="E125" s="11" cm="1">
        <f t="array" ref="E125">SUMPRODUCT((pat_fin_06[[client]:[client]]=syndicat_etude)*(pat_fin_06[[annee]:[annee]]=E$117)*(pat_fin_06[pr_autres_bl]))</f>
        <v>121.928</v>
      </c>
      <c r="F125" s="11" cm="1">
        <f t="array" ref="F125">SUMPRODUCT((pat_fin_06[[client]:[client]]=syndicat_etude)*(pat_fin_06[[annee]:[annee]]=F$117)*(pat_fin_06[pr_autres_bl]))</f>
        <v>121.928</v>
      </c>
      <c r="G125" s="11" cm="1">
        <f t="array" ref="G125">SUMPRODUCT((pat_fin_06[[client]:[client]]=syndicat_etude)*(pat_fin_06[[annee]:[annee]]=G$117)*(pat_fin_06[pr_autres_bl]))</f>
        <v>121.928</v>
      </c>
      <c r="H125" s="120">
        <f t="shared" si="8"/>
        <v>0</v>
      </c>
    </row>
    <row r="126" spans="1:8" ht="15" customHeight="1" x14ac:dyDescent="0.25">
      <c r="A126" s="59"/>
      <c r="B126" s="61" t="s">
        <v>937</v>
      </c>
      <c r="C126" s="119" cm="1">
        <f t="array" ref="C126">SUMPRODUCT((pat_fin_06[[client]:[client]]=syndicat_etude)*(pat_fin_06[[annee]:[annee]]=C$117)*(pat_fin_06[pr_comptages_nl]))</f>
        <v>0</v>
      </c>
      <c r="D126" s="119" cm="1">
        <f t="array" ref="D126">SUMPRODUCT((pat_fin_06[[client]:[client]]=syndicat_etude)*(pat_fin_06[[annee]:[annee]]=D$117)*(pat_fin_06[pr_comptages_nl]))</f>
        <v>0</v>
      </c>
      <c r="E126" s="119" cm="1">
        <f t="array" ref="E126">SUMPRODUCT((pat_fin_06[[client]:[client]]=syndicat_etude)*(pat_fin_06[[annee]:[annee]]=E$117)*(pat_fin_06[pr_comptages_nl]))</f>
        <v>0</v>
      </c>
      <c r="F126" s="119" cm="1">
        <f t="array" ref="F126">SUMPRODUCT((pat_fin_06[[client]:[client]]=syndicat_etude)*(pat_fin_06[[annee]:[annee]]=F$117)*(pat_fin_06[pr_comptages_nl]))</f>
        <v>0</v>
      </c>
      <c r="G126" s="119" cm="1">
        <f t="array" ref="G126">SUMPRODUCT((pat_fin_06[[client]:[client]]=syndicat_etude)*(pat_fin_06[[annee]:[annee]]=G$117)*(pat_fin_06[pr_comptages_nl]))</f>
        <v>0</v>
      </c>
      <c r="H126" s="257" t="str">
        <f t="shared" si="8"/>
        <v>-</v>
      </c>
    </row>
    <row r="127" spans="1:8" ht="15" customHeight="1" x14ac:dyDescent="0.25">
      <c r="A127" s="59"/>
      <c r="B127" s="50" t="s">
        <v>938</v>
      </c>
      <c r="C127" s="11" cm="1">
        <f t="array" ref="C127">SUMPRODUCT((pat_fin_06[[client]:[client]]=syndicat_etude)*(pat_fin_06[[annee]:[annee]]=C$117)*(pat_fin_06[pr_ouvrage_branch_nl]))</f>
        <v>4377.8649999999998</v>
      </c>
      <c r="D127" s="11" cm="1">
        <f t="array" ref="D127">SUMPRODUCT((pat_fin_06[[client]:[client]]=syndicat_etude)*(pat_fin_06[[annee]:[annee]]=D$117)*(pat_fin_06[pr_ouvrage_branch_nl]))</f>
        <v>4531.2439999999997</v>
      </c>
      <c r="E127" s="11" cm="1">
        <f t="array" ref="E127">SUMPRODUCT((pat_fin_06[[client]:[client]]=syndicat_etude)*(pat_fin_06[[annee]:[annee]]=E$117)*(pat_fin_06[pr_ouvrage_branch_nl]))</f>
        <v>4595.5</v>
      </c>
      <c r="F127" s="11" cm="1">
        <f t="array" ref="F127">SUMPRODUCT((pat_fin_06[[client]:[client]]=syndicat_etude)*(pat_fin_06[[annee]:[annee]]=F$117)*(pat_fin_06[pr_ouvrage_branch_nl]))</f>
        <v>0</v>
      </c>
      <c r="G127" s="11" cm="1">
        <f t="array" ref="G127">SUMPRODUCT((pat_fin_06[[client]:[client]]=syndicat_etude)*(pat_fin_06[[annee]:[annee]]=G$117)*(pat_fin_06[pr_ouvrage_branch_nl]))</f>
        <v>0</v>
      </c>
      <c r="H127" s="120" t="str">
        <f t="shared" si="8"/>
        <v>-</v>
      </c>
    </row>
    <row r="128" spans="1:8" ht="15" customHeight="1" x14ac:dyDescent="0.25">
      <c r="A128" s="59"/>
      <c r="B128" s="53" t="s">
        <v>939</v>
      </c>
      <c r="C128" s="94" cm="1">
        <f t="array" ref="C128">SUMPRODUCT((pat_fin_06[[client]:[client]]=syndicat_etude)*(pat_fin_06[[annee]:[annee]]=C$117)*(pat_fin_06[pr_autres_biens_nl]))</f>
        <v>1.2649999999999999</v>
      </c>
      <c r="D128" s="94" cm="1">
        <f t="array" ref="D128">SUMPRODUCT((pat_fin_06[[client]:[client]]=syndicat_etude)*(pat_fin_06[[annee]:[annee]]=D$117)*(pat_fin_06[pr_autres_biens_nl]))</f>
        <v>1.3180000000000001</v>
      </c>
      <c r="E128" s="94" cm="1">
        <f t="array" ref="E128">SUMPRODUCT((pat_fin_06[[client]:[client]]=syndicat_etude)*(pat_fin_06[[annee]:[annee]]=E$117)*(pat_fin_06[pr_autres_biens_nl]))</f>
        <v>1.339</v>
      </c>
      <c r="F128" s="94" cm="1">
        <f t="array" ref="F128">SUMPRODUCT((pat_fin_06[[client]:[client]]=syndicat_etude)*(pat_fin_06[[annee]:[annee]]=F$117)*(pat_fin_06[pr_autres_biens_nl]))</f>
        <v>1.347</v>
      </c>
      <c r="G128" s="94" cm="1">
        <f t="array" ref="G128">SUMPRODUCT((pat_fin_06[[client]:[client]]=syndicat_etude)*(pat_fin_06[[annee]:[annee]]=G$117)*(pat_fin_06[pr_autres_biens_nl]))</f>
        <v>1.35</v>
      </c>
      <c r="H128" s="133">
        <f t="shared" si="8"/>
        <v>2.2271714922050823E-3</v>
      </c>
    </row>
    <row r="129" spans="1:8" ht="15" customHeight="1" x14ac:dyDescent="0.25">
      <c r="A129" s="59"/>
      <c r="B129" s="131" t="s">
        <v>521</v>
      </c>
      <c r="C129" s="141">
        <f>SUM(C$118:C$128)</f>
        <v>41628.379000000001</v>
      </c>
      <c r="D129" s="141">
        <f>SUM(D$118:D$128)</f>
        <v>41039.043999999994</v>
      </c>
      <c r="E129" s="141">
        <f>SUM(E$118:E$128)</f>
        <v>40173.879000000001</v>
      </c>
      <c r="F129" s="141">
        <f>SUM(F$118:F$128)</f>
        <v>41954.833000000006</v>
      </c>
      <c r="G129" s="141">
        <f>SUM(G$118:G$128)</f>
        <v>41122.093999999997</v>
      </c>
      <c r="H129" s="130">
        <f t="shared" si="8"/>
        <v>-1.9848464180515446E-2</v>
      </c>
    </row>
    <row r="130" spans="1:8" ht="15" customHeight="1" x14ac:dyDescent="0.25">
      <c r="A130" s="59"/>
    </row>
    <row r="131" spans="1:8" ht="30" customHeight="1" x14ac:dyDescent="0.25">
      <c r="A131" s="25" t="s">
        <v>951</v>
      </c>
      <c r="B131" s="66" t="s">
        <v>952</v>
      </c>
      <c r="C131" s="67" cm="1">
        <f t="array" ref="C131">Exercice[Exercice N-4]</f>
        <v>2019</v>
      </c>
      <c r="D131" s="67" cm="1">
        <f t="array" ref="D131">Exercice[Exercice N-3]</f>
        <v>2020</v>
      </c>
      <c r="E131" s="67" cm="1">
        <f t="array" ref="E131">Exercice[Exercice N-2]</f>
        <v>2021</v>
      </c>
      <c r="F131" s="67" cm="1">
        <f t="array" ref="F131">Exercice[Exercice N-1]</f>
        <v>2022</v>
      </c>
      <c r="G131" s="67" cm="1">
        <f t="array" ref="G131">Exercice[Exercice N]</f>
        <v>2023</v>
      </c>
      <c r="H131" s="68" t="s">
        <v>273</v>
      </c>
    </row>
    <row r="132" spans="1:8" ht="15" customHeight="1" x14ac:dyDescent="0.25">
      <c r="A132" s="59" t="s">
        <v>3166</v>
      </c>
      <c r="B132" s="61" t="s">
        <v>932</v>
      </c>
      <c r="C132" s="11" cm="1">
        <f t="array" ref="C132">SUMPRODUCT((pat_fin_12[[Client]:[Client]]=syndicat_etude)*(pat_fin_12[[Annee]:[Annee]]=C$131)*(LEFT(pat_fin_12[[Categorie Ouvrage]:[Categorie Ouvrage]],2)="01")*(pat_fin_12[[Stock de de DE (k€)]:[Stock de de DE (k€)]]))</f>
        <v>23382.03</v>
      </c>
      <c r="D132" s="11" cm="1">
        <f t="array" ref="D132">SUMPRODUCT((pat_fin_12[[Client]:[Client]]=syndicat_etude)*(pat_fin_12[[Annee]:[Annee]]=D$131)*(LEFT(pat_fin_12[[Categorie Ouvrage]:[Categorie Ouvrage]],2)="01")*(pat_fin_12[[Stock de de DE (k€)]:[Stock de de DE (k€)]]))</f>
        <v>24780.78</v>
      </c>
      <c r="E132" s="11" cm="1">
        <f t="array" ref="E132">SUMPRODUCT((pat_fin_12[[Client]:[Client]]=syndicat_etude)*(pat_fin_12[[Annee]:[Annee]]=E$131)*(LEFT(pat_fin_12[[Categorie Ouvrage]:[Categorie Ouvrage]],2)="01")*(pat_fin_12[[Stock de de DE (k€)]:[Stock de de DE (k€)]]))</f>
        <v>25863.13</v>
      </c>
      <c r="F132" s="11" cm="1">
        <f t="array" ref="F132">SUMPRODUCT((pat_fin_12[[Client]:[Client]]=syndicat_etude)*(pat_fin_12[[Annee]:[Annee]]=F$131)*(LEFT(pat_fin_12[[Categorie Ouvrage]:[Categorie Ouvrage]],2)="01")*(pat_fin_12[[Stock de de DE (k€)]:[Stock de de DE (k€)]]))</f>
        <v>27327.03</v>
      </c>
      <c r="G132" s="11" cm="1">
        <f t="array" ref="G132">SUMPRODUCT((pat_fin_12[[Client]:[Client]]=syndicat_etude)*(pat_fin_12[[Annee]:[Annee]]=G$131)*(LEFT(pat_fin_12[[Categorie Ouvrage]:[Categorie Ouvrage]],2)="01")*(pat_fin_12[[Stock de de DE (k€)]:[Stock de de DE (k€)]]))</f>
        <v>28780</v>
      </c>
      <c r="H132" s="120">
        <f t="shared" ref="H132:H143" si="9">IFERROR(G132/F132-1,"-")</f>
        <v>5.3169700476048742E-2</v>
      </c>
    </row>
    <row r="133" spans="1:8" ht="15" customHeight="1" x14ac:dyDescent="0.25">
      <c r="A133" s="59" t="s">
        <v>3168</v>
      </c>
      <c r="B133" s="50" t="s">
        <v>933</v>
      </c>
      <c r="C133" s="11" cm="1">
        <f t="array" ref="C133">SUMPRODUCT((pat_fin_12[[Client]:[Client]]=syndicat_etude)*(pat_fin_12[[Annee]:[Annee]]=C$131)*(LEFT(pat_fin_12[[Categorie Ouvrage]:[Categorie Ouvrage]],2)="02")*(pat_fin_12[[Stock de de DE (k€)]:[Stock de de DE (k€)]]))</f>
        <v>13105.03</v>
      </c>
      <c r="D133" s="11" cm="1">
        <f t="array" ref="D133">SUMPRODUCT((pat_fin_12[[Client]:[Client]]=syndicat_etude)*(pat_fin_12[[Annee]:[Annee]]=D$131)*(LEFT(pat_fin_12[[Categorie Ouvrage]:[Categorie Ouvrage]],2)="02")*(pat_fin_12[[Stock de de DE (k€)]:[Stock de de DE (k€)]]))</f>
        <v>13848.03</v>
      </c>
      <c r="E133" s="11" cm="1">
        <f t="array" ref="E133">SUMPRODUCT((pat_fin_12[[Client]:[Client]]=syndicat_etude)*(pat_fin_12[[Annee]:[Annee]]=E$131)*(LEFT(pat_fin_12[[Categorie Ouvrage]:[Categorie Ouvrage]],2)="02")*(pat_fin_12[[Stock de de DE (k€)]:[Stock de de DE (k€)]]))</f>
        <v>13299.91</v>
      </c>
      <c r="F133" s="11" cm="1">
        <f t="array" ref="F133">SUMPRODUCT((pat_fin_12[[Client]:[Client]]=syndicat_etude)*(pat_fin_12[[Annee]:[Annee]]=F$131)*(LEFT(pat_fin_12[[Categorie Ouvrage]:[Categorie Ouvrage]],2)="02")*(pat_fin_12[[Stock de de DE (k€)]:[Stock de de DE (k€)]]))</f>
        <v>14262.08</v>
      </c>
      <c r="G133" s="11" cm="1">
        <f t="array" ref="G133">SUMPRODUCT((pat_fin_12[[Client]:[Client]]=syndicat_etude)*(pat_fin_12[[Annee]:[Annee]]=G$131)*(LEFT(pat_fin_12[[Categorie Ouvrage]:[Categorie Ouvrage]],2)="02")*(pat_fin_12[[Stock de de DE (k€)]:[Stock de de DE (k€)]]))</f>
        <v>15307.59</v>
      </c>
      <c r="H133" s="120">
        <f t="shared" si="9"/>
        <v>7.3306979066167122E-2</v>
      </c>
    </row>
    <row r="134" spans="1:8" ht="15" customHeight="1" x14ac:dyDescent="0.25">
      <c r="A134" s="59"/>
      <c r="B134" s="50" t="s">
        <v>87</v>
      </c>
      <c r="C134" s="11" cm="1">
        <f t="array" ref="C134">SUMPRODUCT((pat_fin_12[[Client]:[Client]]=syndicat_etude)*(pat_fin_12[[Annee]:[Annee]]=C$131)*(LEFT(pat_fin_12[[Categorie Ouvrage]:[Categorie Ouvrage]],2)="03")*(pat_fin_12[[Stock de de DE (k€)]:[Stock de de DE (k€)]]))</f>
        <v>5895.82</v>
      </c>
      <c r="D134" s="11" cm="1">
        <f t="array" ref="D134">SUMPRODUCT((pat_fin_12[[Client]:[Client]]=syndicat_etude)*(pat_fin_12[[Annee]:[Annee]]=D$131)*(LEFT(pat_fin_12[[Categorie Ouvrage]:[Categorie Ouvrage]],2)="03")*(pat_fin_12[[Stock de de DE (k€)]:[Stock de de DE (k€)]]))</f>
        <v>6035.51</v>
      </c>
      <c r="E134" s="11" cm="1">
        <f t="array" ref="E134">SUMPRODUCT((pat_fin_12[[Client]:[Client]]=syndicat_etude)*(pat_fin_12[[Annee]:[Annee]]=E$131)*(LEFT(pat_fin_12[[Categorie Ouvrage]:[Categorie Ouvrage]],2)="03")*(pat_fin_12[[Stock de de DE (k€)]:[Stock de de DE (k€)]]))</f>
        <v>5825.37</v>
      </c>
      <c r="F134" s="11" cm="1">
        <f t="array" ref="F134">SUMPRODUCT((pat_fin_12[[Client]:[Client]]=syndicat_etude)*(pat_fin_12[[Annee]:[Annee]]=F$131)*(LEFT(pat_fin_12[[Categorie Ouvrage]:[Categorie Ouvrage]],2)="03")*(pat_fin_12[[Stock de de DE (k€)]:[Stock de de DE (k€)]]))</f>
        <v>5751</v>
      </c>
      <c r="G134" s="11" cm="1">
        <f t="array" ref="G134">SUMPRODUCT((pat_fin_12[[Client]:[Client]]=syndicat_etude)*(pat_fin_12[[Annee]:[Annee]]=G$131)*(LEFT(pat_fin_12[[Categorie Ouvrage]:[Categorie Ouvrage]],2)="03")*(pat_fin_12[[Stock de de DE (k€)]:[Stock de de DE (k€)]]))</f>
        <v>5957.45</v>
      </c>
      <c r="H134" s="120">
        <f t="shared" si="9"/>
        <v>3.5898104677447362E-2</v>
      </c>
    </row>
    <row r="135" spans="1:8" ht="15" customHeight="1" x14ac:dyDescent="0.25">
      <c r="A135" s="59"/>
      <c r="B135" s="50" t="s">
        <v>599</v>
      </c>
      <c r="C135" s="11" cm="1">
        <f t="array" ref="C135">SUMPRODUCT((pat_fin_12[[Client]:[Client]]=syndicat_etude)*(pat_fin_12[[Annee]:[Annee]]=C$131)*(LEFT(pat_fin_12[[Categorie Ouvrage]:[Categorie Ouvrage]],2)="04")*(pat_fin_12[[Stock de de DE (k€)]:[Stock de de DE (k€)]]))</f>
        <v>4294.43</v>
      </c>
      <c r="D135" s="11" cm="1">
        <f t="array" ref="D135">SUMPRODUCT((pat_fin_12[[Client]:[Client]]=syndicat_etude)*(pat_fin_12[[Annee]:[Annee]]=D$131)*(LEFT(pat_fin_12[[Categorie Ouvrage]:[Categorie Ouvrage]],2)="04")*(pat_fin_12[[Stock de de DE (k€)]:[Stock de de DE (k€)]]))</f>
        <v>4440.18</v>
      </c>
      <c r="E135" s="11" cm="1">
        <f t="array" ref="E135">SUMPRODUCT((pat_fin_12[[Client]:[Client]]=syndicat_etude)*(pat_fin_12[[Annee]:[Annee]]=E$131)*(LEFT(pat_fin_12[[Categorie Ouvrage]:[Categorie Ouvrage]],2)="04")*(pat_fin_12[[Stock de de DE (k€)]:[Stock de de DE (k€)]]))</f>
        <v>4588.79</v>
      </c>
      <c r="F135" s="11" cm="1">
        <f t="array" ref="F135">SUMPRODUCT((pat_fin_12[[Client]:[Client]]=syndicat_etude)*(pat_fin_12[[Annee]:[Annee]]=F$131)*(LEFT(pat_fin_12[[Categorie Ouvrage]:[Categorie Ouvrage]],2)="04")*(pat_fin_12[[Stock de de DE (k€)]:[Stock de de DE (k€)]]))</f>
        <v>4716.13</v>
      </c>
      <c r="G135" s="11" cm="1">
        <f t="array" ref="G135">SUMPRODUCT((pat_fin_12[[Client]:[Client]]=syndicat_etude)*(pat_fin_12[[Annee]:[Annee]]=G$131)*(LEFT(pat_fin_12[[Categorie Ouvrage]:[Categorie Ouvrage]],2)="04")*(pat_fin_12[[Stock de de DE (k€)]:[Stock de de DE (k€)]]))</f>
        <v>4901.3</v>
      </c>
      <c r="H135" s="120">
        <f t="shared" si="9"/>
        <v>3.9263124638209801E-2</v>
      </c>
    </row>
    <row r="136" spans="1:8" ht="15" customHeight="1" x14ac:dyDescent="0.25">
      <c r="A136" s="59"/>
      <c r="B136" s="50" t="s">
        <v>934</v>
      </c>
      <c r="C136" s="11" cm="1">
        <f t="array" ref="C136">SUMPRODUCT((pat_fin_12[[Client]:[Client]]=syndicat_etude)*(pat_fin_12[[Annee]:[Annee]]=C$131)*(LEFT(pat_fin_12[[Categorie Ouvrage]:[Categorie Ouvrage]],2)="05")*(pat_fin_12[[Stock de de DE (k€)]:[Stock de de DE (k€)]]))</f>
        <v>213.33</v>
      </c>
      <c r="D136" s="11" cm="1">
        <f t="array" ref="D136">SUMPRODUCT((pat_fin_12[[Client]:[Client]]=syndicat_etude)*(pat_fin_12[[Annee]:[Annee]]=D$131)*(LEFT(pat_fin_12[[Categorie Ouvrage]:[Categorie Ouvrage]],2)="05")*(pat_fin_12[[Stock de de DE (k€)]:[Stock de de DE (k€)]]))</f>
        <v>357.52</v>
      </c>
      <c r="E136" s="11" cm="1">
        <f t="array" ref="E136">SUMPRODUCT((pat_fin_12[[Client]:[Client]]=syndicat_etude)*(pat_fin_12[[Annee]:[Annee]]=E$131)*(LEFT(pat_fin_12[[Categorie Ouvrage]:[Categorie Ouvrage]],2)="05")*(pat_fin_12[[Stock de de DE (k€)]:[Stock de de DE (k€)]]))</f>
        <v>512.6</v>
      </c>
      <c r="F136" s="11" cm="1">
        <f t="array" ref="F136">SUMPRODUCT((pat_fin_12[[Client]:[Client]]=syndicat_etude)*(pat_fin_12[[Annee]:[Annee]]=F$131)*(LEFT(pat_fin_12[[Categorie Ouvrage]:[Categorie Ouvrage]],2)="05")*(pat_fin_12[[Stock de de DE (k€)]:[Stock de de DE (k€)]]))</f>
        <v>1342.14</v>
      </c>
      <c r="G136" s="11" cm="1">
        <f t="array" ref="G136">SUMPRODUCT((pat_fin_12[[Client]:[Client]]=syndicat_etude)*(pat_fin_12[[Annee]:[Annee]]=G$131)*(LEFT(pat_fin_12[[Categorie Ouvrage]:[Categorie Ouvrage]],2)="05")*(pat_fin_12[[Stock de de DE (k€)]:[Stock de de DE (k€)]]))</f>
        <v>1507.86</v>
      </c>
      <c r="H136" s="120">
        <f t="shared" si="9"/>
        <v>0.12347445124949696</v>
      </c>
    </row>
    <row r="137" spans="1:8" ht="15" customHeight="1" x14ac:dyDescent="0.25">
      <c r="A137" s="59"/>
      <c r="B137" s="50" t="s">
        <v>935</v>
      </c>
      <c r="C137" s="11" cm="1">
        <f t="array" ref="C137">SUMPRODUCT((pat_fin_12[[Client]:[Client]]=syndicat_etude)*(pat_fin_12[[Annee]:[Annee]]=C$131)*(LEFT(pat_fin_12[[Categorie Ouvrage]:[Categorie Ouvrage]],2)="06")*(pat_fin_12[[Stock de de DE (k€)]:[Stock de de DE (k€)]]))</f>
        <v>0</v>
      </c>
      <c r="D137" s="11" cm="1">
        <f t="array" ref="D137">SUMPRODUCT((pat_fin_12[[Client]:[Client]]=syndicat_etude)*(pat_fin_12[[Annee]:[Annee]]=D$131)*(LEFT(pat_fin_12[[Categorie Ouvrage]:[Categorie Ouvrage]],2)="06")*(pat_fin_12[[Stock de de DE (k€)]:[Stock de de DE (k€)]]))</f>
        <v>0</v>
      </c>
      <c r="E137" s="11" cm="1">
        <f t="array" ref="E137">SUMPRODUCT((pat_fin_12[[Client]:[Client]]=syndicat_etude)*(pat_fin_12[[Annee]:[Annee]]=E$131)*(LEFT(pat_fin_12[[Categorie Ouvrage]:[Categorie Ouvrage]],2)="06")*(pat_fin_12[[Stock de de DE (k€)]:[Stock de de DE (k€)]]))</f>
        <v>0</v>
      </c>
      <c r="F137" s="11" cm="1">
        <f t="array" ref="F137">SUMPRODUCT((pat_fin_12[[Client]:[Client]]=syndicat_etude)*(pat_fin_12[[Annee]:[Annee]]=F$131)*(LEFT(pat_fin_12[[Categorie Ouvrage]:[Categorie Ouvrage]],2)="06")*(pat_fin_12[[Stock de de DE (k€)]:[Stock de de DE (k€)]]))</f>
        <v>27349.599999999999</v>
      </c>
      <c r="G137" s="11" cm="1">
        <f t="array" ref="G137">SUMPRODUCT((pat_fin_12[[Client]:[Client]]=syndicat_etude)*(pat_fin_12[[Annee]:[Annee]]=G$131)*(LEFT(pat_fin_12[[Categorie Ouvrage]:[Categorie Ouvrage]],2)="06")*(pat_fin_12[[Stock de de DE (k€)]:[Stock de de DE (k€)]]))</f>
        <v>28492.71</v>
      </c>
      <c r="H137" s="120">
        <f t="shared" si="9"/>
        <v>4.1796223710767189E-2</v>
      </c>
    </row>
    <row r="138" spans="1:8" ht="15" customHeight="1" x14ac:dyDescent="0.25">
      <c r="A138" s="59"/>
      <c r="B138" s="50" t="s">
        <v>600</v>
      </c>
      <c r="C138" s="11" cm="1">
        <f t="array" ref="C138">SUMPRODUCT((pat_fin_12[[Client]:[Client]]=syndicat_etude)*(pat_fin_12[[Annee]:[Annee]]=C$131)*(LEFT(pat_fin_12[[Categorie Ouvrage]:[Categorie Ouvrage]],2)="07")*(pat_fin_12[[Stock de de DE (k€)]:[Stock de de DE (k€)]]))</f>
        <v>2012.61</v>
      </c>
      <c r="D138" s="11" cm="1">
        <f t="array" ref="D138">SUMPRODUCT((pat_fin_12[[Client]:[Client]]=syndicat_etude)*(pat_fin_12[[Annee]:[Annee]]=D$131)*(LEFT(pat_fin_12[[Categorie Ouvrage]:[Categorie Ouvrage]],2)="07")*(pat_fin_12[[Stock de de DE (k€)]:[Stock de de DE (k€)]]))</f>
        <v>2124.56</v>
      </c>
      <c r="E138" s="11" cm="1">
        <f t="array" ref="E138">SUMPRODUCT((pat_fin_12[[Client]:[Client]]=syndicat_etude)*(pat_fin_12[[Annee]:[Annee]]=E$131)*(LEFT(pat_fin_12[[Categorie Ouvrage]:[Categorie Ouvrage]],2)="07")*(pat_fin_12[[Stock de de DE (k€)]:[Stock de de DE (k€)]]))</f>
        <v>2267.38</v>
      </c>
      <c r="F138" s="11" cm="1">
        <f t="array" ref="F138">SUMPRODUCT((pat_fin_12[[Client]:[Client]]=syndicat_etude)*(pat_fin_12[[Annee]:[Annee]]=F$131)*(LEFT(pat_fin_12[[Categorie Ouvrage]:[Categorie Ouvrage]],2)="07")*(pat_fin_12[[Stock de de DE (k€)]:[Stock de de DE (k€)]]))</f>
        <v>2434.87</v>
      </c>
      <c r="G138" s="11" cm="1">
        <f t="array" ref="G138">SUMPRODUCT((pat_fin_12[[Client]:[Client]]=syndicat_etude)*(pat_fin_12[[Annee]:[Annee]]=G$131)*(LEFT(pat_fin_12[[Categorie Ouvrage]:[Categorie Ouvrage]],2)="07")*(pat_fin_12[[Stock de de DE (k€)]:[Stock de de DE (k€)]]))</f>
        <v>2590.9899999999998</v>
      </c>
      <c r="H138" s="120">
        <f t="shared" si="9"/>
        <v>6.4118412892680166E-2</v>
      </c>
    </row>
    <row r="139" spans="1:8" ht="15" customHeight="1" x14ac:dyDescent="0.25">
      <c r="A139" s="59"/>
      <c r="B139" s="53" t="s">
        <v>936</v>
      </c>
      <c r="C139" s="11" cm="1">
        <f t="array" ref="C139">SUMPRODUCT((pat_fin_12[[Client]:[Client]]=syndicat_etude)*(pat_fin_12[[Annee]:[Annee]]=C$131)*(LEFT(pat_fin_12[[Categorie Ouvrage]:[Categorie Ouvrage]],2)="08")*(pat_fin_12[[Stock de de DE (k€)]:[Stock de de DE (k€)]]))</f>
        <v>192</v>
      </c>
      <c r="D139" s="11" cm="1">
        <f t="array" ref="D139">SUMPRODUCT((pat_fin_12[[Client]:[Client]]=syndicat_etude)*(pat_fin_12[[Annee]:[Annee]]=D$131)*(LEFT(pat_fin_12[[Categorie Ouvrage]:[Categorie Ouvrage]],2)="08")*(pat_fin_12[[Stock de de DE (k€)]:[Stock de de DE (k€)]]))</f>
        <v>191.47</v>
      </c>
      <c r="E139" s="11" cm="1">
        <f t="array" ref="E139">SUMPRODUCT((pat_fin_12[[Client]:[Client]]=syndicat_etude)*(pat_fin_12[[Annee]:[Annee]]=E$131)*(LEFT(pat_fin_12[[Categorie Ouvrage]:[Categorie Ouvrage]],2)="08")*(pat_fin_12[[Stock de de DE (k€)]:[Stock de de DE (k€)]]))</f>
        <v>188.25</v>
      </c>
      <c r="F139" s="11" cm="1">
        <f t="array" ref="F139">SUMPRODUCT((pat_fin_12[[Client]:[Client]]=syndicat_etude)*(pat_fin_12[[Annee]:[Annee]]=F$131)*(LEFT(pat_fin_12[[Categorie Ouvrage]:[Categorie Ouvrage]],2)="08")*(pat_fin_12[[Stock de de DE (k€)]:[Stock de de DE (k€)]]))</f>
        <v>191.01</v>
      </c>
      <c r="G139" s="11" cm="1">
        <f t="array" ref="G139">SUMPRODUCT((pat_fin_12[[Client]:[Client]]=syndicat_etude)*(pat_fin_12[[Annee]:[Annee]]=G$131)*(LEFT(pat_fin_12[[Categorie Ouvrage]:[Categorie Ouvrage]],2)="08")*(pat_fin_12[[Stock de de DE (k€)]:[Stock de de DE (k€)]]))</f>
        <v>193.7</v>
      </c>
      <c r="H139" s="120">
        <f t="shared" si="9"/>
        <v>1.4083032301973608E-2</v>
      </c>
    </row>
    <row r="140" spans="1:8" ht="15" customHeight="1" x14ac:dyDescent="0.25">
      <c r="A140" s="59"/>
      <c r="B140" s="61" t="s">
        <v>937</v>
      </c>
      <c r="C140" s="119" cm="1">
        <f t="array" ref="C140">SUMPRODUCT((pat_fin_12[[Client]:[Client]]=syndicat_etude)*(pat_fin_12[[Annee]:[Annee]]=C$131)*(LEFT(pat_fin_12[[Categorie Ouvrage]:[Categorie Ouvrage]],2)="09")*(pat_fin_12[[Stock de de DE (k€)]:[Stock de de DE (k€)]]))</f>
        <v>4295.7</v>
      </c>
      <c r="D140" s="119" cm="1">
        <f t="array" ref="D140">SUMPRODUCT((pat_fin_12[[Client]:[Client]]=syndicat_etude)*(pat_fin_12[[Annee]:[Annee]]=D$131)*(LEFT(pat_fin_12[[Categorie Ouvrage]:[Categorie Ouvrage]],2)="09")*(pat_fin_12[[Stock de de DE (k€)]:[Stock de de DE (k€)]]))</f>
        <v>3863.24</v>
      </c>
      <c r="E140" s="119" cm="1">
        <f t="array" ref="E140">SUMPRODUCT((pat_fin_12[[Client]:[Client]]=syndicat_etude)*(pat_fin_12[[Annee]:[Annee]]=E$131)*(LEFT(pat_fin_12[[Categorie Ouvrage]:[Categorie Ouvrage]],2)="09")*(pat_fin_12[[Stock de de DE (k€)]:[Stock de de DE (k€)]]))</f>
        <v>3989.5</v>
      </c>
      <c r="F140" s="119" cm="1">
        <f t="array" ref="F140">SUMPRODUCT((pat_fin_12[[Client]:[Client]]=syndicat_etude)*(pat_fin_12[[Annee]:[Annee]]=F$131)*(LEFT(pat_fin_12[[Categorie Ouvrage]:[Categorie Ouvrage]],2)="09")*(pat_fin_12[[Stock de de DE (k€)]:[Stock de de DE (k€)]]))</f>
        <v>31.47</v>
      </c>
      <c r="G140" s="119" cm="1">
        <f t="array" ref="G140">SUMPRODUCT((pat_fin_12[[Client]:[Client]]=syndicat_etude)*(pat_fin_12[[Annee]:[Annee]]=G$131)*(LEFT(pat_fin_12[[Categorie Ouvrage]:[Categorie Ouvrage]],2)="09")*(pat_fin_12[[Stock de de DE (k€)]:[Stock de de DE (k€)]]))</f>
        <v>30.97</v>
      </c>
      <c r="H140" s="257">
        <f t="shared" si="9"/>
        <v>-1.5888147442008282E-2</v>
      </c>
    </row>
    <row r="141" spans="1:8" ht="15" customHeight="1" x14ac:dyDescent="0.25">
      <c r="A141" s="59"/>
      <c r="B141" s="50" t="s">
        <v>938</v>
      </c>
      <c r="C141" s="11" cm="1">
        <f t="array" ref="C141">SUMPRODUCT((pat_fin_12[[Client]:[Client]]=syndicat_etude)*(pat_fin_12[[Annee]:[Annee]]=C$131)*(LEFT(pat_fin_12[[Categorie Ouvrage]:[Categorie Ouvrage]],2)="10")*(pat_fin_12[[Stock de de DE (k€)]:[Stock de de DE (k€)]]))</f>
        <v>20944.91</v>
      </c>
      <c r="D141" s="11" cm="1">
        <f t="array" ref="D141">SUMPRODUCT((pat_fin_12[[Client]:[Client]]=syndicat_etude)*(pat_fin_12[[Annee]:[Annee]]=D$131)*(LEFT(pat_fin_12[[Categorie Ouvrage]:[Categorie Ouvrage]],2)="10")*(pat_fin_12[[Stock de de DE (k€)]:[Stock de de DE (k€)]]))</f>
        <v>22288.98</v>
      </c>
      <c r="E141" s="11" cm="1">
        <f t="array" ref="E141">SUMPRODUCT((pat_fin_12[[Client]:[Client]]=syndicat_etude)*(pat_fin_12[[Annee]:[Annee]]=E$131)*(LEFT(pat_fin_12[[Categorie Ouvrage]:[Categorie Ouvrage]],2)="10")*(pat_fin_12[[Stock de de DE (k€)]:[Stock de de DE (k€)]]))</f>
        <v>23645.86</v>
      </c>
      <c r="F141" s="11" cm="1">
        <f t="array" ref="F141">SUMPRODUCT((pat_fin_12[[Client]:[Client]]=syndicat_etude)*(pat_fin_12[[Annee]:[Annee]]=F$131)*(LEFT(pat_fin_12[[Categorie Ouvrage]:[Categorie Ouvrage]],2)="10")*(pat_fin_12[[Stock de de DE (k€)]:[Stock de de DE (k€)]]))</f>
        <v>0</v>
      </c>
      <c r="G141" s="11" cm="1">
        <f t="array" ref="G141">SUMPRODUCT((pat_fin_12[[Client]:[Client]]=syndicat_etude)*(pat_fin_12[[Annee]:[Annee]]=G$131)*(LEFT(pat_fin_12[[Categorie Ouvrage]:[Categorie Ouvrage]],2)="10")*(pat_fin_12[[Stock de de DE (k€)]:[Stock de de DE (k€)]]))</f>
        <v>0</v>
      </c>
      <c r="H141" s="120" t="str">
        <f t="shared" si="9"/>
        <v>-</v>
      </c>
    </row>
    <row r="142" spans="1:8" ht="15" customHeight="1" x14ac:dyDescent="0.25">
      <c r="A142" s="59"/>
      <c r="B142" s="53" t="s">
        <v>939</v>
      </c>
      <c r="C142" s="94" cm="1">
        <f t="array" ref="C142">SUMPRODUCT((pat_fin_12[[Client]:[Client]]=syndicat_etude)*(pat_fin_12[[Annee]:[Annee]]=C$131)*(LEFT(pat_fin_12[[Categorie Ouvrage]:[Categorie Ouvrage]],2)="11")*(pat_fin_12[[Stock de de DE (k€)]:[Stock de de DE (k€)]]))</f>
        <v>1.89</v>
      </c>
      <c r="D142" s="94" cm="1">
        <f t="array" ref="D142">SUMPRODUCT((pat_fin_12[[Client]:[Client]]=syndicat_etude)*(pat_fin_12[[Annee]:[Annee]]=D$131)*(LEFT(pat_fin_12[[Categorie Ouvrage]:[Categorie Ouvrage]],2)="11")*(pat_fin_12[[Stock de de DE (k€)]:[Stock de de DE (k€)]]))</f>
        <v>2.08</v>
      </c>
      <c r="E142" s="94" cm="1">
        <f t="array" ref="E142">SUMPRODUCT((pat_fin_12[[Client]:[Client]]=syndicat_etude)*(pat_fin_12[[Annee]:[Annee]]=E$131)*(LEFT(pat_fin_12[[Categorie Ouvrage]:[Categorie Ouvrage]],2)="11")*(pat_fin_12[[Stock de de DE (k€)]:[Stock de de DE (k€)]]))</f>
        <v>2.27</v>
      </c>
      <c r="F142" s="94" cm="1">
        <f t="array" ref="F142">SUMPRODUCT((pat_fin_12[[Client]:[Client]]=syndicat_etude)*(pat_fin_12[[Annee]:[Annee]]=F$131)*(LEFT(pat_fin_12[[Categorie Ouvrage]:[Categorie Ouvrage]],2)="11")*(pat_fin_12[[Stock de de DE (k€)]:[Stock de de DE (k€)]]))</f>
        <v>2.4700000000000002</v>
      </c>
      <c r="G142" s="94" cm="1">
        <f t="array" ref="G142">SUMPRODUCT((pat_fin_12[[Client]:[Client]]=syndicat_etude)*(pat_fin_12[[Annee]:[Annee]]=G$131)*(LEFT(pat_fin_12[[Categorie Ouvrage]:[Categorie Ouvrage]],2)="11")*(pat_fin_12[[Stock de de DE (k€)]:[Stock de de DE (k€)]]))</f>
        <v>2.7</v>
      </c>
      <c r="H142" s="133">
        <f t="shared" si="9"/>
        <v>9.3117408906882471E-2</v>
      </c>
    </row>
    <row r="143" spans="1:8" ht="15" customHeight="1" x14ac:dyDescent="0.25">
      <c r="A143" s="59"/>
      <c r="B143" s="131" t="s">
        <v>521</v>
      </c>
      <c r="C143" s="141" cm="1">
        <f t="array" ref="C143">SUMPRODUCT((pat_fin_12[[Client]:[Client]]=syndicat_etude)*(pat_fin_12[[Annee]:[Annee]]=C$131)*(pat_fin_12[[Stock de de DE (k€)]:[Stock de de DE (k€)]]))</f>
        <v>74337.75</v>
      </c>
      <c r="D143" s="141" cm="1">
        <f t="array" ref="D143">SUMPRODUCT((pat_fin_12[[Client]:[Client]]=syndicat_etude)*(pat_fin_12[[Annee]:[Annee]]=D$131)*(pat_fin_12[[Stock de de DE (k€)]:[Stock de de DE (k€)]]))</f>
        <v>77932.350000000006</v>
      </c>
      <c r="E143" s="141" cm="1">
        <f t="array" ref="E143">SUMPRODUCT((pat_fin_12[[Client]:[Client]]=syndicat_etude)*(pat_fin_12[[Annee]:[Annee]]=E$131)*(pat_fin_12[[Stock de de DE (k€)]:[Stock de de DE (k€)]]))</f>
        <v>80183.06</v>
      </c>
      <c r="F143" s="141" cm="1">
        <f t="array" ref="F143">SUMPRODUCT((pat_fin_12[[Client]:[Client]]=syndicat_etude)*(pat_fin_12[[Annee]:[Annee]]=F$131)*(pat_fin_12[[Stock de de DE (k€)]:[Stock de de DE (k€)]]))</f>
        <v>83407.799999999988</v>
      </c>
      <c r="G143" s="141" cm="1">
        <f t="array" ref="G143">SUMPRODUCT((pat_fin_12[[Client]:[Client]]=syndicat_etude)*(pat_fin_12[[Annee]:[Annee]]=G$131)*(pat_fin_12[[Stock de de DE (k€)]:[Stock de de DE (k€)]]))</f>
        <v>87765.27</v>
      </c>
      <c r="H143" s="130">
        <f t="shared" si="9"/>
        <v>5.2242955694791426E-2</v>
      </c>
    </row>
    <row r="144" spans="1:8" ht="15" customHeight="1" x14ac:dyDescent="0.25">
      <c r="A144" s="59"/>
    </row>
    <row r="145" spans="1:8" ht="30" customHeight="1" x14ac:dyDescent="0.25">
      <c r="A145" s="25" t="s">
        <v>951</v>
      </c>
      <c r="B145" s="66" t="s">
        <v>953</v>
      </c>
      <c r="C145" s="67" cm="1">
        <f t="array" ref="C145">Exercice[Exercice N-4]</f>
        <v>2019</v>
      </c>
      <c r="D145" s="67" cm="1">
        <f t="array" ref="D145">Exercice[Exercice N-3]</f>
        <v>2020</v>
      </c>
      <c r="E145" s="67" cm="1">
        <f t="array" ref="E145">Exercice[Exercice N-2]</f>
        <v>2021</v>
      </c>
      <c r="F145" s="67" cm="1">
        <f t="array" ref="F145">Exercice[Exercice N-1]</f>
        <v>2022</v>
      </c>
      <c r="G145" s="67" cm="1">
        <f t="array" ref="G145">Exercice[Exercice N]</f>
        <v>2023</v>
      </c>
      <c r="H145" s="68" t="s">
        <v>273</v>
      </c>
    </row>
    <row r="146" spans="1:8" ht="15" customHeight="1" x14ac:dyDescent="0.25">
      <c r="A146" s="369" t="s">
        <v>954</v>
      </c>
      <c r="B146" s="61" t="s">
        <v>932</v>
      </c>
      <c r="C146" s="16" cm="1">
        <f t="array" ref="C146">SUMPRODUCT((pat_fin_12[[Client]:[Client]]=syndicat_etude)*(pat_fin_12[[Annee]:[Annee]]=C$145)*(LEFT(pat_fin_12[[Categorie Ouvrage]:[Categorie Ouvrage]],2)="01")*(pat_fin_12[[Taux d''amortissement du financement concédant]:[Taux d''amortissement du financement concédant]]))</f>
        <v>0.41</v>
      </c>
      <c r="D146" s="16" cm="1">
        <f t="array" ref="D146">SUMPRODUCT((pat_fin_12[[Client]:[Client]]=syndicat_etude)*(pat_fin_12[[Annee]:[Annee]]=D$145)*(LEFT(pat_fin_12[[Categorie Ouvrage]:[Categorie Ouvrage]],2)="01")*(pat_fin_12[[Taux d''amortissement du financement concédant]:[Taux d''amortissement du financement concédant]]))</f>
        <v>0.42</v>
      </c>
      <c r="E146" s="16" cm="1">
        <f t="array" ref="E146">SUMPRODUCT((pat_fin_12[[Client]:[Client]]=syndicat_etude)*(pat_fin_12[[Annee]:[Annee]]=E$145)*(LEFT(pat_fin_12[[Categorie Ouvrage]:[Categorie Ouvrage]],2)="01")*(pat_fin_12[[Taux d''amortissement du financement concédant]:[Taux d''amortissement du financement concédant]]))</f>
        <v>0.43</v>
      </c>
      <c r="F146" s="16" cm="1">
        <f t="array" ref="F146">SUMPRODUCT((pat_fin_12[[Client]:[Client]]=syndicat_etude)*(pat_fin_12[[Annee]:[Annee]]=F$145)*(LEFT(pat_fin_12[[Categorie Ouvrage]:[Categorie Ouvrage]],2)="01")*(pat_fin_12[[Taux d''amortissement du financement concédant]:[Taux d''amortissement du financement concédant]]))</f>
        <v>0.45</v>
      </c>
      <c r="G146" s="16" cm="1">
        <f t="array" ref="G146">SUMPRODUCT((pat_fin_12[[Client]:[Client]]=syndicat_etude)*(pat_fin_12[[Annee]:[Annee]]=G$145)*(LEFT(pat_fin_12[[Categorie Ouvrage]:[Categorie Ouvrage]],2)="01")*(pat_fin_12[[Taux d''amortissement du financement concédant]:[Taux d''amortissement du financement concédant]]))</f>
        <v>0.47</v>
      </c>
      <c r="H146" s="120">
        <f t="shared" ref="H146:H157" si="10">IFERROR(G146/F146-1,"-")</f>
        <v>4.4444444444444287E-2</v>
      </c>
    </row>
    <row r="147" spans="1:8" ht="15" customHeight="1" x14ac:dyDescent="0.25">
      <c r="B147" s="50" t="s">
        <v>933</v>
      </c>
      <c r="C147" s="16" cm="1">
        <f t="array" ref="C147">SUMPRODUCT((pat_fin_12[[Client]:[Client]]=syndicat_etude)*(pat_fin_12[[Annee]:[Annee]]=C$145)*(LEFT(pat_fin_12[[Categorie Ouvrage]:[Categorie Ouvrage]],2)="02")*(pat_fin_12[[Taux d''amortissement du financement concédant]:[Taux d''amortissement du financement concédant]]))</f>
        <v>0.09</v>
      </c>
      <c r="D147" s="16" cm="1">
        <f t="array" ref="D147">SUMPRODUCT((pat_fin_12[[Client]:[Client]]=syndicat_etude)*(pat_fin_12[[Annee]:[Annee]]=D$145)*(LEFT(pat_fin_12[[Categorie Ouvrage]:[Categorie Ouvrage]],2)="02")*(pat_fin_12[[Taux d''amortissement du financement concédant]:[Taux d''amortissement du financement concédant]]))</f>
        <v>0.09</v>
      </c>
      <c r="E147" s="16" cm="1">
        <f t="array" ref="E147">SUMPRODUCT((pat_fin_12[[Client]:[Client]]=syndicat_etude)*(pat_fin_12[[Annee]:[Annee]]=E$145)*(LEFT(pat_fin_12[[Categorie Ouvrage]:[Categorie Ouvrage]],2)="02")*(pat_fin_12[[Taux d''amortissement du financement concédant]:[Taux d''amortissement du financement concédant]]))</f>
        <v>0.09</v>
      </c>
      <c r="F147" s="16" cm="1">
        <f t="array" ref="F147">SUMPRODUCT((pat_fin_12[[Client]:[Client]]=syndicat_etude)*(pat_fin_12[[Annee]:[Annee]]=F$145)*(LEFT(pat_fin_12[[Categorie Ouvrage]:[Categorie Ouvrage]],2)="02")*(pat_fin_12[[Taux d''amortissement du financement concédant]:[Taux d''amortissement du financement concédant]]))</f>
        <v>0.09</v>
      </c>
      <c r="G147" s="16" cm="1">
        <f t="array" ref="G147">SUMPRODUCT((pat_fin_12[[Client]:[Client]]=syndicat_etude)*(pat_fin_12[[Annee]:[Annee]]=G$145)*(LEFT(pat_fin_12[[Categorie Ouvrage]:[Categorie Ouvrage]],2)="02")*(pat_fin_12[[Taux d''amortissement du financement concédant]:[Taux d''amortissement du financement concédant]]))</f>
        <v>0.09</v>
      </c>
      <c r="H147" s="120">
        <f t="shared" si="10"/>
        <v>0</v>
      </c>
    </row>
    <row r="148" spans="1:8" ht="15" customHeight="1" x14ac:dyDescent="0.25">
      <c r="B148" s="50" t="s">
        <v>87</v>
      </c>
      <c r="C148" s="16" cm="1">
        <f t="array" ref="C148">SUMPRODUCT((pat_fin_12[[Client]:[Client]]=syndicat_etude)*(pat_fin_12[[Annee]:[Annee]]=C$145)*(LEFT(pat_fin_12[[Categorie Ouvrage]:[Categorie Ouvrage]],2)="03")*(pat_fin_12[[Taux d''amortissement du financement concédant]:[Taux d''amortissement du financement concédant]]))</f>
        <v>0.27</v>
      </c>
      <c r="D148" s="16" cm="1">
        <f t="array" ref="D148">SUMPRODUCT((pat_fin_12[[Client]:[Client]]=syndicat_etude)*(pat_fin_12[[Annee]:[Annee]]=D$145)*(LEFT(pat_fin_12[[Categorie Ouvrage]:[Categorie Ouvrage]],2)="03")*(pat_fin_12[[Taux d''amortissement du financement concédant]:[Taux d''amortissement du financement concédant]]))</f>
        <v>0.28000000000000003</v>
      </c>
      <c r="E148" s="16" cm="1">
        <f t="array" ref="E148">SUMPRODUCT((pat_fin_12[[Client]:[Client]]=syndicat_etude)*(pat_fin_12[[Annee]:[Annee]]=E$145)*(LEFT(pat_fin_12[[Categorie Ouvrage]:[Categorie Ouvrage]],2)="03")*(pat_fin_12[[Taux d''amortissement du financement concédant]:[Taux d''amortissement du financement concédant]]))</f>
        <v>0.27</v>
      </c>
      <c r="F148" s="16" cm="1">
        <f t="array" ref="F148">SUMPRODUCT((pat_fin_12[[Client]:[Client]]=syndicat_etude)*(pat_fin_12[[Annee]:[Annee]]=F$145)*(LEFT(pat_fin_12[[Categorie Ouvrage]:[Categorie Ouvrage]],2)="03")*(pat_fin_12[[Taux d''amortissement du financement concédant]:[Taux d''amortissement du financement concédant]]))</f>
        <v>0.26</v>
      </c>
      <c r="G148" s="16" cm="1">
        <f t="array" ref="G148">SUMPRODUCT((pat_fin_12[[Client]:[Client]]=syndicat_etude)*(pat_fin_12[[Annee]:[Annee]]=G$145)*(LEFT(pat_fin_12[[Categorie Ouvrage]:[Categorie Ouvrage]],2)="03")*(pat_fin_12[[Taux d''amortissement du financement concédant]:[Taux d''amortissement du financement concédant]]))</f>
        <v>0.27</v>
      </c>
      <c r="H148" s="120">
        <f t="shared" si="10"/>
        <v>3.8461538461538547E-2</v>
      </c>
    </row>
    <row r="149" spans="1:8" ht="15" customHeight="1" x14ac:dyDescent="0.25">
      <c r="B149" s="50" t="s">
        <v>599</v>
      </c>
      <c r="C149" s="16" cm="1">
        <f t="array" ref="C149">SUMPRODUCT((pat_fin_12[[Client]:[Client]]=syndicat_etude)*(pat_fin_12[[Annee]:[Annee]]=C$145)*(LEFT(pat_fin_12[[Categorie Ouvrage]:[Categorie Ouvrage]],2)="04")*(pat_fin_12[[Taux d''amortissement du financement concédant]:[Taux d''amortissement du financement concédant]]))</f>
        <v>0.48</v>
      </c>
      <c r="D149" s="16" cm="1">
        <f t="array" ref="D149">SUMPRODUCT((pat_fin_12[[Client]:[Client]]=syndicat_etude)*(pat_fin_12[[Annee]:[Annee]]=D$145)*(LEFT(pat_fin_12[[Categorie Ouvrage]:[Categorie Ouvrage]],2)="04")*(pat_fin_12[[Taux d''amortissement du financement concédant]:[Taux d''amortissement du financement concédant]]))</f>
        <v>0.5</v>
      </c>
      <c r="E149" s="16" cm="1">
        <f t="array" ref="E149">SUMPRODUCT((pat_fin_12[[Client]:[Client]]=syndicat_etude)*(pat_fin_12[[Annee]:[Annee]]=E$145)*(LEFT(pat_fin_12[[Categorie Ouvrage]:[Categorie Ouvrage]],2)="04")*(pat_fin_12[[Taux d''amortissement du financement concédant]:[Taux d''amortissement du financement concédant]]))</f>
        <v>0.51</v>
      </c>
      <c r="F149" s="16" cm="1">
        <f t="array" ref="F149">SUMPRODUCT((pat_fin_12[[Client]:[Client]]=syndicat_etude)*(pat_fin_12[[Annee]:[Annee]]=F$145)*(LEFT(pat_fin_12[[Categorie Ouvrage]:[Categorie Ouvrage]],2)="04")*(pat_fin_12[[Taux d''amortissement du financement concédant]:[Taux d''amortissement du financement concédant]]))</f>
        <v>0.52</v>
      </c>
      <c r="G149" s="16" cm="1">
        <f t="array" ref="G149">SUMPRODUCT((pat_fin_12[[Client]:[Client]]=syndicat_etude)*(pat_fin_12[[Annee]:[Annee]]=G$145)*(LEFT(pat_fin_12[[Categorie Ouvrage]:[Categorie Ouvrage]],2)="04")*(pat_fin_12[[Taux d''amortissement du financement concédant]:[Taux d''amortissement du financement concédant]]))</f>
        <v>0.53</v>
      </c>
      <c r="H149" s="120">
        <f t="shared" si="10"/>
        <v>1.9230769230769162E-2</v>
      </c>
    </row>
    <row r="150" spans="1:8" ht="15" customHeight="1" x14ac:dyDescent="0.25">
      <c r="B150" s="50" t="s">
        <v>934</v>
      </c>
      <c r="C150" s="16" cm="1">
        <f t="array" ref="C150">SUMPRODUCT((pat_fin_12[[Client]:[Client]]=syndicat_etude)*(pat_fin_12[[Annee]:[Annee]]=C$145)*(LEFT(pat_fin_12[[Categorie Ouvrage]:[Categorie Ouvrage]],2)="05")*(pat_fin_12[[Taux d''amortissement du financement concédant]:[Taux d''amortissement du financement concédant]]))</f>
        <v>0.08</v>
      </c>
      <c r="D150" s="16" cm="1">
        <f t="array" ref="D150">SUMPRODUCT((pat_fin_12[[Client]:[Client]]=syndicat_etude)*(pat_fin_12[[Annee]:[Annee]]=D$145)*(LEFT(pat_fin_12[[Categorie Ouvrage]:[Categorie Ouvrage]],2)="05")*(pat_fin_12[[Taux d''amortissement du financement concédant]:[Taux d''amortissement du financement concédant]]))</f>
        <v>0.11</v>
      </c>
      <c r="E150" s="16" cm="1">
        <f t="array" ref="E150">SUMPRODUCT((pat_fin_12[[Client]:[Client]]=syndicat_etude)*(pat_fin_12[[Annee]:[Annee]]=E$145)*(LEFT(pat_fin_12[[Categorie Ouvrage]:[Categorie Ouvrage]],2)="05")*(pat_fin_12[[Taux d''amortissement du financement concédant]:[Taux d''amortissement du financement concédant]]))</f>
        <v>0.16</v>
      </c>
      <c r="F150" s="16" cm="1">
        <f t="array" ref="F150">SUMPRODUCT((pat_fin_12[[Client]:[Client]]=syndicat_etude)*(pat_fin_12[[Annee]:[Annee]]=F$145)*(LEFT(pat_fin_12[[Categorie Ouvrage]:[Categorie Ouvrage]],2)="05")*(pat_fin_12[[Taux d''amortissement du financement concédant]:[Taux d''amortissement du financement concédant]]))</f>
        <v>0.33</v>
      </c>
      <c r="G150" s="16" cm="1">
        <f t="array" ref="G150">SUMPRODUCT((pat_fin_12[[Client]:[Client]]=syndicat_etude)*(pat_fin_12[[Annee]:[Annee]]=G$145)*(LEFT(pat_fin_12[[Categorie Ouvrage]:[Categorie Ouvrage]],2)="05")*(pat_fin_12[[Taux d''amortissement du financement concédant]:[Taux d''amortissement du financement concédant]]))</f>
        <v>0.37</v>
      </c>
      <c r="H150" s="120">
        <f t="shared" si="10"/>
        <v>0.1212121212121211</v>
      </c>
    </row>
    <row r="151" spans="1:8" ht="15" customHeight="1" x14ac:dyDescent="0.25">
      <c r="B151" s="50" t="s">
        <v>935</v>
      </c>
      <c r="C151" s="16" cm="1">
        <f t="array" ref="C151">SUMPRODUCT((pat_fin_12[[Client]:[Client]]=syndicat_etude)*(pat_fin_12[[Annee]:[Annee]]=C$145)*(LEFT(pat_fin_12[[Categorie Ouvrage]:[Categorie Ouvrage]],2)="06")*(pat_fin_12[[Taux d''amortissement du financement concédant]:[Taux d''amortissement du financement concédant]]))</f>
        <v>0</v>
      </c>
      <c r="D151" s="16" cm="1">
        <f t="array" ref="D151">SUMPRODUCT((pat_fin_12[[Client]:[Client]]=syndicat_etude)*(pat_fin_12[[Annee]:[Annee]]=D$145)*(LEFT(pat_fin_12[[Categorie Ouvrage]:[Categorie Ouvrage]],2)="06")*(pat_fin_12[[Taux d''amortissement du financement concédant]:[Taux d''amortissement du financement concédant]]))</f>
        <v>0</v>
      </c>
      <c r="E151" s="16" cm="1">
        <f t="array" ref="E151">SUMPRODUCT((pat_fin_12[[Client]:[Client]]=syndicat_etude)*(pat_fin_12[[Annee]:[Annee]]=E$145)*(LEFT(pat_fin_12[[Categorie Ouvrage]:[Categorie Ouvrage]],2)="06")*(pat_fin_12[[Taux d''amortissement du financement concédant]:[Taux d''amortissement du financement concédant]]))</f>
        <v>0</v>
      </c>
      <c r="F151" s="16" cm="1">
        <f t="array" ref="F151">SUMPRODUCT((pat_fin_12[[Client]:[Client]]=syndicat_etude)*(pat_fin_12[[Annee]:[Annee]]=F$145)*(LEFT(pat_fin_12[[Categorie Ouvrage]:[Categorie Ouvrage]],2)="06")*(pat_fin_12[[Taux d''amortissement du financement concédant]:[Taux d''amortissement du financement concédant]]))</f>
        <v>0.48</v>
      </c>
      <c r="G151" s="16" cm="1">
        <f t="array" ref="G151">SUMPRODUCT((pat_fin_12[[Client]:[Client]]=syndicat_etude)*(pat_fin_12[[Annee]:[Annee]]=G$145)*(LEFT(pat_fin_12[[Categorie Ouvrage]:[Categorie Ouvrage]],2)="06")*(pat_fin_12[[Taux d''amortissement du financement concédant]:[Taux d''amortissement du financement concédant]]))</f>
        <v>0.5</v>
      </c>
      <c r="H151" s="120">
        <f t="shared" si="10"/>
        <v>4.1666666666666741E-2</v>
      </c>
    </row>
    <row r="152" spans="1:8" ht="15" customHeight="1" x14ac:dyDescent="0.25">
      <c r="B152" s="50" t="s">
        <v>600</v>
      </c>
      <c r="C152" s="16" cm="1">
        <f t="array" ref="C152">SUMPRODUCT((pat_fin_12[[Client]:[Client]]=syndicat_etude)*(pat_fin_12[[Annee]:[Annee]]=C$145)*(LEFT(pat_fin_12[[Categorie Ouvrage]:[Categorie Ouvrage]],2)="07")*(pat_fin_12[[Taux d''amortissement du financement concédant]:[Taux d''amortissement du financement concédant]]))</f>
        <v>0.35</v>
      </c>
      <c r="D152" s="16" cm="1">
        <f t="array" ref="D152">SUMPRODUCT((pat_fin_12[[Client]:[Client]]=syndicat_etude)*(pat_fin_12[[Annee]:[Annee]]=D$145)*(LEFT(pat_fin_12[[Categorie Ouvrage]:[Categorie Ouvrage]],2)="07")*(pat_fin_12[[Taux d''amortissement du financement concédant]:[Taux d''amortissement du financement concédant]]))</f>
        <v>0.28000000000000003</v>
      </c>
      <c r="E152" s="16" cm="1">
        <f t="array" ref="E152">SUMPRODUCT((pat_fin_12[[Client]:[Client]]=syndicat_etude)*(pat_fin_12[[Annee]:[Annee]]=E$145)*(LEFT(pat_fin_12[[Categorie Ouvrage]:[Categorie Ouvrage]],2)="07")*(pat_fin_12[[Taux d''amortissement du financement concédant]:[Taux d''amortissement du financement concédant]]))</f>
        <v>0.32</v>
      </c>
      <c r="F152" s="16" cm="1">
        <f t="array" ref="F152">SUMPRODUCT((pat_fin_12[[Client]:[Client]]=syndicat_etude)*(pat_fin_12[[Annee]:[Annee]]=F$145)*(LEFT(pat_fin_12[[Categorie Ouvrage]:[Categorie Ouvrage]],2)="07")*(pat_fin_12[[Taux d''amortissement du financement concédant]:[Taux d''amortissement du financement concédant]]))</f>
        <v>0.34</v>
      </c>
      <c r="G152" s="16" cm="1">
        <f t="array" ref="G152">SUMPRODUCT((pat_fin_12[[Client]:[Client]]=syndicat_etude)*(pat_fin_12[[Annee]:[Annee]]=G$145)*(LEFT(pat_fin_12[[Categorie Ouvrage]:[Categorie Ouvrage]],2)="07")*(pat_fin_12[[Taux d''amortissement du financement concédant]:[Taux d''amortissement du financement concédant]]))</f>
        <v>0.36</v>
      </c>
      <c r="H152" s="120">
        <f t="shared" si="10"/>
        <v>5.8823529411764497E-2</v>
      </c>
    </row>
    <row r="153" spans="1:8" ht="15" customHeight="1" x14ac:dyDescent="0.25">
      <c r="B153" s="53" t="s">
        <v>936</v>
      </c>
      <c r="C153" s="16" cm="1">
        <f t="array" ref="C153">SUMPRODUCT((pat_fin_12[[Client]:[Client]]=syndicat_etude)*(pat_fin_12[[Annee]:[Annee]]=C$145)*(LEFT(pat_fin_12[[Categorie Ouvrage]:[Categorie Ouvrage]],2)="08")*(pat_fin_12[[Taux d''amortissement du financement concédant]:[Taux d''amortissement du financement concédant]]))</f>
        <v>0.53</v>
      </c>
      <c r="D153" s="16" cm="1">
        <f t="array" ref="D153">SUMPRODUCT((pat_fin_12[[Client]:[Client]]=syndicat_etude)*(pat_fin_12[[Annee]:[Annee]]=D$145)*(LEFT(pat_fin_12[[Categorie Ouvrage]:[Categorie Ouvrage]],2)="08")*(pat_fin_12[[Taux d''amortissement du financement concédant]:[Taux d''amortissement du financement concédant]]))</f>
        <v>0.54</v>
      </c>
      <c r="E153" s="16" cm="1">
        <f t="array" ref="E153">SUMPRODUCT((pat_fin_12[[Client]:[Client]]=syndicat_etude)*(pat_fin_12[[Annee]:[Annee]]=E$145)*(LEFT(pat_fin_12[[Categorie Ouvrage]:[Categorie Ouvrage]],2)="08")*(pat_fin_12[[Taux d''amortissement du financement concédant]:[Taux d''amortissement du financement concédant]]))</f>
        <v>0.48</v>
      </c>
      <c r="F153" s="16" cm="1">
        <f t="array" ref="F153">SUMPRODUCT((pat_fin_12[[Client]:[Client]]=syndicat_etude)*(pat_fin_12[[Annee]:[Annee]]=F$145)*(LEFT(pat_fin_12[[Categorie Ouvrage]:[Categorie Ouvrage]],2)="08")*(pat_fin_12[[Taux d''amortissement du financement concédant]:[Taux d''amortissement du financement concédant]]))</f>
        <v>0.46</v>
      </c>
      <c r="G153" s="16" cm="1">
        <f t="array" ref="G153">SUMPRODUCT((pat_fin_12[[Client]:[Client]]=syndicat_etude)*(pat_fin_12[[Annee]:[Annee]]=G$145)*(LEFT(pat_fin_12[[Categorie Ouvrage]:[Categorie Ouvrage]],2)="08")*(pat_fin_12[[Taux d''amortissement du financement concédant]:[Taux d''amortissement du financement concédant]]))</f>
        <v>0.45</v>
      </c>
      <c r="H153" s="120">
        <f t="shared" si="10"/>
        <v>-2.1739130434782594E-2</v>
      </c>
    </row>
    <row r="154" spans="1:8" ht="15" customHeight="1" x14ac:dyDescent="0.25">
      <c r="B154" s="61" t="s">
        <v>937</v>
      </c>
      <c r="C154" s="370" cm="1">
        <f t="array" ref="C154">SUMPRODUCT((pat_fin_12[[Client]:[Client]]=syndicat_etude)*(pat_fin_12[[Annee]:[Annee]]=C$145)*(LEFT(pat_fin_12[[Categorie Ouvrage]:[Categorie Ouvrage]],2)="09")*(pat_fin_12[[Taux d''amortissement du financement concédant]:[Taux d''amortissement du financement concédant]]))</f>
        <v>0.8</v>
      </c>
      <c r="D154" s="370" cm="1">
        <f t="array" ref="D154">SUMPRODUCT((pat_fin_12[[Client]:[Client]]=syndicat_etude)*(pat_fin_12[[Annee]:[Annee]]=D$145)*(LEFT(pat_fin_12[[Categorie Ouvrage]:[Categorie Ouvrage]],2)="09")*(pat_fin_12[[Taux d''amortissement du financement concédant]:[Taux d''amortissement du financement concédant]]))</f>
        <v>0.82</v>
      </c>
      <c r="E154" s="370" cm="1">
        <f t="array" ref="E154">SUMPRODUCT((pat_fin_12[[Client]:[Client]]=syndicat_etude)*(pat_fin_12[[Annee]:[Annee]]=E$145)*(LEFT(pat_fin_12[[Categorie Ouvrage]:[Categorie Ouvrage]],2)="09")*(pat_fin_12[[Taux d''amortissement du financement concédant]:[Taux d''amortissement du financement concédant]]))</f>
        <v>0.84</v>
      </c>
      <c r="F154" s="370" cm="1">
        <f t="array" ref="F154">SUMPRODUCT((pat_fin_12[[Client]:[Client]]=syndicat_etude)*(pat_fin_12[[Annee]:[Annee]]=F$145)*(LEFT(pat_fin_12[[Categorie Ouvrage]:[Categorie Ouvrage]],2)="09")*(pat_fin_12[[Taux d''amortissement du financement concédant]:[Taux d''amortissement du financement concédant]]))</f>
        <v>0.53</v>
      </c>
      <c r="G154" s="370" cm="1">
        <f t="array" ref="G154">SUMPRODUCT((pat_fin_12[[Client]:[Client]]=syndicat_etude)*(pat_fin_12[[Annee]:[Annee]]=G$145)*(LEFT(pat_fin_12[[Categorie Ouvrage]:[Categorie Ouvrage]],2)="09")*(pat_fin_12[[Taux d''amortissement du financement concédant]:[Taux d''amortissement du financement concédant]]))</f>
        <v>0.68</v>
      </c>
      <c r="H154" s="257">
        <f t="shared" si="10"/>
        <v>0.28301886792452824</v>
      </c>
    </row>
    <row r="155" spans="1:8" ht="15" customHeight="1" x14ac:dyDescent="0.25">
      <c r="B155" s="50" t="s">
        <v>938</v>
      </c>
      <c r="C155" s="16" cm="1">
        <f t="array" ref="C155">SUMPRODUCT((pat_fin_12[[Client]:[Client]]=syndicat_etude)*(pat_fin_12[[Annee]:[Annee]]=C$145)*(LEFT(pat_fin_12[[Categorie Ouvrage]:[Categorie Ouvrage]],2)="10")*(pat_fin_12[[Taux d''amortissement du financement concédant]:[Taux d''amortissement du financement concédant]]))</f>
        <v>0.39</v>
      </c>
      <c r="D155" s="16" cm="1">
        <f t="array" ref="D155">SUMPRODUCT((pat_fin_12[[Client]:[Client]]=syndicat_etude)*(pat_fin_12[[Annee]:[Annee]]=D$145)*(LEFT(pat_fin_12[[Categorie Ouvrage]:[Categorie Ouvrage]],2)="10")*(pat_fin_12[[Taux d''amortissement du financement concédant]:[Taux d''amortissement du financement concédant]]))</f>
        <v>0.41</v>
      </c>
      <c r="E155" s="16" cm="1">
        <f t="array" ref="E155">SUMPRODUCT((pat_fin_12[[Client]:[Client]]=syndicat_etude)*(pat_fin_12[[Annee]:[Annee]]=E$145)*(LEFT(pat_fin_12[[Categorie Ouvrage]:[Categorie Ouvrage]],2)="10")*(pat_fin_12[[Taux d''amortissement du financement concédant]:[Taux d''amortissement du financement concédant]]))</f>
        <v>0.43</v>
      </c>
      <c r="F155" s="16" cm="1">
        <f t="array" ref="F155">SUMPRODUCT((pat_fin_12[[Client]:[Client]]=syndicat_etude)*(pat_fin_12[[Annee]:[Annee]]=F$145)*(LEFT(pat_fin_12[[Categorie Ouvrage]:[Categorie Ouvrage]],2)="10")*(pat_fin_12[[Taux d''amortissement du financement concédant]:[Taux d''amortissement du financement concédant]]))</f>
        <v>0</v>
      </c>
      <c r="G155" s="16" cm="1">
        <f t="array" ref="G155">SUMPRODUCT((pat_fin_12[[Client]:[Client]]=syndicat_etude)*(pat_fin_12[[Annee]:[Annee]]=G$145)*(LEFT(pat_fin_12[[Categorie Ouvrage]:[Categorie Ouvrage]],2)="10")*(pat_fin_12[[Taux d''amortissement du financement concédant]:[Taux d''amortissement du financement concédant]]))</f>
        <v>0</v>
      </c>
      <c r="H155" s="120" t="str">
        <f t="shared" si="10"/>
        <v>-</v>
      </c>
    </row>
    <row r="156" spans="1:8" ht="15" customHeight="1" x14ac:dyDescent="0.25">
      <c r="B156" s="53" t="s">
        <v>939</v>
      </c>
      <c r="C156" s="285" cm="1">
        <f t="array" ref="C156">SUMPRODUCT((pat_fin_12[[Client]:[Client]]=syndicat_etude)*(pat_fin_12[[Annee]:[Annee]]=C$145)*(LEFT(pat_fin_12[[Categorie Ouvrage]:[Categorie Ouvrage]],2)="11")*(pat_fin_12[[Taux d''amortissement du financement concédant]:[Taux d''amortissement du financement concédant]]))</f>
        <v>0.57999999999999996</v>
      </c>
      <c r="D156" s="285" cm="1">
        <f t="array" ref="D156">SUMPRODUCT((pat_fin_12[[Client]:[Client]]=syndicat_etude)*(pat_fin_12[[Annee]:[Annee]]=D$145)*(LEFT(pat_fin_12[[Categorie Ouvrage]:[Categorie Ouvrage]],2)="11")*(pat_fin_12[[Taux d''amortissement du financement concédant]:[Taux d''amortissement du financement concédant]]))</f>
        <v>0.28000000000000003</v>
      </c>
      <c r="E156" s="285" cm="1">
        <f t="array" ref="E156">SUMPRODUCT((pat_fin_12[[Client]:[Client]]=syndicat_etude)*(pat_fin_12[[Annee]:[Annee]]=E$145)*(LEFT(pat_fin_12[[Categorie Ouvrage]:[Categorie Ouvrage]],2)="11")*(pat_fin_12[[Taux d''amortissement du financement concédant]:[Taux d''amortissement du financement concédant]]))</f>
        <v>0.28999999999999998</v>
      </c>
      <c r="F156" s="285" cm="1">
        <f t="array" ref="F156">SUMPRODUCT((pat_fin_12[[Client]:[Client]]=syndicat_etude)*(pat_fin_12[[Annee]:[Annee]]=F$145)*(LEFT(pat_fin_12[[Categorie Ouvrage]:[Categorie Ouvrage]],2)="11")*(pat_fin_12[[Taux d''amortissement du financement concédant]:[Taux d''amortissement du financement concédant]]))</f>
        <v>0.3</v>
      </c>
      <c r="G156" s="285" cm="1">
        <f t="array" ref="G156">SUMPRODUCT((pat_fin_12[[Client]:[Client]]=syndicat_etude)*(pat_fin_12[[Annee]:[Annee]]=G$145)*(LEFT(pat_fin_12[[Categorie Ouvrage]:[Categorie Ouvrage]],2)="11")*(pat_fin_12[[Taux d''amortissement du financement concédant]:[Taux d''amortissement du financement concédant]]))</f>
        <v>0.31</v>
      </c>
      <c r="H156" s="133">
        <f t="shared" si="10"/>
        <v>3.3333333333333437E-2</v>
      </c>
    </row>
    <row r="157" spans="1:8" ht="15" customHeight="1" x14ac:dyDescent="0.25">
      <c r="B157" s="131" t="s">
        <v>521</v>
      </c>
      <c r="C157" s="367" cm="1">
        <f t="array" ref="C157">SUMPRODUCT((pat_fin_12a[[Client]:[Client]]=syndicat_etude)*(pat_fin_12a[[Annee]:[Annee]]=C$145)*(pat_fin_12a[[Taux d''amortissement du financement concédant]:[Taux d''amortissement du financement concédant]]))</f>
        <v>0.25</v>
      </c>
      <c r="D157" s="367" cm="1">
        <f t="array" ref="D157">SUMPRODUCT((pat_fin_12a[[Client]:[Client]]=syndicat_etude)*(pat_fin_12a[[Annee]:[Annee]]=D$145)*(pat_fin_12a[[Taux d''amortissement du financement concédant]:[Taux d''amortissement du financement concédant]]))</f>
        <v>0.25</v>
      </c>
      <c r="E157" s="367" cm="1">
        <f t="array" ref="E157">SUMPRODUCT((pat_fin_12a[[Client]:[Client]]=syndicat_etude)*(pat_fin_12a[[Annee]:[Annee]]=E$145)*(pat_fin_12a[[Taux d''amortissement du financement concédant]:[Taux d''amortissement du financement concédant]]))</f>
        <v>0.25</v>
      </c>
      <c r="F157" s="367" cm="1">
        <f t="array" ref="F157">SUMPRODUCT((pat_fin_12a[[Client]:[Client]]=syndicat_etude)*(pat_fin_12a[[Annee]:[Annee]]=F$145)*(pat_fin_12a[[Taux d''amortissement du financement concédant]:[Taux d''amortissement du financement concédant]]))</f>
        <v>0.26</v>
      </c>
      <c r="G157" s="367" cm="1">
        <f t="array" ref="G157">SUMPRODUCT((pat_fin_12a[[Client]:[Client]]=syndicat_etude)*(pat_fin_12a[[Annee]:[Annee]]=G$145)*(pat_fin_12a[[Taux d''amortissement du financement concédant]:[Taux d''amortissement du financement concédant]]))</f>
        <v>0.27</v>
      </c>
      <c r="H157" s="130">
        <f t="shared" si="10"/>
        <v>3.8461538461538547E-2</v>
      </c>
    </row>
    <row r="159" spans="1:8" ht="30" customHeight="1" x14ac:dyDescent="0.25">
      <c r="A159" s="25" t="s">
        <v>951</v>
      </c>
      <c r="B159" s="66" t="s">
        <v>955</v>
      </c>
      <c r="C159" s="67" cm="1">
        <f t="array" ref="C159">Exercice[Exercice N-4]</f>
        <v>2019</v>
      </c>
      <c r="D159" s="67" cm="1">
        <f t="array" ref="D159">Exercice[Exercice N-3]</f>
        <v>2020</v>
      </c>
      <c r="E159" s="67" cm="1">
        <f t="array" ref="E159">Exercice[Exercice N-2]</f>
        <v>2021</v>
      </c>
      <c r="F159" s="67" cm="1">
        <f t="array" ref="F159">Exercice[Exercice N-1]</f>
        <v>2022</v>
      </c>
      <c r="G159" s="67" cm="1">
        <f t="array" ref="G159">Exercice[Exercice N]</f>
        <v>2023</v>
      </c>
      <c r="H159" s="68" t="s">
        <v>273</v>
      </c>
    </row>
    <row r="160" spans="1:8" ht="15" customHeight="1" x14ac:dyDescent="0.25">
      <c r="A160" s="369" t="s">
        <v>954</v>
      </c>
      <c r="B160" s="61" t="s">
        <v>932</v>
      </c>
      <c r="C160" s="16" cm="1">
        <f t="array" ref="C160">SUMPRODUCT((pat_fin_12[[Client]:[Client]]=syndicat_etude)*(pat_fin_12[[Annee]:[Annee]]=C$159)*(LEFT(pat_fin_12[[Categorie Ouvrage]:[Categorie Ouvrage]],2)="01")*(pat_fin_12[[Taux de dépréciation]:[Taux de dépréciation]]))</f>
        <v>0.45</v>
      </c>
      <c r="D160" s="16" cm="1">
        <f t="array" ref="D160">SUMPRODUCT((pat_fin_12[[Client]:[Client]]=syndicat_etude)*(pat_fin_12[[Annee]:[Annee]]=D$159)*(LEFT(pat_fin_12[[Categorie Ouvrage]:[Categorie Ouvrage]],2)="01")*(pat_fin_12[[Taux de dépréciation]:[Taux de dépréciation]]))</f>
        <v>0.47</v>
      </c>
      <c r="E160" s="16" cm="1">
        <f t="array" ref="E160">SUMPRODUCT((pat_fin_12[[Client]:[Client]]=syndicat_etude)*(pat_fin_12[[Annee]:[Annee]]=E$159)*(LEFT(pat_fin_12[[Categorie Ouvrage]:[Categorie Ouvrage]],2)="01")*(pat_fin_12[[Taux de dépréciation]:[Taux de dépréciation]]))</f>
        <v>0.46</v>
      </c>
      <c r="F160" s="16" cm="1">
        <f t="array" ref="F160">SUMPRODUCT((pat_fin_12[[Client]:[Client]]=syndicat_etude)*(pat_fin_12[[Annee]:[Annee]]=F$159)*(LEFT(pat_fin_12[[Categorie Ouvrage]:[Categorie Ouvrage]],2)="01")*(pat_fin_12[[Taux de dépréciation]:[Taux de dépréciation]]))</f>
        <v>0.48</v>
      </c>
      <c r="G160" s="16" cm="1">
        <f t="array" ref="G160">SUMPRODUCT((pat_fin_12[[Client]:[Client]]=syndicat_etude)*(pat_fin_12[[Annee]:[Annee]]=G$159)*(LEFT(pat_fin_12[[Categorie Ouvrage]:[Categorie Ouvrage]],2)="01")*(pat_fin_12[[Taux de dépréciation]:[Taux de dépréciation]]))</f>
        <v>0.49</v>
      </c>
      <c r="H160" s="120">
        <f t="shared" ref="H160:H171" si="11">IFERROR(G160/F160-1,"-")</f>
        <v>2.0833333333333259E-2</v>
      </c>
    </row>
    <row r="161" spans="1:8" ht="15" customHeight="1" x14ac:dyDescent="0.25">
      <c r="B161" s="50" t="s">
        <v>933</v>
      </c>
      <c r="C161" s="16" cm="1">
        <f t="array" ref="C161">SUMPRODUCT((pat_fin_12[[Client]:[Client]]=syndicat_etude)*(pat_fin_12[[Annee]:[Annee]]=C$159)*(LEFT(pat_fin_12[[Categorie Ouvrage]:[Categorie Ouvrage]],2)="02")*(pat_fin_12[[Taux de dépréciation]:[Taux de dépréciation]]))</f>
        <v>0.38</v>
      </c>
      <c r="D161" s="16" cm="1">
        <f t="array" ref="D161">SUMPRODUCT((pat_fin_12[[Client]:[Client]]=syndicat_etude)*(pat_fin_12[[Annee]:[Annee]]=D$159)*(LEFT(pat_fin_12[[Categorie Ouvrage]:[Categorie Ouvrage]],2)="02")*(pat_fin_12[[Taux de dépréciation]:[Taux de dépréciation]]))</f>
        <v>0.39</v>
      </c>
      <c r="E161" s="16" cm="1">
        <f t="array" ref="E161">SUMPRODUCT((pat_fin_12[[Client]:[Client]]=syndicat_etude)*(pat_fin_12[[Annee]:[Annee]]=E$159)*(LEFT(pat_fin_12[[Categorie Ouvrage]:[Categorie Ouvrage]],2)="02")*(pat_fin_12[[Taux de dépréciation]:[Taux de dépréciation]]))</f>
        <v>0.4</v>
      </c>
      <c r="F161" s="16" cm="1">
        <f t="array" ref="F161">SUMPRODUCT((pat_fin_12[[Client]:[Client]]=syndicat_etude)*(pat_fin_12[[Annee]:[Annee]]=F$159)*(LEFT(pat_fin_12[[Categorie Ouvrage]:[Categorie Ouvrage]],2)="02")*(pat_fin_12[[Taux de dépréciation]:[Taux de dépréciation]]))</f>
        <v>0.41</v>
      </c>
      <c r="G161" s="16" cm="1">
        <f t="array" ref="G161">SUMPRODUCT((pat_fin_12[[Client]:[Client]]=syndicat_etude)*(pat_fin_12[[Annee]:[Annee]]=G$159)*(LEFT(pat_fin_12[[Categorie Ouvrage]:[Categorie Ouvrage]],2)="02")*(pat_fin_12[[Taux de dépréciation]:[Taux de dépréciation]]))</f>
        <v>0.42</v>
      </c>
      <c r="H161" s="120">
        <f t="shared" si="11"/>
        <v>2.4390243902439046E-2</v>
      </c>
    </row>
    <row r="162" spans="1:8" ht="15" customHeight="1" x14ac:dyDescent="0.25">
      <c r="B162" s="50" t="s">
        <v>87</v>
      </c>
      <c r="C162" s="16" cm="1">
        <f t="array" ref="C162">SUMPRODUCT((pat_fin_12[[Client]:[Client]]=syndicat_etude)*(pat_fin_12[[Annee]:[Annee]]=C$159)*(LEFT(pat_fin_12[[Categorie Ouvrage]:[Categorie Ouvrage]],2)="03")*(pat_fin_12[[Taux de dépréciation]:[Taux de dépréciation]]))</f>
        <v>0.65</v>
      </c>
      <c r="D162" s="16" cm="1">
        <f t="array" ref="D162">SUMPRODUCT((pat_fin_12[[Client]:[Client]]=syndicat_etude)*(pat_fin_12[[Annee]:[Annee]]=D$159)*(LEFT(pat_fin_12[[Categorie Ouvrage]:[Categorie Ouvrage]],2)="03")*(pat_fin_12[[Taux de dépréciation]:[Taux de dépréciation]]))</f>
        <v>0.67</v>
      </c>
      <c r="E162" s="16" cm="1">
        <f t="array" ref="E162">SUMPRODUCT((pat_fin_12[[Client]:[Client]]=syndicat_etude)*(pat_fin_12[[Annee]:[Annee]]=E$159)*(LEFT(pat_fin_12[[Categorie Ouvrage]:[Categorie Ouvrage]],2)="03")*(pat_fin_12[[Taux de dépréciation]:[Taux de dépréciation]]))</f>
        <v>0.69</v>
      </c>
      <c r="F162" s="16" cm="1">
        <f t="array" ref="F162">SUMPRODUCT((pat_fin_12[[Client]:[Client]]=syndicat_etude)*(pat_fin_12[[Annee]:[Annee]]=F$159)*(LEFT(pat_fin_12[[Categorie Ouvrage]:[Categorie Ouvrage]],2)="03")*(pat_fin_12[[Taux de dépréciation]:[Taux de dépréciation]]))</f>
        <v>0.7</v>
      </c>
      <c r="G162" s="16" cm="1">
        <f t="array" ref="G162">SUMPRODUCT((pat_fin_12[[Client]:[Client]]=syndicat_etude)*(pat_fin_12[[Annee]:[Annee]]=G$159)*(LEFT(pat_fin_12[[Categorie Ouvrage]:[Categorie Ouvrage]],2)="03")*(pat_fin_12[[Taux de dépréciation]:[Taux de dépréciation]]))</f>
        <v>0.7</v>
      </c>
      <c r="H162" s="120">
        <f t="shared" si="11"/>
        <v>0</v>
      </c>
    </row>
    <row r="163" spans="1:8" ht="15" customHeight="1" x14ac:dyDescent="0.25">
      <c r="B163" s="50" t="s">
        <v>599</v>
      </c>
      <c r="C163" s="16" cm="1">
        <f t="array" ref="C163">SUMPRODUCT((pat_fin_12[[Client]:[Client]]=syndicat_etude)*(pat_fin_12[[Annee]:[Annee]]=C$159)*(LEFT(pat_fin_12[[Categorie Ouvrage]:[Categorie Ouvrage]],2)="04")*(pat_fin_12[[Taux de dépréciation]:[Taux de dépréciation]]))</f>
        <v>0.49</v>
      </c>
      <c r="D163" s="16" cm="1">
        <f t="array" ref="D163">SUMPRODUCT((pat_fin_12[[Client]:[Client]]=syndicat_etude)*(pat_fin_12[[Annee]:[Annee]]=D$159)*(LEFT(pat_fin_12[[Categorie Ouvrage]:[Categorie Ouvrage]],2)="04")*(pat_fin_12[[Taux de dépréciation]:[Taux de dépréciation]]))</f>
        <v>0.5</v>
      </c>
      <c r="E163" s="16" cm="1">
        <f t="array" ref="E163">SUMPRODUCT((pat_fin_12[[Client]:[Client]]=syndicat_etude)*(pat_fin_12[[Annee]:[Annee]]=E$159)*(LEFT(pat_fin_12[[Categorie Ouvrage]:[Categorie Ouvrage]],2)="04")*(pat_fin_12[[Taux de dépréciation]:[Taux de dépréciation]]))</f>
        <v>0.51</v>
      </c>
      <c r="F163" s="16" cm="1">
        <f t="array" ref="F163">SUMPRODUCT((pat_fin_12[[Client]:[Client]]=syndicat_etude)*(pat_fin_12[[Annee]:[Annee]]=F$159)*(LEFT(pat_fin_12[[Categorie Ouvrage]:[Categorie Ouvrage]],2)="04")*(pat_fin_12[[Taux de dépréciation]:[Taux de dépréciation]]))</f>
        <v>0.52</v>
      </c>
      <c r="G163" s="16" cm="1">
        <f t="array" ref="G163">SUMPRODUCT((pat_fin_12[[Client]:[Client]]=syndicat_etude)*(pat_fin_12[[Annee]:[Annee]]=G$159)*(LEFT(pat_fin_12[[Categorie Ouvrage]:[Categorie Ouvrage]],2)="04")*(pat_fin_12[[Taux de dépréciation]:[Taux de dépréciation]]))</f>
        <v>0.51</v>
      </c>
      <c r="H163" s="120">
        <f t="shared" si="11"/>
        <v>-1.9230769230769273E-2</v>
      </c>
    </row>
    <row r="164" spans="1:8" ht="15" customHeight="1" x14ac:dyDescent="0.25">
      <c r="B164" s="50" t="s">
        <v>934</v>
      </c>
      <c r="C164" s="16" cm="1">
        <f t="array" ref="C164">SUMPRODUCT((pat_fin_12[[Client]:[Client]]=syndicat_etude)*(pat_fin_12[[Annee]:[Annee]]=C$159)*(LEFT(pat_fin_12[[Categorie Ouvrage]:[Categorie Ouvrage]],2)="05")*(pat_fin_12[[Taux de dépréciation]:[Taux de dépréciation]]))</f>
        <v>0.08</v>
      </c>
      <c r="D164" s="16" cm="1">
        <f t="array" ref="D164">SUMPRODUCT((pat_fin_12[[Client]:[Client]]=syndicat_etude)*(pat_fin_12[[Annee]:[Annee]]=D$159)*(LEFT(pat_fin_12[[Categorie Ouvrage]:[Categorie Ouvrage]],2)="05")*(pat_fin_12[[Taux de dépréciation]:[Taux de dépréciation]]))</f>
        <v>0.1</v>
      </c>
      <c r="E164" s="16" cm="1">
        <f t="array" ref="E164">SUMPRODUCT((pat_fin_12[[Client]:[Client]]=syndicat_etude)*(pat_fin_12[[Annee]:[Annee]]=E$159)*(LEFT(pat_fin_12[[Categorie Ouvrage]:[Categorie Ouvrage]],2)="05")*(pat_fin_12[[Taux de dépréciation]:[Taux de dépréciation]]))</f>
        <v>0.13</v>
      </c>
      <c r="F164" s="16" cm="1">
        <f t="array" ref="F164">SUMPRODUCT((pat_fin_12[[Client]:[Client]]=syndicat_etude)*(pat_fin_12[[Annee]:[Annee]]=F$159)*(LEFT(pat_fin_12[[Categorie Ouvrage]:[Categorie Ouvrage]],2)="05")*(pat_fin_12[[Taux de dépréciation]:[Taux de dépréciation]]))</f>
        <v>0.24</v>
      </c>
      <c r="G164" s="16" cm="1">
        <f t="array" ref="G164">SUMPRODUCT((pat_fin_12[[Client]:[Client]]=syndicat_etude)*(pat_fin_12[[Annee]:[Annee]]=G$159)*(LEFT(pat_fin_12[[Categorie Ouvrage]:[Categorie Ouvrage]],2)="05")*(pat_fin_12[[Taux de dépréciation]:[Taux de dépréciation]]))</f>
        <v>0.27</v>
      </c>
      <c r="H164" s="120">
        <f t="shared" si="11"/>
        <v>0.12500000000000022</v>
      </c>
    </row>
    <row r="165" spans="1:8" ht="15" customHeight="1" x14ac:dyDescent="0.25">
      <c r="B165" s="50" t="s">
        <v>935</v>
      </c>
      <c r="C165" s="16" cm="1">
        <f t="array" ref="C165">SUMPRODUCT((pat_fin_12[[Client]:[Client]]=syndicat_etude)*(pat_fin_12[[Annee]:[Annee]]=C$159)*(LEFT(pat_fin_12[[Categorie Ouvrage]:[Categorie Ouvrage]],2)="06")*(pat_fin_12[[Taux de dépréciation]:[Taux de dépréciation]]))</f>
        <v>0</v>
      </c>
      <c r="D165" s="16" cm="1">
        <f t="array" ref="D165">SUMPRODUCT((pat_fin_12[[Client]:[Client]]=syndicat_etude)*(pat_fin_12[[Annee]:[Annee]]=D$159)*(LEFT(pat_fin_12[[Categorie Ouvrage]:[Categorie Ouvrage]],2)="06")*(pat_fin_12[[Taux de dépréciation]:[Taux de dépréciation]]))</f>
        <v>0</v>
      </c>
      <c r="E165" s="16" cm="1">
        <f t="array" ref="E165">SUMPRODUCT((pat_fin_12[[Client]:[Client]]=syndicat_etude)*(pat_fin_12[[Annee]:[Annee]]=E$159)*(LEFT(pat_fin_12[[Categorie Ouvrage]:[Categorie Ouvrage]],2)="06")*(pat_fin_12[[Taux de dépréciation]:[Taux de dépréciation]]))</f>
        <v>0</v>
      </c>
      <c r="F165" s="16" cm="1">
        <f t="array" ref="F165">SUMPRODUCT((pat_fin_12[[Client]:[Client]]=syndicat_etude)*(pat_fin_12[[Annee]:[Annee]]=F$159)*(LEFT(pat_fin_12[[Categorie Ouvrage]:[Categorie Ouvrage]],2)="06")*(pat_fin_12[[Taux de dépréciation]:[Taux de dépréciation]]))</f>
        <v>0.46</v>
      </c>
      <c r="G165" s="16" cm="1">
        <f t="array" ref="G165">SUMPRODUCT((pat_fin_12[[Client]:[Client]]=syndicat_etude)*(pat_fin_12[[Annee]:[Annee]]=G$159)*(LEFT(pat_fin_12[[Categorie Ouvrage]:[Categorie Ouvrage]],2)="06")*(pat_fin_12[[Taux de dépréciation]:[Taux de dépréciation]]))</f>
        <v>0.46</v>
      </c>
      <c r="H165" s="120">
        <f t="shared" si="11"/>
        <v>0</v>
      </c>
    </row>
    <row r="166" spans="1:8" ht="15" customHeight="1" x14ac:dyDescent="0.25">
      <c r="B166" s="50" t="s">
        <v>600</v>
      </c>
      <c r="C166" s="16" cm="1">
        <f t="array" ref="C166">SUMPRODUCT((pat_fin_12[[Client]:[Client]]=syndicat_etude)*(pat_fin_12[[Annee]:[Annee]]=C$159)*(LEFT(pat_fin_12[[Categorie Ouvrage]:[Categorie Ouvrage]],2)="07")*(pat_fin_12[[Taux de dépréciation]:[Taux de dépréciation]]))</f>
        <v>0.32</v>
      </c>
      <c r="D166" s="16" cm="1">
        <f t="array" ref="D166">SUMPRODUCT((pat_fin_12[[Client]:[Client]]=syndicat_etude)*(pat_fin_12[[Annee]:[Annee]]=D$159)*(LEFT(pat_fin_12[[Categorie Ouvrage]:[Categorie Ouvrage]],2)="07")*(pat_fin_12[[Taux de dépréciation]:[Taux de dépréciation]]))</f>
        <v>0.28000000000000003</v>
      </c>
      <c r="E166" s="16" cm="1">
        <f t="array" ref="E166">SUMPRODUCT((pat_fin_12[[Client]:[Client]]=syndicat_etude)*(pat_fin_12[[Annee]:[Annee]]=E$159)*(LEFT(pat_fin_12[[Categorie Ouvrage]:[Categorie Ouvrage]],2)="07")*(pat_fin_12[[Taux de dépréciation]:[Taux de dépréciation]]))</f>
        <v>0.31</v>
      </c>
      <c r="F166" s="16" cm="1">
        <f t="array" ref="F166">SUMPRODUCT((pat_fin_12[[Client]:[Client]]=syndicat_etude)*(pat_fin_12[[Annee]:[Annee]]=F$159)*(LEFT(pat_fin_12[[Categorie Ouvrage]:[Categorie Ouvrage]],2)="07")*(pat_fin_12[[Taux de dépréciation]:[Taux de dépréciation]]))</f>
        <v>0.32</v>
      </c>
      <c r="G166" s="16" cm="1">
        <f t="array" ref="G166">SUMPRODUCT((pat_fin_12[[Client]:[Client]]=syndicat_etude)*(pat_fin_12[[Annee]:[Annee]]=G$159)*(LEFT(pat_fin_12[[Categorie Ouvrage]:[Categorie Ouvrage]],2)="07")*(pat_fin_12[[Taux de dépréciation]:[Taux de dépréciation]]))</f>
        <v>0.33</v>
      </c>
      <c r="H166" s="120">
        <f t="shared" si="11"/>
        <v>3.125E-2</v>
      </c>
    </row>
    <row r="167" spans="1:8" ht="15" customHeight="1" x14ac:dyDescent="0.25">
      <c r="B167" s="53" t="s">
        <v>936</v>
      </c>
      <c r="C167" s="16" cm="1">
        <f t="array" ref="C167">SUMPRODUCT((pat_fin_12[[Client]:[Client]]=syndicat_etude)*(pat_fin_12[[Annee]:[Annee]]=C$159)*(LEFT(pat_fin_12[[Categorie Ouvrage]:[Categorie Ouvrage]],2)="08")*(pat_fin_12[[Taux de dépréciation]:[Taux de dépréciation]]))</f>
        <v>0.59</v>
      </c>
      <c r="D167" s="16" cm="1">
        <f t="array" ref="D167">SUMPRODUCT((pat_fin_12[[Client]:[Client]]=syndicat_etude)*(pat_fin_12[[Annee]:[Annee]]=D$159)*(LEFT(pat_fin_12[[Categorie Ouvrage]:[Categorie Ouvrage]],2)="08")*(pat_fin_12[[Taux de dépréciation]:[Taux de dépréciation]]))</f>
        <v>0.59</v>
      </c>
      <c r="E167" s="16" cm="1">
        <f t="array" ref="E167">SUMPRODUCT((pat_fin_12[[Client]:[Client]]=syndicat_etude)*(pat_fin_12[[Annee]:[Annee]]=E$159)*(LEFT(pat_fin_12[[Categorie Ouvrage]:[Categorie Ouvrage]],2)="08")*(pat_fin_12[[Taux de dépréciation]:[Taux de dépréciation]]))</f>
        <v>0.56000000000000005</v>
      </c>
      <c r="F167" s="16" cm="1">
        <f t="array" ref="F167">SUMPRODUCT((pat_fin_12[[Client]:[Client]]=syndicat_etude)*(pat_fin_12[[Annee]:[Annee]]=F$159)*(LEFT(pat_fin_12[[Categorie Ouvrage]:[Categorie Ouvrage]],2)="08")*(pat_fin_12[[Taux de dépréciation]:[Taux de dépréciation]]))</f>
        <v>0.6</v>
      </c>
      <c r="G167" s="16" cm="1">
        <f t="array" ref="G167">SUMPRODUCT((pat_fin_12[[Client]:[Client]]=syndicat_etude)*(pat_fin_12[[Annee]:[Annee]]=G$159)*(LEFT(pat_fin_12[[Categorie Ouvrage]:[Categorie Ouvrage]],2)="08")*(pat_fin_12[[Taux de dépréciation]:[Taux de dépréciation]]))</f>
        <v>0.56999999999999995</v>
      </c>
      <c r="H167" s="120">
        <f t="shared" si="11"/>
        <v>-5.0000000000000044E-2</v>
      </c>
    </row>
    <row r="168" spans="1:8" ht="15" customHeight="1" x14ac:dyDescent="0.25">
      <c r="B168" s="61" t="s">
        <v>937</v>
      </c>
      <c r="C168" s="370" cm="1">
        <f t="array" ref="C168">SUMPRODUCT((pat_fin_12[[Client]:[Client]]=syndicat_etude)*(pat_fin_12[[Annee]:[Annee]]=C$159)*(LEFT(pat_fin_12[[Categorie Ouvrage]:[Categorie Ouvrage]],2)="09")*(pat_fin_12[[Taux de dépréciation]:[Taux de dépréciation]]))</f>
        <v>0.71</v>
      </c>
      <c r="D168" s="370" cm="1">
        <f t="array" ref="D168">SUMPRODUCT((pat_fin_12[[Client]:[Client]]=syndicat_etude)*(pat_fin_12[[Annee]:[Annee]]=D$159)*(LEFT(pat_fin_12[[Categorie Ouvrage]:[Categorie Ouvrage]],2)="09")*(pat_fin_12[[Taux de dépréciation]:[Taux de dépréciation]]))</f>
        <v>0.73</v>
      </c>
      <c r="E168" s="370" cm="1">
        <f t="array" ref="E168">SUMPRODUCT((pat_fin_12[[Client]:[Client]]=syndicat_etude)*(pat_fin_12[[Annee]:[Annee]]=E$159)*(LEFT(pat_fin_12[[Categorie Ouvrage]:[Categorie Ouvrage]],2)="09")*(pat_fin_12[[Taux de dépréciation]:[Taux de dépréciation]]))</f>
        <v>0.75</v>
      </c>
      <c r="F168" s="370" cm="1">
        <f t="array" ref="F168">SUMPRODUCT((pat_fin_12[[Client]:[Client]]=syndicat_etude)*(pat_fin_12[[Annee]:[Annee]]=F$159)*(LEFT(pat_fin_12[[Categorie Ouvrage]:[Categorie Ouvrage]],2)="09")*(pat_fin_12[[Taux de dépréciation]:[Taux de dépréciation]]))</f>
        <v>0.53</v>
      </c>
      <c r="G168" s="370" cm="1">
        <f t="array" ref="G168">SUMPRODUCT((pat_fin_12[[Client]:[Client]]=syndicat_etude)*(pat_fin_12[[Annee]:[Annee]]=G$159)*(LEFT(pat_fin_12[[Categorie Ouvrage]:[Categorie Ouvrage]],2)="09")*(pat_fin_12[[Taux de dépréciation]:[Taux de dépréciation]]))</f>
        <v>0.68</v>
      </c>
      <c r="H168" s="257">
        <f t="shared" si="11"/>
        <v>0.28301886792452824</v>
      </c>
    </row>
    <row r="169" spans="1:8" ht="15" customHeight="1" x14ac:dyDescent="0.25">
      <c r="B169" s="50" t="s">
        <v>938</v>
      </c>
      <c r="C169" s="16" cm="1">
        <f t="array" ref="C169">SUMPRODUCT((pat_fin_12[[Client]:[Client]]=syndicat_etude)*(pat_fin_12[[Annee]:[Annee]]=C$159)*(LEFT(pat_fin_12[[Categorie Ouvrage]:[Categorie Ouvrage]],2)="10")*(pat_fin_12[[Taux de dépréciation]:[Taux de dépréciation]]))</f>
        <v>0.39</v>
      </c>
      <c r="D169" s="16" cm="1">
        <f t="array" ref="D169">SUMPRODUCT((pat_fin_12[[Client]:[Client]]=syndicat_etude)*(pat_fin_12[[Annee]:[Annee]]=D$159)*(LEFT(pat_fin_12[[Categorie Ouvrage]:[Categorie Ouvrage]],2)="10")*(pat_fin_12[[Taux de dépréciation]:[Taux de dépréciation]]))</f>
        <v>0.41</v>
      </c>
      <c r="E169" s="16" cm="1">
        <f t="array" ref="E169">SUMPRODUCT((pat_fin_12[[Client]:[Client]]=syndicat_etude)*(pat_fin_12[[Annee]:[Annee]]=E$159)*(LEFT(pat_fin_12[[Categorie Ouvrage]:[Categorie Ouvrage]],2)="10")*(pat_fin_12[[Taux de dépréciation]:[Taux de dépréciation]]))</f>
        <v>0.41</v>
      </c>
      <c r="F169" s="16" cm="1">
        <f t="array" ref="F169">SUMPRODUCT((pat_fin_12[[Client]:[Client]]=syndicat_etude)*(pat_fin_12[[Annee]:[Annee]]=F$159)*(LEFT(pat_fin_12[[Categorie Ouvrage]:[Categorie Ouvrage]],2)="10")*(pat_fin_12[[Taux de dépréciation]:[Taux de dépréciation]]))</f>
        <v>0</v>
      </c>
      <c r="G169" s="16" cm="1">
        <f t="array" ref="G169">SUMPRODUCT((pat_fin_12[[Client]:[Client]]=syndicat_etude)*(pat_fin_12[[Annee]:[Annee]]=G$159)*(LEFT(pat_fin_12[[Categorie Ouvrage]:[Categorie Ouvrage]],2)="10")*(pat_fin_12[[Taux de dépréciation]:[Taux de dépréciation]]))</f>
        <v>0</v>
      </c>
      <c r="H169" s="120" t="str">
        <f t="shared" si="11"/>
        <v>-</v>
      </c>
    </row>
    <row r="170" spans="1:8" ht="15" customHeight="1" x14ac:dyDescent="0.25">
      <c r="B170" s="53" t="s">
        <v>939</v>
      </c>
      <c r="C170" s="285" cm="1">
        <f t="array" ref="C170">SUMPRODUCT((pat_fin_12[[Client]:[Client]]=syndicat_etude)*(pat_fin_12[[Annee]:[Annee]]=C$159)*(LEFT(pat_fin_12[[Categorie Ouvrage]:[Categorie Ouvrage]],2)="11")*(pat_fin_12[[Taux de dépréciation]:[Taux de dépréciation]]))</f>
        <v>0.2</v>
      </c>
      <c r="D170" s="285" cm="1">
        <f t="array" ref="D170">SUMPRODUCT((pat_fin_12[[Client]:[Client]]=syndicat_etude)*(pat_fin_12[[Annee]:[Annee]]=D$159)*(LEFT(pat_fin_12[[Categorie Ouvrage]:[Categorie Ouvrage]],2)="11")*(pat_fin_12[[Taux de dépréciation]:[Taux de dépréciation]]))</f>
        <v>0.23</v>
      </c>
      <c r="E170" s="285" cm="1">
        <f t="array" ref="E170">SUMPRODUCT((pat_fin_12[[Client]:[Client]]=syndicat_etude)*(pat_fin_12[[Annee]:[Annee]]=E$159)*(LEFT(pat_fin_12[[Categorie Ouvrage]:[Categorie Ouvrage]],2)="11")*(pat_fin_12[[Taux de dépréciation]:[Taux de dépréciation]]))</f>
        <v>0.31</v>
      </c>
      <c r="F170" s="285" cm="1">
        <f t="array" ref="F170">SUMPRODUCT((pat_fin_12[[Client]:[Client]]=syndicat_etude)*(pat_fin_12[[Annee]:[Annee]]=F$159)*(LEFT(pat_fin_12[[Categorie Ouvrage]:[Categorie Ouvrage]],2)="11")*(pat_fin_12[[Taux de dépréciation]:[Taux de dépréciation]]))</f>
        <v>0.38</v>
      </c>
      <c r="G170" s="285" cm="1">
        <f t="array" ref="G170">SUMPRODUCT((pat_fin_12[[Client]:[Client]]=syndicat_etude)*(pat_fin_12[[Annee]:[Annee]]=G$159)*(LEFT(pat_fin_12[[Categorie Ouvrage]:[Categorie Ouvrage]],2)="11")*(pat_fin_12[[Taux de dépréciation]:[Taux de dépréciation]]))</f>
        <v>0.45</v>
      </c>
      <c r="H170" s="133">
        <f t="shared" si="11"/>
        <v>0.18421052631578938</v>
      </c>
    </row>
    <row r="171" spans="1:8" ht="15" customHeight="1" x14ac:dyDescent="0.25">
      <c r="B171" s="131" t="s">
        <v>521</v>
      </c>
      <c r="C171" s="367" cm="1">
        <f t="array" ref="C171">SUMPRODUCT((pat_fin_12a[[Client]:[Client]]=syndicat_etude)*(pat_fin_12a[[Annee]:[Annee]]=C$159)*(pat_fin_12a[[Taux de dépréciation]:[Taux de dépréciation]]))</f>
        <v>0.43</v>
      </c>
      <c r="D171" s="367" cm="1">
        <f t="array" ref="D171">SUMPRODUCT((pat_fin_12a[[Client]:[Client]]=syndicat_etude)*(pat_fin_12a[[Annee]:[Annee]]=D$159)*(pat_fin_12a[[Taux de dépréciation]:[Taux de dépréciation]]))</f>
        <v>0.44</v>
      </c>
      <c r="E171" s="367" cm="1">
        <f t="array" ref="E171">SUMPRODUCT((pat_fin_12a[[Client]:[Client]]=syndicat_etude)*(pat_fin_12a[[Annee]:[Annee]]=E$159)*(pat_fin_12a[[Taux de dépréciation]:[Taux de dépréciation]]))</f>
        <v>0.45</v>
      </c>
      <c r="F171" s="367" cm="1">
        <f t="array" ref="F171">SUMPRODUCT((pat_fin_12a[[Client]:[Client]]=syndicat_etude)*(pat_fin_12a[[Annee]:[Annee]]=F$159)*(pat_fin_12a[[Taux de dépréciation]:[Taux de dépréciation]]))</f>
        <v>0.46</v>
      </c>
      <c r="G171" s="367" cm="1">
        <f t="array" ref="G171">SUMPRODUCT((pat_fin_12a[[Client]:[Client]]=syndicat_etude)*(pat_fin_12a[[Annee]:[Annee]]=G$159)*(pat_fin_12a[[Taux de dépréciation]:[Taux de dépréciation]]))</f>
        <v>0.47</v>
      </c>
      <c r="H171" s="130">
        <f t="shared" si="11"/>
        <v>2.1739130434782483E-2</v>
      </c>
    </row>
    <row r="173" spans="1:8" ht="30" customHeight="1" x14ac:dyDescent="0.25">
      <c r="A173" s="102" t="s">
        <v>956</v>
      </c>
      <c r="B173" s="66" t="s">
        <v>957</v>
      </c>
      <c r="C173" s="74" t="s">
        <v>958</v>
      </c>
      <c r="D173" s="75" t="s">
        <v>959</v>
      </c>
    </row>
    <row r="174" spans="1:8" ht="15" customHeight="1" x14ac:dyDescent="0.25">
      <c r="B174" s="61" t="s">
        <v>960</v>
      </c>
      <c r="C174" s="7" cm="1">
        <f t="array" ref="C174">-SUMPRODUCT((pat_fin_10[[client]:[client]]=syndicat_etude)*(pat_fin_10[[annee]:[annee]]=annee_CRAC)*(pat_fin_10[pr_hta_aerien_urb]))</f>
        <v>1.410277</v>
      </c>
      <c r="D174" s="83" cm="1">
        <f t="array" ref="D174">-SUMPRODUCT((pat_fin_10[[client]:[client]]=syndicat_etude)*(pat_fin_10[[annee]:[annee]]=annee_CRAC)*(pat_fin_10[pr_hta_aerien_rur]))</f>
        <v>12.400095</v>
      </c>
    </row>
    <row r="175" spans="1:8" ht="15" customHeight="1" x14ac:dyDescent="0.25">
      <c r="B175" s="50" t="s">
        <v>961</v>
      </c>
      <c r="C175" s="7" cm="1">
        <f t="array" ref="C175">-SUMPRODUCT((pat_fin_10[[client]:[client]]=syndicat_etude)*(pat_fin_10[[annee]:[annee]]=annee_CRAC)*(pat_fin_10[pr_hta_sout_urb]))</f>
        <v>7.4799709999999999</v>
      </c>
      <c r="D175" s="83" cm="1">
        <f t="array" ref="D175">-SUMPRODUCT((pat_fin_10[[client]:[client]]=syndicat_etude)*(pat_fin_10[[annee]:[annee]]=annee_CRAC)*(pat_fin_10[pr_hta_sout_rur]))</f>
        <v>1.413022</v>
      </c>
    </row>
    <row r="176" spans="1:8" ht="15" customHeight="1" x14ac:dyDescent="0.25">
      <c r="B176" s="50" t="s">
        <v>962</v>
      </c>
      <c r="C176" s="7" cm="1">
        <f t="array" ref="C176">-SUMPRODUCT((pat_fin_10[[client]:[client]]=syndicat_etude)*(pat_fin_10[[annee]:[annee]]=annee_CRAC)*(pat_fin_10[pr_bt_aerien_nu_urb]))</f>
        <v>2.3124560000000001</v>
      </c>
      <c r="D176" s="83" cm="1">
        <f t="array" ref="D176">-SUMPRODUCT((pat_fin_10[[client]:[client]]=syndicat_etude)*(pat_fin_10[[annee]:[annee]]=annee_CRAC)*(pat_fin_10[pr_bt_aerien_nu_rur]))</f>
        <v>0</v>
      </c>
    </row>
    <row r="177" spans="1:4" ht="15" customHeight="1" x14ac:dyDescent="0.25">
      <c r="B177" s="50" t="s">
        <v>963</v>
      </c>
      <c r="C177" s="7" cm="1">
        <f t="array" ref="C177">-SUMPRODUCT((pat_fin_10[[client]:[client]]=syndicat_etude)*(pat_fin_10[[annee]:[annee]]=annee_CRAC)*(pat_fin_10[pr_bt_aerien_torsade_urb]))</f>
        <v>0.36896099999999998</v>
      </c>
      <c r="D177" s="83" cm="1">
        <f t="array" ref="D177">-SUMPRODUCT((pat_fin_10[[client]:[client]]=syndicat_etude)*(pat_fin_10[[annee]:[annee]]=annee_CRAC)*(pat_fin_10[pr_bt_aerien_torsade_rur]))</f>
        <v>0</v>
      </c>
    </row>
    <row r="178" spans="1:4" ht="15" customHeight="1" x14ac:dyDescent="0.25">
      <c r="B178" s="50" t="s">
        <v>964</v>
      </c>
      <c r="C178" s="7" cm="1">
        <f t="array" ref="C178">-SUMPRODUCT((pat_fin_10[[client]:[client]]=syndicat_etude)*(pat_fin_10[[annee]:[annee]]=annee_CRAC)*(pat_fin_10[pr_bt_sout_urb]))</f>
        <v>3.565785</v>
      </c>
      <c r="D178" s="83" cm="1">
        <f t="array" ref="D178">-SUMPRODUCT((pat_fin_10[[client]:[client]]=syndicat_etude)*(pat_fin_10[[annee]:[annee]]=annee_CRAC)*(pat_fin_10[pr_bt_sout_rur]))</f>
        <v>0</v>
      </c>
    </row>
    <row r="179" spans="1:4" ht="15" customHeight="1" x14ac:dyDescent="0.25">
      <c r="B179" s="50" t="s">
        <v>87</v>
      </c>
      <c r="C179" s="7" cm="1">
        <f t="array" ref="C179">-SUMPRODUCT((pat_fin_10[[client]:[client]]=syndicat_etude)*(pat_fin_10[[annee]:[annee]]=annee_CRAC)*(pat_fin_10[pr_poste_htabt_urb]))</f>
        <v>4.288392</v>
      </c>
      <c r="D179" s="83" cm="1">
        <f t="array" ref="D179">-SUMPRODUCT((pat_fin_10[[client]:[client]]=syndicat_etude)*(pat_fin_10[[annee]:[annee]]=annee_CRAC)*(pat_fin_10[pr_poste_htabt_rur]))</f>
        <v>3.0661000000000001E-2</v>
      </c>
    </row>
    <row r="180" spans="1:4" ht="15" customHeight="1" x14ac:dyDescent="0.25">
      <c r="B180" s="50" t="s">
        <v>599</v>
      </c>
      <c r="C180" s="7" cm="1">
        <f t="array" ref="C180">-SUMPRODUCT((pat_fin_10[[client]:[client]]=syndicat_etude)*(pat_fin_10[[annee]:[annee]]=annee_CRAC)*(pat_fin_10[pr_transfo_urb]))</f>
        <v>0.20935200000000001</v>
      </c>
      <c r="D180" s="83" cm="1">
        <f t="array" ref="D180">-SUMPRODUCT((pat_fin_10[[client]:[client]]=syndicat_etude)*(pat_fin_10[[annee]:[annee]]=annee_CRAC)*(pat_fin_10[pr_transfo_rur]))</f>
        <v>5.3053000000000003E-2</v>
      </c>
    </row>
    <row r="181" spans="1:4" ht="15" customHeight="1" x14ac:dyDescent="0.25">
      <c r="B181" s="50" t="s">
        <v>934</v>
      </c>
      <c r="C181" s="7" cm="1">
        <f t="array" ref="C181">-SUMPRODUCT((pat_fin_10[[client]:[client]]=syndicat_etude)*(pat_fin_10[[annee]:[annee]]=annee_CRAC)*(pat_fin_10[pr_comptage_urb]))</f>
        <v>0</v>
      </c>
      <c r="D181" s="83" cm="1">
        <f t="array" ref="D181">-SUMPRODUCT((pat_fin_10[[client]:[client]]=syndicat_etude)*(pat_fin_10[[annee]:[annee]]=annee_CRAC)*(pat_fin_10[pr_comptage_rur]))</f>
        <v>0</v>
      </c>
    </row>
    <row r="182" spans="1:4" ht="15" customHeight="1" x14ac:dyDescent="0.25">
      <c r="B182" s="50" t="s">
        <v>935</v>
      </c>
      <c r="C182" s="7" cm="1">
        <f t="array" ref="C182">-SUMPRODUCT((pat_fin_10[[client]:[client]]=syndicat_etude)*(pat_fin_10[[annee]:[annee]]=annee_CRAC)*(pat_fin_10[pr_bri_urb]))</f>
        <v>2.9393340000000001</v>
      </c>
      <c r="D182" s="83" cm="1">
        <f t="array" ref="D182">-SUMPRODUCT((pat_fin_10[[client]:[client]]=syndicat_etude)*(pat_fin_10[[annee]:[annee]]=annee_CRAC)*(pat_fin_10[pr_bri_rur]))</f>
        <v>4.4625450000000004</v>
      </c>
    </row>
    <row r="183" spans="1:4" ht="15" customHeight="1" x14ac:dyDescent="0.25">
      <c r="B183" s="50" t="s">
        <v>600</v>
      </c>
      <c r="C183" s="7" cm="1">
        <f t="array" ref="C183">-SUMPRODUCT((pat_fin_10[[client]:[client]]=syndicat_etude)*(pat_fin_10[[annee]:[annee]]=annee_CRAC)*(pat_fin_10[pr_brc_urb]))</f>
        <v>0</v>
      </c>
      <c r="D183" s="83" cm="1">
        <f t="array" ref="D183">-SUMPRODUCT((pat_fin_10[[client]:[client]]=syndicat_etude)*(pat_fin_10[[annee]:[annee]]=annee_CRAC)*(pat_fin_10[pr_brc_rur]))</f>
        <v>0</v>
      </c>
    </row>
    <row r="184" spans="1:4" ht="15" customHeight="1" x14ac:dyDescent="0.25">
      <c r="B184" s="131" t="s">
        <v>521</v>
      </c>
      <c r="C184" s="132">
        <f>SUM(C$174:C$183)</f>
        <v>22.574528000000001</v>
      </c>
      <c r="D184" s="366">
        <f>SUM(D$174:D$183)</f>
        <v>18.359376000000001</v>
      </c>
    </row>
    <row r="186" spans="1:4" ht="30" customHeight="1" x14ac:dyDescent="0.25">
      <c r="A186" s="25" t="s">
        <v>965</v>
      </c>
      <c r="B186" s="66" t="s">
        <v>966</v>
      </c>
      <c r="C186" s="74" t="s">
        <v>958</v>
      </c>
      <c r="D186" s="75" t="s">
        <v>959</v>
      </c>
    </row>
    <row r="187" spans="1:4" ht="15" customHeight="1" x14ac:dyDescent="0.25">
      <c r="B187" s="61" t="s">
        <v>960</v>
      </c>
      <c r="C187" s="7" cm="1">
        <f t="array" ref="C187">-SUMPRODUCT((pat_fin_13[[client]:[client]]=syndicat_etude)*(pat_fin_13[[annee]:[annee]]=annee_CRAC)*(pat_fin_13[de_hta_aerien_urb]))</f>
        <v>0.704129</v>
      </c>
      <c r="D187" s="83" cm="1">
        <f t="array" ref="D187">-SUMPRODUCT((pat_fin_13[[client]:[client]]=syndicat_etude)*(pat_fin_13[[annee]:[annee]]=annee_CRAC)*(pat_fin_13[de_hta_aerien_rur]))</f>
        <v>7.8443100000000001</v>
      </c>
    </row>
    <row r="188" spans="1:4" ht="15" customHeight="1" x14ac:dyDescent="0.25">
      <c r="B188" s="50" t="s">
        <v>961</v>
      </c>
      <c r="C188" s="7" cm="1">
        <f t="array" ref="C188">-SUMPRODUCT((pat_fin_13[[client]:[client]]=syndicat_etude)*(pat_fin_13[[annee]:[annee]]=annee_CRAC)*(pat_fin_13[de_hta_sout_urb]))</f>
        <v>6.2214499999999999</v>
      </c>
      <c r="D188" s="83" cm="1">
        <f t="array" ref="D188">-SUMPRODUCT((pat_fin_13[[client]:[client]]=syndicat_etude)*(pat_fin_13[[annee]:[annee]]=annee_CRAC)*(pat_fin_13[de_hta_sout_rur]))</f>
        <v>14.010115000000001</v>
      </c>
    </row>
    <row r="189" spans="1:4" ht="15" customHeight="1" x14ac:dyDescent="0.25">
      <c r="B189" s="50" t="s">
        <v>962</v>
      </c>
      <c r="C189" s="7" cm="1">
        <f t="array" ref="C189">-SUMPRODUCT((pat_fin_13[[client]:[client]]=syndicat_etude)*(pat_fin_13[[annee]:[annee]]=annee_CRAC)*(pat_fin_13[de_bt_aerien_nu_urb]))</f>
        <v>0.34692699999999999</v>
      </c>
      <c r="D189" s="83" cm="1">
        <f t="array" ref="D189">-SUMPRODUCT((pat_fin_13[[client]:[client]]=syndicat_etude)*(pat_fin_13[[annee]:[annee]]=annee_CRAC)*(pat_fin_13[de_bt_aerien_nu_rur]))</f>
        <v>0</v>
      </c>
    </row>
    <row r="190" spans="1:4" ht="15" customHeight="1" x14ac:dyDescent="0.25">
      <c r="B190" s="50" t="s">
        <v>963</v>
      </c>
      <c r="C190" s="7" cm="1">
        <f t="array" ref="C190">-SUMPRODUCT((pat_fin_13[[client]:[client]]=syndicat_etude)*(pat_fin_13[[annee]:[annee]]=annee_CRAC)*(pat_fin_13[de_bt_aerien_torsade_urb]))</f>
        <v>1.5120009999999999</v>
      </c>
      <c r="D190" s="83" cm="1">
        <f t="array" ref="D190">-SUMPRODUCT((pat_fin_13[[client]:[client]]=syndicat_etude)*(pat_fin_13[[annee]:[annee]]=annee_CRAC)*(pat_fin_13[de_bt_aerien_torsade_rur]))</f>
        <v>0</v>
      </c>
    </row>
    <row r="191" spans="1:4" ht="15" customHeight="1" x14ac:dyDescent="0.25">
      <c r="B191" s="50" t="s">
        <v>964</v>
      </c>
      <c r="C191" s="7" cm="1">
        <f t="array" ref="C191">-SUMPRODUCT((pat_fin_13[[client]:[client]]=syndicat_etude)*(pat_fin_13[[annee]:[annee]]=annee_CRAC)*(pat_fin_13[de_bt_sout_urb]))</f>
        <v>13.448658</v>
      </c>
      <c r="D191" s="83" cm="1">
        <f t="array" ref="D191">-SUMPRODUCT((pat_fin_13[[client]:[client]]=syndicat_etude)*(pat_fin_13[[annee]:[annee]]=annee_CRAC)*(pat_fin_13[de_bt_sout_rur]))</f>
        <v>0</v>
      </c>
    </row>
    <row r="192" spans="1:4" ht="15" customHeight="1" x14ac:dyDescent="0.25">
      <c r="B192" s="50" t="s">
        <v>87</v>
      </c>
      <c r="C192" s="7" cm="1">
        <f t="array" ref="C192">-SUMPRODUCT((pat_fin_13[[client]:[client]]=syndicat_etude)*(pat_fin_13[[annee]:[annee]]=annee_CRAC)*(pat_fin_13[de_poste_htabt_urb]))</f>
        <v>5.4746889999999997</v>
      </c>
      <c r="D192" s="83" cm="1">
        <f t="array" ref="D192">-SUMPRODUCT((pat_fin_13[[client]:[client]]=syndicat_etude)*(pat_fin_13[[annee]:[annee]]=annee_CRAC)*(pat_fin_13[de_poste_htabt_rur]))</f>
        <v>0.482765</v>
      </c>
    </row>
    <row r="193" spans="1:11" ht="15" customHeight="1" x14ac:dyDescent="0.25">
      <c r="B193" s="50" t="s">
        <v>599</v>
      </c>
      <c r="C193" s="7" cm="1">
        <f t="array" ref="C193">-SUMPRODUCT((pat_fin_13[[client]:[client]]=syndicat_etude)*(pat_fin_13[[annee]:[annee]]=annee_CRAC)*(pat_fin_13[de_transfo_urb]))</f>
        <v>1.815893</v>
      </c>
      <c r="D193" s="83" cm="1">
        <f t="array" ref="D193">-SUMPRODUCT((pat_fin_13[[client]:[client]]=syndicat_etude)*(pat_fin_13[[annee]:[annee]]=annee_CRAC)*(pat_fin_13[de_transfo_rur]))</f>
        <v>2.9407169999999998</v>
      </c>
    </row>
    <row r="194" spans="1:11" ht="15" customHeight="1" x14ac:dyDescent="0.25">
      <c r="B194" s="50" t="s">
        <v>934</v>
      </c>
      <c r="C194" s="7" cm="1">
        <f t="array" ref="C194">-SUMPRODUCT((pat_fin_13[[client]:[client]]=syndicat_etude)*(pat_fin_13[[annee]:[annee]]=annee_CRAC)*(pat_fin_13[de_comptage_urb]))</f>
        <v>0.89104300000000003</v>
      </c>
      <c r="D194" s="83" cm="1">
        <f t="array" ref="D194">-SUMPRODUCT((pat_fin_13[[client]:[client]]=syndicat_etude)*(pat_fin_13[[annee]:[annee]]=annee_CRAC)*(pat_fin_13[de_comptage_rur]))</f>
        <v>0.61061200000000004</v>
      </c>
    </row>
    <row r="195" spans="1:11" ht="15" customHeight="1" x14ac:dyDescent="0.25">
      <c r="B195" s="50" t="s">
        <v>935</v>
      </c>
      <c r="C195" s="7" cm="1">
        <f t="array" ref="C195">-SUMPRODUCT((pat_fin_13[[client]:[client]]=syndicat_etude)*(pat_fin_13[[annee]:[annee]]=annee_CRAC)*(pat_fin_13[de_bri_urb]))</f>
        <v>12.422319</v>
      </c>
      <c r="D195" s="83" cm="1">
        <f t="array" ref="D195">-SUMPRODUCT((pat_fin_13[[client]:[client]]=syndicat_etude)*(pat_fin_13[[annee]:[annee]]=annee_CRAC)*(pat_fin_13[de_bri_rur]))</f>
        <v>16.07039</v>
      </c>
    </row>
    <row r="196" spans="1:11" ht="15" customHeight="1" x14ac:dyDescent="0.25">
      <c r="B196" s="50" t="s">
        <v>600</v>
      </c>
      <c r="C196" s="7" cm="1">
        <f t="array" ref="C196">-SUMPRODUCT((pat_fin_13[[client]:[client]]=syndicat_etude)*(pat_fin_13[[annee]:[annee]]=annee_CRAC)*(pat_fin_13[de_brc_urb]))</f>
        <v>2.2887620000000002</v>
      </c>
      <c r="D196" s="83" cm="1">
        <f t="array" ref="D196">-SUMPRODUCT((pat_fin_13[[client]:[client]]=syndicat_etude)*(pat_fin_13[[annee]:[annee]]=annee_CRAC)*(pat_fin_13[de_brc_rur]))</f>
        <v>0.30222599999999999</v>
      </c>
    </row>
    <row r="197" spans="1:11" ht="15" customHeight="1" x14ac:dyDescent="0.25">
      <c r="B197" s="131" t="s">
        <v>521</v>
      </c>
      <c r="C197" s="132">
        <f>SUM(C$187:C$196)</f>
        <v>45.125870999999997</v>
      </c>
      <c r="D197" s="366">
        <f>SUM(D$187:D$196)</f>
        <v>42.261134999999996</v>
      </c>
    </row>
    <row r="199" spans="1:11" ht="30" customHeight="1" x14ac:dyDescent="0.25">
      <c r="B199" s="339" t="s">
        <v>967</v>
      </c>
      <c r="C199" s="67">
        <v>2016</v>
      </c>
      <c r="D199" s="67">
        <f>C199+1</f>
        <v>2017</v>
      </c>
      <c r="E199" s="67">
        <f t="shared" ref="E199:J199" si="12">D199+1</f>
        <v>2018</v>
      </c>
      <c r="F199" s="67">
        <f t="shared" si="12"/>
        <v>2019</v>
      </c>
      <c r="G199" s="67">
        <f t="shared" si="12"/>
        <v>2020</v>
      </c>
      <c r="H199" s="67">
        <f t="shared" si="12"/>
        <v>2021</v>
      </c>
      <c r="I199" s="67">
        <f t="shared" si="12"/>
        <v>2022</v>
      </c>
      <c r="J199" s="67">
        <f t="shared" si="12"/>
        <v>2023</v>
      </c>
      <c r="K199" s="68" t="s">
        <v>273</v>
      </c>
    </row>
    <row r="200" spans="1:11" ht="15" customHeight="1" x14ac:dyDescent="0.25">
      <c r="A200" s="231"/>
      <c r="B200" s="344" t="s">
        <v>968</v>
      </c>
      <c r="C200" s="345"/>
      <c r="D200" s="345"/>
      <c r="E200" s="345"/>
      <c r="F200" s="345"/>
      <c r="G200" s="345"/>
      <c r="H200" s="345"/>
      <c r="I200" s="345"/>
      <c r="J200" s="345"/>
      <c r="K200" s="346"/>
    </row>
    <row r="201" spans="1:11" ht="15" customHeight="1" x14ac:dyDescent="0.25">
      <c r="A201" s="231"/>
      <c r="B201" s="343" t="s">
        <v>969</v>
      </c>
      <c r="C201" s="330">
        <v>78379</v>
      </c>
      <c r="D201" s="330">
        <v>81062</v>
      </c>
      <c r="E201" s="330">
        <v>84121</v>
      </c>
      <c r="F201" s="330">
        <v>87523</v>
      </c>
      <c r="G201" s="330">
        <v>91201</v>
      </c>
      <c r="H201" s="330">
        <v>94616</v>
      </c>
      <c r="I201" s="330">
        <v>98055</v>
      </c>
      <c r="J201" s="330">
        <v>101643</v>
      </c>
      <c r="K201" s="120">
        <f>IFERROR(J201/I201-1,"-")</f>
        <v>3.6591708734893702E-2</v>
      </c>
    </row>
    <row r="202" spans="1:11" ht="15" customHeight="1" x14ac:dyDescent="0.25">
      <c r="A202" s="231"/>
      <c r="B202" s="287" t="s">
        <v>970</v>
      </c>
      <c r="C202" s="31">
        <v>34069</v>
      </c>
      <c r="D202" s="31">
        <v>35472</v>
      </c>
      <c r="E202" s="31">
        <v>37098</v>
      </c>
      <c r="F202" s="31">
        <v>38891</v>
      </c>
      <c r="G202" s="31">
        <v>40866</v>
      </c>
      <c r="H202" s="31">
        <v>42900</v>
      </c>
      <c r="I202" s="31">
        <v>45067</v>
      </c>
      <c r="J202" s="31">
        <v>47270</v>
      </c>
      <c r="K202" s="120">
        <f>IFERROR(J202/I202-1,"-")</f>
        <v>4.8882774535691231E-2</v>
      </c>
    </row>
    <row r="203" spans="1:11" ht="15" customHeight="1" x14ac:dyDescent="0.25">
      <c r="A203" s="231"/>
      <c r="B203" s="287" t="s">
        <v>971</v>
      </c>
      <c r="C203" s="31">
        <f t="shared" ref="C203:J203" si="13">C$201-C$202</f>
        <v>44310</v>
      </c>
      <c r="D203" s="31">
        <f t="shared" si="13"/>
        <v>45590</v>
      </c>
      <c r="E203" s="31">
        <f t="shared" si="13"/>
        <v>47023</v>
      </c>
      <c r="F203" s="31">
        <f t="shared" si="13"/>
        <v>48632</v>
      </c>
      <c r="G203" s="31">
        <f t="shared" si="13"/>
        <v>50335</v>
      </c>
      <c r="H203" s="31">
        <f t="shared" si="13"/>
        <v>51716</v>
      </c>
      <c r="I203" s="31">
        <f t="shared" si="13"/>
        <v>52988</v>
      </c>
      <c r="J203" s="31">
        <f t="shared" si="13"/>
        <v>54373</v>
      </c>
      <c r="K203" s="120">
        <f>IFERROR(J203/I203-1,"-")</f>
        <v>2.6137993507963975E-2</v>
      </c>
    </row>
    <row r="204" spans="1:11" ht="15" customHeight="1" x14ac:dyDescent="0.25">
      <c r="A204" s="231"/>
      <c r="B204" s="304" t="s">
        <v>972</v>
      </c>
      <c r="C204" s="272">
        <f t="shared" ref="C204:J204" si="14">IFERROR(C$202/C$201,"-")</f>
        <v>0.43467000089309638</v>
      </c>
      <c r="D204" s="272">
        <f t="shared" si="14"/>
        <v>0.43759097974389971</v>
      </c>
      <c r="E204" s="272">
        <f t="shared" si="14"/>
        <v>0.44100759620071089</v>
      </c>
      <c r="F204" s="272">
        <f t="shared" si="14"/>
        <v>0.44435177039178275</v>
      </c>
      <c r="G204" s="272">
        <f t="shared" si="14"/>
        <v>0.44808719202640324</v>
      </c>
      <c r="H204" s="272">
        <f t="shared" si="14"/>
        <v>0.45341168512725122</v>
      </c>
      <c r="I204" s="272">
        <f t="shared" si="14"/>
        <v>0.45960940288613533</v>
      </c>
      <c r="J204" s="272">
        <f t="shared" si="14"/>
        <v>0.46505907932666291</v>
      </c>
      <c r="K204" s="133">
        <f>IFERROR(J204/I204-1,"-")</f>
        <v>1.1857190924089211E-2</v>
      </c>
    </row>
    <row r="205" spans="1:11" ht="15" customHeight="1" x14ac:dyDescent="0.25">
      <c r="A205" s="231"/>
      <c r="B205" s="344" t="s">
        <v>973</v>
      </c>
      <c r="C205" s="345"/>
      <c r="D205" s="345"/>
      <c r="E205" s="345"/>
      <c r="F205" s="345"/>
      <c r="G205" s="345"/>
      <c r="H205" s="345"/>
      <c r="I205" s="345"/>
      <c r="J205" s="345"/>
      <c r="K205" s="346"/>
    </row>
    <row r="206" spans="1:11" ht="15" customHeight="1" x14ac:dyDescent="0.25">
      <c r="A206" s="231"/>
      <c r="B206" s="343" t="s">
        <v>969</v>
      </c>
      <c r="C206" s="330">
        <v>1557</v>
      </c>
      <c r="D206" s="330">
        <v>1710</v>
      </c>
      <c r="E206" s="330">
        <v>2018</v>
      </c>
      <c r="F206" s="330">
        <v>2377</v>
      </c>
      <c r="G206" s="330">
        <v>2565</v>
      </c>
      <c r="H206" s="330">
        <v>3072</v>
      </c>
      <c r="I206" s="330">
        <v>3474</v>
      </c>
      <c r="J206" s="330">
        <v>3768</v>
      </c>
      <c r="K206" s="120">
        <f>IFERROR(J206/I206-1,"-")</f>
        <v>8.4628670120898031E-2</v>
      </c>
    </row>
    <row r="207" spans="1:11" ht="15" customHeight="1" x14ac:dyDescent="0.25">
      <c r="A207" s="231"/>
      <c r="B207" s="287" t="s">
        <v>970</v>
      </c>
      <c r="C207" s="31">
        <v>632</v>
      </c>
      <c r="D207" s="31">
        <v>726</v>
      </c>
      <c r="E207" s="31">
        <v>888</v>
      </c>
      <c r="F207" s="31">
        <v>1182</v>
      </c>
      <c r="G207" s="31">
        <v>1310</v>
      </c>
      <c r="H207" s="31">
        <v>1617</v>
      </c>
      <c r="I207" s="31">
        <v>1936</v>
      </c>
      <c r="J207" s="31">
        <v>2133</v>
      </c>
      <c r="K207" s="120">
        <f>IFERROR(J207/I207-1,"-")</f>
        <v>0.10175619834710736</v>
      </c>
    </row>
    <row r="208" spans="1:11" ht="15" customHeight="1" x14ac:dyDescent="0.25">
      <c r="A208" s="231"/>
      <c r="B208" s="287" t="s">
        <v>971</v>
      </c>
      <c r="C208" s="31">
        <f t="shared" ref="C208:J208" si="15">C$206-C$207</f>
        <v>925</v>
      </c>
      <c r="D208" s="31">
        <f t="shared" si="15"/>
        <v>984</v>
      </c>
      <c r="E208" s="31">
        <f t="shared" si="15"/>
        <v>1130</v>
      </c>
      <c r="F208" s="31">
        <f t="shared" si="15"/>
        <v>1195</v>
      </c>
      <c r="G208" s="31">
        <f t="shared" si="15"/>
        <v>1255</v>
      </c>
      <c r="H208" s="31">
        <f t="shared" si="15"/>
        <v>1455</v>
      </c>
      <c r="I208" s="31">
        <f t="shared" si="15"/>
        <v>1538</v>
      </c>
      <c r="J208" s="31">
        <f t="shared" si="15"/>
        <v>1635</v>
      </c>
      <c r="K208" s="120">
        <f>IFERROR(J208/I208-1,"-")</f>
        <v>6.3068920676202955E-2</v>
      </c>
    </row>
    <row r="209" spans="1:11" ht="15" customHeight="1" x14ac:dyDescent="0.25">
      <c r="A209" s="231"/>
      <c r="B209" s="304" t="s">
        <v>972</v>
      </c>
      <c r="C209" s="272">
        <f t="shared" ref="C209:J209" si="16">IFERROR(C$207/C$206,"-")</f>
        <v>0.4059087989723828</v>
      </c>
      <c r="D209" s="272">
        <f t="shared" si="16"/>
        <v>0.42456140350877192</v>
      </c>
      <c r="E209" s="272">
        <f t="shared" si="16"/>
        <v>0.44003964321110012</v>
      </c>
      <c r="F209" s="272">
        <f t="shared" si="16"/>
        <v>0.4972654606647034</v>
      </c>
      <c r="G209" s="272">
        <f t="shared" si="16"/>
        <v>0.5107212475633528</v>
      </c>
      <c r="H209" s="272">
        <f t="shared" si="16"/>
        <v>0.5263671875</v>
      </c>
      <c r="I209" s="272">
        <f t="shared" si="16"/>
        <v>0.55728267127230857</v>
      </c>
      <c r="J209" s="272">
        <f t="shared" si="16"/>
        <v>0.56608280254777066</v>
      </c>
      <c r="K209" s="133">
        <f>IFERROR(J209/I209-1,"-")</f>
        <v>1.5791144654418998E-2</v>
      </c>
    </row>
    <row r="210" spans="1:11" ht="15" customHeight="1" x14ac:dyDescent="0.25">
      <c r="A210" s="231"/>
      <c r="B210" s="344" t="s">
        <v>974</v>
      </c>
      <c r="C210" s="345"/>
      <c r="D210" s="345"/>
      <c r="E210" s="345"/>
      <c r="F210" s="345"/>
      <c r="G210" s="345"/>
      <c r="H210" s="345"/>
      <c r="I210" s="345"/>
      <c r="J210" s="345"/>
      <c r="K210" s="346"/>
    </row>
    <row r="211" spans="1:11" ht="15" customHeight="1" x14ac:dyDescent="0.25">
      <c r="A211" s="231"/>
      <c r="B211" s="343" t="s">
        <v>969</v>
      </c>
      <c r="C211" s="330">
        <v>9695</v>
      </c>
      <c r="D211" s="330">
        <v>10214</v>
      </c>
      <c r="E211" s="330">
        <v>10676</v>
      </c>
      <c r="F211" s="330">
        <v>11125</v>
      </c>
      <c r="G211" s="330">
        <v>11506</v>
      </c>
      <c r="H211" s="330">
        <v>12039</v>
      </c>
      <c r="I211" s="330">
        <v>12225</v>
      </c>
      <c r="J211" s="330">
        <v>12633</v>
      </c>
      <c r="K211" s="120">
        <f>IFERROR(J211/I211-1,"-")</f>
        <v>3.3374233128834252E-2</v>
      </c>
    </row>
    <row r="212" spans="1:11" ht="15" customHeight="1" x14ac:dyDescent="0.25">
      <c r="A212" s="231"/>
      <c r="B212" s="287" t="s">
        <v>970</v>
      </c>
      <c r="C212" s="31">
        <v>5533</v>
      </c>
      <c r="D212" s="31">
        <v>5817</v>
      </c>
      <c r="E212" s="31">
        <v>6134</v>
      </c>
      <c r="F212" s="31">
        <v>6452</v>
      </c>
      <c r="G212" s="31">
        <v>6686</v>
      </c>
      <c r="H212" s="31">
        <v>6974</v>
      </c>
      <c r="I212" s="31">
        <v>7037</v>
      </c>
      <c r="J212" s="31">
        <v>7289</v>
      </c>
      <c r="K212" s="120">
        <f>IFERROR(J212/I212-1,"-")</f>
        <v>3.5810714793235832E-2</v>
      </c>
    </row>
    <row r="213" spans="1:11" ht="15" customHeight="1" x14ac:dyDescent="0.25">
      <c r="A213" s="231"/>
      <c r="B213" s="287" t="s">
        <v>971</v>
      </c>
      <c r="C213" s="31">
        <f t="shared" ref="C213:J213" si="17">C$211-C$212</f>
        <v>4162</v>
      </c>
      <c r="D213" s="31">
        <f t="shared" si="17"/>
        <v>4397</v>
      </c>
      <c r="E213" s="31">
        <f t="shared" si="17"/>
        <v>4542</v>
      </c>
      <c r="F213" s="31">
        <f t="shared" si="17"/>
        <v>4673</v>
      </c>
      <c r="G213" s="31">
        <f t="shared" si="17"/>
        <v>4820</v>
      </c>
      <c r="H213" s="31">
        <f t="shared" si="17"/>
        <v>5065</v>
      </c>
      <c r="I213" s="31">
        <f t="shared" si="17"/>
        <v>5188</v>
      </c>
      <c r="J213" s="31">
        <f t="shared" si="17"/>
        <v>5344</v>
      </c>
      <c r="K213" s="120">
        <f>IFERROR(J213/I213-1,"-")</f>
        <v>3.0069390902081716E-2</v>
      </c>
    </row>
    <row r="214" spans="1:11" ht="15" customHeight="1" x14ac:dyDescent="0.25">
      <c r="A214" s="231"/>
      <c r="B214" s="304" t="s">
        <v>972</v>
      </c>
      <c r="C214" s="272">
        <f t="shared" ref="C214:J214" si="18">IFERROR(C$212/C$211,"-")</f>
        <v>0.57070654976792157</v>
      </c>
      <c r="D214" s="272">
        <f t="shared" si="18"/>
        <v>0.56951243391423534</v>
      </c>
      <c r="E214" s="272">
        <f t="shared" si="18"/>
        <v>0.57455976020981636</v>
      </c>
      <c r="F214" s="272">
        <f t="shared" si="18"/>
        <v>0.57995505617977527</v>
      </c>
      <c r="G214" s="272">
        <f t="shared" si="18"/>
        <v>0.58108812793325226</v>
      </c>
      <c r="H214" s="272">
        <f t="shared" si="18"/>
        <v>0.57928399368718331</v>
      </c>
      <c r="I214" s="272">
        <f t="shared" si="18"/>
        <v>0.57562372188139055</v>
      </c>
      <c r="J214" s="272">
        <f t="shared" si="18"/>
        <v>0.5769809229794981</v>
      </c>
      <c r="K214" s="133">
        <f>IFERROR(J214/I214-1,"-")</f>
        <v>2.3577921592106144E-3</v>
      </c>
    </row>
    <row r="215" spans="1:11" ht="15" customHeight="1" x14ac:dyDescent="0.25">
      <c r="A215" s="231"/>
      <c r="B215" s="357" t="s">
        <v>975</v>
      </c>
      <c r="C215" s="358"/>
      <c r="D215" s="358"/>
      <c r="E215" s="358"/>
      <c r="F215" s="358"/>
      <c r="G215" s="358"/>
      <c r="H215" s="358"/>
      <c r="I215" s="358"/>
      <c r="J215" s="358"/>
      <c r="K215" s="359"/>
    </row>
    <row r="216" spans="1:11" ht="15" customHeight="1" x14ac:dyDescent="0.25">
      <c r="A216" s="231"/>
      <c r="B216" s="355" t="s">
        <v>976</v>
      </c>
      <c r="C216" s="330"/>
      <c r="D216" s="330"/>
      <c r="E216" s="330"/>
      <c r="F216" s="330"/>
      <c r="G216" s="330"/>
      <c r="H216" s="330"/>
      <c r="I216" s="330"/>
      <c r="J216" s="330"/>
      <c r="K216" s="120"/>
    </row>
    <row r="217" spans="1:11" ht="15" customHeight="1" x14ac:dyDescent="0.25">
      <c r="A217" s="231"/>
      <c r="B217" s="356" t="s">
        <v>977</v>
      </c>
      <c r="C217" s="31">
        <v>9139</v>
      </c>
      <c r="D217" s="31">
        <v>8929</v>
      </c>
      <c r="E217" s="31">
        <v>8867</v>
      </c>
      <c r="F217" s="31">
        <v>8771</v>
      </c>
      <c r="G217" s="31">
        <v>8640</v>
      </c>
      <c r="H217" s="31">
        <v>8525</v>
      </c>
      <c r="I217" s="31">
        <v>8408</v>
      </c>
      <c r="J217" s="31">
        <v>8259</v>
      </c>
      <c r="K217" s="120">
        <f>IFERROR(J217/I217-1,"-")</f>
        <v>-1.772121788772596E-2</v>
      </c>
    </row>
    <row r="218" spans="1:11" ht="15" customHeight="1" x14ac:dyDescent="0.25">
      <c r="A218" s="231"/>
      <c r="B218" s="361" t="s">
        <v>117</v>
      </c>
      <c r="C218" s="17" t="str">
        <f t="shared" ref="C218:I218" si="19">IFERROR(C217/B217-1,"-")</f>
        <v>-</v>
      </c>
      <c r="D218" s="17">
        <f t="shared" si="19"/>
        <v>-2.2978444031075629E-2</v>
      </c>
      <c r="E218" s="17">
        <f t="shared" si="19"/>
        <v>-6.9436667039981526E-3</v>
      </c>
      <c r="F218" s="17">
        <f t="shared" si="19"/>
        <v>-1.0826660651855224E-2</v>
      </c>
      <c r="G218" s="17">
        <f t="shared" si="19"/>
        <v>-1.4935583171816202E-2</v>
      </c>
      <c r="H218" s="17">
        <f t="shared" si="19"/>
        <v>-1.331018518518523E-2</v>
      </c>
      <c r="I218" s="17">
        <f t="shared" si="19"/>
        <v>-1.3724340175953031E-2</v>
      </c>
      <c r="J218" s="17">
        <f>IFERROR(J217/I217-1,"-")</f>
        <v>-1.772121788772596E-2</v>
      </c>
      <c r="K218" s="120"/>
    </row>
    <row r="219" spans="1:11" ht="15" customHeight="1" x14ac:dyDescent="0.25">
      <c r="A219" s="231"/>
      <c r="B219" s="355" t="s">
        <v>978</v>
      </c>
      <c r="C219" s="330"/>
      <c r="D219" s="330"/>
      <c r="E219" s="330"/>
      <c r="F219" s="330"/>
      <c r="G219" s="330"/>
      <c r="H219" s="330"/>
      <c r="I219" s="330"/>
      <c r="J219" s="330"/>
      <c r="K219" s="120"/>
    </row>
    <row r="220" spans="1:11" ht="15" customHeight="1" x14ac:dyDescent="0.25">
      <c r="A220" s="231"/>
      <c r="B220" s="356" t="s">
        <v>979</v>
      </c>
      <c r="C220" s="31">
        <v>44346</v>
      </c>
      <c r="D220" s="31">
        <v>45624</v>
      </c>
      <c r="E220" s="31">
        <v>47060</v>
      </c>
      <c r="F220" s="31">
        <v>48667</v>
      </c>
      <c r="G220" s="31">
        <v>50375</v>
      </c>
      <c r="H220" s="31">
        <v>51757</v>
      </c>
      <c r="I220" s="31">
        <v>53023</v>
      </c>
      <c r="J220" s="31">
        <v>54408</v>
      </c>
      <c r="K220" s="120">
        <f>IFERROR(J220/I220-1,"-")</f>
        <v>2.6120740056202019E-2</v>
      </c>
    </row>
    <row r="221" spans="1:11" ht="15" customHeight="1" x14ac:dyDescent="0.25">
      <c r="A221" s="231"/>
      <c r="B221" s="361" t="s">
        <v>117</v>
      </c>
      <c r="C221" s="17" t="str">
        <f t="shared" ref="C221:J221" si="20">IFERROR(C220/B220-1,"-")</f>
        <v>-</v>
      </c>
      <c r="D221" s="17">
        <f t="shared" si="20"/>
        <v>2.8818833716682368E-2</v>
      </c>
      <c r="E221" s="17">
        <f t="shared" si="20"/>
        <v>3.1474662458355285E-2</v>
      </c>
      <c r="F221" s="17">
        <f t="shared" si="20"/>
        <v>3.4147896302592518E-2</v>
      </c>
      <c r="G221" s="17">
        <f t="shared" si="20"/>
        <v>3.5095650029794312E-2</v>
      </c>
      <c r="H221" s="17">
        <f t="shared" si="20"/>
        <v>2.7434243176178708E-2</v>
      </c>
      <c r="I221" s="17">
        <f t="shared" si="20"/>
        <v>2.446045945475972E-2</v>
      </c>
      <c r="J221" s="17">
        <f t="shared" si="20"/>
        <v>2.6120740056202019E-2</v>
      </c>
      <c r="K221" s="120"/>
    </row>
    <row r="222" spans="1:11" ht="15" customHeight="1" x14ac:dyDescent="0.25">
      <c r="A222" s="231"/>
      <c r="B222" s="356" t="s">
        <v>980</v>
      </c>
      <c r="C222" s="31">
        <v>21930</v>
      </c>
      <c r="D222" s="31">
        <v>22910</v>
      </c>
      <c r="E222" s="31">
        <v>24357</v>
      </c>
      <c r="F222" s="31">
        <v>25965</v>
      </c>
      <c r="G222" s="31">
        <v>27207</v>
      </c>
      <c r="H222" s="31">
        <v>28686</v>
      </c>
      <c r="I222" s="31">
        <v>30006</v>
      </c>
      <c r="J222" s="31">
        <v>31388</v>
      </c>
      <c r="K222" s="120">
        <f>IFERROR(J222/I222-1,"-")</f>
        <v>4.6057455175631645E-2</v>
      </c>
    </row>
    <row r="223" spans="1:11" ht="15" customHeight="1" x14ac:dyDescent="0.25">
      <c r="A223" s="231"/>
      <c r="B223" s="356" t="s">
        <v>981</v>
      </c>
      <c r="C223" s="31">
        <v>12133</v>
      </c>
      <c r="D223" s="31">
        <v>12650</v>
      </c>
      <c r="E223" s="31">
        <v>13272</v>
      </c>
      <c r="F223" s="31">
        <v>13850</v>
      </c>
      <c r="G223" s="31">
        <v>14445</v>
      </c>
      <c r="H223" s="31">
        <v>15051</v>
      </c>
      <c r="I223" s="31">
        <v>15739</v>
      </c>
      <c r="J223" s="31">
        <v>16394</v>
      </c>
      <c r="K223" s="120">
        <f>IFERROR(J223/I223-1,"-")</f>
        <v>4.1616366986466646E-2</v>
      </c>
    </row>
    <row r="224" spans="1:11" ht="15" customHeight="1" x14ac:dyDescent="0.25">
      <c r="A224" s="231"/>
      <c r="B224" s="362" t="s">
        <v>117</v>
      </c>
      <c r="C224" s="17" t="str">
        <f t="shared" ref="C224:J224" si="21">IFERROR(C223/B223-1,"-")</f>
        <v>-</v>
      </c>
      <c r="D224" s="17">
        <f t="shared" si="21"/>
        <v>4.261106074342691E-2</v>
      </c>
      <c r="E224" s="17">
        <f t="shared" si="21"/>
        <v>4.9169960474308327E-2</v>
      </c>
      <c r="F224" s="17">
        <f t="shared" si="21"/>
        <v>4.3550331525014974E-2</v>
      </c>
      <c r="G224" s="17">
        <f t="shared" si="21"/>
        <v>4.2960288808664204E-2</v>
      </c>
      <c r="H224" s="17">
        <f t="shared" si="21"/>
        <v>4.1952232606438322E-2</v>
      </c>
      <c r="I224" s="17">
        <f t="shared" si="21"/>
        <v>4.5711248422031669E-2</v>
      </c>
      <c r="J224" s="17">
        <f t="shared" si="21"/>
        <v>4.1616366986466646E-2</v>
      </c>
      <c r="K224" s="133"/>
    </row>
    <row r="225" spans="1:11" ht="15" customHeight="1" x14ac:dyDescent="0.25">
      <c r="A225" s="231"/>
      <c r="B225" s="371" t="s">
        <v>982</v>
      </c>
      <c r="C225" s="372">
        <f>C222-C217-C223</f>
        <v>658</v>
      </c>
      <c r="D225" s="372">
        <f t="shared" ref="D225:J225" si="22">D222-D217-D223</f>
        <v>1331</v>
      </c>
      <c r="E225" s="372">
        <f t="shared" si="22"/>
        <v>2218</v>
      </c>
      <c r="F225" s="372">
        <f t="shared" si="22"/>
        <v>3344</v>
      </c>
      <c r="G225" s="372">
        <f t="shared" si="22"/>
        <v>4122</v>
      </c>
      <c r="H225" s="372">
        <f t="shared" si="22"/>
        <v>5110</v>
      </c>
      <c r="I225" s="372">
        <f t="shared" si="22"/>
        <v>5859</v>
      </c>
      <c r="J225" s="372">
        <f t="shared" si="22"/>
        <v>6735</v>
      </c>
      <c r="K225" s="373"/>
    </row>
    <row r="226" spans="1:11" ht="15" customHeight="1" x14ac:dyDescent="0.25">
      <c r="A226" s="231"/>
      <c r="B226" s="374" t="s">
        <v>117</v>
      </c>
      <c r="C226" s="270" t="str">
        <f t="shared" ref="C226:I226" si="23">IFERROR(C225/B225-1,"-")</f>
        <v>-</v>
      </c>
      <c r="D226" s="270">
        <f t="shared" si="23"/>
        <v>1.0227963525835868</v>
      </c>
      <c r="E226" s="270">
        <f t="shared" si="23"/>
        <v>0.6664162283996995</v>
      </c>
      <c r="F226" s="270">
        <f t="shared" si="23"/>
        <v>0.50766456266907123</v>
      </c>
      <c r="G226" s="270">
        <f t="shared" si="23"/>
        <v>0.23265550239234445</v>
      </c>
      <c r="H226" s="270">
        <f t="shared" si="23"/>
        <v>0.23968947113051908</v>
      </c>
      <c r="I226" s="270">
        <f t="shared" si="23"/>
        <v>0.14657534246575343</v>
      </c>
      <c r="J226" s="270">
        <f>IFERROR(J225/I225-1,"-")</f>
        <v>0.1495135688684075</v>
      </c>
      <c r="K226" s="271"/>
    </row>
  </sheetData>
  <hyperlinks>
    <hyperlink ref="B28" location="BNL!A1" display="Ouvrages non localisés" xr:uid="{33946164-2F78-490C-A896-63448B46C8E6}"/>
  </hyperlinks>
  <pageMargins left="0.7" right="0.7" top="0.75" bottom="0.75" header="0.3" footer="0.3"/>
  <pageSetup paperSize="9" orientation="portrait" r:id="rId1"/>
  <ignoredErrors>
    <ignoredError sqref="C225:J225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91AE7-522C-43C6-8B0D-F33B295DBDCC}">
  <sheetPr codeName="Feuil8">
    <tabColor theme="9" tint="0.39997558519241921"/>
  </sheetPr>
  <dimension ref="A1:AA106"/>
  <sheetViews>
    <sheetView topLeftCell="K46" zoomScaleNormal="100" workbookViewId="0">
      <selection activeCell="O70" sqref="O70"/>
    </sheetView>
  </sheetViews>
  <sheetFormatPr defaultColWidth="11.7109375" defaultRowHeight="15" x14ac:dyDescent="0.25"/>
  <cols>
    <col min="1" max="1" width="15.7109375" style="290" customWidth="1"/>
    <col min="2" max="2" width="55.7109375" style="290" customWidth="1"/>
    <col min="3" max="16384" width="11.7109375" style="290"/>
  </cols>
  <sheetData>
    <row r="1" spans="1:8" ht="23.25" x14ac:dyDescent="0.25">
      <c r="A1" s="97" t="s">
        <v>983</v>
      </c>
    </row>
    <row r="4" spans="1:8" ht="30" customHeight="1" x14ac:dyDescent="0.25">
      <c r="A4" s="290" t="s">
        <v>984</v>
      </c>
      <c r="B4" s="66" t="s">
        <v>985</v>
      </c>
      <c r="C4" s="67" cm="1">
        <f t="array" ref="C4">Exercice[Exercice N-4]</f>
        <v>2019</v>
      </c>
      <c r="D4" s="67" cm="1">
        <f t="array" ref="D4">Exercice[Exercice N-3]</f>
        <v>2020</v>
      </c>
      <c r="E4" s="67" cm="1">
        <f t="array" ref="E4">Exercice[Exercice N-2]</f>
        <v>2021</v>
      </c>
      <c r="F4" s="67" cm="1">
        <f t="array" ref="F4">Exercice[Exercice N-1]</f>
        <v>2022</v>
      </c>
      <c r="G4" s="67" cm="1">
        <f t="array" ref="G4">Exercice[Exercice N]</f>
        <v>2023</v>
      </c>
      <c r="H4" s="68" t="s">
        <v>273</v>
      </c>
    </row>
    <row r="5" spans="1:8" x14ac:dyDescent="0.25">
      <c r="B5" s="341" t="s">
        <v>986</v>
      </c>
      <c r="C5" s="277" cm="1">
        <f t="array" ref="C5">SUMPRODUCT((cex_01[[client]:[client]]=syndicat_etude)*(cex_01[[annee]:[annee]]=Exercice[[Exercice N-4]:[Exercice N-4]])*(cex_01[[libelle_crac]:[libelle_crac]]=CEX!$B5)*(cex_01[[valeur]:[valeur]]))</f>
        <v>70310</v>
      </c>
      <c r="D5" s="277" cm="1">
        <f t="array" ref="D5">SUMPRODUCT((cex_01[[client]:[client]]=syndicat_etude)*(cex_01[[annee]:[annee]]=Exercice[[Exercice N-3]:[Exercice N-3]])*(cex_01[[libelle_crac]:[libelle_crac]]=CEX!$B5)*(cex_01[[valeur]:[valeur]]))</f>
        <v>71934</v>
      </c>
      <c r="E5" s="277" cm="1">
        <f t="array" ref="E5">SUMPRODUCT((cex_01[[client]:[client]]=syndicat_etude)*(cex_01[[annee]:[annee]]=Exercice[[Exercice N-2]:[Exercice N-2]])*(cex_01[[libelle_crac]:[libelle_crac]]=CEX!$B5)*(cex_01[[valeur]:[valeur]]))</f>
        <v>77635</v>
      </c>
      <c r="F5" s="277" cm="1">
        <f t="array" ref="F5">SUMPRODUCT((cex_01[[client]:[client]]=syndicat_etude)*(cex_01[[annee]:[annee]]=Exercice[[Exercice N-1]:[Exercice N-1]])*(cex_01[[libelle_crac]:[libelle_crac]]=CEX!$B5)*(cex_01[[valeur]:[valeur]]))</f>
        <v>76383</v>
      </c>
      <c r="G5" s="277" cm="1">
        <f t="array" ref="G5">SUMPRODUCT((cex_01[[client]:[client]]=syndicat_etude)*(cex_01[[annee]:[annee]]=Exercice[[Exercice N]:[Exercice N]])*(cex_01[[libelle_crac]:[libelle_crac]]=CEX!$B5)*(cex_01[[valeur]:[valeur]]))</f>
        <v>79411</v>
      </c>
      <c r="H5" s="342">
        <f>IFERROR(G5/F5-1,"-")</f>
        <v>3.964232879043772E-2</v>
      </c>
    </row>
    <row r="6" spans="1:8" x14ac:dyDescent="0.25">
      <c r="B6" s="287" t="s">
        <v>987</v>
      </c>
      <c r="C6" s="11" cm="1">
        <f t="array" ref="C6">SUMPRODUCT((cex_01[[client]:[client]]=syndicat_etude)*(cex_01[[annee]:[annee]]=Exercice[[Exercice N-4]:[Exercice N-4]])*(cex_01[[libelle_crac]:[libelle_crac]]=CEX!$B6)*(cex_01[[valeur]:[valeur]]))</f>
        <v>12684</v>
      </c>
      <c r="D6" s="11" cm="1">
        <f t="array" ref="D6">SUMPRODUCT((cex_01[[client]:[client]]=syndicat_etude)*(cex_01[[annee]:[annee]]=Exercice[[Exercice N-3]:[Exercice N-3]])*(cex_01[[libelle_crac]:[libelle_crac]]=CEX!$B6)*(cex_01[[valeur]:[valeur]]))</f>
        <v>12705</v>
      </c>
      <c r="E6" s="11" cm="1">
        <f t="array" ref="E6">SUMPRODUCT((cex_01[[client]:[client]]=syndicat_etude)*(cex_01[[annee]:[annee]]=Exercice[[Exercice N-2]:[Exercice N-2]])*(cex_01[[libelle_crac]:[libelle_crac]]=CEX!$B6)*(cex_01[[valeur]:[valeur]]))</f>
        <v>13774</v>
      </c>
      <c r="F6" s="11" cm="1">
        <f t="array" ref="F6">SUMPRODUCT((cex_01[[client]:[client]]=syndicat_etude)*(cex_01[[annee]:[annee]]=Exercice[[Exercice N-1]:[Exercice N-1]])*(cex_01[[libelle_crac]:[libelle_crac]]=CEX!$B6)*(cex_01[[valeur]:[valeur]]))</f>
        <v>14479</v>
      </c>
      <c r="G6" s="11" cm="1">
        <f t="array" ref="G6">SUMPRODUCT((cex_01[[client]:[client]]=syndicat_etude)*(cex_01[[annee]:[annee]]=Exercice[[Exercice N]:[Exercice N]])*(cex_01[[libelle_crac]:[libelle_crac]]=CEX!$B6)*(cex_01[[valeur]:[valeur]]))</f>
        <v>14843</v>
      </c>
      <c r="H6" s="120">
        <f t="shared" ref="H6:H25" si="0">IFERROR(G6/F6-1,"-")</f>
        <v>2.5139857724981063E-2</v>
      </c>
    </row>
    <row r="7" spans="1:8" x14ac:dyDescent="0.25">
      <c r="B7" s="287" t="s">
        <v>988</v>
      </c>
      <c r="C7" s="11" cm="1">
        <f t="array" ref="C7">SUMPRODUCT((cex_01[[client]:[client]]=syndicat_etude)*(cex_01[[annee]:[annee]]=Exercice[[Exercice N-4]:[Exercice N-4]])*(cex_01[[libelle_crac]:[libelle_crac]]=CEX!$B7)*(cex_01[[valeur]:[valeur]]))</f>
        <v>0</v>
      </c>
      <c r="D7" s="11" cm="1">
        <f t="array" ref="D7">SUMPRODUCT((cex_01[[client]:[client]]=syndicat_etude)*(cex_01[[annee]:[annee]]=Exercice[[Exercice N-3]:[Exercice N-3]])*(cex_01[[libelle_crac]:[libelle_crac]]="Dont clients BT ayant une puissance souscrite &lt;= 36 kVA")*(cex_01[[valeur]:[valeur]]))</f>
        <v>47787</v>
      </c>
      <c r="E7" s="11" cm="1">
        <f t="array" ref="E7">SUMPRODUCT((cex_01[[client]:[client]]=syndicat_etude)*(cex_01[[annee]:[annee]]=Exercice[[Exercice N-2]:[Exercice N-2]])*(cex_01[[libelle_crac]:[libelle_crac]]="Dont clients BT ayant une puissance souscrite &lt;= 36 kVA")*(cex_01[[valeur]:[valeur]]))</f>
        <v>52198</v>
      </c>
      <c r="F7" s="11" cm="1">
        <f t="array" ref="F7">SUMPRODUCT((cex_01[[client]:[client]]=syndicat_etude)*(cex_01[[annee]:[annee]]=Exercice[[Exercice N-1]:[Exercice N-1]])*(cex_01[[libelle_crac]:[libelle_crac]]="Dont clients BT ayant une puissance souscrite &lt;= 36 kVA")*(cex_01[[valeur]:[valeur]]))</f>
        <v>49749</v>
      </c>
      <c r="G7" s="11" cm="1">
        <f t="array" ref="G7">SUMPRODUCT((cex_01[[client]:[client]]=syndicat_etude)*(cex_01[[annee]:[annee]]=Exercice[[Exercice N]:[Exercice N]])*(cex_01[[libelle_crac]:[libelle_crac]]="Dont clients BT ayant une puissance souscrite &lt;= 36 kVA")*(cex_01[[valeur]:[valeur]]))</f>
        <v>52238</v>
      </c>
      <c r="H7" s="120">
        <f t="shared" si="0"/>
        <v>5.0031156405153876E-2</v>
      </c>
    </row>
    <row r="8" spans="1:8" x14ac:dyDescent="0.25">
      <c r="B8" s="287" t="s">
        <v>989</v>
      </c>
      <c r="C8" s="11" cm="1">
        <f t="array" ref="C8">SUMPRODUCT((cex_01[[client]:[client]]=syndicat_etude)*(cex_01[[annee]:[annee]]=Exercice[[Exercice N-4]:[Exercice N-4]])*(cex_01[[libelle_crac]:[libelle_crac]]="Dont clients BT ayant une puissance souscrite &lt;= 36 kVA")*(cex_01[[valeur]:[valeur]]))</f>
        <v>45927</v>
      </c>
      <c r="D8" s="11" cm="1">
        <f t="array" ref="D8">SUMPRODUCT((cex_01[[client]:[client]]=syndicat_etude)*(cex_01[[annee]:[annee]]=Exercice[[Exercice N-3]:[Exercice N-3]])*(cex_01[[libelle_crac]:[libelle_crac]]=CEX!$B8)*(cex_01[[valeur]:[valeur]]))</f>
        <v>11161</v>
      </c>
      <c r="E8" s="11" cm="1">
        <f t="array" ref="E8">SUMPRODUCT((cex_01[[client]:[client]]=syndicat_etude)*(cex_01[[annee]:[annee]]=Exercice[[Exercice N-2]:[Exercice N-2]])*(cex_01[[libelle_crac]:[libelle_crac]]=CEX!$B8)*(cex_01[[valeur]:[valeur]]))</f>
        <v>11643</v>
      </c>
      <c r="F8" s="11" cm="1">
        <f t="array" ref="F8">SUMPRODUCT((cex_01[[client]:[client]]=syndicat_etude)*(cex_01[[annee]:[annee]]=Exercice[[Exercice N-1]:[Exercice N-1]])*(cex_01[[libelle_crac]:[libelle_crac]]=CEX!$B8)*(cex_01[[valeur]:[valeur]]))</f>
        <v>12133</v>
      </c>
      <c r="G8" s="11" cm="1">
        <f t="array" ref="G8">SUMPRODUCT((cex_01[[client]:[client]]=syndicat_etude)*(cex_01[[annee]:[annee]]=Exercice[[Exercice N]:[Exercice N]])*(cex_01[[libelle_crac]:[libelle_crac]]=CEX!$B8)*(cex_01[[valeur]:[valeur]]))</f>
        <v>12134</v>
      </c>
      <c r="H8" s="120">
        <f t="shared" si="0"/>
        <v>8.2419846699099963E-5</v>
      </c>
    </row>
    <row r="9" spans="1:8" x14ac:dyDescent="0.25">
      <c r="B9" s="287" t="s">
        <v>990</v>
      </c>
      <c r="C9" s="11" cm="1">
        <f t="array" ref="C9">SUMPRODUCT((cex_01[[client]:[client]]=syndicat_etude)*(cex_01[[annee]:[annee]]=Exercice[[Exercice N-4]:[Exercice N-4]])*(cex_01[[libelle_crac]:[libelle_crac]]=CEX!$B9)*(cex_01[[valeur]:[valeur]]))</f>
        <v>200</v>
      </c>
      <c r="D9" s="11" cm="1">
        <f t="array" ref="D9">SUMPRODUCT((cex_01[[client]:[client]]=syndicat_etude)*(cex_01[[annee]:[annee]]=Exercice[[Exercice N-3]:[Exercice N-3]])*(cex_01[[libelle_crac]:[libelle_crac]]=CEX!$B9)*(cex_01[[valeur]:[valeur]]))</f>
        <v>281</v>
      </c>
      <c r="E9" s="11" cm="1">
        <f t="array" ref="E9">SUMPRODUCT((cex_01[[client]:[client]]=syndicat_etude)*(cex_01[[annee]:[annee]]=Exercice[[Exercice N-2]:[Exercice N-2]])*(cex_01[[libelle_crac]:[libelle_crac]]=CEX!$B9)*(cex_01[[valeur]:[valeur]]))</f>
        <v>20</v>
      </c>
      <c r="F9" s="11" cm="1">
        <f t="array" ref="F9">SUMPRODUCT((cex_01[[client]:[client]]=syndicat_etude)*(cex_01[[annee]:[annee]]=Exercice[[Exercice N-1]:[Exercice N-1]])*(cex_01[[libelle_crac]:[libelle_crac]]=CEX!$B9)*(cex_01[[valeur]:[valeur]]))</f>
        <v>22</v>
      </c>
      <c r="G9" s="11" cm="1">
        <f t="array" ref="G9">SUMPRODUCT((cex_01[[client]:[client]]=syndicat_etude)*(cex_01[[annee]:[annee]]=Exercice[[Exercice N]:[Exercice N]])*(cex_01[[libelle_crac]:[libelle_crac]]=CEX!$B9)*(cex_01[[valeur]:[valeur]]))</f>
        <v>196</v>
      </c>
      <c r="H9" s="120">
        <f t="shared" si="0"/>
        <v>7.9090909090909083</v>
      </c>
    </row>
    <row r="10" spans="1:8" x14ac:dyDescent="0.25">
      <c r="B10" s="341" t="s">
        <v>991</v>
      </c>
      <c r="C10" s="277" cm="1">
        <f t="array" ref="C10">SUMPRODUCT((cex_01[[client]:[client]]=syndicat_etude)*(cex_01[[annee]:[annee]]=Exercice[[Exercice N-4]:[Exercice N-4]])*(cex_01[[libelle_crac]:[libelle_crac]]=CEX!$B10)*(cex_01[[valeur]:[valeur]]))</f>
        <v>3620</v>
      </c>
      <c r="D10" s="277" cm="1">
        <f t="array" ref="D10">SUMPRODUCT((cex_01[[client]:[client]]=syndicat_etude)*(cex_01[[annee]:[annee]]=Exercice[[Exercice N-3]:[Exercice N-3]])*(cex_01[[libelle_crac]:[libelle_crac]]=CEX!$B10)*(cex_01[[valeur]:[valeur]]))</f>
        <v>10307</v>
      </c>
      <c r="E10" s="277" cm="1">
        <f t="array" ref="E10">SUMPRODUCT((cex_01[[client]:[client]]=syndicat_etude)*(cex_01[[annee]:[annee]]=Exercice[[Exercice N-2]:[Exercice N-2]])*(cex_01[[libelle_crac]:[libelle_crac]]=CEX!$B10)*(cex_01[[valeur]:[valeur]]))</f>
        <v>15130</v>
      </c>
      <c r="F10" s="277" cm="1">
        <f t="array" ref="F10">SUMPRODUCT((cex_01[[client]:[client]]=syndicat_etude)*(cex_01[[annee]:[annee]]=Exercice[[Exercice N-1]:[Exercice N-1]])*(cex_01[[libelle_crac]:[libelle_crac]]=CEX!$B10)*(cex_01[[valeur]:[valeur]]))</f>
        <v>4310</v>
      </c>
      <c r="G10" s="277" cm="1">
        <f t="array" ref="G10">SUMPRODUCT((cex_01[[client]:[client]]=syndicat_etude)*(cex_01[[annee]:[annee]]=Exercice[[Exercice N]:[Exercice N]])*(cex_01[[libelle_crac]:[libelle_crac]]=CEX!$B10)*(cex_01[[valeur]:[valeur]]))</f>
        <v>6398</v>
      </c>
      <c r="H10" s="342">
        <f t="shared" si="0"/>
        <v>0.48445475638051039</v>
      </c>
    </row>
    <row r="11" spans="1:8" x14ac:dyDescent="0.25">
      <c r="B11" s="287" t="s">
        <v>992</v>
      </c>
      <c r="C11" s="11" cm="1">
        <f t="array" ref="C11">SUMPRODUCT((cex_01[[client]:[client]]=syndicat_etude)*(cex_01[[annee]:[annee]]=Exercice[[Exercice N-4]:[Exercice N-4]])*(cex_01[[libelle_crac]:[libelle_crac]]=CEX!$B11)*(cex_01[[valeur]:[valeur]]))</f>
        <v>2607</v>
      </c>
      <c r="D11" s="11" cm="1">
        <f t="array" ref="D11">SUMPRODUCT((cex_01[[client]:[client]]=syndicat_etude)*(cex_01[[annee]:[annee]]=Exercice[[Exercice N-3]:[Exercice N-3]])*(cex_01[[libelle_crac]:[libelle_crac]]=CEX!$B11)*(cex_01[[valeur]:[valeur]]))</f>
        <v>9479</v>
      </c>
      <c r="E11" s="11" cm="1">
        <f t="array" ref="E11">SUMPRODUCT((cex_01[[client]:[client]]=syndicat_etude)*(cex_01[[annee]:[annee]]=Exercice[[Exercice N-2]:[Exercice N-2]])*(cex_01[[libelle_crac]:[libelle_crac]]=CEX!$B11)*(cex_01[[valeur]:[valeur]]))</f>
        <v>14208</v>
      </c>
      <c r="F11" s="11" cm="1">
        <f t="array" ref="F11">SUMPRODUCT((cex_01[[client]:[client]]=syndicat_etude)*(cex_01[[annee]:[annee]]=Exercice[[Exercice N-1]:[Exercice N-1]])*(cex_01[[libelle_crac]:[libelle_crac]]=CEX!$B11)*(cex_01[[valeur]:[valeur]]))</f>
        <v>3373</v>
      </c>
      <c r="G11" s="11" cm="1">
        <f t="array" ref="G11">SUMPRODUCT((cex_01[[client]:[client]]=syndicat_etude)*(cex_01[[annee]:[annee]]=Exercice[[Exercice N]:[Exercice N]])*(cex_01[[libelle_crac]:[libelle_crac]]=CEX!$B11)*(cex_01[[valeur]:[valeur]]))</f>
        <v>5591</v>
      </c>
      <c r="H11" s="120">
        <f t="shared" si="0"/>
        <v>0.65757485917580794</v>
      </c>
    </row>
    <row r="12" spans="1:8" x14ac:dyDescent="0.25">
      <c r="B12" s="287" t="s">
        <v>993</v>
      </c>
      <c r="C12" s="11" cm="1">
        <f t="array" ref="C12">SUMPRODUCT((cex_01[[client]:[client]]=syndicat_etude)*(cex_01[[annee]:[annee]]=Exercice[[Exercice N-4]:[Exercice N-4]])*(cex_01[[libelle_crac]:[libelle_crac]]=CEX!$B12)*(cex_01[[valeur]:[valeur]]))</f>
        <v>1013</v>
      </c>
      <c r="D12" s="11" cm="1">
        <f t="array" ref="D12">SUMPRODUCT((cex_01[[client]:[client]]=syndicat_etude)*(cex_01[[annee]:[annee]]=Exercice[[Exercice N-3]:[Exercice N-3]])*(cex_01[[libelle_crac]:[libelle_crac]]=CEX!$B12)*(cex_01[[valeur]:[valeur]]))</f>
        <v>828</v>
      </c>
      <c r="E12" s="11" cm="1">
        <f t="array" ref="E12">SUMPRODUCT((cex_01[[client]:[client]]=syndicat_etude)*(cex_01[[annee]:[annee]]=Exercice[[Exercice N-2]:[Exercice N-2]])*(cex_01[[libelle_crac]:[libelle_crac]]=CEX!$B12)*(cex_01[[valeur]:[valeur]]))</f>
        <v>922</v>
      </c>
      <c r="F12" s="11" cm="1">
        <f t="array" ref="F12">SUMPRODUCT((cex_01[[client]:[client]]=syndicat_etude)*(cex_01[[annee]:[annee]]=Exercice[[Exercice N-1]:[Exercice N-1]])*(cex_01[[libelle_crac]:[libelle_crac]]=CEX!$B12)*(cex_01[[valeur]:[valeur]]))</f>
        <v>937</v>
      </c>
      <c r="G12" s="11" cm="1">
        <f t="array" ref="G12">SUMPRODUCT((cex_01[[client]:[client]]=syndicat_etude)*(cex_01[[annee]:[annee]]=Exercice[[Exercice N]:[Exercice N]])*(cex_01[[libelle_crac]:[libelle_crac]]=CEX!$B12)*(cex_01[[valeur]:[valeur]]))</f>
        <v>807</v>
      </c>
      <c r="H12" s="120">
        <f t="shared" si="0"/>
        <v>-0.13874066168623267</v>
      </c>
    </row>
    <row r="13" spans="1:8" x14ac:dyDescent="0.25">
      <c r="B13" s="341" t="s">
        <v>994</v>
      </c>
      <c r="C13" s="277" cm="1">
        <f t="array" ref="C13">SUMPRODUCT((cex_01[[client]:[client]]=syndicat_etude)*(cex_01[[annee]:[annee]]=Exercice[[Exercice N-4]:[Exercice N-4]])*(cex_01[[libelle_crac]:[libelle_crac]]=CEX!$B13)*(cex_01[[valeur]:[valeur]]))</f>
        <v>1088</v>
      </c>
      <c r="D13" s="277" cm="1">
        <f t="array" ref="D13">SUMPRODUCT((cex_01[[client]:[client]]=syndicat_etude)*(cex_01[[annee]:[annee]]=Exercice[[Exercice N-3]:[Exercice N-3]])*(cex_01[[libelle_crac]:[libelle_crac]]=CEX!$B13)*(cex_01[[valeur]:[valeur]]))</f>
        <v>1074</v>
      </c>
      <c r="E13" s="277" cm="1">
        <f t="array" ref="E13">SUMPRODUCT((cex_01[[client]:[client]]=syndicat_etude)*(cex_01[[annee]:[annee]]=Exercice[[Exercice N-2]:[Exercice N-2]])*(cex_01[[libelle_crac]:[libelle_crac]]=CEX!$B13)*(cex_01[[valeur]:[valeur]]))</f>
        <v>1208</v>
      </c>
      <c r="F13" s="277" cm="1">
        <f t="array" ref="F13">SUMPRODUCT((cex_01[[client]:[client]]=syndicat_etude)*(cex_01[[annee]:[annee]]=Exercice[[Exercice N-1]:[Exercice N-1]])*(cex_01[[libelle_crac]:[libelle_crac]]=CEX!$B13)*(cex_01[[valeur]:[valeur]]))</f>
        <v>1322</v>
      </c>
      <c r="G13" s="277" cm="1">
        <f t="array" ref="G13">SUMPRODUCT((cex_01[[client]:[client]]=syndicat_etude)*(cex_01[[annee]:[annee]]=Exercice[[Exercice N]:[Exercice N]])*(cex_01[[libelle_crac]:[libelle_crac]]=CEX!$B13)*(cex_01[[valeur]:[valeur]]))</f>
        <v>1409</v>
      </c>
      <c r="H13" s="342">
        <f t="shared" si="0"/>
        <v>6.5809379727685302E-2</v>
      </c>
    </row>
    <row r="14" spans="1:8" x14ac:dyDescent="0.25">
      <c r="B14" s="320" t="s">
        <v>995</v>
      </c>
      <c r="C14" s="384" cm="1">
        <f t="array" ref="C14">SUMPRODUCT((cex_01[[client]:[client]]=syndicat_etude)*(cex_01[[annee]:[annee]]=Exercice[[Exercice N-4]:[Exercice N-4]])*(cex_01[[libelle_crac]:[libelle_crac]]=CEX!$B14)*(cex_01[[valeur]:[valeur]]))</f>
        <v>75018</v>
      </c>
      <c r="D14" s="384" cm="1">
        <f t="array" ref="D14">SUMPRODUCT((cex_01[[client]:[client]]=syndicat_etude)*(cex_01[[annee]:[annee]]=Exercice[[Exercice N-3]:[Exercice N-3]])*(cex_01[[libelle_crac]:[libelle_crac]]=CEX!$B14)*(cex_01[[valeur]:[valeur]]))</f>
        <v>83316</v>
      </c>
      <c r="E14" s="384" cm="1">
        <f t="array" ref="E14">SUMPRODUCT((cex_01[[client]:[client]]=syndicat_etude)*(cex_01[[annee]:[annee]]=Exercice[[Exercice N-2]:[Exercice N-2]])*(cex_01[[libelle_crac]:[libelle_crac]]=CEX!$B14)*(cex_01[[valeur]:[valeur]]))</f>
        <v>93972</v>
      </c>
      <c r="F14" s="384" cm="1">
        <f t="array" ref="F14">SUMPRODUCT((cex_01[[client]:[client]]=syndicat_etude)*(cex_01[[annee]:[annee]]=Exercice[[Exercice N-1]:[Exercice N-1]])*(cex_01[[libelle_crac]:[libelle_crac]]=CEX!$B14)*(cex_01[[valeur]:[valeur]]))</f>
        <v>82016</v>
      </c>
      <c r="G14" s="384" cm="1">
        <f t="array" ref="G14">SUMPRODUCT((cex_01[[client]:[client]]=syndicat_etude)*(cex_01[[annee]:[annee]]=Exercice[[Exercice N]:[Exercice N]])*(cex_01[[libelle_crac]:[libelle_crac]]=CEX!$B14)*(cex_01[[valeur]:[valeur]]))</f>
        <v>87219</v>
      </c>
      <c r="H14" s="321">
        <f t="shared" si="0"/>
        <v>6.3438841201716833E-2</v>
      </c>
    </row>
    <row r="15" spans="1:8" x14ac:dyDescent="0.25">
      <c r="B15" s="320" t="s">
        <v>996</v>
      </c>
      <c r="C15" s="384" cm="1">
        <f t="array" ref="C15">SUMPRODUCT((cex_01[[client]:[client]]=syndicat_etude)*(cex_01[[annee]:[annee]]=Exercice[[Exercice N-4]:[Exercice N-4]])*(cex_01[[libelle_crac]:[libelle_crac]]=CEX!$B15)*(cex_01[[valeur]:[valeur]]))</f>
        <v>14245</v>
      </c>
      <c r="D15" s="384" cm="1">
        <f t="array" ref="D15">SUMPRODUCT((cex_01[[client]:[client]]=syndicat_etude)*(cex_01[[annee]:[annee]]=Exercice[[Exercice N-3]:[Exercice N-3]])*(cex_01[[libelle_crac]:[libelle_crac]]=CEX!$B15)*(cex_01[[valeur]:[valeur]]))</f>
        <v>14129</v>
      </c>
      <c r="E15" s="384" cm="1">
        <f t="array" ref="E15">SUMPRODUCT((cex_01[[client]:[client]]=syndicat_etude)*(cex_01[[annee]:[annee]]=Exercice[[Exercice N-2]:[Exercice N-2]])*(cex_01[[libelle_crac]:[libelle_crac]]=CEX!$B15)*(cex_01[[valeur]:[valeur]]))</f>
        <v>17554</v>
      </c>
      <c r="F15" s="384" cm="1">
        <f t="array" ref="F15">SUMPRODUCT((cex_01[[client]:[client]]=syndicat_etude)*(cex_01[[annee]:[annee]]=Exercice[[Exercice N-1]:[Exercice N-1]])*(cex_01[[libelle_crac]:[libelle_crac]]=CEX!$B15)*(cex_01[[valeur]:[valeur]]))</f>
        <v>23208</v>
      </c>
      <c r="G15" s="384" cm="1">
        <f t="array" ref="G15">SUMPRODUCT((cex_01[[client]:[client]]=syndicat_etude)*(cex_01[[annee]:[annee]]=Exercice[[Exercice N]:[Exercice N]])*(cex_01[[libelle_crac]:[libelle_crac]]=CEX!$B15)*(cex_01[[valeur]:[valeur]]))</f>
        <v>14399</v>
      </c>
      <c r="H15" s="321">
        <f t="shared" si="0"/>
        <v>-0.37956739055498101</v>
      </c>
    </row>
    <row r="16" spans="1:8" x14ac:dyDescent="0.25">
      <c r="B16" s="341" t="s">
        <v>997</v>
      </c>
      <c r="C16" s="277" cm="1">
        <f t="array" ref="C16">SUMPRODUCT((cex_01[[client]:[client]]=syndicat_etude)*(cex_01[[annee]:[annee]]=Exercice[[Exercice N-4]:[Exercice N-4]])*(cex_01[[libelle_crac]:[libelle_crac]]=CEX!$B16)*(cex_01[[valeur]:[valeur]]))</f>
        <v>4058</v>
      </c>
      <c r="D16" s="277" cm="1">
        <f t="array" ref="D16">SUMPRODUCT((cex_01[[client]:[client]]=syndicat_etude)*(cex_01[[annee]:[annee]]=Exercice[[Exercice N-3]:[Exercice N-3]])*(cex_01[[libelle_crac]:[libelle_crac]]=CEX!$B16)*(cex_01[[valeur]:[valeur]]))</f>
        <v>9020</v>
      </c>
      <c r="E16" s="277" cm="1">
        <f t="array" ref="E16">SUMPRODUCT((cex_01[[client]:[client]]=syndicat_etude)*(cex_01[[annee]:[annee]]=Exercice[[Exercice N-2]:[Exercice N-2]])*(cex_01[[libelle_crac]:[libelle_crac]]=CEX!$B16)*(cex_01[[valeur]:[valeur]]))</f>
        <v>8635</v>
      </c>
      <c r="F16" s="277" cm="1">
        <f t="array" ref="F16">SUMPRODUCT((cex_01[[client]:[client]]=syndicat_etude)*(cex_01[[annee]:[annee]]=Exercice[[Exercice N-1]:[Exercice N-1]])*(cex_01[[libelle_crac]:[libelle_crac]]=CEX!$B16)*(cex_01[[valeur]:[valeur]]))</f>
        <v>8084</v>
      </c>
      <c r="G16" s="277" cm="1">
        <f t="array" ref="G16">SUMPRODUCT((cex_01[[client]:[client]]=syndicat_etude)*(cex_01[[annee]:[annee]]=Exercice[[Exercice N]:[Exercice N]])*(cex_01[[libelle_crac]:[libelle_crac]]=CEX!$B16)*(cex_01[[valeur]:[valeur]]))</f>
        <v>9487</v>
      </c>
      <c r="H16" s="342">
        <f t="shared" si="0"/>
        <v>0.17355269668480955</v>
      </c>
    </row>
    <row r="17" spans="1:8" x14ac:dyDescent="0.25">
      <c r="B17" s="341" t="s">
        <v>998</v>
      </c>
      <c r="C17" s="277" cm="1">
        <f t="array" ref="C17">SUMPRODUCT((cex_01[[client]:[client]]=syndicat_etude)*(cex_01[[annee]:[annee]]=Exercice[[Exercice N-4]:[Exercice N-4]])*(cex_01[[libelle_crac]:[libelle_crac]]=CEX!$B17)*(cex_01[[valeur]:[valeur]]))</f>
        <v>6247</v>
      </c>
      <c r="D17" s="277" cm="1">
        <f t="array" ref="D17">SUMPRODUCT((cex_01[[client]:[client]]=syndicat_etude)*(cex_01[[annee]:[annee]]=Exercice[[Exercice N-3]:[Exercice N-3]])*(cex_01[[libelle_crac]:[libelle_crac]]=CEX!$B17)*(cex_01[[valeur]:[valeur]]))</f>
        <v>4644</v>
      </c>
      <c r="E17" s="277" cm="1">
        <f t="array" ref="E17">SUMPRODUCT((cex_01[[client]:[client]]=syndicat_etude)*(cex_01[[annee]:[annee]]=Exercice[[Exercice N-2]:[Exercice N-2]])*(cex_01[[libelle_crac]:[libelle_crac]]=CEX!$B17)*(cex_01[[valeur]:[valeur]]))</f>
        <v>8058</v>
      </c>
      <c r="F17" s="277" cm="1">
        <f t="array" ref="F17">SUMPRODUCT((cex_01[[client]:[client]]=syndicat_etude)*(cex_01[[annee]:[annee]]=Exercice[[Exercice N-1]:[Exercice N-1]])*(cex_01[[libelle_crac]:[libelle_crac]]=CEX!$B17)*(cex_01[[valeur]:[valeur]]))</f>
        <v>8543</v>
      </c>
      <c r="G17" s="277" cm="1">
        <f t="array" ref="G17">SUMPRODUCT((cex_01[[client]:[client]]=syndicat_etude)*(cex_01[[annee]:[annee]]=Exercice[[Exercice N]:[Exercice N]])*(cex_01[[libelle_crac]:[libelle_crac]]=CEX!$B17)*(cex_01[[valeur]:[valeur]]))</f>
        <v>4137</v>
      </c>
      <c r="H17" s="342">
        <f t="shared" si="0"/>
        <v>-0.51574388388154047</v>
      </c>
    </row>
    <row r="18" spans="1:8" x14ac:dyDescent="0.25">
      <c r="B18" s="343" t="s">
        <v>999</v>
      </c>
      <c r="C18" s="134" cm="1">
        <f t="array" ref="C18">SUMPRODUCT((cex_01[[client]:[client]]=syndicat_etude)*(cex_01[[annee]:[annee]]=Exercice[[Exercice N-4]:[Exercice N-4]])*(cex_01[[libelle_crac]:[libelle_crac]]=CEX!$B18)*(cex_01[[valeur]:[valeur]]))</f>
        <v>790</v>
      </c>
      <c r="D18" s="134" cm="1">
        <f t="array" ref="D18">SUMPRODUCT((cex_01[[client]:[client]]=syndicat_etude)*(cex_01[[annee]:[annee]]=Exercice[[Exercice N-3]:[Exercice N-3]])*(cex_01[[libelle_crac]:[libelle_crac]]=CEX!$B18)*(cex_01[[valeur]:[valeur]]))</f>
        <v>59</v>
      </c>
      <c r="E18" s="134" cm="1">
        <f t="array" ref="E18">SUMPRODUCT((cex_01[[client]:[client]]=syndicat_etude)*(cex_01[[annee]:[annee]]=Exercice[[Exercice N-2]:[Exercice N-2]])*(cex_01[[libelle_crac]:[libelle_crac]]=CEX!$B18)*(cex_01[[valeur]:[valeur]]))</f>
        <v>2930</v>
      </c>
      <c r="F18" s="134" cm="1">
        <f t="array" ref="F18">SUMPRODUCT((cex_01[[client]:[client]]=syndicat_etude)*(cex_01[[annee]:[annee]]=Exercice[[Exercice N-1]:[Exercice N-1]])*(cex_01[[libelle_crac]:[libelle_crac]]=CEX!$B18)*(cex_01[[valeur]:[valeur]]))</f>
        <v>3768</v>
      </c>
      <c r="G18" s="134" cm="1">
        <f t="array" ref="G18">SUMPRODUCT((cex_01[[client]:[client]]=syndicat_etude)*(cex_01[[annee]:[annee]]=Exercice[[Exercice N]:[Exercice N]])*(cex_01[[libelle_crac]:[libelle_crac]]=CEX!$B18)*(cex_01[[valeur]:[valeur]]))</f>
        <v>104</v>
      </c>
      <c r="H18" s="120">
        <f t="shared" si="0"/>
        <v>-0.97239915074309979</v>
      </c>
    </row>
    <row r="19" spans="1:8" x14ac:dyDescent="0.25">
      <c r="B19" s="377" t="s">
        <v>1000</v>
      </c>
      <c r="C19" s="11" cm="1">
        <f t="array" ref="C19">SUMPRODUCT((cex_01[[client]:[client]]=syndicat_etude)*(cex_01[[annee]:[annee]]=Exercice[[Exercice N-4]:[Exercice N-4]])*(cex_01[[libelle_crac]:[libelle_crac]]=CEX!$B19)*(cex_01[[valeur]:[valeur]]))</f>
        <v>700</v>
      </c>
      <c r="D19" s="11" cm="1">
        <f t="array" ref="D19">SUMPRODUCT((cex_01[[client]:[client]]=syndicat_etude)*(cex_01[[annee]:[annee]]=Exercice[[Exercice N-3]:[Exercice N-3]])*(cex_01[[libelle_crac]:[libelle_crac]]=CEX!$B19)*(cex_01[[valeur]:[valeur]]))</f>
        <v>59</v>
      </c>
      <c r="E19" s="11" cm="1">
        <f t="array" ref="E19">SUMPRODUCT((cex_01[[client]:[client]]=syndicat_etude)*(cex_01[[annee]:[annee]]=Exercice[[Exercice N-2]:[Exercice N-2]])*(cex_01[[libelle_crac]:[libelle_crac]]=CEX!$B19)*(cex_01[[valeur]:[valeur]]))</f>
        <v>2930</v>
      </c>
      <c r="F19" s="11" cm="1">
        <f t="array" ref="F19">SUMPRODUCT((cex_01[[client]:[client]]=syndicat_etude)*(cex_01[[annee]:[annee]]=Exercice[[Exercice N-1]:[Exercice N-1]])*(cex_01[[libelle_crac]:[libelle_crac]]=CEX!$B19)*(cex_01[[valeur]:[valeur]]))</f>
        <v>3768</v>
      </c>
      <c r="G19" s="11" cm="1">
        <f t="array" ref="G19">SUMPRODUCT((cex_01[[client]:[client]]=syndicat_etude)*(cex_01[[annee]:[annee]]=Exercice[[Exercice N]:[Exercice N]])*(cex_01[[libelle_crac]:[libelle_crac]]=CEX!$B19)*(cex_01[[valeur]:[valeur]]))</f>
        <v>104</v>
      </c>
      <c r="H19" s="120">
        <f t="shared" si="0"/>
        <v>-0.97239915074309979</v>
      </c>
    </row>
    <row r="20" spans="1:8" x14ac:dyDescent="0.25">
      <c r="B20" s="377" t="s">
        <v>1001</v>
      </c>
      <c r="C20" s="11" cm="1">
        <f t="array" ref="C20">SUMPRODUCT((cex_01[[client]:[client]]=syndicat_etude)*(cex_01[[annee]:[annee]]=Exercice[[Exercice N-4]:[Exercice N-4]])*(cex_01[[libelle_crac]:[libelle_crac]]=CEX!$B20)*(cex_01[[valeur]:[valeur]]))</f>
        <v>90</v>
      </c>
      <c r="D20" s="11" cm="1">
        <f t="array" ref="D20">SUMPRODUCT((cex_01[[client]:[client]]=syndicat_etude)*(cex_01[[annee]:[annee]]=Exercice[[Exercice N-3]:[Exercice N-3]])*(cex_01[[libelle_crac]:[libelle_crac]]=CEX!$B20)*(cex_01[[valeur]:[valeur]]))</f>
        <v>0</v>
      </c>
      <c r="E20" s="11" cm="1">
        <f t="array" ref="E20">SUMPRODUCT((cex_01[[client]:[client]]=syndicat_etude)*(cex_01[[annee]:[annee]]=Exercice[[Exercice N-2]:[Exercice N-2]])*(cex_01[[libelle_crac]:[libelle_crac]]=CEX!$B20)*(cex_01[[valeur]:[valeur]]))</f>
        <v>0</v>
      </c>
      <c r="F20" s="11" cm="1">
        <f t="array" ref="F20">SUMPRODUCT((cex_01[[client]:[client]]=syndicat_etude)*(cex_01[[annee]:[annee]]=Exercice[[Exercice N-1]:[Exercice N-1]])*(cex_01[[libelle_crac]:[libelle_crac]]=CEX!$B20)*(cex_01[[valeur]:[valeur]]))</f>
        <v>0</v>
      </c>
      <c r="G20" s="11" cm="1">
        <f t="array" ref="G20">SUMPRODUCT((cex_01[[client]:[client]]=syndicat_etude)*(cex_01[[annee]:[annee]]=Exercice[[Exercice N]:[Exercice N]])*(cex_01[[libelle_crac]:[libelle_crac]]=CEX!$B20)*(cex_01[[valeur]:[valeur]]))</f>
        <v>0</v>
      </c>
      <c r="H20" s="120" t="str">
        <f t="shared" si="0"/>
        <v>-</v>
      </c>
    </row>
    <row r="21" spans="1:8" x14ac:dyDescent="0.25">
      <c r="B21" s="343" t="s">
        <v>1002</v>
      </c>
      <c r="C21" s="134" cm="1">
        <f t="array" ref="C21">SUMPRODUCT((cex_01[[client]:[client]]=syndicat_etude)*(cex_01[[annee]:[annee]]=Exercice[[Exercice N-4]:[Exercice N-4]])*(cex_01[[libelle_crac]:[libelle_crac]]=CEX!$B21)*(cex_01[[valeur]:[valeur]]))</f>
        <v>5457</v>
      </c>
      <c r="D21" s="134" cm="1">
        <f t="array" ref="D21">SUMPRODUCT((cex_01[[client]:[client]]=syndicat_etude)*(cex_01[[annee]:[annee]]=Exercice[[Exercice N-3]:[Exercice N-3]])*(cex_01[[libelle_crac]:[libelle_crac]]=CEX!$B21)*(cex_01[[valeur]:[valeur]]))</f>
        <v>4585</v>
      </c>
      <c r="E21" s="134" cm="1">
        <f t="array" ref="E21">SUMPRODUCT((cex_01[[client]:[client]]=syndicat_etude)*(cex_01[[annee]:[annee]]=Exercice[[Exercice N-2]:[Exercice N-2]])*(cex_01[[libelle_crac]:[libelle_crac]]=CEX!$B21)*(cex_01[[valeur]:[valeur]]))</f>
        <v>5128</v>
      </c>
      <c r="F21" s="134" cm="1">
        <f t="array" ref="F21">SUMPRODUCT((cex_01[[client]:[client]]=syndicat_etude)*(cex_01[[annee]:[annee]]=Exercice[[Exercice N-1]:[Exercice N-1]])*(cex_01[[libelle_crac]:[libelle_crac]]=CEX!$B21)*(cex_01[[valeur]:[valeur]]))</f>
        <v>4775</v>
      </c>
      <c r="G21" s="134" cm="1">
        <f t="array" ref="G21">SUMPRODUCT((cex_01[[client]:[client]]=syndicat_etude)*(cex_01[[annee]:[annee]]=Exercice[[Exercice N]:[Exercice N]])*(cex_01[[libelle_crac]:[libelle_crac]]=CEX!$B21)*(cex_01[[valeur]:[valeur]]))</f>
        <v>4033</v>
      </c>
      <c r="H21" s="120">
        <f t="shared" si="0"/>
        <v>-0.15539267015706804</v>
      </c>
    </row>
    <row r="22" spans="1:8" x14ac:dyDescent="0.25">
      <c r="B22" s="377" t="s">
        <v>1003</v>
      </c>
      <c r="C22" s="11" cm="1">
        <f t="array" ref="C22">SUMPRODUCT((cex_01[[client]:[client]]=syndicat_etude)*(cex_01[[annee]:[annee]]=Exercice[[Exercice N-4]:[Exercice N-4]])*(cex_01[[libelle_crac]:[libelle_crac]]=CEX!$B22)*(cex_01[[valeur]:[valeur]]))</f>
        <v>657</v>
      </c>
      <c r="D22" s="11" cm="1">
        <f t="array" ref="D22">SUMPRODUCT((cex_01[[client]:[client]]=syndicat_etude)*(cex_01[[annee]:[annee]]=Exercice[[Exercice N-3]:[Exercice N-3]])*(cex_01[[libelle_crac]:[libelle_crac]]=CEX!$B22)*(cex_01[[valeur]:[valeur]]))</f>
        <v>622</v>
      </c>
      <c r="E22" s="11" cm="1">
        <f t="array" ref="E22">SUMPRODUCT((cex_01[[client]:[client]]=syndicat_etude)*(cex_01[[annee]:[annee]]=Exercice[[Exercice N-2]:[Exercice N-2]])*(cex_01[[libelle_crac]:[libelle_crac]]=CEX!$B22)*(cex_01[[valeur]:[valeur]]))</f>
        <v>1453</v>
      </c>
      <c r="F22" s="11" cm="1">
        <f t="array" ref="F22">SUMPRODUCT((cex_01[[client]:[client]]=syndicat_etude)*(cex_01[[annee]:[annee]]=Exercice[[Exercice N-1]:[Exercice N-1]])*(cex_01[[libelle_crac]:[libelle_crac]]=CEX!$B22)*(cex_01[[valeur]:[valeur]]))</f>
        <v>817</v>
      </c>
      <c r="G22" s="11" cm="1">
        <f t="array" ref="G22">SUMPRODUCT((cex_01[[client]:[client]]=syndicat_etude)*(cex_01[[annee]:[annee]]=Exercice[[Exercice N]:[Exercice N]])*(cex_01[[libelle_crac]:[libelle_crac]]=CEX!$B22)*(cex_01[[valeur]:[valeur]]))</f>
        <v>160</v>
      </c>
      <c r="H22" s="120">
        <f t="shared" si="0"/>
        <v>-0.8041615667074663</v>
      </c>
    </row>
    <row r="23" spans="1:8" x14ac:dyDescent="0.25">
      <c r="B23" s="377" t="s">
        <v>1004</v>
      </c>
      <c r="C23" s="11" cm="1">
        <f t="array" ref="C23">SUMPRODUCT((cex_01[[client]:[client]]=syndicat_etude)*(cex_01[[annee]:[annee]]=Exercice[[Exercice N-4]:[Exercice N-4]])*(cex_01[[libelle_crac]:[libelle_crac]]=CEX!$B23)*(cex_01[[valeur]:[valeur]]))</f>
        <v>2640</v>
      </c>
      <c r="D23" s="11" cm="1">
        <f t="array" ref="D23">SUMPRODUCT((cex_01[[client]:[client]]=syndicat_etude)*(cex_01[[annee]:[annee]]=Exercice[[Exercice N-3]:[Exercice N-3]])*(cex_01[[libelle_crac]:[libelle_crac]]=CEX!$B23)*(cex_01[[valeur]:[valeur]]))</f>
        <v>3962</v>
      </c>
      <c r="E23" s="11" cm="1">
        <f t="array" ref="E23">SUMPRODUCT((cex_01[[client]:[client]]=syndicat_etude)*(cex_01[[annee]:[annee]]=Exercice[[Exercice N-2]:[Exercice N-2]])*(cex_01[[libelle_crac]:[libelle_crac]]=CEX!$B23)*(cex_01[[valeur]:[valeur]]))</f>
        <v>3675</v>
      </c>
      <c r="F23" s="11" cm="1">
        <f t="array" ref="F23">SUMPRODUCT((cex_01[[client]:[client]]=syndicat_etude)*(cex_01[[annee]:[annee]]=Exercice[[Exercice N-1]:[Exercice N-1]])*(cex_01[[libelle_crac]:[libelle_crac]]=CEX!$B23)*(cex_01[[valeur]:[valeur]]))</f>
        <v>3958</v>
      </c>
      <c r="G23" s="11" cm="1">
        <f t="array" ref="G23">SUMPRODUCT((cex_01[[client]:[client]]=syndicat_etude)*(cex_01[[annee]:[annee]]=Exercice[[Exercice N]:[Exercice N]])*(cex_01[[libelle_crac]:[libelle_crac]]=CEX!$B23)*(cex_01[[valeur]:[valeur]]))</f>
        <v>3874</v>
      </c>
      <c r="H23" s="120">
        <f t="shared" si="0"/>
        <v>-2.1222839818089922E-2</v>
      </c>
    </row>
    <row r="24" spans="1:8" x14ac:dyDescent="0.25">
      <c r="B24" s="341" t="s">
        <v>1005</v>
      </c>
      <c r="C24" s="277" cm="1">
        <f t="array" ref="C24">SUMPRODUCT((cex_01[[client]:[client]]=syndicat_etude)*(cex_01[[annee]:[annee]]=Exercice[[Exercice N-4]:[Exercice N-4]])*(cex_01[[libelle_crac]:[libelle_crac]]=CEX!$B24)*(cex_01[[valeur]:[valeur]]))</f>
        <v>640</v>
      </c>
      <c r="D24" s="277" cm="1">
        <f t="array" ref="D24">SUMPRODUCT((cex_01[[client]:[client]]=syndicat_etude)*(cex_01[[annee]:[annee]]=Exercice[[Exercice N-3]:[Exercice N-3]])*(cex_01[[libelle_crac]:[libelle_crac]]=CEX!$B24)*(cex_01[[valeur]:[valeur]]))</f>
        <v>465</v>
      </c>
      <c r="E24" s="277" cm="1">
        <f t="array" ref="E24">SUMPRODUCT((cex_01[[client]:[client]]=syndicat_etude)*(cex_01[[annee]:[annee]]=Exercice[[Exercice N-2]:[Exercice N-2]])*(cex_01[[libelle_crac]:[libelle_crac]]=CEX!$B24)*(cex_01[[valeur]:[valeur]]))</f>
        <v>861</v>
      </c>
      <c r="F24" s="277" cm="1">
        <f t="array" ref="F24">SUMPRODUCT((cex_01[[client]:[client]]=syndicat_etude)*(cex_01[[annee]:[annee]]=Exercice[[Exercice N-1]:[Exercice N-1]])*(cex_01[[libelle_crac]:[libelle_crac]]=CEX!$B24)*(cex_01[[valeur]:[valeur]]))</f>
        <v>6580</v>
      </c>
      <c r="G24" s="277" cm="1">
        <f t="array" ref="G24">SUMPRODUCT((cex_01[[client]:[client]]=syndicat_etude)*(cex_01[[annee]:[annee]]=Exercice[[Exercice N]:[Exercice N]])*(cex_01[[libelle_crac]:[libelle_crac]]=CEX!$B24)*(cex_01[[valeur]:[valeur]]))</f>
        <v>774</v>
      </c>
      <c r="H24" s="342">
        <f t="shared" si="0"/>
        <v>-0.88237082066869299</v>
      </c>
    </row>
    <row r="25" spans="1:8" x14ac:dyDescent="0.25">
      <c r="B25" s="378" t="s">
        <v>1006</v>
      </c>
      <c r="C25" s="379" cm="1">
        <f t="array" ref="C25">SUMPRODUCT((cex_01[[client]:[client]]=syndicat_etude)*(cex_01[[annee]:[annee]]=Exercice[[Exercice N-4]:[Exercice N-4]])*(cex_01[[libelle_crac]:[libelle_crac]]=CEX!$B25)*(cex_01[[valeur]:[valeur]]))</f>
        <v>89263</v>
      </c>
      <c r="D25" s="379" cm="1">
        <f t="array" ref="D25">SUMPRODUCT((cex_01[[client]:[client]]=syndicat_etude)*(cex_01[[annee]:[annee]]=Exercice[[Exercice N-3]:[Exercice N-3]])*(cex_01[[libelle_crac]:[libelle_crac]]=CEX!$B25)*(cex_01[[valeur]:[valeur]]))</f>
        <v>97445</v>
      </c>
      <c r="E25" s="379" cm="1">
        <f t="array" ref="E25">SUMPRODUCT((cex_01[[client]:[client]]=syndicat_etude)*(cex_01[[annee]:[annee]]=Exercice[[Exercice N-2]:[Exercice N-2]])*(cex_01[[libelle_crac]:[libelle_crac]]=CEX!$B25)*(cex_01[[valeur]:[valeur]]))</f>
        <v>111526</v>
      </c>
      <c r="F25" s="379" cm="1">
        <f t="array" ref="F25">SUMPRODUCT((cex_01[[client]:[client]]=syndicat_etude)*(cex_01[[annee]:[annee]]=Exercice[[Exercice N-1]:[Exercice N-1]])*(cex_01[[libelle_crac]:[libelle_crac]]=CEX!$B25)*(cex_01[[valeur]:[valeur]]))</f>
        <v>105224</v>
      </c>
      <c r="G25" s="379" cm="1">
        <f t="array" ref="G25">SUMPRODUCT((cex_01[[client]:[client]]=syndicat_etude)*(cex_01[[annee]:[annee]]=Exercice[[Exercice N]:[Exercice N]])*(cex_01[[libelle_crac]:[libelle_crac]]=CEX!$B25)*(cex_01[[valeur]:[valeur]]))</f>
        <v>101617</v>
      </c>
      <c r="H25" s="380">
        <f t="shared" si="0"/>
        <v>-3.4279251881700001E-2</v>
      </c>
    </row>
    <row r="27" spans="1:8" ht="30" customHeight="1" x14ac:dyDescent="0.25">
      <c r="A27" s="290" t="s">
        <v>1007</v>
      </c>
      <c r="B27" s="66" t="s">
        <v>1008</v>
      </c>
      <c r="C27" s="67" cm="1">
        <f t="array" ref="C27">Exercice[Exercice N-4]</f>
        <v>2019</v>
      </c>
      <c r="D27" s="67" cm="1">
        <f t="array" ref="D27">Exercice[Exercice N-3]</f>
        <v>2020</v>
      </c>
      <c r="E27" s="67" cm="1">
        <f t="array" ref="E27">Exercice[Exercice N-2]</f>
        <v>2021</v>
      </c>
      <c r="F27" s="67" cm="1">
        <f t="array" ref="F27">Exercice[Exercice N-1]</f>
        <v>2022</v>
      </c>
      <c r="G27" s="67" cm="1">
        <f t="array" ref="G27">Exercice[Exercice N]</f>
        <v>2023</v>
      </c>
      <c r="H27" s="68" t="s">
        <v>273</v>
      </c>
    </row>
    <row r="28" spans="1:8" x14ac:dyDescent="0.25">
      <c r="B28" s="341" t="s">
        <v>1009</v>
      </c>
      <c r="C28" s="277" cm="1">
        <f t="array" ref="C28">SUMPRODUCT((cex_02[[client]:[client]]=syndicat_etude)*(cex_02[[annee]:[annee]]=Exercice[[Exercice N-4]:[Exercice N-4]])*(cex_02[[libelle_crac]:[libelle_crac]]=CEX!$B28)*(cex_02[[valeur]:[valeur]]))</f>
        <v>40786</v>
      </c>
      <c r="D28" s="277" cm="1">
        <f t="array" ref="D28">SUMPRODUCT((cex_02[[client]:[client]]=syndicat_etude)*(cex_02[[annee]:[annee]]=Exercice[[Exercice N-3]:[Exercice N-3]])*(cex_02[[libelle_crac]:[libelle_crac]]=CEX!$B28)*(cex_02[[valeur]:[valeur]]))</f>
        <v>41842</v>
      </c>
      <c r="E28" s="277" cm="1">
        <f t="array" ref="E28">SUMPRODUCT((cex_02[[client]:[client]]=syndicat_etude)*(cex_02[[annee]:[annee]]=Exercice[[Exercice N-2]:[Exercice N-2]])*(cex_02[[libelle_crac]:[libelle_crac]]=CEX!$B28)*(cex_02[[valeur]:[valeur]]))</f>
        <v>44093</v>
      </c>
      <c r="F28" s="277" cm="1">
        <f t="array" ref="F28">SUMPRODUCT((cex_02[[client]:[client]]=syndicat_etude)*(cex_02[[annee]:[annee]]=Exercice[[Exercice N-1]:[Exercice N-1]])*(cex_02[[libelle_crac]:[libelle_crac]]=CEX!$B28)*(cex_02[[valeur]:[valeur]]))</f>
        <v>36994</v>
      </c>
      <c r="G28" s="277" cm="1">
        <f t="array" ref="G28">SUMPRODUCT((cex_02[[client]:[client]]=syndicat_etude)*(cex_02[[annee]:[annee]]=Exercice[[Exercice N]:[Exercice N]])*(cex_02[[libelle_crac]:[libelle_crac]]=CEX!$B28)*(cex_02[[valeur]:[valeur]]))</f>
        <v>53640</v>
      </c>
      <c r="H28" s="342">
        <f t="shared" ref="H28:H52" si="1">IFERROR(G28/F28-1,"-")</f>
        <v>0.44996485916635121</v>
      </c>
    </row>
    <row r="29" spans="1:8" x14ac:dyDescent="0.25">
      <c r="B29" s="343" t="s">
        <v>1010</v>
      </c>
      <c r="C29" s="134" cm="1">
        <f t="array" ref="C29">SUMPRODUCT((cex_02[[client]:[client]]=syndicat_etude)*(cex_02[[annee]:[annee]]=Exercice[[Exercice N-4]:[Exercice N-4]])*(cex_02[[libelle_crac]:[libelle_crac]]=CEX!$B29)*(cex_02[[valeur]:[valeur]]))</f>
        <v>18546</v>
      </c>
      <c r="D29" s="134" cm="1">
        <f t="array" ref="D29">SUMPRODUCT((cex_02[[client]:[client]]=syndicat_etude)*(cex_02[[annee]:[annee]]=Exercice[[Exercice N-3]:[Exercice N-3]])*(cex_02[[libelle_crac]:[libelle_crac]]=CEX!$B29)*(cex_02[[valeur]:[valeur]]))</f>
        <v>17168</v>
      </c>
      <c r="E29" s="134" cm="1">
        <f t="array" ref="E29">SUMPRODUCT((cex_02[[client]:[client]]=syndicat_etude)*(cex_02[[annee]:[annee]]=Exercice[[Exercice N-2]:[Exercice N-2]])*(cex_02[[libelle_crac]:[libelle_crac]]=CEX!$B29)*(cex_02[[valeur]:[valeur]]))</f>
        <v>19035</v>
      </c>
      <c r="F29" s="134" cm="1">
        <f t="array" ref="F29">SUMPRODUCT((cex_02[[client]:[client]]=syndicat_etude)*(cex_02[[annee]:[annee]]=Exercice[[Exercice N-1]:[Exercice N-1]])*(cex_02[[libelle_crac]:[libelle_crac]]=CEX!$B29)*(cex_02[[valeur]:[valeur]]))</f>
        <v>9389</v>
      </c>
      <c r="G29" s="134" cm="1">
        <f t="array" ref="G29">SUMPRODUCT((cex_02[[client]:[client]]=syndicat_etude)*(cex_02[[annee]:[annee]]=Exercice[[Exercice N]:[Exercice N]])*(cex_02[[libelle_crac]:[libelle_crac]]=CEX!$B29)*(cex_02[[valeur]:[valeur]]))</f>
        <v>17120</v>
      </c>
      <c r="H29" s="120">
        <f t="shared" si="1"/>
        <v>0.82341037384172977</v>
      </c>
    </row>
    <row r="30" spans="1:8" x14ac:dyDescent="0.25">
      <c r="B30" s="343" t="s">
        <v>1011</v>
      </c>
      <c r="C30" s="134" cm="1">
        <f t="array" ref="C30">SUMPRODUCT((cex_02[[client]:[client]]=syndicat_etude)*(cex_02[[annee]:[annee]]=Exercice[[Exercice N-4]:[Exercice N-4]])*(cex_02[[libelle_crac]:[libelle_crac]]=CEX!$B30)*(cex_02[[valeur]:[valeur]]))</f>
        <v>5000</v>
      </c>
      <c r="D30" s="134" cm="1">
        <f t="array" ref="D30">SUMPRODUCT((cex_02[[client]:[client]]=syndicat_etude)*(cex_02[[annee]:[annee]]=Exercice[[Exercice N-3]:[Exercice N-3]])*(cex_02[[libelle_crac]:[libelle_crac]]=CEX!$B30)*(cex_02[[valeur]:[valeur]]))</f>
        <v>5506</v>
      </c>
      <c r="E30" s="134" cm="1">
        <f t="array" ref="E30">SUMPRODUCT((cex_02[[client]:[client]]=syndicat_etude)*(cex_02[[annee]:[annee]]=Exercice[[Exercice N-2]:[Exercice N-2]])*(cex_02[[libelle_crac]:[libelle_crac]]=CEX!$B30)*(cex_02[[valeur]:[valeur]]))</f>
        <v>7287</v>
      </c>
      <c r="F30" s="134" cm="1">
        <f t="array" ref="F30">SUMPRODUCT((cex_02[[client]:[client]]=syndicat_etude)*(cex_02[[annee]:[annee]]=Exercice[[Exercice N-1]:[Exercice N-1]])*(cex_02[[libelle_crac]:[libelle_crac]]=CEX!$B30)*(cex_02[[valeur]:[valeur]]))</f>
        <v>10776</v>
      </c>
      <c r="G30" s="134" cm="1">
        <f t="array" ref="G30">SUMPRODUCT((cex_02[[client]:[client]]=syndicat_etude)*(cex_02[[annee]:[annee]]=Exercice[[Exercice N]:[Exercice N]])*(cex_02[[libelle_crac]:[libelle_crac]]=CEX!$B30)*(cex_02[[valeur]:[valeur]]))</f>
        <v>17666</v>
      </c>
      <c r="H30" s="120">
        <f t="shared" si="1"/>
        <v>0.63938381588715654</v>
      </c>
    </row>
    <row r="31" spans="1:8" x14ac:dyDescent="0.25">
      <c r="B31" s="343" t="s">
        <v>1012</v>
      </c>
      <c r="C31" s="134" cm="1">
        <f t="array" ref="C31">SUMPRODUCT((cex_02[[client]:[client]]=syndicat_etude)*(cex_02[[annee]:[annee]]=Exercice[[Exercice N-4]:[Exercice N-4]])*(cex_02[[libelle_crac]:[libelle_crac]]=CEX!$B31)*(cex_02[[valeur]:[valeur]]))</f>
        <v>1734</v>
      </c>
      <c r="D31" s="134" cm="1">
        <f t="array" ref="D31">SUMPRODUCT((cex_02[[client]:[client]]=syndicat_etude)*(cex_02[[annee]:[annee]]=Exercice[[Exercice N-3]:[Exercice N-3]])*(cex_02[[libelle_crac]:[libelle_crac]]=CEX!$B31)*(cex_02[[valeur]:[valeur]]))</f>
        <v>2549</v>
      </c>
      <c r="E31" s="134" cm="1">
        <f t="array" ref="E31">SUMPRODUCT((cex_02[[client]:[client]]=syndicat_etude)*(cex_02[[annee]:[annee]]=Exercice[[Exercice N-2]:[Exercice N-2]])*(cex_02[[libelle_crac]:[libelle_crac]]=CEX!$B31)*(cex_02[[valeur]:[valeur]]))</f>
        <v>1766</v>
      </c>
      <c r="F31" s="134" cm="1">
        <f t="array" ref="F31">SUMPRODUCT((cex_02[[client]:[client]]=syndicat_etude)*(cex_02[[annee]:[annee]]=Exercice[[Exercice N-1]:[Exercice N-1]])*(cex_02[[libelle_crac]:[libelle_crac]]=CEX!$B31)*(cex_02[[valeur]:[valeur]]))</f>
        <v>2260</v>
      </c>
      <c r="G31" s="134" cm="1">
        <f t="array" ref="G31">SUMPRODUCT((cex_02[[client]:[client]]=syndicat_etude)*(cex_02[[annee]:[annee]]=Exercice[[Exercice N]:[Exercice N]])*(cex_02[[libelle_crac]:[libelle_crac]]=CEX!$B31)*(cex_02[[valeur]:[valeur]]))</f>
        <v>2127</v>
      </c>
      <c r="H31" s="120">
        <f t="shared" si="1"/>
        <v>-5.8849557522123841E-2</v>
      </c>
    </row>
    <row r="32" spans="1:8" x14ac:dyDescent="0.25">
      <c r="B32" s="343" t="s">
        <v>1013</v>
      </c>
      <c r="C32" s="134" cm="1">
        <f t="array" ref="C32">SUMPRODUCT((cex_02[[client]:[client]]=syndicat_etude)*(cex_02[[annee]:[annee]]=Exercice[[Exercice N-4]:[Exercice N-4]])*(cex_02[[libelle_crac]:[libelle_crac]]=CEX!$B32)*(cex_02[[valeur]:[valeur]]))</f>
        <v>15505</v>
      </c>
      <c r="D32" s="134" cm="1">
        <f t="array" ref="D32">SUMPRODUCT((cex_02[[client]:[client]]=syndicat_etude)*(cex_02[[annee]:[annee]]=Exercice[[Exercice N-3]:[Exercice N-3]])*(cex_02[[libelle_crac]:[libelle_crac]]=CEX!$B32)*(cex_02[[valeur]:[valeur]]))</f>
        <v>16620</v>
      </c>
      <c r="E32" s="134" cm="1">
        <f t="array" ref="E32">SUMPRODUCT((cex_02[[client]:[client]]=syndicat_etude)*(cex_02[[annee]:[annee]]=Exercice[[Exercice N-2]:[Exercice N-2]])*(cex_02[[libelle_crac]:[libelle_crac]]=CEX!$B32)*(cex_02[[valeur]:[valeur]]))</f>
        <v>16006</v>
      </c>
      <c r="F32" s="134" cm="1">
        <f t="array" ref="F32">SUMPRODUCT((cex_02[[client]:[client]]=syndicat_etude)*(cex_02[[annee]:[annee]]=Exercice[[Exercice N-1]:[Exercice N-1]])*(cex_02[[libelle_crac]:[libelle_crac]]=CEX!$B32)*(cex_02[[valeur]:[valeur]]))</f>
        <v>14569</v>
      </c>
      <c r="G32" s="134" cm="1">
        <f t="array" ref="G32">SUMPRODUCT((cex_02[[client]:[client]]=syndicat_etude)*(cex_02[[annee]:[annee]]=Exercice[[Exercice N]:[Exercice N]])*(cex_02[[libelle_crac]:[libelle_crac]]=CEX!$B32)*(cex_02[[valeur]:[valeur]]))</f>
        <v>16727</v>
      </c>
      <c r="H32" s="120">
        <f t="shared" si="1"/>
        <v>0.14812272633674239</v>
      </c>
    </row>
    <row r="33" spans="2:8" x14ac:dyDescent="0.25">
      <c r="B33" s="377" t="s">
        <v>792</v>
      </c>
      <c r="C33" s="11" cm="1">
        <f t="array" ref="C33">SUMPRODUCT((cex_02[[client]:[client]]=syndicat_etude)*(cex_02[[annee]:[annee]]=Exercice[[Exercice N-4]:[Exercice N-4]])*(cex_02[[libelle_crac]:[libelle_crac]]=CEX!$B33)*(cex_02[[valeur]:[valeur]]))</f>
        <v>3856</v>
      </c>
      <c r="D33" s="11" cm="1">
        <f t="array" ref="D33">SUMPRODUCT((cex_02[[client]:[client]]=syndicat_etude)*(cex_02[[annee]:[annee]]=Exercice[[Exercice N-3]:[Exercice N-3]])*(cex_02[[libelle_crac]:[libelle_crac]]=CEX!$B33)*(cex_02[[valeur]:[valeur]]))</f>
        <v>6795</v>
      </c>
      <c r="E33" s="11" cm="1">
        <f t="array" ref="E33">SUMPRODUCT((cex_02[[client]:[client]]=syndicat_etude)*(cex_02[[annee]:[annee]]=Exercice[[Exercice N-2]:[Exercice N-2]])*(cex_02[[libelle_crac]:[libelle_crac]]=CEX!$B33)*(cex_02[[valeur]:[valeur]]))</f>
        <v>5838</v>
      </c>
      <c r="F33" s="11" cm="1">
        <f t="array" ref="F33">SUMPRODUCT((cex_02[[client]:[client]]=syndicat_etude)*(cex_02[[annee]:[annee]]=Exercice[[Exercice N-1]:[Exercice N-1]])*(cex_02[[libelle_crac]:[libelle_crac]]=CEX!$B33)*(cex_02[[valeur]:[valeur]]))</f>
        <v>5314</v>
      </c>
      <c r="G33" s="11" cm="1">
        <f t="array" ref="G33">SUMPRODUCT((cex_02[[client]:[client]]=syndicat_etude)*(cex_02[[annee]:[annee]]=Exercice[[Exercice N]:[Exercice N]])*(cex_02[[libelle_crac]:[libelle_crac]]=CEX!$B33)*(cex_02[[valeur]:[valeur]]))</f>
        <v>6843</v>
      </c>
      <c r="H33" s="120">
        <f t="shared" si="1"/>
        <v>0.28773052314640579</v>
      </c>
    </row>
    <row r="34" spans="2:8" x14ac:dyDescent="0.25">
      <c r="B34" s="377" t="s">
        <v>798</v>
      </c>
      <c r="C34" s="11" cm="1">
        <f t="array" ref="C34">SUMPRODUCT((cex_02[[client]:[client]]=syndicat_etude)*(cex_02[[annee]:[annee]]=Exercice[[Exercice N-4]:[Exercice N-4]])*(cex_02[[libelle_crac]:[libelle_crac]]=CEX!$B34)*(cex_02[[valeur]:[valeur]]))</f>
        <v>1317</v>
      </c>
      <c r="D34" s="11" cm="1">
        <f t="array" ref="D34">SUMPRODUCT((cex_02[[client]:[client]]=syndicat_etude)*(cex_02[[annee]:[annee]]=Exercice[[Exercice N-3]:[Exercice N-3]])*(cex_02[[libelle_crac]:[libelle_crac]]=CEX!$B34)*(cex_02[[valeur]:[valeur]]))</f>
        <v>1171</v>
      </c>
      <c r="E34" s="11" cm="1">
        <f t="array" ref="E34">SUMPRODUCT((cex_02[[client]:[client]]=syndicat_etude)*(cex_02[[annee]:[annee]]=Exercice[[Exercice N-2]:[Exercice N-2]])*(cex_02[[libelle_crac]:[libelle_crac]]=CEX!$B34)*(cex_02[[valeur]:[valeur]]))</f>
        <v>1429</v>
      </c>
      <c r="F34" s="11" cm="1">
        <f t="array" ref="F34">SUMPRODUCT((cex_02[[client]:[client]]=syndicat_etude)*(cex_02[[annee]:[annee]]=Exercice[[Exercice N-1]:[Exercice N-1]])*(cex_02[[libelle_crac]:[libelle_crac]]=CEX!$B34)*(cex_02[[valeur]:[valeur]]))</f>
        <v>1511</v>
      </c>
      <c r="G34" s="11" cm="1">
        <f t="array" ref="G34">SUMPRODUCT((cex_02[[client]:[client]]=syndicat_etude)*(cex_02[[annee]:[annee]]=Exercice[[Exercice N]:[Exercice N]])*(cex_02[[libelle_crac]:[libelle_crac]]=CEX!$B34)*(cex_02[[valeur]:[valeur]]))</f>
        <v>1582</v>
      </c>
      <c r="H34" s="120">
        <f t="shared" si="1"/>
        <v>4.6988749172733213E-2</v>
      </c>
    </row>
    <row r="35" spans="2:8" x14ac:dyDescent="0.25">
      <c r="B35" s="377" t="s">
        <v>1014</v>
      </c>
      <c r="C35" s="11" cm="1">
        <f t="array" ref="C35">SUMPRODUCT((cex_02[[client]:[client]]=syndicat_etude)*(cex_02[[annee]:[annee]]=Exercice[[Exercice N-4]:[Exercice N-4]])*(cex_02[[libelle_crac]:[libelle_crac]]=CEX!$B35)*(cex_02[[valeur]:[valeur]]))</f>
        <v>1819</v>
      </c>
      <c r="D35" s="11" cm="1">
        <f t="array" ref="D35">SUMPRODUCT((cex_02[[client]:[client]]=syndicat_etude)*(cex_02[[annee]:[annee]]=Exercice[[Exercice N-3]:[Exercice N-3]])*(cex_02[[libelle_crac]:[libelle_crac]]=CEX!$B35)*(cex_02[[valeur]:[valeur]]))</f>
        <v>1774</v>
      </c>
      <c r="E35" s="11" cm="1">
        <f t="array" ref="E35">SUMPRODUCT((cex_02[[client]:[client]]=syndicat_etude)*(cex_02[[annee]:[annee]]=Exercice[[Exercice N-2]:[Exercice N-2]])*(cex_02[[libelle_crac]:[libelle_crac]]=CEX!$B35)*(cex_02[[valeur]:[valeur]]))</f>
        <v>1743</v>
      </c>
      <c r="F35" s="11" cm="1">
        <f t="array" ref="F35">SUMPRODUCT((cex_02[[client]:[client]]=syndicat_etude)*(cex_02[[annee]:[annee]]=Exercice[[Exercice N-1]:[Exercice N-1]])*(cex_02[[libelle_crac]:[libelle_crac]]=CEX!$B35)*(cex_02[[valeur]:[valeur]]))</f>
        <v>1563</v>
      </c>
      <c r="G35" s="11" cm="1">
        <f t="array" ref="G35">SUMPRODUCT((cex_02[[client]:[client]]=syndicat_etude)*(cex_02[[annee]:[annee]]=Exercice[[Exercice N]:[Exercice N]])*(cex_02[[libelle_crac]:[libelle_crac]]=CEX!$B35)*(cex_02[[valeur]:[valeur]]))</f>
        <v>1441</v>
      </c>
      <c r="H35" s="120">
        <f t="shared" si="1"/>
        <v>-7.8055022392834239E-2</v>
      </c>
    </row>
    <row r="36" spans="2:8" x14ac:dyDescent="0.25">
      <c r="B36" s="377" t="s">
        <v>1015</v>
      </c>
      <c r="C36" s="11" cm="1">
        <f t="array" ref="C36">SUMPRODUCT((cex_02[[client]:[client]]=syndicat_etude)*(cex_02[[annee]:[annee]]=Exercice[[Exercice N-4]:[Exercice N-4]])*(cex_02[[libelle_crac]:[libelle_crac]]=CEX!$B36)*(cex_02[[valeur]:[valeur]]))</f>
        <v>3329</v>
      </c>
      <c r="D36" s="11" cm="1">
        <f t="array" ref="D36">SUMPRODUCT((cex_02[[client]:[client]]=syndicat_etude)*(cex_02[[annee]:[annee]]=Exercice[[Exercice N-3]:[Exercice N-3]])*(cex_02[[libelle_crac]:[libelle_crac]]=CEX!$B36)*(cex_02[[valeur]:[valeur]]))</f>
        <v>2992</v>
      </c>
      <c r="E36" s="11" cm="1">
        <f t="array" ref="E36">SUMPRODUCT((cex_02[[client]:[client]]=syndicat_etude)*(cex_02[[annee]:[annee]]=Exercice[[Exercice N-2]:[Exercice N-2]])*(cex_02[[libelle_crac]:[libelle_crac]]=CEX!$B36)*(cex_02[[valeur]:[valeur]]))</f>
        <v>3073</v>
      </c>
      <c r="F36" s="11" cm="1">
        <f t="array" ref="F36">SUMPRODUCT((cex_02[[client]:[client]]=syndicat_etude)*(cex_02[[annee]:[annee]]=Exercice[[Exercice N-1]:[Exercice N-1]])*(cex_02[[libelle_crac]:[libelle_crac]]=CEX!$B36)*(cex_02[[valeur]:[valeur]]))</f>
        <v>2823</v>
      </c>
      <c r="G36" s="11" cm="1">
        <f t="array" ref="G36">SUMPRODUCT((cex_02[[client]:[client]]=syndicat_etude)*(cex_02[[annee]:[annee]]=Exercice[[Exercice N]:[Exercice N]])*(cex_02[[libelle_crac]:[libelle_crac]]=CEX!$B36)*(cex_02[[valeur]:[valeur]]))</f>
        <v>3026</v>
      </c>
      <c r="H36" s="120">
        <f t="shared" si="1"/>
        <v>7.190931633014519E-2</v>
      </c>
    </row>
    <row r="37" spans="2:8" x14ac:dyDescent="0.25">
      <c r="B37" s="377" t="s">
        <v>1016</v>
      </c>
      <c r="C37" s="11" cm="1">
        <f t="array" ref="C37">SUMPRODUCT((cex_02[[client]:[client]]=syndicat_etude)*(cex_02[[annee]:[annee]]=Exercice[[Exercice N-4]:[Exercice N-4]])*(cex_02[[libelle_crac]:[libelle_crac]]=CEX!$B37)*(cex_02[[valeur]:[valeur]]))</f>
        <v>1820</v>
      </c>
      <c r="D37" s="11" cm="1">
        <f t="array" ref="D37">SUMPRODUCT((cex_02[[client]:[client]]=syndicat_etude)*(cex_02[[annee]:[annee]]=Exercice[[Exercice N-3]:[Exercice N-3]])*(cex_02[[libelle_crac]:[libelle_crac]]=CEX!$B37)*(cex_02[[valeur]:[valeur]]))</f>
        <v>1862</v>
      </c>
      <c r="E37" s="11" cm="1">
        <f t="array" ref="E37">SUMPRODUCT((cex_02[[client]:[client]]=syndicat_etude)*(cex_02[[annee]:[annee]]=Exercice[[Exercice N-2]:[Exercice N-2]])*(cex_02[[libelle_crac]:[libelle_crac]]=CEX!$B37)*(cex_02[[valeur]:[valeur]]))</f>
        <v>1931</v>
      </c>
      <c r="F37" s="11" cm="1">
        <f t="array" ref="F37">SUMPRODUCT((cex_02[[client]:[client]]=syndicat_etude)*(cex_02[[annee]:[annee]]=Exercice[[Exercice N-1]:[Exercice N-1]])*(cex_02[[libelle_crac]:[libelle_crac]]=CEX!$B37)*(cex_02[[valeur]:[valeur]]))</f>
        <v>1864</v>
      </c>
      <c r="G37" s="11" cm="1">
        <f t="array" ref="G37">SUMPRODUCT((cex_02[[client]:[client]]=syndicat_etude)*(cex_02[[annee]:[annee]]=Exercice[[Exercice N]:[Exercice N]])*(cex_02[[libelle_crac]:[libelle_crac]]=CEX!$B37)*(cex_02[[valeur]:[valeur]]))</f>
        <v>1933</v>
      </c>
      <c r="H37" s="120">
        <f t="shared" si="1"/>
        <v>3.7017167381974359E-2</v>
      </c>
    </row>
    <row r="38" spans="2:8" x14ac:dyDescent="0.25">
      <c r="B38" s="377" t="s">
        <v>1017</v>
      </c>
      <c r="C38" s="11" cm="1">
        <f t="array" ref="C38">SUMPRODUCT((cex_02[[client]:[client]]=syndicat_etude)*(cex_02[[annee]:[annee]]=Exercice[[Exercice N-4]:[Exercice N-4]])*(cex_02[[libelle_crac]:[libelle_crac]]=CEX!$B38)*(cex_02[[valeur]:[valeur]]))</f>
        <v>3364</v>
      </c>
      <c r="D38" s="11" cm="1">
        <f t="array" ref="D38">SUMPRODUCT((cex_02[[client]:[client]]=syndicat_etude)*(cex_02[[annee]:[annee]]=Exercice[[Exercice N-3]:[Exercice N-3]])*(cex_02[[libelle_crac]:[libelle_crac]]=CEX!$B38)*(cex_02[[valeur]:[valeur]]))</f>
        <v>2026</v>
      </c>
      <c r="E38" s="11" cm="1">
        <f t="array" ref="E38">SUMPRODUCT((cex_02[[client]:[client]]=syndicat_etude)*(cex_02[[annee]:[annee]]=Exercice[[Exercice N-2]:[Exercice N-2]])*(cex_02[[libelle_crac]:[libelle_crac]]=CEX!$B38)*(cex_02[[valeur]:[valeur]]))</f>
        <v>1991</v>
      </c>
      <c r="F38" s="11" cm="1">
        <f t="array" ref="F38">SUMPRODUCT((cex_02[[client]:[client]]=syndicat_etude)*(cex_02[[annee]:[annee]]=Exercice[[Exercice N-1]:[Exercice N-1]])*(cex_02[[libelle_crac]:[libelle_crac]]=CEX!$B38)*(cex_02[[valeur]:[valeur]]))</f>
        <v>1495</v>
      </c>
      <c r="G38" s="11" cm="1">
        <f t="array" ref="G38">SUMPRODUCT((cex_02[[client]:[client]]=syndicat_etude)*(cex_02[[annee]:[annee]]=Exercice[[Exercice N]:[Exercice N]])*(cex_02[[libelle_crac]:[libelle_crac]]=CEX!$B38)*(cex_02[[valeur]:[valeur]]))</f>
        <v>1903</v>
      </c>
      <c r="H38" s="120">
        <f t="shared" si="1"/>
        <v>0.27290969899665551</v>
      </c>
    </row>
    <row r="39" spans="2:8" x14ac:dyDescent="0.25">
      <c r="B39" s="341" t="s">
        <v>1018</v>
      </c>
      <c r="C39" s="277" cm="1">
        <f t="array" ref="C39">SUMPRODUCT((cex_02[[client]:[client]]=syndicat_etude)*(cex_02[[annee]:[annee]]=Exercice[[Exercice N-4]:[Exercice N-4]])*(cex_02[[libelle_crac]:[libelle_crac]]=CEX!$B39)*(cex_02[[valeur]:[valeur]]))</f>
        <v>4123</v>
      </c>
      <c r="D39" s="277" cm="1">
        <f t="array" ref="D39">SUMPRODUCT((cex_02[[client]:[client]]=syndicat_etude)*(cex_02[[annee]:[annee]]=Exercice[[Exercice N-3]:[Exercice N-3]])*(cex_02[[libelle_crac]:[libelle_crac]]=CEX!$B39)*(cex_02[[valeur]:[valeur]]))</f>
        <v>4176</v>
      </c>
      <c r="E39" s="277" cm="1">
        <f t="array" ref="E39">SUMPRODUCT((cex_02[[client]:[client]]=syndicat_etude)*(cex_02[[annee]:[annee]]=Exercice[[Exercice N-2]:[Exercice N-2]])*(cex_02[[libelle_crac]:[libelle_crac]]=CEX!$B39)*(cex_02[[valeur]:[valeur]]))</f>
        <v>3637</v>
      </c>
      <c r="F39" s="277" cm="1">
        <f t="array" ref="F39">SUMPRODUCT((cex_02[[client]:[client]]=syndicat_etude)*(cex_02[[annee]:[annee]]=Exercice[[Exercice N-1]:[Exercice N-1]])*(cex_02[[libelle_crac]:[libelle_crac]]=CEX!$B39)*(cex_02[[valeur]:[valeur]]))</f>
        <v>3865</v>
      </c>
      <c r="G39" s="277" cm="1">
        <f t="array" ref="G39">SUMPRODUCT((cex_02[[client]:[client]]=syndicat_etude)*(cex_02[[annee]:[annee]]=Exercice[[Exercice N]:[Exercice N]])*(cex_02[[libelle_crac]:[libelle_crac]]=CEX!$B39)*(cex_02[[valeur]:[valeur]]))</f>
        <v>3702</v>
      </c>
      <c r="H39" s="342">
        <f t="shared" si="1"/>
        <v>-4.217335058214744E-2</v>
      </c>
    </row>
    <row r="40" spans="2:8" x14ac:dyDescent="0.25">
      <c r="B40" s="287" t="s">
        <v>1019</v>
      </c>
      <c r="C40" s="11" cm="1">
        <f t="array" ref="C40">SUMPRODUCT((cex_02[[client]:[client]]=syndicat_etude)*(cex_02[[annee]:[annee]]=Exercice[[Exercice N-4]:[Exercice N-4]])*(cex_02[[libelle_crac]:[libelle_crac]]=CEX!$B40)*(cex_02[[valeur]:[valeur]]))</f>
        <v>1415</v>
      </c>
      <c r="D40" s="11" cm="1">
        <f t="array" ref="D40">SUMPRODUCT((cex_02[[client]:[client]]=syndicat_etude)*(cex_02[[annee]:[annee]]=Exercice[[Exercice N-3]:[Exercice N-3]])*(cex_02[[libelle_crac]:[libelle_crac]]=CEX!$B40)*(cex_02[[valeur]:[valeur]]))</f>
        <v>1428</v>
      </c>
      <c r="E40" s="11" cm="1">
        <f t="array" ref="E40">SUMPRODUCT((cex_02[[client]:[client]]=syndicat_etude)*(cex_02[[annee]:[annee]]=Exercice[[Exercice N-2]:[Exercice N-2]])*(cex_02[[libelle_crac]:[libelle_crac]]=CEX!$B40)*(cex_02[[valeur]:[valeur]]))</f>
        <v>1400</v>
      </c>
      <c r="F40" s="11" cm="1">
        <f t="array" ref="F40">SUMPRODUCT((cex_02[[client]:[client]]=syndicat_etude)*(cex_02[[annee]:[annee]]=Exercice[[Exercice N-1]:[Exercice N-1]])*(cex_02[[libelle_crac]:[libelle_crac]]=CEX!$B40)*(cex_02[[valeur]:[valeur]]))</f>
        <v>1467</v>
      </c>
      <c r="G40" s="11" cm="1">
        <f t="array" ref="G40">SUMPRODUCT((cex_02[[client]:[client]]=syndicat_etude)*(cex_02[[annee]:[annee]]=Exercice[[Exercice N]:[Exercice N]])*(cex_02[[libelle_crac]:[libelle_crac]]=CEX!$B40)*(cex_02[[valeur]:[valeur]]))</f>
        <v>1444</v>
      </c>
      <c r="H40" s="120">
        <f t="shared" si="1"/>
        <v>-1.5678254942058656E-2</v>
      </c>
    </row>
    <row r="41" spans="2:8" x14ac:dyDescent="0.25">
      <c r="B41" s="287" t="s">
        <v>1020</v>
      </c>
      <c r="C41" s="11" cm="1">
        <f t="array" ref="C41">SUMPRODUCT((cex_02[[client]:[client]]=syndicat_etude)*(cex_02[[annee]:[annee]]=Exercice[[Exercice N-4]:[Exercice N-4]])*(cex_02[[libelle_crac]:[libelle_crac]]=CEX!$B41)*(cex_02[[valeur]:[valeur]]))</f>
        <v>2708</v>
      </c>
      <c r="D41" s="11" cm="1">
        <f t="array" ref="D41">SUMPRODUCT((cex_02[[client]:[client]]=syndicat_etude)*(cex_02[[annee]:[annee]]=Exercice[[Exercice N-3]:[Exercice N-3]])*(cex_02[[libelle_crac]:[libelle_crac]]=CEX!$B41)*(cex_02[[valeur]:[valeur]]))</f>
        <v>2748</v>
      </c>
      <c r="E41" s="11" cm="1">
        <f t="array" ref="E41">SUMPRODUCT((cex_02[[client]:[client]]=syndicat_etude)*(cex_02[[annee]:[annee]]=Exercice[[Exercice N-2]:[Exercice N-2]])*(cex_02[[libelle_crac]:[libelle_crac]]=CEX!$B41)*(cex_02[[valeur]:[valeur]]))</f>
        <v>2236</v>
      </c>
      <c r="F41" s="11" cm="1">
        <f t="array" ref="F41">SUMPRODUCT((cex_02[[client]:[client]]=syndicat_etude)*(cex_02[[annee]:[annee]]=Exercice[[Exercice N-1]:[Exercice N-1]])*(cex_02[[libelle_crac]:[libelle_crac]]=CEX!$B41)*(cex_02[[valeur]:[valeur]]))</f>
        <v>2397</v>
      </c>
      <c r="G41" s="11" cm="1">
        <f t="array" ref="G41">SUMPRODUCT((cex_02[[client]:[client]]=syndicat_etude)*(cex_02[[annee]:[annee]]=Exercice[[Exercice N]:[Exercice N]])*(cex_02[[libelle_crac]:[libelle_crac]]=CEX!$B41)*(cex_02[[valeur]:[valeur]]))</f>
        <v>2258</v>
      </c>
      <c r="H41" s="120">
        <f t="shared" si="1"/>
        <v>-5.798915310805175E-2</v>
      </c>
    </row>
    <row r="42" spans="2:8" x14ac:dyDescent="0.25">
      <c r="B42" s="341" t="s">
        <v>1021</v>
      </c>
      <c r="C42" s="277" cm="1">
        <f t="array" ref="C42">SUMPRODUCT((cex_02[[client]:[client]]=syndicat_etude)*(cex_02[[annee]:[annee]]=Exercice[[Exercice N-4]:[Exercice N-4]])*(cex_02[[libelle_crac]:[libelle_crac]]=CEX!$B42)*(cex_02[[valeur]:[valeur]]))</f>
        <v>14132</v>
      </c>
      <c r="D42" s="277" cm="1">
        <f t="array" ref="D42">SUMPRODUCT((cex_02[[client]:[client]]=syndicat_etude)*(cex_02[[annee]:[annee]]=Exercice[[Exercice N-3]:[Exercice N-3]])*(cex_02[[libelle_crac]:[libelle_crac]]=CEX!$B42)*(cex_02[[valeur]:[valeur]]))</f>
        <v>14464</v>
      </c>
      <c r="E42" s="277" cm="1">
        <f t="array" ref="E42">SUMPRODUCT((cex_02[[client]:[client]]=syndicat_etude)*(cex_02[[annee]:[annee]]=Exercice[[Exercice N-2]:[Exercice N-2]])*(cex_02[[libelle_crac]:[libelle_crac]]=CEX!$B42)*(cex_02[[valeur]:[valeur]]))</f>
        <v>14835</v>
      </c>
      <c r="F42" s="277" cm="1">
        <f t="array" ref="F42">SUMPRODUCT((cex_02[[client]:[client]]=syndicat_etude)*(cex_02[[annee]:[annee]]=Exercice[[Exercice N-1]:[Exercice N-1]])*(cex_02[[libelle_crac]:[libelle_crac]]=CEX!$B42)*(cex_02[[valeur]:[valeur]]))</f>
        <v>14768</v>
      </c>
      <c r="G42" s="277" cm="1">
        <f t="array" ref="G42">SUMPRODUCT((cex_02[[client]:[client]]=syndicat_etude)*(cex_02[[annee]:[annee]]=Exercice[[Exercice N]:[Exercice N]])*(cex_02[[libelle_crac]:[libelle_crac]]=CEX!$B42)*(cex_02[[valeur]:[valeur]]))</f>
        <v>15184</v>
      </c>
      <c r="H42" s="342">
        <f t="shared" si="1"/>
        <v>2.8169014084507005E-2</v>
      </c>
    </row>
    <row r="43" spans="2:8" x14ac:dyDescent="0.25">
      <c r="B43" s="341" t="s">
        <v>1022</v>
      </c>
      <c r="C43" s="277" cm="1">
        <f t="array" ref="C43">SUMPRODUCT((cex_02[[client]:[client]]=syndicat_etude)*(cex_02[[annee]:[annee]]=Exercice[[Exercice N-4]:[Exercice N-4]])*(cex_02[[libelle_crac]:[libelle_crac]]=CEX!$B43)*(cex_02[[valeur]:[valeur]]))</f>
        <v>20701</v>
      </c>
      <c r="D43" s="277" cm="1">
        <f t="array" ref="D43">SUMPRODUCT((cex_02[[client]:[client]]=syndicat_etude)*(cex_02[[annee]:[annee]]=Exercice[[Exercice N-3]:[Exercice N-3]])*(cex_02[[libelle_crac]:[libelle_crac]]=CEX!$B43)*(cex_02[[valeur]:[valeur]]))</f>
        <v>21286</v>
      </c>
      <c r="E43" s="277" cm="1">
        <f t="array" ref="E43">SUMPRODUCT((cex_02[[client]:[client]]=syndicat_etude)*(cex_02[[annee]:[annee]]=Exercice[[Exercice N-2]:[Exercice N-2]])*(cex_02[[libelle_crac]:[libelle_crac]]=CEX!$B43)*(cex_02[[valeur]:[valeur]]))</f>
        <v>23317</v>
      </c>
      <c r="F43" s="277" cm="1">
        <f t="array" ref="F43">SUMPRODUCT((cex_02[[client]:[client]]=syndicat_etude)*(cex_02[[annee]:[annee]]=Exercice[[Exercice N-1]:[Exercice N-1]])*(cex_02[[libelle_crac]:[libelle_crac]]=CEX!$B43)*(cex_02[[valeur]:[valeur]]))</f>
        <v>25914</v>
      </c>
      <c r="G43" s="277" cm="1">
        <f t="array" ref="G43">SUMPRODUCT((cex_02[[client]:[client]]=syndicat_etude)*(cex_02[[annee]:[annee]]=Exercice[[Exercice N]:[Exercice N]])*(cex_02[[libelle_crac]:[libelle_crac]]=CEX!$B43)*(cex_02[[valeur]:[valeur]]))</f>
        <v>20053</v>
      </c>
      <c r="H43" s="342">
        <f t="shared" si="1"/>
        <v>-0.22617118160067917</v>
      </c>
    </row>
    <row r="44" spans="2:8" x14ac:dyDescent="0.25">
      <c r="B44" s="343" t="s">
        <v>1023</v>
      </c>
      <c r="C44" s="134" cm="1">
        <f t="array" ref="C44">SUMPRODUCT((cex_02[[client]:[client]]=syndicat_etude)*(cex_02[[annee]:[annee]]=Exercice[[Exercice N-4]:[Exercice N-4]])*(cex_02[[libelle_crac]:[libelle_crac]]=CEX!$B44)*(cex_02[[valeur]:[valeur]]))</f>
        <v>10797</v>
      </c>
      <c r="D44" s="134" cm="1">
        <f t="array" ref="D44">SUMPRODUCT((cex_02[[client]:[client]]=syndicat_etude)*(cex_02[[annee]:[annee]]=Exercice[[Exercice N-3]:[Exercice N-3]])*(cex_02[[libelle_crac]:[libelle_crac]]=CEX!$B44)*(cex_02[[valeur]:[valeur]]))</f>
        <v>10835</v>
      </c>
      <c r="E44" s="134" cm="1">
        <f t="array" ref="E44">SUMPRODUCT((cex_02[[client]:[client]]=syndicat_etude)*(cex_02[[annee]:[annee]]=Exercice[[Exercice N-2]:[Exercice N-2]])*(cex_02[[libelle_crac]:[libelle_crac]]=CEX!$B44)*(cex_02[[valeur]:[valeur]]))</f>
        <v>11972</v>
      </c>
      <c r="F44" s="134" cm="1">
        <f t="array" ref="F44">SUMPRODUCT((cex_02[[client]:[client]]=syndicat_etude)*(cex_02[[annee]:[annee]]=Exercice[[Exercice N-1]:[Exercice N-1]])*(cex_02[[libelle_crac]:[libelle_crac]]=CEX!$B44)*(cex_02[[valeur]:[valeur]]))</f>
        <v>14389</v>
      </c>
      <c r="G44" s="134" cm="1">
        <f t="array" ref="G44">SUMPRODUCT((cex_02[[client]:[client]]=syndicat_etude)*(cex_02[[annee]:[annee]]=Exercice[[Exercice N]:[Exercice N]])*(cex_02[[libelle_crac]:[libelle_crac]]=CEX!$B44)*(cex_02[[valeur]:[valeur]]))</f>
        <v>12063</v>
      </c>
      <c r="H44" s="120">
        <f t="shared" si="1"/>
        <v>-0.16165126138022101</v>
      </c>
    </row>
    <row r="45" spans="2:8" x14ac:dyDescent="0.25">
      <c r="B45" s="377" t="s">
        <v>1024</v>
      </c>
      <c r="C45" s="11" cm="1">
        <f t="array" ref="C45">SUMPRODUCT((cex_02[[client]:[client]]=syndicat_etude)*(cex_02[[annee]:[annee]]=Exercice[[Exercice N-4]:[Exercice N-4]])*(cex_02[[libelle_crac]:[libelle_crac]]=CEX!$B45)*(cex_02[[valeur]:[valeur]]))</f>
        <v>6303</v>
      </c>
      <c r="D45" s="11" cm="1">
        <f t="array" ref="D45">SUMPRODUCT((cex_02[[client]:[client]]=syndicat_etude)*(cex_02[[annee]:[annee]]=Exercice[[Exercice N-3]:[Exercice N-3]])*(cex_02[[libelle_crac]:[libelle_crac]]=CEX!$B45)*(cex_02[[valeur]:[valeur]]))</f>
        <v>6485</v>
      </c>
      <c r="E45" s="11" cm="1">
        <f t="array" ref="E45">SUMPRODUCT((cex_02[[client]:[client]]=syndicat_etude)*(cex_02[[annee]:[annee]]=Exercice[[Exercice N-2]:[Exercice N-2]])*(cex_02[[libelle_crac]:[libelle_crac]]=CEX!$B45)*(cex_02[[valeur]:[valeur]]))</f>
        <v>6664</v>
      </c>
      <c r="F45" s="11" cm="1">
        <f t="array" ref="F45">SUMPRODUCT((cex_02[[client]:[client]]=syndicat_etude)*(cex_02[[annee]:[annee]]=Exercice[[Exercice N-1]:[Exercice N-1]])*(cex_02[[libelle_crac]:[libelle_crac]]=CEX!$B45)*(cex_02[[valeur]:[valeur]]))</f>
        <v>7254</v>
      </c>
      <c r="G45" s="11" cm="1">
        <f t="array" ref="G45">SUMPRODUCT((cex_02[[client]:[client]]=syndicat_etude)*(cex_02[[annee]:[annee]]=Exercice[[Exercice N]:[Exercice N]])*(cex_02[[libelle_crac]:[libelle_crac]]=CEX!$B45)*(cex_02[[valeur]:[valeur]]))</f>
        <v>7435</v>
      </c>
      <c r="H45" s="120">
        <f t="shared" si="1"/>
        <v>2.495175075820244E-2</v>
      </c>
    </row>
    <row r="46" spans="2:8" x14ac:dyDescent="0.25">
      <c r="B46" s="377" t="s">
        <v>1025</v>
      </c>
      <c r="C46" s="11" cm="1">
        <f t="array" ref="C46">SUMPRODUCT((cex_02[[client]:[client]]=syndicat_etude)*(cex_02[[annee]:[annee]]=Exercice[[Exercice N-4]:[Exercice N-4]])*(cex_02[[libelle_crac]:[libelle_crac]]=CEX!$B46)*(cex_02[[valeur]:[valeur]]))</f>
        <v>2494</v>
      </c>
      <c r="D46" s="11" cm="1">
        <f t="array" ref="D46">SUMPRODUCT((cex_02[[client]:[client]]=syndicat_etude)*(cex_02[[annee]:[annee]]=Exercice[[Exercice N-3]:[Exercice N-3]])*(cex_02[[libelle_crac]:[libelle_crac]]=CEX!$B46)*(cex_02[[valeur]:[valeur]]))</f>
        <v>4351</v>
      </c>
      <c r="E46" s="11" cm="1">
        <f t="array" ref="E46">SUMPRODUCT((cex_02[[client]:[client]]=syndicat_etude)*(cex_02[[annee]:[annee]]=Exercice[[Exercice N-2]:[Exercice N-2]])*(cex_02[[libelle_crac]:[libelle_crac]]=CEX!$B46)*(cex_02[[valeur]:[valeur]]))</f>
        <v>5308</v>
      </c>
      <c r="F46" s="11" cm="1">
        <f t="array" ref="F46">SUMPRODUCT((cex_02[[client]:[client]]=syndicat_etude)*(cex_02[[annee]:[annee]]=Exercice[[Exercice N-1]:[Exercice N-1]])*(cex_02[[libelle_crac]:[libelle_crac]]=CEX!$B46)*(cex_02[[valeur]:[valeur]]))</f>
        <v>7135</v>
      </c>
      <c r="G46" s="11" cm="1">
        <f t="array" ref="G46">SUMPRODUCT((cex_02[[client]:[client]]=syndicat_etude)*(cex_02[[annee]:[annee]]=Exercice[[Exercice N]:[Exercice N]])*(cex_02[[libelle_crac]:[libelle_crac]]=CEX!$B46)*(cex_02[[valeur]:[valeur]]))</f>
        <v>4629</v>
      </c>
      <c r="H46" s="120">
        <f t="shared" si="1"/>
        <v>-0.35122634898388227</v>
      </c>
    </row>
    <row r="47" spans="2:8" x14ac:dyDescent="0.25">
      <c r="B47" s="377" t="s">
        <v>1026</v>
      </c>
      <c r="C47" s="11" cm="1">
        <f t="array" ref="C47">SUMPRODUCT((cex_02[[client]:[client]]=syndicat_etude)*(cex_02[[annee]:[annee]]=Exercice[[Exercice N-4]:[Exercice N-4]])*(cex_02[[libelle_crac]:[libelle_crac]]=CEX!$B47)*(cex_02[[valeur]:[valeur]]))</f>
        <v>0</v>
      </c>
      <c r="D47" s="11" cm="1">
        <f t="array" ref="D47">SUMPRODUCT((cex_02[[client]:[client]]=syndicat_etude)*(cex_02[[annee]:[annee]]=Exercice[[Exercice N-3]:[Exercice N-3]])*(cex_02[[libelle_crac]:[libelle_crac]]=CEX!$B47)*(cex_02[[valeur]:[valeur]]))</f>
        <v>0</v>
      </c>
      <c r="E47" s="11" cm="1">
        <f t="array" ref="E47">SUMPRODUCT((cex_02[[client]:[client]]=syndicat_etude)*(cex_02[[annee]:[annee]]=Exercice[[Exercice N-2]:[Exercice N-2]])*(cex_02[[libelle_crac]:[libelle_crac]]=CEX!$B47)*(cex_02[[valeur]:[valeur]]))</f>
        <v>0</v>
      </c>
      <c r="F47" s="11" cm="1">
        <f t="array" ref="F47">SUMPRODUCT((cex_02[[client]:[client]]=syndicat_etude)*(cex_02[[annee]:[annee]]=Exercice[[Exercice N-1]:[Exercice N-1]])*(cex_02[[libelle_crac]:[libelle_crac]]=CEX!$B47)*(cex_02[[valeur]:[valeur]]))</f>
        <v>0</v>
      </c>
      <c r="G47" s="11" cm="1">
        <f t="array" ref="G47">SUMPRODUCT((cex_02[[client]:[client]]=syndicat_etude)*(cex_02[[annee]:[annee]]=Exercice[[Exercice N]:[Exercice N]])*(cex_02[[libelle_crac]:[libelle_crac]]=CEX!$B47)*(cex_02[[valeur]:[valeur]]))</f>
        <v>0</v>
      </c>
      <c r="H47" s="120" t="str">
        <f t="shared" si="1"/>
        <v>-</v>
      </c>
    </row>
    <row r="48" spans="2:8" x14ac:dyDescent="0.25">
      <c r="B48" s="343" t="s">
        <v>1027</v>
      </c>
      <c r="C48" s="134" cm="1">
        <f t="array" ref="C48">SUMPRODUCT((cex_02[[client]:[client]]=syndicat_etude)*(cex_02[[annee]:[annee]]=Exercice[[Exercice N-4]:[Exercice N-4]])*(cex_02[[libelle_crac]:[libelle_crac]]=CEX!$B48)*(cex_02[[valeur]:[valeur]]))</f>
        <v>620</v>
      </c>
      <c r="D48" s="134" cm="1">
        <f t="array" ref="D48">SUMPRODUCT((cex_02[[client]:[client]]=syndicat_etude)*(cex_02[[annee]:[annee]]=Exercice[[Exercice N-3]:[Exercice N-3]])*(cex_02[[libelle_crac]:[libelle_crac]]=CEX!$B48)*(cex_02[[valeur]:[valeur]]))</f>
        <v>417</v>
      </c>
      <c r="E48" s="134" cm="1">
        <f t="array" ref="E48">SUMPRODUCT((cex_02[[client]:[client]]=syndicat_etude)*(cex_02[[annee]:[annee]]=Exercice[[Exercice N-2]:[Exercice N-2]])*(cex_02[[libelle_crac]:[libelle_crac]]=CEX!$B48)*(cex_02[[valeur]:[valeur]]))</f>
        <v>929</v>
      </c>
      <c r="F48" s="134" cm="1">
        <f t="array" ref="F48">SUMPRODUCT((cex_02[[client]:[client]]=syndicat_etude)*(cex_02[[annee]:[annee]]=Exercice[[Exercice N-1]:[Exercice N-1]])*(cex_02[[libelle_crac]:[libelle_crac]]=CEX!$B48)*(cex_02[[valeur]:[valeur]]))</f>
        <v>753</v>
      </c>
      <c r="G48" s="134" cm="1">
        <f t="array" ref="G48">SUMPRODUCT((cex_02[[client]:[client]]=syndicat_etude)*(cex_02[[annee]:[annee]]=Exercice[[Exercice N]:[Exercice N]])*(cex_02[[libelle_crac]:[libelle_crac]]=CEX!$B48)*(cex_02[[valeur]:[valeur]]))</f>
        <v>21</v>
      </c>
      <c r="H48" s="120">
        <f t="shared" si="1"/>
        <v>-0.97211155378486058</v>
      </c>
    </row>
    <row r="49" spans="1:27" x14ac:dyDescent="0.25">
      <c r="B49" s="343" t="s">
        <v>1028</v>
      </c>
      <c r="C49" s="134" cm="1">
        <f t="array" ref="C49">SUMPRODUCT((cex_02[[client]:[client]]=syndicat_etude)*(cex_02[[annee]:[annee]]=Exercice[[Exercice N-4]:[Exercice N-4]])*(cex_02[[libelle_crac]:[libelle_crac]]=CEX!$B49)*(cex_02[[valeur]:[valeur]]))</f>
        <v>9284</v>
      </c>
      <c r="D49" s="134" cm="1">
        <f t="array" ref="D49">SUMPRODUCT((cex_02[[client]:[client]]=syndicat_etude)*(cex_02[[annee]:[annee]]=Exercice[[Exercice N-3]:[Exercice N-3]])*(cex_02[[libelle_crac]:[libelle_crac]]=CEX!$B49)*(cex_02[[valeur]:[valeur]]))</f>
        <v>10034</v>
      </c>
      <c r="E49" s="134" cm="1">
        <f t="array" ref="E49">SUMPRODUCT((cex_02[[client]:[client]]=syndicat_etude)*(cex_02[[annee]:[annee]]=Exercice[[Exercice N-2]:[Exercice N-2]])*(cex_02[[libelle_crac]:[libelle_crac]]=CEX!$B49)*(cex_02[[valeur]:[valeur]]))</f>
        <v>10416</v>
      </c>
      <c r="F49" s="134" cm="1">
        <f t="array" ref="F49">SUMPRODUCT((cex_02[[client]:[client]]=syndicat_etude)*(cex_02[[annee]:[annee]]=Exercice[[Exercice N-1]:[Exercice N-1]])*(cex_02[[libelle_crac]:[libelle_crac]]=CEX!$B49)*(cex_02[[valeur]:[valeur]]))</f>
        <v>10773</v>
      </c>
      <c r="G49" s="134" cm="1">
        <f t="array" ref="G49">SUMPRODUCT((cex_02[[client]:[client]]=syndicat_etude)*(cex_02[[annee]:[annee]]=Exercice[[Exercice N]:[Exercice N]])*(cex_02[[libelle_crac]:[libelle_crac]]=CEX!$B49)*(cex_02[[valeur]:[valeur]]))</f>
        <v>7969</v>
      </c>
      <c r="H49" s="120">
        <f t="shared" si="1"/>
        <v>-0.26028033045576904</v>
      </c>
    </row>
    <row r="50" spans="1:27" x14ac:dyDescent="0.25">
      <c r="B50" s="341" t="s">
        <v>1029</v>
      </c>
      <c r="C50" s="277" cm="1">
        <f t="array" ref="C50">SUMPRODUCT((cex_02[[client]:[client]]=syndicat_etude)*(cex_02[[annee]:[annee]]=Exercice[[Exercice N-4]:[Exercice N-4]])*(cex_02[[libelle_crac]:[libelle_crac]]=CEX!$B50)*(cex_02[[valeur]:[valeur]]))</f>
        <v>2871</v>
      </c>
      <c r="D50" s="277" cm="1">
        <f t="array" ref="D50">SUMPRODUCT((cex_02[[client]:[client]]=syndicat_etude)*(cex_02[[annee]:[annee]]=Exercice[[Exercice N-3]:[Exercice N-3]])*(cex_02[[libelle_crac]:[libelle_crac]]=CEX!$B50)*(cex_02[[valeur]:[valeur]]))</f>
        <v>2390</v>
      </c>
      <c r="E50" s="277" cm="1">
        <f t="array" ref="E50">SUMPRODUCT((cex_02[[client]:[client]]=syndicat_etude)*(cex_02[[annee]:[annee]]=Exercice[[Exercice N-2]:[Exercice N-2]])*(cex_02[[libelle_crac]:[libelle_crac]]=CEX!$B50)*(cex_02[[valeur]:[valeur]]))</f>
        <v>2671</v>
      </c>
      <c r="F50" s="277" cm="1">
        <f t="array" ref="F50">SUMPRODUCT((cex_02[[client]:[client]]=syndicat_etude)*(cex_02[[annee]:[annee]]=Exercice[[Exercice N-1]:[Exercice N-1]])*(cex_02[[libelle_crac]:[libelle_crac]]=CEX!$B50)*(cex_02[[valeur]:[valeur]]))</f>
        <v>2653</v>
      </c>
      <c r="G50" s="277" cm="1">
        <f t="array" ref="G50">SUMPRODUCT((cex_02[[client]:[client]]=syndicat_etude)*(cex_02[[annee]:[annee]]=Exercice[[Exercice N]:[Exercice N]])*(cex_02[[libelle_crac]:[libelle_crac]]=CEX!$B50)*(cex_02[[valeur]:[valeur]]))</f>
        <v>4658</v>
      </c>
      <c r="H50" s="342">
        <f t="shared" si="1"/>
        <v>0.75574820957406708</v>
      </c>
    </row>
    <row r="51" spans="1:27" x14ac:dyDescent="0.25">
      <c r="B51" s="341" t="s">
        <v>1030</v>
      </c>
      <c r="C51" s="277" cm="1">
        <f t="array" ref="C51">SUMPRODUCT((cex_02[[client]:[client]]=syndicat_etude)*(cex_02[[annee]:[annee]]=Exercice[[Exercice N-4]:[Exercice N-4]])*(cex_02[[libelle_crac]:[libelle_crac]]=CEX!$B51)*(cex_02[[valeur]:[valeur]]))</f>
        <v>5121</v>
      </c>
      <c r="D51" s="277" cm="1">
        <f t="array" ref="D51">SUMPRODUCT((cex_02[[client]:[client]]=syndicat_etude)*(cex_02[[annee]:[annee]]=Exercice[[Exercice N-3]:[Exercice N-3]])*(cex_02[[libelle_crac]:[libelle_crac]]=CEX!$B51)*(cex_02[[valeur]:[valeur]]))</f>
        <v>4890</v>
      </c>
      <c r="E51" s="277" cm="1">
        <f t="array" ref="E51">SUMPRODUCT((cex_02[[client]:[client]]=syndicat_etude)*(cex_02[[annee]:[annee]]=Exercice[[Exercice N-2]:[Exercice N-2]])*(cex_02[[libelle_crac]:[libelle_crac]]=CEX!$B51)*(cex_02[[valeur]:[valeur]]))</f>
        <v>5279</v>
      </c>
      <c r="F51" s="277" cm="1">
        <f t="array" ref="F51">SUMPRODUCT((cex_02[[client]:[client]]=syndicat_etude)*(cex_02[[annee]:[annee]]=Exercice[[Exercice N-1]:[Exercice N-1]])*(cex_02[[libelle_crac]:[libelle_crac]]=CEX!$B51)*(cex_02[[valeur]:[valeur]]))</f>
        <v>5410</v>
      </c>
      <c r="G51" s="277" cm="1">
        <f t="array" ref="G51">SUMPRODUCT((cex_02[[client]:[client]]=syndicat_etude)*(cex_02[[annee]:[annee]]=Exercice[[Exercice N]:[Exercice N]])*(cex_02[[libelle_crac]:[libelle_crac]]=CEX!$B51)*(cex_02[[valeur]:[valeur]]))</f>
        <v>7960</v>
      </c>
      <c r="H51" s="342">
        <f t="shared" si="1"/>
        <v>0.47134935304990755</v>
      </c>
    </row>
    <row r="52" spans="1:27" x14ac:dyDescent="0.25">
      <c r="B52" s="378" t="s">
        <v>1031</v>
      </c>
      <c r="C52" s="379" cm="1">
        <f t="array" ref="C52">SUMPRODUCT((cex_02[[client]:[client]]=syndicat_etude)*(cex_02[[annee]:[annee]]=Exercice[[Exercice N-4]:[Exercice N-4]])*(cex_02[[libelle_crac]:[libelle_crac]]=CEX!$B52)*(cex_02[[valeur]:[valeur]]))</f>
        <v>87734</v>
      </c>
      <c r="D52" s="379" cm="1">
        <f t="array" ref="D52">SUMPRODUCT((cex_02[[client]:[client]]=syndicat_etude)*(cex_02[[annee]:[annee]]=Exercice[[Exercice N-3]:[Exercice N-3]])*(cex_02[[libelle_crac]:[libelle_crac]]=CEX!$B52)*(cex_02[[valeur]:[valeur]]))</f>
        <v>89048</v>
      </c>
      <c r="E52" s="379" cm="1">
        <f t="array" ref="E52">SUMPRODUCT((cex_02[[client]:[client]]=syndicat_etude)*(cex_02[[annee]:[annee]]=Exercice[[Exercice N-2]:[Exercice N-2]])*(cex_02[[libelle_crac]:[libelle_crac]]=CEX!$B52)*(cex_02[[valeur]:[valeur]]))</f>
        <v>93832</v>
      </c>
      <c r="F52" s="379" cm="1">
        <f t="array" ref="F52">SUMPRODUCT((cex_02[[client]:[client]]=syndicat_etude)*(cex_02[[annee]:[annee]]=Exercice[[Exercice N-1]:[Exercice N-1]])*(cex_02[[libelle_crac]:[libelle_crac]]=CEX!$B52)*(cex_02[[valeur]:[valeur]]))</f>
        <v>89605</v>
      </c>
      <c r="G52" s="379" cm="1">
        <f t="array" ref="G52">SUMPRODUCT((cex_02[[client]:[client]]=syndicat_etude)*(cex_02[[annee]:[annee]]=Exercice[[Exercice N]:[Exercice N]])*(cex_02[[libelle_crac]:[libelle_crac]]=CEX!$B52)*(cex_02[[valeur]:[valeur]]))</f>
        <v>105197</v>
      </c>
      <c r="H52" s="380">
        <f t="shared" si="1"/>
        <v>0.17400814686680421</v>
      </c>
      <c r="L52" s="290" t="s">
        <v>1032</v>
      </c>
      <c r="M52" s="290" t="s">
        <v>1033</v>
      </c>
      <c r="N52" s="290" t="s">
        <v>1034</v>
      </c>
    </row>
    <row r="53" spans="1:27" x14ac:dyDescent="0.25">
      <c r="K53" s="290">
        <f>C54</f>
        <v>2019</v>
      </c>
    </row>
    <row r="54" spans="1:27" ht="30" customHeight="1" x14ac:dyDescent="0.25">
      <c r="A54" s="290" t="s">
        <v>1035</v>
      </c>
      <c r="B54" s="66" t="s">
        <v>1036</v>
      </c>
      <c r="C54" s="67" cm="1">
        <f t="array" ref="C54">Exercice[Exercice N-4]</f>
        <v>2019</v>
      </c>
      <c r="D54" s="67" cm="1">
        <f t="array" ref="D54">Exercice[Exercice N-3]</f>
        <v>2020</v>
      </c>
      <c r="E54" s="67" cm="1">
        <f t="array" ref="E54">Exercice[Exercice N-2]</f>
        <v>2021</v>
      </c>
      <c r="F54" s="67" cm="1">
        <f t="array" ref="F54">Exercice[Exercice N-1]</f>
        <v>2022</v>
      </c>
      <c r="G54" s="67" cm="1">
        <f t="array" ref="G54">Exercice[Exercice N]</f>
        <v>2023</v>
      </c>
      <c r="H54" s="68" t="s">
        <v>273</v>
      </c>
      <c r="K54" s="290">
        <f>F54</f>
        <v>2022</v>
      </c>
      <c r="Y54" s="376"/>
      <c r="Z54" s="376"/>
      <c r="AA54" s="376"/>
    </row>
    <row r="55" spans="1:27" x14ac:dyDescent="0.25">
      <c r="B55" s="111" t="s">
        <v>1032</v>
      </c>
      <c r="C55" s="11" cm="1">
        <f t="array" ref="C55">SUMPRODUCT((cex_03[[client]:[client]]=syndicat_etude)*(cex_03[[annee]:[annee]]=Exercice[[Exercice N-4]:[Exercice N-4]])*(cex_03[[produits]:[produits]]))</f>
        <v>89263</v>
      </c>
      <c r="D55" s="11" cm="1">
        <f t="array" ref="D55">SUMPRODUCT((cex_03[[client]:[client]]=syndicat_etude)*(cex_03[[annee]:[annee]]=Exercice[[Exercice N-3]:[Exercice N-3]])*(cex_03[[produits]:[produits]]))</f>
        <v>97445</v>
      </c>
      <c r="E55" s="11" cm="1">
        <f t="array" ref="E55">SUMPRODUCT((cex_03[[client]:[client]]=syndicat_etude)*(cex_03[[annee]:[annee]]=Exercice[[Exercice N-2]:[Exercice N-2]])*(cex_03[[produits]:[produits]]))</f>
        <v>111526</v>
      </c>
      <c r="F55" s="11" cm="1">
        <f t="array" ref="F55">SUMPRODUCT((cex_03[[client]:[client]]=syndicat_etude)*(cex_03[[annee]:[annee]]=Exercice[[Exercice N-1]:[Exercice N-1]])*(cex_03[[produits]:[produits]]))</f>
        <v>105224</v>
      </c>
      <c r="G55" s="11" cm="1">
        <f t="array" ref="G55">SUMPRODUCT((cex_03[[client]:[client]]=syndicat_etude)*(cex_03[[annee]:[annee]]=Exercice[[Exercice N]:[Exercice N]])*(cex_03[[produits]:[produits]]))</f>
        <v>101617</v>
      </c>
      <c r="H55" s="120">
        <f>IFERROR(G55/F55-1,"-")</f>
        <v>-3.4279251881700001E-2</v>
      </c>
      <c r="I55" s="376"/>
      <c r="L55" s="376">
        <f>F55</f>
        <v>105224</v>
      </c>
      <c r="M55" s="290" t="str">
        <f>IF(F62&gt;=0,F62,"")</f>
        <v/>
      </c>
      <c r="Y55" s="376"/>
      <c r="Z55" s="376"/>
      <c r="AA55" s="376"/>
    </row>
    <row r="56" spans="1:27" x14ac:dyDescent="0.25">
      <c r="B56" s="111" t="s">
        <v>1037</v>
      </c>
      <c r="C56" s="11" cm="1">
        <f t="array" ref="C56">SUMPRODUCT((cex_03[[client]:[client]]=syndicat_etude)*(cex_03[[annee]:[annee]]=Exercice[[Exercice N-4]:[Exercice N-4]])*(cex_03[[charges]:[charges]]))</f>
        <v>87734</v>
      </c>
      <c r="D56" s="11" cm="1">
        <f t="array" ref="D56">SUMPRODUCT((cex_03[[client]:[client]]=syndicat_etude)*(cex_03[[annee]:[annee]]=Exercice[[Exercice N-3]:[Exercice N-3]])*(cex_03[[charges]:[charges]]))</f>
        <v>89048</v>
      </c>
      <c r="E56" s="11" cm="1">
        <f t="array" ref="E56">SUMPRODUCT((cex_03[[client]:[client]]=syndicat_etude)*(cex_03[[annee]:[annee]]=Exercice[[Exercice N-2]:[Exercice N-2]])*(cex_03[[charges]:[charges]]))</f>
        <v>93832</v>
      </c>
      <c r="F56" s="11" cm="1">
        <f t="array" ref="F56">SUMPRODUCT((cex_03[[client]:[client]]=syndicat_etude)*(cex_03[[annee]:[annee]]=Exercice[[Exercice N-1]:[Exercice N-1]])*(cex_03[[charges]:[charges]]))</f>
        <v>89605</v>
      </c>
      <c r="G56" s="11" cm="1">
        <f t="array" ref="G56">SUMPRODUCT((cex_03[[client]:[client]]=syndicat_etude)*(cex_03[[annee]:[annee]]=Exercice[[Exercice N]:[Exercice N]])*(cex_03[[charges]:[charges]]))</f>
        <v>105197</v>
      </c>
      <c r="H56" s="120">
        <f>IFERROR(G56/F56-1,"-")</f>
        <v>0.17400814686680421</v>
      </c>
      <c r="N56" s="376">
        <f>F56</f>
        <v>89605</v>
      </c>
      <c r="O56" s="290">
        <f>IF(F62&lt;0,-F62,"")</f>
        <v>2335</v>
      </c>
      <c r="Y56" s="376"/>
      <c r="Z56" s="376"/>
      <c r="AA56" s="376"/>
    </row>
    <row r="57" spans="1:27" x14ac:dyDescent="0.25">
      <c r="B57" s="126" t="s">
        <v>1038</v>
      </c>
      <c r="C57" s="134" cm="1">
        <f t="array" ref="C57">SUMPRODUCT((cex_03[[client]:[client]]=syndicat_etude)*(cex_03[[annee]:[annee]]=Exercice[[Exercice N-4]:[Exercice N-4]])*(cex_03[[resultat_brut]:[resultat_brut]]))</f>
        <v>1529</v>
      </c>
      <c r="D57" s="134" cm="1">
        <f t="array" ref="D57">SUMPRODUCT((cex_03[[client]:[client]]=syndicat_etude)*(cex_03[[annee]:[annee]]=Exercice[[Exercice N-3]:[Exercice N-3]])*(cex_03[[resultat_brut]:[resultat_brut]]))</f>
        <v>8397</v>
      </c>
      <c r="E57" s="134" cm="1">
        <f t="array" ref="E57">SUMPRODUCT((cex_03[[client]:[client]]=syndicat_etude)*(cex_03[[annee]:[annee]]=Exercice[[Exercice N-2]:[Exercice N-2]])*(cex_03[[resultat_brut]:[resultat_brut]]))</f>
        <v>17694</v>
      </c>
      <c r="F57" s="134" cm="1">
        <f t="array" ref="F57">SUMPRODUCT((cex_03[[client]:[client]]=syndicat_etude)*(cex_03[[annee]:[annee]]=Exercice[[Exercice N-1]:[Exercice N-1]])*(cex_03[[resultat_brut]:[resultat_brut]]))</f>
        <v>15619</v>
      </c>
      <c r="G57" s="134" cm="1">
        <f t="array" ref="G57">SUMPRODUCT((cex_03[[client]:[client]]=syndicat_etude)*(cex_03[[annee]:[annee]]=Exercice[[Exercice N]:[Exercice N]])*(cex_03[[resultat_brut]:[resultat_brut]]))</f>
        <v>-3580</v>
      </c>
      <c r="H57" s="120">
        <f>IFERROR(G57/F57-1,"-")</f>
        <v>-1.2292080158780971</v>
      </c>
      <c r="K57" s="290">
        <f>G54</f>
        <v>2023</v>
      </c>
      <c r="Y57" s="376"/>
      <c r="Z57" s="376"/>
      <c r="AA57" s="376"/>
    </row>
    <row r="58" spans="1:27" x14ac:dyDescent="0.25">
      <c r="B58" s="77" t="s">
        <v>1039</v>
      </c>
      <c r="C58" s="266" cm="1">
        <f t="array" ref="C58">SUMPRODUCT((cex_03[[client]:[client]]=syndicat_etude)*(cex_03[[annee]:[annee]]=Exercice[[Exercice N-4]:[Exercice N-4]])*(cex_03[[rentabilite_brute]:[rentabilite_brute]]))</f>
        <v>2.0400000000000001E-2</v>
      </c>
      <c r="D58" s="266" cm="1">
        <f t="array" ref="D58">SUMPRODUCT((cex_03[[client]:[client]]=syndicat_etude)*(cex_03[[annee]:[annee]]=Exercice[[Exercice N-3]:[Exercice N-3]])*(cex_03[[rentabilite_brute]:[rentabilite_brute]]))</f>
        <v>0.1008</v>
      </c>
      <c r="E58" s="266" cm="1">
        <f t="array" ref="E58">SUMPRODUCT((cex_03[[client]:[client]]=syndicat_etude)*(cex_03[[annee]:[annee]]=Exercice[[Exercice N-2]:[Exercice N-2]])*(cex_03[[rentabilite_brute]:[rentabilite_brute]]))</f>
        <v>0.1883</v>
      </c>
      <c r="F58" s="266" cm="1">
        <f t="array" ref="F58">SUMPRODUCT((cex_03[[client]:[client]]=syndicat_etude)*(cex_03[[annee]:[annee]]=Exercice[[Exercice N-1]:[Exercice N-1]])*(cex_03[[rentabilite_brute]:[rentabilite_brute]]))</f>
        <v>0.19040000000000001</v>
      </c>
      <c r="G58" s="266" cm="1">
        <f t="array" ref="G58">SUMPRODUCT((cex_03[[client]:[client]]=syndicat_etude)*(cex_03[[annee]:[annee]]=Exercice[[Exercice N]:[Exercice N]])*(cex_03[[rentabilite_brute]:[rentabilite_brute]]))</f>
        <v>-4.1000000000000002E-2</v>
      </c>
      <c r="H58" s="267"/>
      <c r="L58" s="376">
        <f>G55</f>
        <v>101617</v>
      </c>
      <c r="M58" s="290">
        <f>IF(G62&gt;=0,G62,"")</f>
        <v>662</v>
      </c>
      <c r="Y58" s="376"/>
      <c r="Z58" s="376"/>
      <c r="AA58" s="376"/>
    </row>
    <row r="59" spans="1:27" x14ac:dyDescent="0.25">
      <c r="B59" s="385" t="s">
        <v>1040</v>
      </c>
      <c r="E59" s="376"/>
      <c r="F59" s="376"/>
      <c r="G59" s="314"/>
      <c r="N59" s="376">
        <f>G56</f>
        <v>105197</v>
      </c>
      <c r="O59" s="290" t="str">
        <f>IF(G62&lt;0,-G62,"")</f>
        <v/>
      </c>
    </row>
    <row r="60" spans="1:27" x14ac:dyDescent="0.25">
      <c r="B60" s="375"/>
      <c r="E60" s="376"/>
      <c r="F60" s="376"/>
      <c r="G60" s="314"/>
      <c r="N60" s="376"/>
    </row>
    <row r="61" spans="1:27" ht="30" customHeight="1" x14ac:dyDescent="0.25">
      <c r="B61" s="66" t="s">
        <v>1041</v>
      </c>
      <c r="C61" s="67" cm="1">
        <f t="array" ref="C61">Exercice[Exercice N-4]</f>
        <v>2019</v>
      </c>
      <c r="D61" s="67" cm="1">
        <f t="array" ref="D61">Exercice[Exercice N-3]</f>
        <v>2020</v>
      </c>
      <c r="E61" s="67" cm="1">
        <f t="array" ref="E61">Exercice[Exercice N-2]</f>
        <v>2021</v>
      </c>
      <c r="F61" s="67" cm="1">
        <f t="array" ref="F61">Exercice[Exercice N-1]</f>
        <v>2022</v>
      </c>
      <c r="G61" s="67" cm="1">
        <f t="array" ref="G61">Exercice[Exercice N]</f>
        <v>2023</v>
      </c>
      <c r="H61" s="68" t="s">
        <v>273</v>
      </c>
      <c r="N61" s="376"/>
    </row>
    <row r="62" spans="1:27" ht="30" customHeight="1" x14ac:dyDescent="0.25">
      <c r="B62" s="382" t="s">
        <v>1042</v>
      </c>
      <c r="C62" s="256" cm="1">
        <f t="array" ref="C62">SUMPRODUCT((cex_03[[client]:[client]]=syndicat_etude)*(cex_03[[annee]:[annee]]=Exercice[[Exercice N-4]:[Exercice N-4]])*(cex_03[[contribution_equilibre]:[contribution_equilibre]]))</f>
        <v>4768</v>
      </c>
      <c r="D62" s="256" cm="1">
        <f t="array" ref="D62">SUMPRODUCT((cex_03[[client]:[client]]=syndicat_etude)*(cex_03[[annee]:[annee]]=Exercice[[Exercice N-3]:[Exercice N-3]])*(cex_03[[contribution_equilibre]:[contribution_equilibre]]))</f>
        <v>-1458</v>
      </c>
      <c r="E62" s="256" cm="1">
        <f t="array" ref="E62">SUMPRODUCT((cex_03[[client]:[client]]=syndicat_etude)*(cex_03[[annee]:[annee]]=Exercice[[Exercice N-2]:[Exercice N-2]])*(cex_03[[contribution_equilibre]:[contribution_equilibre]]))</f>
        <v>-6470</v>
      </c>
      <c r="F62" s="256" cm="1">
        <f t="array" ref="F62">SUMPRODUCT((cex_03[[client]:[client]]=syndicat_etude)*(cex_03[[annee]:[annee]]=Exercice[[Exercice N-1]:[Exercice N-1]])*(cex_03[[contribution_equilibre]:[contribution_equilibre]]))</f>
        <v>-2335</v>
      </c>
      <c r="G62" s="256" cm="1">
        <f t="array" ref="G62">SUMPRODUCT((cex_03[[client]:[client]]=syndicat_etude)*(cex_03[[annee]:[annee]]=Exercice[[Exercice N]:[Exercice N]])*(cex_03[[contribution_equilibre]:[contribution_equilibre]]))</f>
        <v>662</v>
      </c>
      <c r="H62" s="257">
        <f>IFERROR(G62/F62-1,"")</f>
        <v>-1.2835117773019271</v>
      </c>
    </row>
    <row r="63" spans="1:27" x14ac:dyDescent="0.25">
      <c r="B63" s="77" t="s">
        <v>1043</v>
      </c>
      <c r="C63" s="266" cm="1">
        <f t="array" ref="C63">SUMPRODUCT((cex_03[[client]:[client]]=syndicat_etude)*(cex_03[[annee]:[annee]]=Exercice[[Exercice N-4]:[Exercice N-4]])*(cex_03[[rentabilite_nette]:[rentabilite_nette]]))</f>
        <v>8.3900000000000002E-2</v>
      </c>
      <c r="D63" s="266" cm="1">
        <f t="array" ref="D63">SUMPRODUCT((cex_03[[client]:[client]]=syndicat_etude)*(cex_03[[annee]:[annee]]=Exercice[[Exercice N-3]:[Exercice N-3]])*(cex_03[[rentabilite_nette]:[rentabilite_nette]]))</f>
        <v>8.3299999999999999E-2</v>
      </c>
      <c r="E63" s="266" cm="1">
        <f t="array" ref="E63">SUMPRODUCT((cex_03[[client]:[client]]=syndicat_etude)*(cex_03[[annee]:[annee]]=Exercice[[Exercice N-2]:[Exercice N-2]])*(cex_03[[rentabilite_nette]:[rentabilite_nette]]))</f>
        <v>0.11940000000000001</v>
      </c>
      <c r="F63" s="266" cm="1">
        <f t="array" ref="F63">SUMPRODUCT((cex_03[[client]:[client]]=syndicat_etude)*(cex_03[[annee]:[annee]]=Exercice[[Exercice N-1]:[Exercice N-1]])*(cex_03[[rentabilite_nette]:[rentabilite_nette]]))</f>
        <v>0.16200000000000001</v>
      </c>
      <c r="G63" s="266" cm="1">
        <f t="array" ref="G63">SUMPRODUCT((cex_03[[client]:[client]]=syndicat_etude)*(cex_03[[annee]:[annee]]=Exercice[[Exercice N]:[Exercice N]])*(cex_03[[rentabilite_nette]:[rentabilite_nette]]))</f>
        <v>-3.3500000000000002E-2</v>
      </c>
      <c r="H63" s="267"/>
    </row>
    <row r="64" spans="1:27" x14ac:dyDescent="0.25">
      <c r="B64" s="385" t="s">
        <v>1044</v>
      </c>
      <c r="C64" s="375"/>
      <c r="D64" s="375"/>
      <c r="E64" s="375"/>
      <c r="F64" s="375"/>
      <c r="G64" s="314"/>
    </row>
    <row r="65" spans="1:8" x14ac:dyDescent="0.25">
      <c r="B65" s="385"/>
      <c r="C65" s="375"/>
      <c r="D65" s="375"/>
      <c r="E65" s="375"/>
      <c r="F65" s="375"/>
      <c r="G65" s="314"/>
    </row>
    <row r="66" spans="1:8" ht="30" customHeight="1" x14ac:dyDescent="0.25">
      <c r="A66" s="290" t="s">
        <v>1045</v>
      </c>
      <c r="B66" s="66" t="s">
        <v>1046</v>
      </c>
      <c r="C66" s="67" cm="1">
        <f t="array" ref="C66">Exercice[Exercice N-4]</f>
        <v>2019</v>
      </c>
      <c r="D66" s="67" cm="1">
        <f t="array" ref="D66">Exercice[Exercice N-3]</f>
        <v>2020</v>
      </c>
      <c r="E66" s="67" cm="1">
        <f t="array" ref="E66">Exercice[Exercice N-2]</f>
        <v>2021</v>
      </c>
      <c r="F66" s="67" cm="1">
        <f t="array" ref="F66">Exercice[Exercice N-1]</f>
        <v>2022</v>
      </c>
      <c r="G66" s="67" cm="1">
        <f t="array" ref="G66">Exercice[Exercice N]</f>
        <v>2023</v>
      </c>
      <c r="H66" s="68" t="s">
        <v>273</v>
      </c>
    </row>
    <row r="67" spans="1:8" x14ac:dyDescent="0.25">
      <c r="B67" s="111" t="s">
        <v>1047</v>
      </c>
      <c r="C67" s="7" cm="1">
        <f t="array" ref="C67">SUMPRODUCT((cex_04[[client]:[client]]=syndicat_etude)*(cex_04[[annee]:[annee]]=Exercice[[Exercice N-4]:[Exercice N-4]])*(cex_04[[libelle_crac]:[libelle_crac]]="Part R1 versée")*(cex_04[[valeur]:[valeur]]))/1000</f>
        <v>520.72500000000002</v>
      </c>
      <c r="D67" s="7" cm="1">
        <f t="array" ref="D67">SUMPRODUCT((cex_04[[client]:[client]]=syndicat_etude)*(cex_04[[annee]:[annee]]=Exercice[[Exercice N-3]:[Exercice N-3]])*(cex_04[[libelle_crac]:[libelle_crac]]="Part R1 versée")*(cex_04[[valeur]:[valeur]]))/1000</f>
        <v>531.25400000000002</v>
      </c>
      <c r="E67" s="7" cm="1">
        <f t="array" ref="E67">SUMPRODUCT((cex_04[[client]:[client]]=syndicat_etude)*(cex_04[[annee]:[annee]]=Exercice[[Exercice N-2]:[Exercice N-2]])*(cex_04[[libelle_crac]:[libelle_crac]]="Part R1 versée")*(cex_04[[valeur]:[valeur]]))/1000</f>
        <v>600.95500000000004</v>
      </c>
      <c r="F67" s="7" cm="1">
        <f t="array" ref="F67">SUMPRODUCT((cex_04[[client]:[client]]=syndicat_etude)*(cex_04[[annee]:[annee]]=Exercice[[Exercice N-1]:[Exercice N-1]])*(cex_04[[libelle_crac]:[libelle_crac]]="Part R1 versée")*(cex_04[[valeur]:[valeur]]))/1000</f>
        <v>674.31500000000005</v>
      </c>
      <c r="G67" s="7" cm="1">
        <f t="array" ref="G67">SUMPRODUCT((cex_04[[client]:[client]]=syndicat_etude)*(cex_04[[annee]:[annee]]=Exercice[[Exercice N]:[Exercice N]])*(cex_04[[libelle_crac]:[libelle_crac]]="Part R1 versée")*(cex_04[[valeur]:[valeur]]))/1000</f>
        <v>687.08</v>
      </c>
      <c r="H67" s="120">
        <f>IFERROR(G67/F67-1,"")</f>
        <v>1.8930321882206336E-2</v>
      </c>
    </row>
    <row r="68" spans="1:8" x14ac:dyDescent="0.25">
      <c r="B68" s="111" t="s">
        <v>1048</v>
      </c>
      <c r="C68" s="7" cm="1">
        <f t="array" ref="C68">SUMPRODUCT((cex_04[[client]:[client]]=syndicat_etude)*(cex_04[[annee]:[annee]]=Exercice[[Exercice N-4]:[Exercice N-4]])*(cex_04[[libelle_crac]:[libelle_crac]]="Part R2 versée")*(cex_04[[valeur]:[valeur]]))/1000</f>
        <v>1213.77</v>
      </c>
      <c r="D68" s="7" cm="1">
        <f t="array" ref="D68">SUMPRODUCT((cex_04[[client]:[client]]=syndicat_etude)*(cex_04[[annee]:[annee]]=Exercice[[Exercice N-3]:[Exercice N-3]])*(cex_04[[libelle_crac]:[libelle_crac]]="Part R2 versée")*(cex_04[[valeur]:[valeur]]))/1000</f>
        <v>2017.335</v>
      </c>
      <c r="E68" s="7" cm="1">
        <f t="array" ref="E68">SUMPRODUCT((cex_04[[client]:[client]]=syndicat_etude)*(cex_04[[annee]:[annee]]=Exercice[[Exercice N-2]:[Exercice N-2]])*(cex_04[[libelle_crac]:[libelle_crac]]="Part R2 versée")*(cex_04[[valeur]:[valeur]]))/1000</f>
        <v>1165.0150000000001</v>
      </c>
      <c r="F68" s="7" cm="1">
        <f t="array" ref="F68">SUMPRODUCT((cex_04[[client]:[client]]=syndicat_etude)*(cex_04[[annee]:[annee]]=Exercice[[Exercice N-1]:[Exercice N-1]])*(cex_04[[libelle_crac]:[libelle_crac]]="Part R2 versée")*(cex_04[[valeur]:[valeur]]))/1000</f>
        <v>1585.9290000000001</v>
      </c>
      <c r="G68" s="7" cm="1">
        <f t="array" ref="G68">SUMPRODUCT((cex_04[[client]:[client]]=syndicat_etude)*(cex_04[[annee]:[annee]]=Exercice[[Exercice N]:[Exercice N]])*(cex_04[[libelle_crac]:[libelle_crac]]="Part R2 versée")*(cex_04[[valeur]:[valeur]]))/1000</f>
        <v>1439.558</v>
      </c>
      <c r="H68" s="120">
        <f>IFERROR(G68/F68-1,"")</f>
        <v>-9.2293538991972568E-2</v>
      </c>
    </row>
    <row r="69" spans="1:8" x14ac:dyDescent="0.25">
      <c r="B69" s="127" t="s">
        <v>1049</v>
      </c>
      <c r="C69" s="571">
        <f>C67+C68</f>
        <v>1734.4949999999999</v>
      </c>
      <c r="D69" s="571">
        <f>D67+D68</f>
        <v>2548.5889999999999</v>
      </c>
      <c r="E69" s="571">
        <f>E67+E68</f>
        <v>1765.9700000000003</v>
      </c>
      <c r="F69" s="571">
        <f>F67+F68</f>
        <v>2260.2440000000001</v>
      </c>
      <c r="G69" s="571">
        <f>G67+G68</f>
        <v>2126.6379999999999</v>
      </c>
      <c r="H69" s="133">
        <f>IFERROR(G69/F69-1,"-")</f>
        <v>-5.9111317185224332E-2</v>
      </c>
    </row>
    <row r="70" spans="1:8" x14ac:dyDescent="0.25">
      <c r="C70" s="291"/>
      <c r="D70" s="291"/>
      <c r="E70" s="291"/>
      <c r="F70" s="291"/>
      <c r="G70" s="291"/>
    </row>
    <row r="71" spans="1:8" ht="30" customHeight="1" x14ac:dyDescent="0.25">
      <c r="A71" s="290" t="s">
        <v>1050</v>
      </c>
      <c r="B71" s="66" t="s">
        <v>1051</v>
      </c>
      <c r="C71" s="67" cm="1">
        <f t="array" ref="C71">Exercice[Exercice N-4]</f>
        <v>2019</v>
      </c>
      <c r="D71" s="67" cm="1">
        <f t="array" ref="D71">Exercice[Exercice N-3]</f>
        <v>2020</v>
      </c>
      <c r="E71" s="67" cm="1">
        <f t="array" ref="E71">Exercice[Exercice N-2]</f>
        <v>2021</v>
      </c>
      <c r="F71" s="67" cm="1">
        <f t="array" ref="F71">Exercice[Exercice N-1]</f>
        <v>2022</v>
      </c>
      <c r="G71" s="67" cm="1">
        <f t="array" ref="G71">Exercice[Exercice N]</f>
        <v>2023</v>
      </c>
      <c r="H71" s="387" t="s">
        <v>273</v>
      </c>
    </row>
    <row r="72" spans="1:8" x14ac:dyDescent="0.25">
      <c r="B72" s="381" t="s">
        <v>1052</v>
      </c>
      <c r="C72" s="8" cm="1">
        <f t="array" ref="C72">SUMPRODUCT((cex_08[[client]:[client]]=syndicat_etude)*(cex_08[[annee]:[annee]]=Exercice[[Exercice N-4]:[Exercice N-4]])*(cex_08[[libelle]:[libelle]]=CEX!$B72)*(cex_08[[montant_reparti]:[montant_reparti]]))</f>
        <v>0</v>
      </c>
      <c r="D72" s="8" cm="1">
        <f t="array" ref="D72">SUMPRODUCT((cex_08[[client]:[client]]=syndicat_etude)*(cex_08[[annee]:[annee]]=Exercice[[Exercice N-3]:[Exercice N-3]])*(cex_08[[libelle]:[libelle]]=CEX!$B72)*(cex_08[[montant_reparti]:[montant_reparti]]))</f>
        <v>0</v>
      </c>
      <c r="E72" s="8" cm="1">
        <f t="array" ref="E72">SUMPRODUCT((cex_08[[client]:[client]]=syndicat_etude)*(cex_08[[annee]:[annee]]=Exercice[[Exercice N-2]:[Exercice N-2]])*(cex_08[[libelle]:[libelle]]=CEX!$B72)*(cex_08[[montant_reparti]:[montant_reparti]]))</f>
        <v>0</v>
      </c>
      <c r="F72" s="8" cm="1">
        <f t="array" ref="F72">SUMPRODUCT((cex_08[[client]:[client]]=syndicat_etude)*(cex_08[[annee]:[annee]]=Exercice[[Exercice N-1]:[Exercice N-1]])*(cex_08[[libelle]:[libelle]]=CEX!$B72)*(cex_08[[montant_reparti]:[montant_reparti]]))</f>
        <v>0</v>
      </c>
      <c r="G72" s="8" cm="1">
        <f t="array" ref="G72">SUMPRODUCT((cex_08[[client]:[client]]=syndicat_etude)*(cex_08[[annee]:[annee]]=Exercice[[Exercice N]:[Exercice N]])*(cex_08[[libelle]:[libelle]]=CEX!$B72)*(cex_08[[montant_reparti]:[montant_reparti]]))</f>
        <v>0</v>
      </c>
      <c r="H72" s="299" t="str">
        <f t="shared" ref="H72:H82" si="2">IFERROR(G72/F72-1,"-")</f>
        <v>-</v>
      </c>
    </row>
    <row r="73" spans="1:8" x14ac:dyDescent="0.25">
      <c r="B73" s="381" t="s">
        <v>1053</v>
      </c>
      <c r="C73" s="8" cm="1">
        <f t="array" ref="C73">SUMPRODUCT((cex_08[[client]:[client]]=syndicat_etude)*(cex_08[[annee]:[annee]]=Exercice[[Exercice N-4]:[Exercice N-4]])*(cex_08[[libelle]:[libelle]]=CEX!$B73)*(cex_08[[montant_reparti]:[montant_reparti]]))</f>
        <v>1</v>
      </c>
      <c r="D73" s="8" cm="1">
        <f t="array" ref="D73">SUMPRODUCT((cex_08[[client]:[client]]=syndicat_etude)*(cex_08[[annee]:[annee]]=Exercice[[Exercice N-3]:[Exercice N-3]])*(cex_08[[libelle]:[libelle]]=CEX!$B73)*(cex_08[[montant_reparti]:[montant_reparti]]))</f>
        <v>1</v>
      </c>
      <c r="E73" s="8" cm="1">
        <f t="array" ref="E73">SUMPRODUCT((cex_08[[client]:[client]]=syndicat_etude)*(cex_08[[annee]:[annee]]=Exercice[[Exercice N-2]:[Exercice N-2]])*(cex_08[[libelle]:[libelle]]=CEX!$B73)*(cex_08[[montant_reparti]:[montant_reparti]]))</f>
        <v>1</v>
      </c>
      <c r="F73" s="8" cm="1">
        <f t="array" ref="F73">SUMPRODUCT((cex_08[[client]:[client]]=syndicat_etude)*(cex_08[[annee]:[annee]]=Exercice[[Exercice N-1]:[Exercice N-1]])*(cex_08[[libelle]:[libelle]]=CEX!$B73)*(cex_08[[montant_reparti]:[montant_reparti]]))</f>
        <v>1</v>
      </c>
      <c r="G73" s="8" cm="1">
        <f t="array" ref="G73">SUMPRODUCT((cex_08[[client]:[client]]=syndicat_etude)*(cex_08[[annee]:[annee]]=Exercice[[Exercice N]:[Exercice N]])*(cex_08[[libelle]:[libelle]]=CEX!$B73)*(cex_08[[montant_reparti]:[montant_reparti]]))</f>
        <v>1</v>
      </c>
      <c r="H73" s="299">
        <f t="shared" si="2"/>
        <v>0</v>
      </c>
    </row>
    <row r="74" spans="1:8" x14ac:dyDescent="0.25">
      <c r="B74" s="381" t="s">
        <v>1054</v>
      </c>
      <c r="C74" s="8" cm="1">
        <f t="array" ref="C74">SUMPRODUCT((cex_08[[client]:[client]]=syndicat_etude)*(cex_08[[annee]:[annee]]=Exercice[[Exercice N-4]:[Exercice N-4]])*(cex_08[[libelle]:[libelle]]=CEX!$B74)*(cex_08[[montant_reparti]:[montant_reparti]]))</f>
        <v>0.999</v>
      </c>
      <c r="D74" s="8" cm="1">
        <f t="array" ref="D74">SUMPRODUCT((cex_08[[client]:[client]]=syndicat_etude)*(cex_08[[annee]:[annee]]=Exercice[[Exercice N-3]:[Exercice N-3]])*(cex_08[[libelle]:[libelle]]=CEX!$B74)*(cex_08[[montant_reparti]:[montant_reparti]]))</f>
        <v>0</v>
      </c>
      <c r="E74" s="8" cm="1">
        <f t="array" ref="E74">SUMPRODUCT((cex_08[[client]:[client]]=syndicat_etude)*(cex_08[[annee]:[annee]]=Exercice[[Exercice N-2]:[Exercice N-2]])*(cex_08[[libelle]:[libelle]]=CEX!$B74)*(cex_08[[montant_reparti]:[montant_reparti]]))</f>
        <v>0.98919999999999997</v>
      </c>
      <c r="F74" s="8" cm="1">
        <f t="array" ref="F74">SUMPRODUCT((cex_08[[client]:[client]]=syndicat_etude)*(cex_08[[annee]:[annee]]=Exercice[[Exercice N-1]:[Exercice N-1]])*(cex_08[[libelle]:[libelle]]=CEX!$B74)*(cex_08[[montant_reparti]:[montant_reparti]]))</f>
        <v>0.99890000000000001</v>
      </c>
      <c r="G74" s="8" cm="1">
        <f t="array" ref="G74">SUMPRODUCT((cex_08[[client]:[client]]=syndicat_etude)*(cex_08[[annee]:[annee]]=Exercice[[Exercice N]:[Exercice N]])*(cex_08[[libelle]:[libelle]]=CEX!$B74)*(cex_08[[montant_reparti]:[montant_reparti]]))</f>
        <v>0.99380000000000002</v>
      </c>
      <c r="H74" s="299">
        <f t="shared" si="2"/>
        <v>-5.1056161777955911E-3</v>
      </c>
    </row>
    <row r="75" spans="1:8" x14ac:dyDescent="0.25">
      <c r="B75" s="381" t="s">
        <v>994</v>
      </c>
      <c r="C75" s="8" cm="1">
        <f t="array" ref="C75">SUMPRODUCT((cex_08[[client]:[client]]=syndicat_etude)*(cex_08[[annee]:[annee]]=Exercice[[Exercice N-4]:[Exercice N-4]])*(cex_08[[libelle]:[libelle]]=CEX!$B75)*(cex_08[[montant_reparti]:[montant_reparti]]))</f>
        <v>7.5399999999999995E-2</v>
      </c>
      <c r="D75" s="8" cm="1">
        <f t="array" ref="D75">SUMPRODUCT((cex_08[[client]:[client]]=syndicat_etude)*(cex_08[[annee]:[annee]]=Exercice[[Exercice N-3]:[Exercice N-3]])*(cex_08[[libelle]:[libelle]]=CEX!$B75)*(cex_08[[montant_reparti]:[montant_reparti]]))</f>
        <v>0</v>
      </c>
      <c r="E75" s="8" cm="1">
        <f t="array" ref="E75">SUMPRODUCT((cex_08[[client]:[client]]=syndicat_etude)*(cex_08[[annee]:[annee]]=Exercice[[Exercice N-2]:[Exercice N-2]])*(cex_08[[libelle]:[libelle]]=CEX!$B75)*(cex_08[[montant_reparti]:[montant_reparti]]))</f>
        <v>4.9700000000000001E-2</v>
      </c>
      <c r="F75" s="8" cm="1">
        <f t="array" ref="F75">SUMPRODUCT((cex_08[[client]:[client]]=syndicat_etude)*(cex_08[[annee]:[annee]]=Exercice[[Exercice N-1]:[Exercice N-1]])*(cex_08[[libelle]:[libelle]]=CEX!$B75)*(cex_08[[montant_reparti]:[montant_reparti]]))</f>
        <v>5.0599999999999999E-2</v>
      </c>
      <c r="G75" s="8" cm="1">
        <f t="array" ref="G75">SUMPRODUCT((cex_08[[client]:[client]]=syndicat_etude)*(cex_08[[annee]:[annee]]=Exercice[[Exercice N]:[Exercice N]])*(cex_08[[libelle]:[libelle]]=CEX!$B75)*(cex_08[[montant_reparti]:[montant_reparti]]))</f>
        <v>0.1973</v>
      </c>
      <c r="H75" s="299">
        <f t="shared" si="2"/>
        <v>2.8992094861660078</v>
      </c>
    </row>
    <row r="76" spans="1:8" x14ac:dyDescent="0.25">
      <c r="B76" s="381" t="s">
        <v>997</v>
      </c>
      <c r="C76" s="8" cm="1">
        <f t="array" ref="C76">SUMPRODUCT((cex_08[[client]:[client]]=syndicat_etude)*(cex_08[[annee]:[annee]]=Exercice[[Exercice N-4]:[Exercice N-4]])*(cex_08[[libelle]:[libelle]]=CEX!$B76)*(cex_08[[montant_reparti]:[montant_reparti]]))</f>
        <v>0.50719999999999998</v>
      </c>
      <c r="D76" s="8" cm="1">
        <f t="array" ref="D76">SUMPRODUCT((cex_08[[client]:[client]]=syndicat_etude)*(cex_08[[annee]:[annee]]=Exercice[[Exercice N-3]:[Exercice N-3]])*(cex_08[[libelle]:[libelle]]=CEX!$B76)*(cex_08[[montant_reparti]:[montant_reparti]]))</f>
        <v>0</v>
      </c>
      <c r="E76" s="8" cm="1">
        <f t="array" ref="E76">SUMPRODUCT((cex_08[[client]:[client]]=syndicat_etude)*(cex_08[[annee]:[annee]]=Exercice[[Exercice N-2]:[Exercice N-2]])*(cex_08[[libelle]:[libelle]]=CEX!$B76)*(cex_08[[montant_reparti]:[montant_reparti]]))</f>
        <v>0.66769999999999996</v>
      </c>
      <c r="F76" s="8" cm="1">
        <f t="array" ref="F76">SUMPRODUCT((cex_08[[client]:[client]]=syndicat_etude)*(cex_08[[annee]:[annee]]=Exercice[[Exercice N-1]:[Exercice N-1]])*(cex_08[[libelle]:[libelle]]=CEX!$B76)*(cex_08[[montant_reparti]:[montant_reparti]]))</f>
        <v>0.70669999999999999</v>
      </c>
      <c r="G76" s="8" cm="1">
        <f t="array" ref="G76">SUMPRODUCT((cex_08[[client]:[client]]=syndicat_etude)*(cex_08[[annee]:[annee]]=Exercice[[Exercice N]:[Exercice N]])*(cex_08[[libelle]:[libelle]]=CEX!$B76)*(cex_08[[montant_reparti]:[montant_reparti]]))</f>
        <v>0.73450000000000004</v>
      </c>
      <c r="H76" s="299">
        <f t="shared" si="2"/>
        <v>3.9337767086458308E-2</v>
      </c>
    </row>
    <row r="77" spans="1:8" x14ac:dyDescent="0.25">
      <c r="B77" s="381" t="s">
        <v>1055</v>
      </c>
      <c r="C77" s="8" cm="1">
        <f t="array" ref="C77">SUMPRODUCT((cex_08[[client]:[client]]=syndicat_etude)*(cex_08[[annee]:[annee]]=Exercice[[Exercice N-4]:[Exercice N-4]])*(cex_08[[libelle]:[libelle]]=CEX!$B77)*(cex_08[[montant_reparti]:[montant_reparti]]))</f>
        <v>0.2172</v>
      </c>
      <c r="D77" s="8" cm="1">
        <f t="array" ref="D77">SUMPRODUCT((cex_08[[client]:[client]]=syndicat_etude)*(cex_08[[annee]:[annee]]=Exercice[[Exercice N-3]:[Exercice N-3]])*(cex_08[[libelle]:[libelle]]=CEX!$B77)*(cex_08[[montant_reparti]:[montant_reparti]]))</f>
        <v>0</v>
      </c>
      <c r="E77" s="8" cm="1">
        <f t="array" ref="E77">SUMPRODUCT((cex_08[[client]:[client]]=syndicat_etude)*(cex_08[[annee]:[annee]]=Exercice[[Exercice N-2]:[Exercice N-2]])*(cex_08[[libelle]:[libelle]]=CEX!$B77)*(cex_08[[montant_reparti]:[montant_reparti]]))</f>
        <v>0.54390000000000005</v>
      </c>
      <c r="F77" s="8" cm="1">
        <f t="array" ref="F77">SUMPRODUCT((cex_08[[client]:[client]]=syndicat_etude)*(cex_08[[annee]:[annee]]=Exercice[[Exercice N-1]:[Exercice N-1]])*(cex_08[[libelle]:[libelle]]=CEX!$B77)*(cex_08[[montant_reparti]:[montant_reparti]]))</f>
        <v>0.53669999999999995</v>
      </c>
      <c r="G77" s="8" cm="1">
        <f t="array" ref="G77">SUMPRODUCT((cex_08[[client]:[client]]=syndicat_etude)*(cex_08[[annee]:[annee]]=Exercice[[Exercice N]:[Exercice N]])*(cex_08[[libelle]:[libelle]]=CEX!$B77)*(cex_08[[montant_reparti]:[montant_reparti]]))</f>
        <v>6.3799999999999996E-2</v>
      </c>
      <c r="H77" s="299">
        <f t="shared" si="2"/>
        <v>-0.88112539593814043</v>
      </c>
    </row>
    <row r="78" spans="1:8" x14ac:dyDescent="0.25">
      <c r="B78" s="381" t="s">
        <v>1056</v>
      </c>
      <c r="C78" s="8" cm="1">
        <f t="array" ref="C78">SUMPRODUCT((cex_08[[client]:[client]]=syndicat_etude)*(cex_08[[annee]:[annee]]=Exercice[[Exercice N-4]:[Exercice N-4]])*(cex_08[[libelle]:[libelle]]=CEX!$B78)*(cex_08[[montant_reparti]:[montant_reparti]]))</f>
        <v>0</v>
      </c>
      <c r="D78" s="8" cm="1">
        <f t="array" ref="D78">SUMPRODUCT((cex_08[[client]:[client]]=syndicat_etude)*(cex_08[[annee]:[annee]]=Exercice[[Exercice N-3]:[Exercice N-3]])*(cex_08[[libelle]:[libelle]]=CEX!$B78)*(cex_08[[montant_reparti]:[montant_reparti]]))</f>
        <v>0</v>
      </c>
      <c r="E78" s="8" cm="1">
        <f t="array" ref="E78">SUMPRODUCT((cex_08[[client]:[client]]=syndicat_etude)*(cex_08[[annee]:[annee]]=Exercice[[Exercice N-2]:[Exercice N-2]])*(cex_08[[libelle]:[libelle]]=CEX!$B78)*(cex_08[[montant_reparti]:[montant_reparti]]))</f>
        <v>0</v>
      </c>
      <c r="F78" s="8" cm="1">
        <f t="array" ref="F78">SUMPRODUCT((cex_08[[client]:[client]]=syndicat_etude)*(cex_08[[annee]:[annee]]=Exercice[[Exercice N-1]:[Exercice N-1]])*(cex_08[[libelle]:[libelle]]=CEX!$B78)*(cex_08[[montant_reparti]:[montant_reparti]]))</f>
        <v>0</v>
      </c>
      <c r="G78" s="8" cm="1">
        <f t="array" ref="G78">SUMPRODUCT((cex_08[[client]:[client]]=syndicat_etude)*(cex_08[[annee]:[annee]]=Exercice[[Exercice N]:[Exercice N]])*(cex_08[[libelle]:[libelle]]=CEX!$B78)*(cex_08[[montant_reparti]:[montant_reparti]]))</f>
        <v>0</v>
      </c>
      <c r="H78" s="299" t="str">
        <f t="shared" si="2"/>
        <v>-</v>
      </c>
    </row>
    <row r="79" spans="1:8" x14ac:dyDescent="0.25">
      <c r="B79" s="381" t="s">
        <v>1003</v>
      </c>
      <c r="C79" s="8" cm="1">
        <f t="array" ref="C79">SUMPRODUCT((cex_08[[client]:[client]]=syndicat_etude)*(cex_08[[annee]:[annee]]=Exercice[[Exercice N-4]:[Exercice N-4]])*(cex_08[[libelle]:[libelle]]=CEX!$B79)*(cex_08[[montant_reparti]:[montant_reparti]]))</f>
        <v>1</v>
      </c>
      <c r="D79" s="8" cm="1">
        <f t="array" ref="D79">SUMPRODUCT((cex_08[[client]:[client]]=syndicat_etude)*(cex_08[[annee]:[annee]]=Exercice[[Exercice N-3]:[Exercice N-3]])*(cex_08[[libelle]:[libelle]]=CEX!$B79)*(cex_08[[montant_reparti]:[montant_reparti]]))</f>
        <v>1</v>
      </c>
      <c r="E79" s="8" cm="1">
        <f t="array" ref="E79">SUMPRODUCT((cex_08[[client]:[client]]=syndicat_etude)*(cex_08[[annee]:[annee]]=Exercice[[Exercice N-2]:[Exercice N-2]])*(cex_08[[libelle]:[libelle]]=CEX!$B79)*(cex_08[[montant_reparti]:[montant_reparti]]))</f>
        <v>1</v>
      </c>
      <c r="F79" s="8" cm="1">
        <f t="array" ref="F79">SUMPRODUCT((cex_08[[client]:[client]]=syndicat_etude)*(cex_08[[annee]:[annee]]=Exercice[[Exercice N-1]:[Exercice N-1]])*(cex_08[[libelle]:[libelle]]=CEX!$B79)*(cex_08[[montant_reparti]:[montant_reparti]]))</f>
        <v>1</v>
      </c>
      <c r="G79" s="8" cm="1">
        <f t="array" ref="G79">SUMPRODUCT((cex_08[[client]:[client]]=syndicat_etude)*(cex_08[[annee]:[annee]]=Exercice[[Exercice N]:[Exercice N]])*(cex_08[[libelle]:[libelle]]=CEX!$B79)*(cex_08[[montant_reparti]:[montant_reparti]]))</f>
        <v>1</v>
      </c>
      <c r="H79" s="299">
        <f t="shared" si="2"/>
        <v>0</v>
      </c>
    </row>
    <row r="80" spans="1:8" x14ac:dyDescent="0.25">
      <c r="B80" s="381" t="s">
        <v>1057</v>
      </c>
      <c r="C80" s="8" cm="1">
        <f t="array" ref="C80">SUMPRODUCT((cex_08[[client]:[client]]=syndicat_etude)*(cex_08[[annee]:[annee]]=Exercice[[Exercice N-4]:[Exercice N-4]])*(cex_08[[libelle]:[libelle]]=CEX!$B80)*(cex_08[[montant_reparti]:[montant_reparti]]))</f>
        <v>0</v>
      </c>
      <c r="D80" s="8" cm="1">
        <f t="array" ref="D80">SUMPRODUCT((cex_08[[client]:[client]]=syndicat_etude)*(cex_08[[annee]:[annee]]=Exercice[[Exercice N-3]:[Exercice N-3]])*(cex_08[[libelle]:[libelle]]=CEX!$B80)*(cex_08[[montant_reparti]:[montant_reparti]]))</f>
        <v>0</v>
      </c>
      <c r="E80" s="8" cm="1">
        <f t="array" ref="E80">SUMPRODUCT((cex_08[[client]:[client]]=syndicat_etude)*(cex_08[[annee]:[annee]]=Exercice[[Exercice N-2]:[Exercice N-2]])*(cex_08[[libelle]:[libelle]]=CEX!$B80)*(cex_08[[montant_reparti]:[montant_reparti]]))</f>
        <v>0</v>
      </c>
      <c r="F80" s="8" cm="1">
        <f t="array" ref="F80">SUMPRODUCT((cex_08[[client]:[client]]=syndicat_etude)*(cex_08[[annee]:[annee]]=Exercice[[Exercice N-1]:[Exercice N-1]])*(cex_08[[libelle]:[libelle]]=CEX!$B80)*(cex_08[[montant_reparti]:[montant_reparti]]))</f>
        <v>0</v>
      </c>
      <c r="G80" s="8" cm="1">
        <f t="array" ref="G80">SUMPRODUCT((cex_08[[client]:[client]]=syndicat_etude)*(cex_08[[annee]:[annee]]=Exercice[[Exercice N]:[Exercice N]])*(cex_08[[libelle]:[libelle]]=CEX!$B80)*(cex_08[[montant_reparti]:[montant_reparti]]))</f>
        <v>0</v>
      </c>
      <c r="H80" s="299" t="str">
        <f t="shared" si="2"/>
        <v>-</v>
      </c>
    </row>
    <row r="81" spans="2:8" x14ac:dyDescent="0.25">
      <c r="B81" s="381" t="s">
        <v>1005</v>
      </c>
      <c r="C81" s="8" cm="1">
        <f t="array" ref="C81">SUMPRODUCT((cex_08[[client]:[client]]=syndicat_etude)*(cex_08[[annee]:[annee]]=Exercice[[Exercice N-4]:[Exercice N-4]])*(cex_08[[libelle]:[libelle]]=CEX!$B81)*(cex_08[[montant_reparti]:[montant_reparti]]))</f>
        <v>4.7000000000000002E-3</v>
      </c>
      <c r="D81" s="8" cm="1">
        <f t="array" ref="D81">SUMPRODUCT((cex_08[[client]:[client]]=syndicat_etude)*(cex_08[[annee]:[annee]]=Exercice[[Exercice N-3]:[Exercice N-3]])*(cex_08[[libelle]:[libelle]]=CEX!$B81)*(cex_08[[montant_reparti]:[montant_reparti]]))</f>
        <v>0</v>
      </c>
      <c r="E81" s="8" cm="1">
        <f t="array" ref="E81">SUMPRODUCT((cex_08[[client]:[client]]=syndicat_etude)*(cex_08[[annee]:[annee]]=Exercice[[Exercice N-2]:[Exercice N-2]])*(cex_08[[libelle]:[libelle]]=CEX!$B81)*(cex_08[[montant_reparti]:[montant_reparti]]))</f>
        <v>1.1599999999999999E-2</v>
      </c>
      <c r="F81" s="8" cm="1">
        <f t="array" ref="F81">SUMPRODUCT((cex_08[[client]:[client]]=syndicat_etude)*(cex_08[[annee]:[annee]]=Exercice[[Exercice N-1]:[Exercice N-1]])*(cex_08[[libelle]:[libelle]]=CEX!$B81)*(cex_08[[montant_reparti]:[montant_reparti]]))</f>
        <v>0.88539999999999996</v>
      </c>
      <c r="G81" s="8" cm="1">
        <f t="array" ref="G81">SUMPRODUCT((cex_08[[client]:[client]]=syndicat_etude)*(cex_08[[annee]:[annee]]=Exercice[[Exercice N]:[Exercice N]])*(cex_08[[libelle]:[libelle]]=CEX!$B81)*(cex_08[[montant_reparti]:[montant_reparti]]))</f>
        <v>2.4500000000000001E-2</v>
      </c>
      <c r="H81" s="299">
        <f t="shared" si="2"/>
        <v>-0.97232889089676977</v>
      </c>
    </row>
    <row r="82" spans="2:8" x14ac:dyDescent="0.25">
      <c r="B82" s="383" t="s">
        <v>1058</v>
      </c>
      <c r="C82" s="353" cm="1">
        <f t="array" ref="C82">SUMPRODUCT((cex_12[[client]:[client]]=syndicat_etude)*(cex_12[[annee]:[annee]]=Exercice[[Exercice N-4]:[Exercice N-4]])*(cex_12[[libelle]:[libelle]]="Total produit natif")*(cex_12[[valeur]:[valeur]]))</f>
        <v>0.91339999999999999</v>
      </c>
      <c r="D82" s="353" cm="1">
        <f t="array" ref="D82">SUMPRODUCT((cex_12[[client]:[client]]=syndicat_etude)*(cex_12[[annee]:[annee]]=Exercice[[Exercice N-3]:[Exercice N-3]])*(cex_12[[libelle]:[libelle]]="Total produit natif")*(cex_12[[valeur]:[valeur]]))</f>
        <v>0.93020000000000003</v>
      </c>
      <c r="E82" s="353" cm="1">
        <f t="array" ref="E82">SUMPRODUCT((cex_12[[client]:[client]]=syndicat_etude)*(cex_12[[annee]:[annee]]=Exercice[[Exercice N-2]:[Exercice N-2]])*(cex_12[[libelle]:[libelle]]="Total produit natif")*(cex_12[[valeur]:[valeur]]))</f>
        <v>0.88470000000000004</v>
      </c>
      <c r="F82" s="353" cm="1">
        <f t="array" ref="F82">SUMPRODUCT((cex_12[[client]:[client]]=syndicat_etude)*(cex_12[[annee]:[annee]]=Exercice[[Exercice N-1]:[Exercice N-1]])*(cex_12[[libelle]:[libelle]]="Total produit natif")*(cex_12[[valeur]:[valeur]]))</f>
        <v>0.88300000000000001</v>
      </c>
      <c r="G82" s="353" cm="1">
        <f t="array" ref="G82">SUMPRODUCT((cex_12[[client]:[client]]=syndicat_etude)*(cex_12[[annee]:[annee]]=Exercice[[Exercice N]:[Exercice N]])*(cex_12[[libelle]:[libelle]]="Total produit natif")*(cex_12[[valeur]:[valeur]]))</f>
        <v>0.87839999999999996</v>
      </c>
      <c r="H82" s="386">
        <f t="shared" si="2"/>
        <v>-5.209513023782586E-3</v>
      </c>
    </row>
    <row r="83" spans="2:8" x14ac:dyDescent="0.25">
      <c r="C83" s="291"/>
      <c r="D83" s="291"/>
      <c r="E83" s="291"/>
      <c r="F83" s="291"/>
      <c r="G83" s="291"/>
    </row>
    <row r="84" spans="2:8" ht="30" customHeight="1" x14ac:dyDescent="0.25">
      <c r="B84" s="66" t="s">
        <v>1059</v>
      </c>
      <c r="C84" s="67" cm="1">
        <f t="array" ref="C84">Exercice[Exercice N-4]</f>
        <v>2019</v>
      </c>
      <c r="D84" s="67" cm="1">
        <f t="array" ref="D84">Exercice[Exercice N-3]</f>
        <v>2020</v>
      </c>
      <c r="E84" s="67" cm="1">
        <f t="array" ref="E84">Exercice[Exercice N-2]</f>
        <v>2021</v>
      </c>
      <c r="F84" s="67" cm="1">
        <f t="array" ref="F84">Exercice[Exercice N-1]</f>
        <v>2022</v>
      </c>
      <c r="G84" s="67" cm="1">
        <f t="array" ref="G84">Exercice[Exercice N]</f>
        <v>2023</v>
      </c>
      <c r="H84" s="68" t="s">
        <v>273</v>
      </c>
    </row>
    <row r="85" spans="2:8" x14ac:dyDescent="0.25">
      <c r="B85" s="381" t="s">
        <v>1010</v>
      </c>
      <c r="C85" s="8" cm="1">
        <f t="array" ref="C85">SUMPRODUCT((cex_08[[client]:[client]]=syndicat_etude)*(cex_08[[annee]:[annee]]=Exercice[[Exercice N-4]:[Exercice N-4]])*(cex_08[[libelle]:[libelle]]=CEX!$B85)*(cex_08[[montant_reparti]:[montant_reparti]]))</f>
        <v>0</v>
      </c>
      <c r="D85" s="8" cm="1">
        <f t="array" ref="D85">SUMPRODUCT((cex_08[[client]:[client]]=syndicat_etude)*(cex_08[[annee]:[annee]]=Exercice[[Exercice N-3]:[Exercice N-3]])*(cex_08[[libelle]:[libelle]]=CEX!$B85)*(cex_08[[montant_reparti]:[montant_reparti]]))</f>
        <v>0</v>
      </c>
      <c r="E85" s="8" cm="1">
        <f t="array" ref="E85">SUMPRODUCT((cex_08[[client]:[client]]=syndicat_etude)*(cex_08[[annee]:[annee]]=Exercice[[Exercice N-2]:[Exercice N-2]])*(cex_08[[libelle]:[libelle]]=CEX!$B85)*(cex_08[[montant_reparti]:[montant_reparti]]))</f>
        <v>0</v>
      </c>
      <c r="F85" s="8" cm="1">
        <f t="array" ref="F85">SUMPRODUCT((cex_08[[client]:[client]]=syndicat_etude)*(cex_08[[annee]:[annee]]=Exercice[[Exercice N-1]:[Exercice N-1]])*(cex_08[[libelle]:[libelle]]=CEX!$B85)*(cex_08[[montant_reparti]:[montant_reparti]]))</f>
        <v>0</v>
      </c>
      <c r="G85" s="8" cm="1">
        <f t="array" ref="G85">SUMPRODUCT((cex_08[[client]:[client]]=syndicat_etude)*(cex_08[[annee]:[annee]]=Exercice[[Exercice N]:[Exercice N]])*(cex_08[[libelle]:[libelle]]=CEX!$B85)*(cex_08[[montant_reparti]:[montant_reparti]]))</f>
        <v>0</v>
      </c>
      <c r="H85" s="299" t="str">
        <f>IFERROR(G85/F85-1,"-")</f>
        <v>-</v>
      </c>
    </row>
    <row r="86" spans="2:8" x14ac:dyDescent="0.25">
      <c r="B86" s="381" t="s">
        <v>1060</v>
      </c>
      <c r="C86" s="8" cm="1">
        <f t="array" ref="C86">SUMPRODUCT((cex_08[[client]:[client]]=syndicat_etude)*(cex_08[[annee]:[annee]]=Exercice[[Exercice N-4]:[Exercice N-4]])*(cex_08[[libelle]:[libelle]]=CEX!$B86)*(cex_08[[montant_reparti]:[montant_reparti]]))</f>
        <v>0</v>
      </c>
      <c r="D86" s="8" cm="1">
        <f t="array" ref="D86">SUMPRODUCT((cex_08[[client]:[client]]=syndicat_etude)*(cex_08[[annee]:[annee]]=Exercice[[Exercice N-3]:[Exercice N-3]])*(cex_08[[libelle]:[libelle]]=CEX!$B86)*(cex_08[[montant_reparti]:[montant_reparti]]))</f>
        <v>0</v>
      </c>
      <c r="E86" s="8" cm="1">
        <f t="array" ref="E86">SUMPRODUCT((cex_08[[client]:[client]]=syndicat_etude)*(cex_08[[annee]:[annee]]=Exercice[[Exercice N-2]:[Exercice N-2]])*(cex_08[[libelle]:[libelle]]=CEX!$B86)*(cex_08[[montant_reparti]:[montant_reparti]]))</f>
        <v>0</v>
      </c>
      <c r="F86" s="8" cm="1">
        <f t="array" ref="F86">SUMPRODUCT((cex_08[[client]:[client]]=syndicat_etude)*(cex_08[[annee]:[annee]]=Exercice[[Exercice N-1]:[Exercice N-1]])*(cex_08[[libelle]:[libelle]]=CEX!$B86)*(cex_08[[montant_reparti]:[montant_reparti]]))</f>
        <v>0</v>
      </c>
      <c r="G86" s="8" cm="1">
        <f t="array" ref="G86">SUMPRODUCT((cex_08[[client]:[client]]=syndicat_etude)*(cex_08[[annee]:[annee]]=Exercice[[Exercice N]:[Exercice N]])*(cex_08[[libelle]:[libelle]]=CEX!$B86)*(cex_08[[montant_reparti]:[montant_reparti]]))</f>
        <v>0</v>
      </c>
      <c r="H86" s="299" t="str">
        <f t="shared" ref="H86:H104" si="3">IFERROR(G86/F86-1,"-")</f>
        <v>-</v>
      </c>
    </row>
    <row r="87" spans="2:8" x14ac:dyDescent="0.25">
      <c r="B87" s="381" t="s">
        <v>1012</v>
      </c>
      <c r="C87" s="8" cm="1">
        <f t="array" ref="C87">SUMPRODUCT((cex_08[[client]:[client]]=syndicat_etude)*(cex_08[[annee]:[annee]]=Exercice[[Exercice N-4]:[Exercice N-4]])*(cex_08[[libelle]:[libelle]]=CEX!$B87)*(cex_08[[montant_reparti]:[montant_reparti]]))</f>
        <v>1</v>
      </c>
      <c r="D87" s="8" cm="1">
        <f t="array" ref="D87">SUMPRODUCT((cex_08[[client]:[client]]=syndicat_etude)*(cex_08[[annee]:[annee]]=Exercice[[Exercice N-3]:[Exercice N-3]])*(cex_08[[libelle]:[libelle]]=CEX!$B87)*(cex_08[[montant_reparti]:[montant_reparti]]))</f>
        <v>0</v>
      </c>
      <c r="E87" s="8" cm="1">
        <f t="array" ref="E87">SUMPRODUCT((cex_08[[client]:[client]]=syndicat_etude)*(cex_08[[annee]:[annee]]=Exercice[[Exercice N-2]:[Exercice N-2]])*(cex_08[[libelle]:[libelle]]=CEX!$B87)*(cex_08[[montant_reparti]:[montant_reparti]]))</f>
        <v>1</v>
      </c>
      <c r="F87" s="8" cm="1">
        <f t="array" ref="F87">SUMPRODUCT((cex_08[[client]:[client]]=syndicat_etude)*(cex_08[[annee]:[annee]]=Exercice[[Exercice N-1]:[Exercice N-1]])*(cex_08[[libelle]:[libelle]]=CEX!$B87)*(cex_08[[montant_reparti]:[montant_reparti]]))</f>
        <v>1</v>
      </c>
      <c r="G87" s="8" cm="1">
        <f t="array" ref="G87">SUMPRODUCT((cex_08[[client]:[client]]=syndicat_etude)*(cex_08[[annee]:[annee]]=Exercice[[Exercice N]:[Exercice N]])*(cex_08[[libelle]:[libelle]]=CEX!$B87)*(cex_08[[montant_reparti]:[montant_reparti]]))</f>
        <v>1</v>
      </c>
      <c r="H87" s="299">
        <f t="shared" si="3"/>
        <v>0</v>
      </c>
    </row>
    <row r="88" spans="2:8" x14ac:dyDescent="0.25">
      <c r="B88" s="381" t="s">
        <v>792</v>
      </c>
      <c r="C88" s="8" cm="1">
        <f t="array" ref="C88">SUMPRODUCT((cex_08[[client]:[client]]=syndicat_etude)*(cex_08[[annee]:[annee]]=Exercice[[Exercice N-4]:[Exercice N-4]])*(cex_08[[libelle]:[libelle]]=CEX!$B88)*(cex_08[[montant_reparti]:[montant_reparti]]))</f>
        <v>0.54800000000000004</v>
      </c>
      <c r="D88" s="8" cm="1">
        <f t="array" ref="D88">SUMPRODUCT((cex_08[[client]:[client]]=syndicat_etude)*(cex_08[[annee]:[annee]]=Exercice[[Exercice N-3]:[Exercice N-3]])*(cex_08[[libelle]:[libelle]]=CEX!$B88)*(cex_08[[montant_reparti]:[montant_reparti]]))</f>
        <v>0</v>
      </c>
      <c r="E88" s="8" cm="1">
        <f t="array" ref="E88">SUMPRODUCT((cex_08[[client]:[client]]=syndicat_etude)*(cex_08[[annee]:[annee]]=Exercice[[Exercice N-2]:[Exercice N-2]])*(cex_08[[libelle]:[libelle]]=CEX!$B88)*(cex_08[[montant_reparti]:[montant_reparti]]))</f>
        <v>0.60970000000000002</v>
      </c>
      <c r="F88" s="8" cm="1">
        <f t="array" ref="F88">SUMPRODUCT((cex_08[[client]:[client]]=syndicat_etude)*(cex_08[[annee]:[annee]]=Exercice[[Exercice N-1]:[Exercice N-1]])*(cex_08[[libelle]:[libelle]]=CEX!$B88)*(cex_08[[montant_reparti]:[montant_reparti]]))</f>
        <v>0.67230000000000001</v>
      </c>
      <c r="G88" s="8" cm="1">
        <f t="array" ref="G88">SUMPRODUCT((cex_08[[client]:[client]]=syndicat_etude)*(cex_08[[annee]:[annee]]=Exercice[[Exercice N]:[Exercice N]])*(cex_08[[libelle]:[libelle]]=CEX!$B88)*(cex_08[[montant_reparti]:[montant_reparti]]))</f>
        <v>0.68010000000000004</v>
      </c>
      <c r="H88" s="299">
        <f t="shared" si="3"/>
        <v>1.1601963409192395E-2</v>
      </c>
    </row>
    <row r="89" spans="2:8" x14ac:dyDescent="0.25">
      <c r="B89" s="381" t="s">
        <v>798</v>
      </c>
      <c r="C89" s="8" cm="1">
        <f t="array" ref="C89">SUMPRODUCT((cex_08[[client]:[client]]=syndicat_etude)*(cex_08[[annee]:[annee]]=Exercice[[Exercice N-4]:[Exercice N-4]])*(cex_08[[libelle]:[libelle]]=CEX!$B89)*(cex_08[[montant_reparti]:[montant_reparti]]))</f>
        <v>0.89980000000000004</v>
      </c>
      <c r="D89" s="8" cm="1">
        <f t="array" ref="D89">SUMPRODUCT((cex_08[[client]:[client]]=syndicat_etude)*(cex_08[[annee]:[annee]]=Exercice[[Exercice N-3]:[Exercice N-3]])*(cex_08[[libelle]:[libelle]]=CEX!$B89)*(cex_08[[montant_reparti]:[montant_reparti]]))</f>
        <v>0</v>
      </c>
      <c r="E89" s="8" cm="1">
        <f t="array" ref="E89">SUMPRODUCT((cex_08[[client]:[client]]=syndicat_etude)*(cex_08[[annee]:[annee]]=Exercice[[Exercice N-2]:[Exercice N-2]])*(cex_08[[libelle]:[libelle]]=CEX!$B89)*(cex_08[[montant_reparti]:[montant_reparti]]))</f>
        <v>0.89580000000000004</v>
      </c>
      <c r="F89" s="8" cm="1">
        <f t="array" ref="F89">SUMPRODUCT((cex_08[[client]:[client]]=syndicat_etude)*(cex_08[[annee]:[annee]]=Exercice[[Exercice N-1]:[Exercice N-1]])*(cex_08[[libelle]:[libelle]]=CEX!$B89)*(cex_08[[montant_reparti]:[montant_reparti]]))</f>
        <v>0.91520000000000001</v>
      </c>
      <c r="G89" s="8" cm="1">
        <f t="array" ref="G89">SUMPRODUCT((cex_08[[client]:[client]]=syndicat_etude)*(cex_08[[annee]:[annee]]=Exercice[[Exercice N]:[Exercice N]])*(cex_08[[libelle]:[libelle]]=CEX!$B89)*(cex_08[[montant_reparti]:[montant_reparti]]))</f>
        <v>0.88870000000000005</v>
      </c>
      <c r="H89" s="299">
        <f t="shared" si="3"/>
        <v>-2.8955419580419584E-2</v>
      </c>
    </row>
    <row r="90" spans="2:8" x14ac:dyDescent="0.25">
      <c r="B90" s="381" t="s">
        <v>1014</v>
      </c>
      <c r="C90" s="8" cm="1">
        <f t="array" ref="C90">SUMPRODUCT((cex_08[[client]:[client]]=syndicat_etude)*(cex_08[[annee]:[annee]]=Exercice[[Exercice N-4]:[Exercice N-4]])*(cex_08[[libelle]:[libelle]]=CEX!$B90)*(cex_08[[montant_reparti]:[montant_reparti]]))</f>
        <v>0</v>
      </c>
      <c r="D90" s="8" cm="1">
        <f t="array" ref="D90">SUMPRODUCT((cex_08[[client]:[client]]=syndicat_etude)*(cex_08[[annee]:[annee]]=Exercice[[Exercice N-3]:[Exercice N-3]])*(cex_08[[libelle]:[libelle]]=CEX!$B90)*(cex_08[[montant_reparti]:[montant_reparti]]))</f>
        <v>0</v>
      </c>
      <c r="E90" s="8" cm="1">
        <f t="array" ref="E90">SUMPRODUCT((cex_08[[client]:[client]]=syndicat_etude)*(cex_08[[annee]:[annee]]=Exercice[[Exercice N-2]:[Exercice N-2]])*(cex_08[[libelle]:[libelle]]=CEX!$B90)*(cex_08[[montant_reparti]:[montant_reparti]]))</f>
        <v>0</v>
      </c>
      <c r="F90" s="8" cm="1">
        <f t="array" ref="F90">SUMPRODUCT((cex_08[[client]:[client]]=syndicat_etude)*(cex_08[[annee]:[annee]]=Exercice[[Exercice N-1]:[Exercice N-1]])*(cex_08[[libelle]:[libelle]]=CEX!$B90)*(cex_08[[montant_reparti]:[montant_reparti]]))</f>
        <v>0</v>
      </c>
      <c r="G90" s="8" cm="1">
        <f t="array" ref="G90">SUMPRODUCT((cex_08[[client]:[client]]=syndicat_etude)*(cex_08[[annee]:[annee]]=Exercice[[Exercice N]:[Exercice N]])*(cex_08[[libelle]:[libelle]]=CEX!$B90)*(cex_08[[montant_reparti]:[montant_reparti]]))</f>
        <v>0</v>
      </c>
      <c r="H90" s="299" t="str">
        <f t="shared" si="3"/>
        <v>-</v>
      </c>
    </row>
    <row r="91" spans="2:8" x14ac:dyDescent="0.25">
      <c r="B91" s="381" t="s">
        <v>1015</v>
      </c>
      <c r="C91" s="8" cm="1">
        <f t="array" ref="C91">SUMPRODUCT((cex_08[[client]:[client]]=syndicat_etude)*(cex_08[[annee]:[annee]]=Exercice[[Exercice N-4]:[Exercice N-4]])*(cex_08[[libelle]:[libelle]]=CEX!$B91)*(cex_08[[montant_reparti]:[montant_reparti]]))</f>
        <v>0</v>
      </c>
      <c r="D91" s="8" cm="1">
        <f t="array" ref="D91">SUMPRODUCT((cex_08[[client]:[client]]=syndicat_etude)*(cex_08[[annee]:[annee]]=Exercice[[Exercice N-3]:[Exercice N-3]])*(cex_08[[libelle]:[libelle]]=CEX!$B91)*(cex_08[[montant_reparti]:[montant_reparti]]))</f>
        <v>0</v>
      </c>
      <c r="E91" s="8" cm="1">
        <f t="array" ref="E91">SUMPRODUCT((cex_08[[client]:[client]]=syndicat_etude)*(cex_08[[annee]:[annee]]=Exercice[[Exercice N-2]:[Exercice N-2]])*(cex_08[[libelle]:[libelle]]=CEX!$B91)*(cex_08[[montant_reparti]:[montant_reparti]]))</f>
        <v>0</v>
      </c>
      <c r="F91" s="8" cm="1">
        <f t="array" ref="F91">SUMPRODUCT((cex_08[[client]:[client]]=syndicat_etude)*(cex_08[[annee]:[annee]]=Exercice[[Exercice N-1]:[Exercice N-1]])*(cex_08[[libelle]:[libelle]]=CEX!$B91)*(cex_08[[montant_reparti]:[montant_reparti]]))</f>
        <v>0</v>
      </c>
      <c r="G91" s="8" cm="1">
        <f t="array" ref="G91">SUMPRODUCT((cex_08[[client]:[client]]=syndicat_etude)*(cex_08[[annee]:[annee]]=Exercice[[Exercice N]:[Exercice N]])*(cex_08[[libelle]:[libelle]]=CEX!$B91)*(cex_08[[montant_reparti]:[montant_reparti]]))</f>
        <v>9.2999999999999992E-3</v>
      </c>
      <c r="H91" s="299" t="str">
        <f t="shared" si="3"/>
        <v>-</v>
      </c>
    </row>
    <row r="92" spans="2:8" x14ac:dyDescent="0.25">
      <c r="B92" s="381" t="s">
        <v>1016</v>
      </c>
      <c r="C92" s="8" cm="1">
        <f t="array" ref="C92">SUMPRODUCT((cex_08[[client]:[client]]=syndicat_etude)*(cex_08[[annee]:[annee]]=Exercice[[Exercice N-4]:[Exercice N-4]])*(cex_08[[libelle]:[libelle]]=CEX!$B92)*(cex_08[[montant_reparti]:[montant_reparti]]))</f>
        <v>0</v>
      </c>
      <c r="D92" s="8" cm="1">
        <f t="array" ref="D92">SUMPRODUCT((cex_08[[client]:[client]]=syndicat_etude)*(cex_08[[annee]:[annee]]=Exercice[[Exercice N-3]:[Exercice N-3]])*(cex_08[[libelle]:[libelle]]=CEX!$B92)*(cex_08[[montant_reparti]:[montant_reparti]]))</f>
        <v>0</v>
      </c>
      <c r="E92" s="8" cm="1">
        <f t="array" ref="E92">SUMPRODUCT((cex_08[[client]:[client]]=syndicat_etude)*(cex_08[[annee]:[annee]]=Exercice[[Exercice N-2]:[Exercice N-2]])*(cex_08[[libelle]:[libelle]]=CEX!$B92)*(cex_08[[montant_reparti]:[montant_reparti]]))</f>
        <v>0</v>
      </c>
      <c r="F92" s="8" cm="1">
        <f t="array" ref="F92">SUMPRODUCT((cex_08[[client]:[client]]=syndicat_etude)*(cex_08[[annee]:[annee]]=Exercice[[Exercice N-1]:[Exercice N-1]])*(cex_08[[libelle]:[libelle]]=CEX!$B92)*(cex_08[[montant_reparti]:[montant_reparti]]))</f>
        <v>0</v>
      </c>
      <c r="G92" s="8" cm="1">
        <f t="array" ref="G92">SUMPRODUCT((cex_08[[client]:[client]]=syndicat_etude)*(cex_08[[annee]:[annee]]=Exercice[[Exercice N]:[Exercice N]])*(cex_08[[libelle]:[libelle]]=CEX!$B92)*(cex_08[[montant_reparti]:[montant_reparti]]))</f>
        <v>0</v>
      </c>
      <c r="H92" s="299" t="str">
        <f t="shared" si="3"/>
        <v>-</v>
      </c>
    </row>
    <row r="93" spans="2:8" x14ac:dyDescent="0.25">
      <c r="B93" s="381" t="s">
        <v>1017</v>
      </c>
      <c r="C93" s="8" cm="1">
        <f t="array" ref="C93">SUMPRODUCT((cex_08[[client]:[client]]=syndicat_etude)*(cex_08[[annee]:[annee]]=Exercice[[Exercice N-4]:[Exercice N-4]])*(cex_08[[libelle]:[libelle]]=CEX!$B93)*(cex_08[[montant_reparti]:[montant_reparti]]))</f>
        <v>4.8800000000000003E-2</v>
      </c>
      <c r="D93" s="8" cm="1">
        <f t="array" ref="D93">SUMPRODUCT((cex_08[[client]:[client]]=syndicat_etude)*(cex_08[[annee]:[annee]]=Exercice[[Exercice N-3]:[Exercice N-3]])*(cex_08[[libelle]:[libelle]]=CEX!$B93)*(cex_08[[montant_reparti]:[montant_reparti]]))</f>
        <v>9.7699999999999995E-2</v>
      </c>
      <c r="E93" s="8" cm="1">
        <f t="array" ref="E93">SUMPRODUCT((cex_08[[client]:[client]]=syndicat_etude)*(cex_08[[annee]:[annee]]=Exercice[[Exercice N-2]:[Exercice N-2]])*(cex_08[[libelle]:[libelle]]=CEX!$B93)*(cex_08[[montant_reparti]:[montant_reparti]]))</f>
        <v>0.106</v>
      </c>
      <c r="F93" s="8" cm="1">
        <f t="array" ref="F93">SUMPRODUCT((cex_08[[client]:[client]]=syndicat_etude)*(cex_08[[annee]:[annee]]=Exercice[[Exercice N-1]:[Exercice N-1]])*(cex_08[[libelle]:[libelle]]=CEX!$B93)*(cex_08[[montant_reparti]:[montant_reparti]]))</f>
        <v>0.14779999999999999</v>
      </c>
      <c r="G93" s="8" cm="1">
        <f t="array" ref="G93">SUMPRODUCT((cex_08[[client]:[client]]=syndicat_etude)*(cex_08[[annee]:[annee]]=Exercice[[Exercice N]:[Exercice N]])*(cex_08[[libelle]:[libelle]]=CEX!$B93)*(cex_08[[montant_reparti]:[montant_reparti]]))</f>
        <v>0.12239999999999999</v>
      </c>
      <c r="H93" s="299">
        <f t="shared" si="3"/>
        <v>-0.17185385656292285</v>
      </c>
    </row>
    <row r="94" spans="2:8" x14ac:dyDescent="0.25">
      <c r="B94" s="381" t="s">
        <v>1061</v>
      </c>
      <c r="C94" s="8" cm="1">
        <f t="array" ref="C94">SUMPRODUCT((cex_08[[client]:[client]]=syndicat_etude)*(cex_08[[annee]:[annee]]=Exercice[[Exercice N-4]:[Exercice N-4]])*(cex_08[[libelle]:[libelle]]=CEX!$B94)*(cex_08[[montant_reparti]:[montant_reparti]]))</f>
        <v>1</v>
      </c>
      <c r="D94" s="8" cm="1">
        <f t="array" ref="D94">SUMPRODUCT((cex_08[[client]:[client]]=syndicat_etude)*(cex_08[[annee]:[annee]]=Exercice[[Exercice N-3]:[Exercice N-3]])*(cex_08[[libelle]:[libelle]]=CEX!$B94)*(cex_08[[montant_reparti]:[montant_reparti]]))</f>
        <v>0</v>
      </c>
      <c r="E94" s="8" cm="1">
        <f t="array" ref="E94">SUMPRODUCT((cex_08[[client]:[client]]=syndicat_etude)*(cex_08[[annee]:[annee]]=Exercice[[Exercice N-2]:[Exercice N-2]])*(cex_08[[libelle]:[libelle]]=CEX!$B94)*(cex_08[[montant_reparti]:[montant_reparti]]))</f>
        <v>1</v>
      </c>
      <c r="F94" s="8" cm="1">
        <f t="array" ref="F94">SUMPRODUCT((cex_08[[client]:[client]]=syndicat_etude)*(cex_08[[annee]:[annee]]=Exercice[[Exercice N-1]:[Exercice N-1]])*(cex_08[[libelle]:[libelle]]=CEX!$B94)*(cex_08[[montant_reparti]:[montant_reparti]]))</f>
        <v>1</v>
      </c>
      <c r="G94" s="8" cm="1">
        <f t="array" ref="G94">SUMPRODUCT((cex_08[[client]:[client]]=syndicat_etude)*(cex_08[[annee]:[annee]]=Exercice[[Exercice N]:[Exercice N]])*(cex_08[[libelle]:[libelle]]=CEX!$B94)*(cex_08[[montant_reparti]:[montant_reparti]]))</f>
        <v>1</v>
      </c>
      <c r="H94" s="299">
        <f t="shared" si="3"/>
        <v>0</v>
      </c>
    </row>
    <row r="95" spans="2:8" x14ac:dyDescent="0.25">
      <c r="B95" s="381" t="s">
        <v>1020</v>
      </c>
      <c r="C95" s="8" cm="1">
        <f t="array" ref="C95">SUMPRODUCT((cex_08[[client]:[client]]=syndicat_etude)*(cex_08[[annee]:[annee]]=Exercice[[Exercice N-4]:[Exercice N-4]])*(cex_08[[libelle]:[libelle]]=CEX!$B95)*(cex_08[[montant_reparti]:[montant_reparti]]))</f>
        <v>0.51619999999999999</v>
      </c>
      <c r="D95" s="8" cm="1">
        <f t="array" ref="D95">SUMPRODUCT((cex_08[[client]:[client]]=syndicat_etude)*(cex_08[[annee]:[annee]]=Exercice[[Exercice N-3]:[Exercice N-3]])*(cex_08[[libelle]:[libelle]]=CEX!$B95)*(cex_08[[montant_reparti]:[montant_reparti]]))</f>
        <v>0</v>
      </c>
      <c r="E95" s="8" cm="1">
        <f t="array" ref="E95">SUMPRODUCT((cex_08[[client]:[client]]=syndicat_etude)*(cex_08[[annee]:[annee]]=Exercice[[Exercice N-2]:[Exercice N-2]])*(cex_08[[libelle]:[libelle]]=CEX!$B95)*(cex_08[[montant_reparti]:[montant_reparti]]))</f>
        <v>0.57599999999999996</v>
      </c>
      <c r="F95" s="8" cm="1">
        <f t="array" ref="F95">SUMPRODUCT((cex_08[[client]:[client]]=syndicat_etude)*(cex_08[[annee]:[annee]]=Exercice[[Exercice N-1]:[Exercice N-1]])*(cex_08[[libelle]:[libelle]]=CEX!$B95)*(cex_08[[montant_reparti]:[montant_reparti]]))</f>
        <v>0.55820000000000003</v>
      </c>
      <c r="G95" s="8" cm="1">
        <f t="array" ref="G95">SUMPRODUCT((cex_08[[client]:[client]]=syndicat_etude)*(cex_08[[annee]:[annee]]=Exercice[[Exercice N]:[Exercice N]])*(cex_08[[libelle]:[libelle]]=CEX!$B95)*(cex_08[[montant_reparti]:[montant_reparti]]))</f>
        <v>0.63060000000000005</v>
      </c>
      <c r="H95" s="299">
        <f t="shared" si="3"/>
        <v>0.12970261554998208</v>
      </c>
    </row>
    <row r="96" spans="2:8" x14ac:dyDescent="0.25">
      <c r="B96" s="381" t="s">
        <v>1021</v>
      </c>
      <c r="C96" s="8" cm="1">
        <f t="array" ref="C96">SUMPRODUCT((cex_08[[client]:[client]]=syndicat_etude)*(cex_08[[annee]:[annee]]=Exercice[[Exercice N-4]:[Exercice N-4]])*(cex_08[[libelle]:[libelle]]=CEX!$B96)*(cex_08[[montant_reparti]:[montant_reparti]]))</f>
        <v>0.1123</v>
      </c>
      <c r="D96" s="8" cm="1">
        <f t="array" ref="D96">SUMPRODUCT((cex_08[[client]:[client]]=syndicat_etude)*(cex_08[[annee]:[annee]]=Exercice[[Exercice N-3]:[Exercice N-3]])*(cex_08[[libelle]:[libelle]]=CEX!$B96)*(cex_08[[montant_reparti]:[montant_reparti]]))</f>
        <v>0</v>
      </c>
      <c r="E96" s="8" cm="1">
        <f t="array" ref="E96">SUMPRODUCT((cex_08[[client]:[client]]=syndicat_etude)*(cex_08[[annee]:[annee]]=Exercice[[Exercice N-2]:[Exercice N-2]])*(cex_08[[libelle]:[libelle]]=CEX!$B96)*(cex_08[[montant_reparti]:[montant_reparti]]))</f>
        <v>0.1381</v>
      </c>
      <c r="F96" s="8" cm="1">
        <f t="array" ref="F96">SUMPRODUCT((cex_08[[client]:[client]]=syndicat_etude)*(cex_08[[annee]:[annee]]=Exercice[[Exercice N-1]:[Exercice N-1]])*(cex_08[[libelle]:[libelle]]=CEX!$B96)*(cex_08[[montant_reparti]:[montant_reparti]]))</f>
        <v>0.12790000000000001</v>
      </c>
      <c r="G96" s="8" cm="1">
        <f t="array" ref="G96">SUMPRODUCT((cex_08[[client]:[client]]=syndicat_etude)*(cex_08[[annee]:[annee]]=Exercice[[Exercice N]:[Exercice N]])*(cex_08[[libelle]:[libelle]]=CEX!$B96)*(cex_08[[montant_reparti]:[montant_reparti]]))</f>
        <v>0.1421</v>
      </c>
      <c r="H96" s="299">
        <f t="shared" si="3"/>
        <v>0.11102423768569181</v>
      </c>
    </row>
    <row r="97" spans="2:8" x14ac:dyDescent="0.25">
      <c r="B97" s="381" t="s">
        <v>1023</v>
      </c>
      <c r="C97" s="8" cm="1">
        <f t="array" ref="C97">SUMPRODUCT((cex_08[[client]:[client]]=syndicat_etude)*(cex_08[[annee]:[annee]]=Exercice[[Exercice N-4]:[Exercice N-4]])*(cex_08[[libelle]:[libelle]]=CEX!$B97)*(cex_08[[montant_reparti]:[montant_reparti]]))</f>
        <v>1</v>
      </c>
      <c r="D97" s="8" cm="1">
        <f t="array" ref="D97">SUMPRODUCT((cex_08[[client]:[client]]=syndicat_etude)*(cex_08[[annee]:[annee]]=Exercice[[Exercice N-3]:[Exercice N-3]])*(cex_08[[libelle]:[libelle]]=CEX!$B97)*(cex_08[[montant_reparti]:[montant_reparti]]))</f>
        <v>0</v>
      </c>
      <c r="E97" s="8" cm="1">
        <f t="array" ref="E97">SUMPRODUCT((cex_08[[client]:[client]]=syndicat_etude)*(cex_08[[annee]:[annee]]=Exercice[[Exercice N-2]:[Exercice N-2]])*(cex_08[[libelle]:[libelle]]=CEX!$B97)*(cex_08[[montant_reparti]:[montant_reparti]]))</f>
        <v>1</v>
      </c>
      <c r="F97" s="8" cm="1">
        <f t="array" ref="F97">SUMPRODUCT((cex_08[[client]:[client]]=syndicat_etude)*(cex_08[[annee]:[annee]]=Exercice[[Exercice N-1]:[Exercice N-1]])*(cex_08[[libelle]:[libelle]]=CEX!$B97)*(cex_08[[montant_reparti]:[montant_reparti]]))</f>
        <v>1</v>
      </c>
      <c r="G97" s="8" cm="1">
        <f t="array" ref="G97">SUMPRODUCT((cex_08[[client]:[client]]=syndicat_etude)*(cex_08[[annee]:[annee]]=Exercice[[Exercice N]:[Exercice N]])*(cex_08[[libelle]:[libelle]]=CEX!$B97)*(cex_08[[montant_reparti]:[montant_reparti]]))</f>
        <v>1</v>
      </c>
      <c r="H97" s="299">
        <f t="shared" si="3"/>
        <v>0</v>
      </c>
    </row>
    <row r="98" spans="2:8" x14ac:dyDescent="0.25">
      <c r="B98" s="381" t="s">
        <v>1024</v>
      </c>
      <c r="C98" s="8" cm="1">
        <f t="array" ref="C98">SUMPRODUCT((cex_08[[client]:[client]]=syndicat_etude)*(cex_08[[annee]:[annee]]=Exercice[[Exercice N-4]:[Exercice N-4]])*(cex_08[[libelle]:[libelle]]=CEX!$B98)*(cex_08[[montant_reparti]:[montant_reparti]]))</f>
        <v>1</v>
      </c>
      <c r="D98" s="8" cm="1">
        <f t="array" ref="D98">SUMPRODUCT((cex_08[[client]:[client]]=syndicat_etude)*(cex_08[[annee]:[annee]]=Exercice[[Exercice N-3]:[Exercice N-3]])*(cex_08[[libelle]:[libelle]]=CEX!$B98)*(cex_08[[montant_reparti]:[montant_reparti]]))</f>
        <v>0</v>
      </c>
      <c r="E98" s="8" cm="1">
        <f t="array" ref="E98">SUMPRODUCT((cex_08[[client]:[client]]=syndicat_etude)*(cex_08[[annee]:[annee]]=Exercice[[Exercice N-2]:[Exercice N-2]])*(cex_08[[libelle]:[libelle]]=CEX!$B98)*(cex_08[[montant_reparti]:[montant_reparti]]))</f>
        <v>1</v>
      </c>
      <c r="F98" s="8" cm="1">
        <f t="array" ref="F98">SUMPRODUCT((cex_08[[client]:[client]]=syndicat_etude)*(cex_08[[annee]:[annee]]=Exercice[[Exercice N-1]:[Exercice N-1]])*(cex_08[[libelle]:[libelle]]=CEX!$B98)*(cex_08[[montant_reparti]:[montant_reparti]]))</f>
        <v>1</v>
      </c>
      <c r="G98" s="8" cm="1">
        <f t="array" ref="G98">SUMPRODUCT((cex_08[[client]:[client]]=syndicat_etude)*(cex_08[[annee]:[annee]]=Exercice[[Exercice N]:[Exercice N]])*(cex_08[[libelle]:[libelle]]=CEX!$B98)*(cex_08[[montant_reparti]:[montant_reparti]]))</f>
        <v>1</v>
      </c>
      <c r="H98" s="299">
        <f t="shared" si="3"/>
        <v>0</v>
      </c>
    </row>
    <row r="99" spans="2:8" x14ac:dyDescent="0.25">
      <c r="B99" s="381" t="s">
        <v>1062</v>
      </c>
      <c r="C99" s="8" cm="1">
        <f t="array" ref="C99">SUMPRODUCT((cex_08[[client]:[client]]=syndicat_etude)*(cex_08[[annee]:[annee]]=Exercice[[Exercice N-4]:[Exercice N-4]])*(cex_08[[libelle]:[libelle]]=CEX!$B99)*(cex_08[[montant_reparti]:[montant_reparti]]))</f>
        <v>0</v>
      </c>
      <c r="D99" s="8" cm="1">
        <f t="array" ref="D99">SUMPRODUCT((cex_08[[client]:[client]]=syndicat_etude)*(cex_08[[annee]:[annee]]=Exercice[[Exercice N-3]:[Exercice N-3]])*(cex_08[[libelle]:[libelle]]=CEX!$B99)*(cex_08[[montant_reparti]:[montant_reparti]]))</f>
        <v>0</v>
      </c>
      <c r="E99" s="8" cm="1">
        <f t="array" ref="E99">SUMPRODUCT((cex_08[[client]:[client]]=syndicat_etude)*(cex_08[[annee]:[annee]]=Exercice[[Exercice N-2]:[Exercice N-2]])*(cex_08[[libelle]:[libelle]]=CEX!$B99)*(cex_08[[montant_reparti]:[montant_reparti]]))</f>
        <v>0</v>
      </c>
      <c r="F99" s="8" cm="1">
        <f t="array" ref="F99">SUMPRODUCT((cex_08[[client]:[client]]=syndicat_etude)*(cex_08[[annee]:[annee]]=Exercice[[Exercice N-1]:[Exercice N-1]])*(cex_08[[libelle]:[libelle]]=CEX!$B99)*(cex_08[[montant_reparti]:[montant_reparti]]))</f>
        <v>0</v>
      </c>
      <c r="G99" s="8" cm="1">
        <f t="array" ref="G99">SUMPRODUCT((cex_08[[client]:[client]]=syndicat_etude)*(cex_08[[annee]:[annee]]=Exercice[[Exercice N]:[Exercice N]])*(cex_08[[libelle]:[libelle]]=CEX!$B99)*(cex_08[[montant_reparti]:[montant_reparti]]))</f>
        <v>0</v>
      </c>
      <c r="H99" s="299" t="str">
        <f t="shared" si="3"/>
        <v>-</v>
      </c>
    </row>
    <row r="100" spans="2:8" x14ac:dyDescent="0.25">
      <c r="B100" s="381" t="s">
        <v>1026</v>
      </c>
      <c r="C100" s="8" cm="1">
        <f t="array" ref="C100">SUMPRODUCT((cex_08[[client]:[client]]=syndicat_etude)*(cex_08[[annee]:[annee]]=Exercice[[Exercice N-4]:[Exercice N-4]])*(cex_08[[libelle]:[libelle]]=CEX!$B100)*(cex_08[[montant_reparti]:[montant_reparti]]))</f>
        <v>1</v>
      </c>
      <c r="D100" s="8" cm="1">
        <f t="array" ref="D100">SUMPRODUCT((cex_08[[client]:[client]]=syndicat_etude)*(cex_08[[annee]:[annee]]=Exercice[[Exercice N-3]:[Exercice N-3]])*(cex_08[[libelle]:[libelle]]=CEX!$B100)*(cex_08[[montant_reparti]:[montant_reparti]]))</f>
        <v>0</v>
      </c>
      <c r="E100" s="8" cm="1">
        <f t="array" ref="E100">SUMPRODUCT((cex_08[[client]:[client]]=syndicat_etude)*(cex_08[[annee]:[annee]]=Exercice[[Exercice N-2]:[Exercice N-2]])*(cex_08[[libelle]:[libelle]]=CEX!$B100)*(cex_08[[montant_reparti]:[montant_reparti]]))</f>
        <v>1</v>
      </c>
      <c r="F100" s="8" cm="1">
        <f t="array" ref="F100">SUMPRODUCT((cex_08[[client]:[client]]=syndicat_etude)*(cex_08[[annee]:[annee]]=Exercice[[Exercice N-1]:[Exercice N-1]])*(cex_08[[libelle]:[libelle]]=CEX!$B100)*(cex_08[[montant_reparti]:[montant_reparti]]))</f>
        <v>1</v>
      </c>
      <c r="G100" s="8" cm="1">
        <f t="array" ref="G100">SUMPRODUCT((cex_08[[client]:[client]]=syndicat_etude)*(cex_08[[annee]:[annee]]=Exercice[[Exercice N]:[Exercice N]])*(cex_08[[libelle]:[libelle]]=CEX!$B100)*(cex_08[[montant_reparti]:[montant_reparti]]))</f>
        <v>1</v>
      </c>
      <c r="H100" s="299">
        <f t="shared" si="3"/>
        <v>0</v>
      </c>
    </row>
    <row r="101" spans="2:8" x14ac:dyDescent="0.25">
      <c r="B101" s="381" t="s">
        <v>1027</v>
      </c>
      <c r="C101" s="8" cm="1">
        <f t="array" ref="C101">SUMPRODUCT((cex_08[[client]:[client]]=syndicat_etude)*(cex_08[[annee]:[annee]]=Exercice[[Exercice N-4]:[Exercice N-4]])*(cex_08[[libelle]:[libelle]]=CEX!$B101)*(cex_08[[montant_reparti]:[montant_reparti]]))</f>
        <v>1</v>
      </c>
      <c r="D101" s="8" cm="1">
        <f t="array" ref="D101">SUMPRODUCT((cex_08[[client]:[client]]=syndicat_etude)*(cex_08[[annee]:[annee]]=Exercice[[Exercice N-3]:[Exercice N-3]])*(cex_08[[libelle]:[libelle]]=CEX!$B101)*(cex_08[[montant_reparti]:[montant_reparti]]))</f>
        <v>0</v>
      </c>
      <c r="E101" s="8" cm="1">
        <f t="array" ref="E101">SUMPRODUCT((cex_08[[client]:[client]]=syndicat_etude)*(cex_08[[annee]:[annee]]=Exercice[[Exercice N-2]:[Exercice N-2]])*(cex_08[[libelle]:[libelle]]=CEX!$B101)*(cex_08[[montant_reparti]:[montant_reparti]]))</f>
        <v>1</v>
      </c>
      <c r="F101" s="8" cm="1">
        <f t="array" ref="F101">SUMPRODUCT((cex_08[[client]:[client]]=syndicat_etude)*(cex_08[[annee]:[annee]]=Exercice[[Exercice N-1]:[Exercice N-1]])*(cex_08[[libelle]:[libelle]]=CEX!$B101)*(cex_08[[montant_reparti]:[montant_reparti]]))</f>
        <v>1</v>
      </c>
      <c r="G101" s="8" cm="1">
        <f t="array" ref="G101">SUMPRODUCT((cex_08[[client]:[client]]=syndicat_etude)*(cex_08[[annee]:[annee]]=Exercice[[Exercice N]:[Exercice N]])*(cex_08[[libelle]:[libelle]]=CEX!$B101)*(cex_08[[montant_reparti]:[montant_reparti]]))</f>
        <v>1</v>
      </c>
      <c r="H101" s="299">
        <f t="shared" si="3"/>
        <v>0</v>
      </c>
    </row>
    <row r="102" spans="2:8" x14ac:dyDescent="0.25">
      <c r="B102" s="381" t="s">
        <v>1063</v>
      </c>
      <c r="C102" s="8" cm="1">
        <f t="array" ref="C102">SUMPRODUCT((cex_08[[client]:[client]]=syndicat_etude)*(cex_08[[annee]:[annee]]=Exercice[[Exercice N-4]:[Exercice N-4]])*(cex_08[[libelle]:[libelle]]=CEX!$B102)*(cex_08[[montant_reparti]:[montant_reparti]]))</f>
        <v>0</v>
      </c>
      <c r="D102" s="8" cm="1">
        <f t="array" ref="D102">SUMPRODUCT((cex_08[[client]:[client]]=syndicat_etude)*(cex_08[[annee]:[annee]]=Exercice[[Exercice N-3]:[Exercice N-3]])*(cex_08[[libelle]:[libelle]]=CEX!$B102)*(cex_08[[montant_reparti]:[montant_reparti]]))</f>
        <v>0</v>
      </c>
      <c r="E102" s="8" cm="1">
        <f t="array" ref="E102">SUMPRODUCT((cex_08[[client]:[client]]=syndicat_etude)*(cex_08[[annee]:[annee]]=Exercice[[Exercice N-2]:[Exercice N-2]])*(cex_08[[libelle]:[libelle]]=CEX!$B102)*(cex_08[[montant_reparti]:[montant_reparti]]))</f>
        <v>0</v>
      </c>
      <c r="F102" s="8" cm="1">
        <f t="array" ref="F102">SUMPRODUCT((cex_08[[client]:[client]]=syndicat_etude)*(cex_08[[annee]:[annee]]=Exercice[[Exercice N-1]:[Exercice N-1]])*(cex_08[[libelle]:[libelle]]=CEX!$B102)*(cex_08[[montant_reparti]:[montant_reparti]]))</f>
        <v>0</v>
      </c>
      <c r="G102" s="8" cm="1">
        <f t="array" ref="G102">SUMPRODUCT((cex_08[[client]:[client]]=syndicat_etude)*(cex_08[[annee]:[annee]]=Exercice[[Exercice N]:[Exercice N]])*(cex_08[[libelle]:[libelle]]=CEX!$B102)*(cex_08[[montant_reparti]:[montant_reparti]]))</f>
        <v>0</v>
      </c>
      <c r="H102" s="299" t="str">
        <f t="shared" si="3"/>
        <v>-</v>
      </c>
    </row>
    <row r="103" spans="2:8" x14ac:dyDescent="0.25">
      <c r="B103" s="381" t="s">
        <v>1029</v>
      </c>
      <c r="C103" s="8" cm="1">
        <f t="array" ref="C103">SUMPRODUCT((cex_08[[client]:[client]]=syndicat_etude)*(cex_08[[annee]:[annee]]=Exercice[[Exercice N-4]:[Exercice N-4]])*(cex_08[[libelle]:[libelle]]=CEX!$B103)*(cex_08[[montant_reparti]:[montant_reparti]]))</f>
        <v>0.216</v>
      </c>
      <c r="D103" s="8" cm="1">
        <f t="array" ref="D103">SUMPRODUCT((cex_08[[client]:[client]]=syndicat_etude)*(cex_08[[annee]:[annee]]=Exercice[[Exercice N-3]:[Exercice N-3]])*(cex_08[[libelle]:[libelle]]=CEX!$B103)*(cex_08[[montant_reparti]:[montant_reparti]]))</f>
        <v>0</v>
      </c>
      <c r="E103" s="8" cm="1">
        <f t="array" ref="E103">SUMPRODUCT((cex_08[[client]:[client]]=syndicat_etude)*(cex_08[[annee]:[annee]]=Exercice[[Exercice N-2]:[Exercice N-2]])*(cex_08[[libelle]:[libelle]]=CEX!$B103)*(cex_08[[montant_reparti]:[montant_reparti]]))</f>
        <v>0.1913</v>
      </c>
      <c r="F103" s="8" cm="1">
        <f t="array" ref="F103">SUMPRODUCT((cex_08[[client]:[client]]=syndicat_etude)*(cex_08[[annee]:[annee]]=Exercice[[Exercice N-1]:[Exercice N-1]])*(cex_08[[libelle]:[libelle]]=CEX!$B103)*(cex_08[[montant_reparti]:[montant_reparti]]))</f>
        <v>0.22159999999999999</v>
      </c>
      <c r="G103" s="8" cm="1">
        <f t="array" ref="G103">SUMPRODUCT((cex_08[[client]:[client]]=syndicat_etude)*(cex_08[[annee]:[annee]]=Exercice[[Exercice N]:[Exercice N]])*(cex_08[[libelle]:[libelle]]=CEX!$B103)*(cex_08[[montant_reparti]:[montant_reparti]]))</f>
        <v>0.13669999999999999</v>
      </c>
      <c r="H103" s="299">
        <f t="shared" si="3"/>
        <v>-0.38312274368231047</v>
      </c>
    </row>
    <row r="104" spans="2:8" x14ac:dyDescent="0.25">
      <c r="B104" s="383" t="s">
        <v>1064</v>
      </c>
      <c r="C104" s="353" cm="1">
        <f t="array" ref="C104">SUMPRODUCT((cex_12[[client]:[client]]=syndicat_etude)*(cex_12[[annee]:[annee]]=Exercice[[Exercice N-4]:[Exercice N-4]])*(cex_12[[libelle]:[libelle]]="Total charge natif")*(cex_12[[valeur]:[valeur]]))</f>
        <v>0.65249999999999997</v>
      </c>
      <c r="D104" s="353" cm="1">
        <f t="array" ref="D104">SUMPRODUCT((cex_12[[client]:[client]]=syndicat_etude)*(cex_12[[annee]:[annee]]=Exercice[[Exercice N-3]:[Exercice N-3]])*(cex_12[[libelle]:[libelle]]="Total charge natif")*(cex_12[[valeur]:[valeur]]))</f>
        <v>0.66469999999999996</v>
      </c>
      <c r="E104" s="353" cm="1">
        <f t="array" ref="E104">SUMPRODUCT((cex_12[[client]:[client]]=syndicat_etude)*(cex_12[[annee]:[annee]]=Exercice[[Exercice N-2]:[Exercice N-2]])*(cex_12[[libelle]:[libelle]]="Total charge natif")*(cex_12[[valeur]:[valeur]]))</f>
        <v>0.32229999999999998</v>
      </c>
      <c r="F104" s="353" cm="1">
        <f t="array" ref="F104">SUMPRODUCT((cex_12[[client]:[client]]=syndicat_etude)*(cex_12[[annee]:[annee]]=Exercice[[Exercice N-1]:[Exercice N-1]])*(cex_12[[libelle]:[libelle]]="Total charge natif")*(cex_12[[valeur]:[valeur]]))</f>
        <v>0.37130000000000002</v>
      </c>
      <c r="G104" s="353" cm="1">
        <f t="array" ref="G104">SUMPRODUCT((cex_12[[client]:[client]]=syndicat_etude)*(cex_12[[annee]:[annee]]=Exercice[[Exercice N]:[Exercice N]])*(cex_12[[libelle]:[libelle]]="Total charge natif")*(cex_12[[valeur]:[valeur]]))</f>
        <v>0.32469999999999999</v>
      </c>
      <c r="H104" s="386">
        <f t="shared" si="3"/>
        <v>-0.12550498249394026</v>
      </c>
    </row>
    <row r="105" spans="2:8" x14ac:dyDescent="0.25">
      <c r="C105" s="291"/>
      <c r="D105" s="291"/>
      <c r="E105" s="291"/>
      <c r="F105" s="291"/>
      <c r="G105" s="291"/>
    </row>
    <row r="106" spans="2:8" x14ac:dyDescent="0.25">
      <c r="C106" s="291"/>
      <c r="D106" s="291"/>
      <c r="E106" s="291"/>
      <c r="F106" s="291"/>
      <c r="G106" s="29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73245-2734-45B8-BA6E-BA0D512E5526}">
  <sheetPr codeName="Feuil9">
    <tabColor theme="9" tint="0.39997558519241921"/>
  </sheetPr>
  <dimension ref="A1:I218"/>
  <sheetViews>
    <sheetView topLeftCell="A187" zoomScale="85" zoomScaleNormal="85" workbookViewId="0">
      <selection activeCell="B217" sqref="B217"/>
    </sheetView>
  </sheetViews>
  <sheetFormatPr defaultColWidth="11.42578125" defaultRowHeight="15" x14ac:dyDescent="0.25"/>
  <cols>
    <col min="1" max="1" width="15.7109375" style="28" customWidth="1"/>
    <col min="2" max="2" width="55.7109375" style="28" customWidth="1"/>
    <col min="3" max="35" width="11.7109375" style="28" customWidth="1"/>
    <col min="36" max="16384" width="11.42578125" style="28"/>
  </cols>
  <sheetData>
    <row r="1" spans="1:8" ht="23.25" x14ac:dyDescent="0.25">
      <c r="A1" s="97" t="s">
        <v>1065</v>
      </c>
    </row>
    <row r="5" spans="1:8" ht="30" customHeight="1" x14ac:dyDescent="0.25">
      <c r="A5" s="26" t="s">
        <v>1066</v>
      </c>
      <c r="B5" s="66" t="s">
        <v>1067</v>
      </c>
      <c r="C5" s="67" cm="1">
        <f t="array" ref="C5">Exercice[Exercice N-4]</f>
        <v>2019</v>
      </c>
      <c r="D5" s="67" cm="1">
        <f t="array" ref="D5">Exercice[Exercice N-3]</f>
        <v>2020</v>
      </c>
      <c r="E5" s="67" cm="1">
        <f t="array" ref="E5">Exercice[Exercice N-2]</f>
        <v>2021</v>
      </c>
      <c r="F5" s="67" cm="1">
        <f t="array" ref="F5">Exercice[Exercice N-1]</f>
        <v>2022</v>
      </c>
      <c r="G5" s="67" cm="1">
        <f t="array" ref="G5">Exercice[Exercice N]</f>
        <v>2023</v>
      </c>
      <c r="H5" s="68" t="s">
        <v>273</v>
      </c>
    </row>
    <row r="6" spans="1:8" x14ac:dyDescent="0.25">
      <c r="B6" s="50" t="s">
        <v>1068</v>
      </c>
      <c r="C6" s="11" cm="1">
        <f t="array" ref="C6">SUMPRODUCT((cli_01[[client]:[client]]=syndicat_etude)*(cli_01[[annee]:[annee]]=Exercice[[Exercice N-4]:[Exercice N-4]])*(cli_01[[bt_inf_36]:[bt_inf_36]]))</f>
        <v>175214</v>
      </c>
      <c r="D6" s="11" cm="1">
        <f t="array" ref="D6">SUMPRODUCT((cli_01[[client]:[client]]=syndicat_etude)*(cli_01[[annee]:[annee]]=Exercice[[Exercice N-3]:[Exercice N-3]])*(cli_01[[bt_inf_36]:[bt_inf_36]]))</f>
        <v>176251</v>
      </c>
      <c r="E6" s="11" cm="1">
        <f t="array" ref="E6">SUMPRODUCT((cli_01[[client]:[client]]=syndicat_etude)*(cli_01[[annee]:[annee]]=Exercice[[Exercice N-2]:[Exercice N-2]])*(cli_01[[bt_inf_36]:[bt_inf_36]]))</f>
        <v>177618</v>
      </c>
      <c r="F6" s="11" cm="1">
        <f t="array" ref="F6">SUMPRODUCT((cli_01[[client]:[client]]=syndicat_etude)*(cli_01[[annee]:[annee]]=Exercice[[Exercice N-1]:[Exercice N-1]])*(cli_01[[bt_inf_36]:[bt_inf_36]]))</f>
        <v>178787</v>
      </c>
      <c r="G6" s="11" cm="1">
        <f t="array" ref="G6">SUMPRODUCT((cli_01[[client]:[client]]=syndicat_etude)*(cli_01[[annee]:[annee]]=Exercice[[Exercice N]:[Exercice N]])*(cli_01[[bt_inf_36]:[bt_inf_36]]))</f>
        <v>179481</v>
      </c>
      <c r="H6" s="120">
        <f>IFERROR(G6/F6-1,"")</f>
        <v>3.8817139948654766E-3</v>
      </c>
    </row>
    <row r="7" spans="1:8" x14ac:dyDescent="0.25">
      <c r="B7" s="50" t="s">
        <v>1069</v>
      </c>
      <c r="C7" s="11" cm="1">
        <f t="array" ref="C7">SUMPRODUCT((cli_01[[client]:[client]]=syndicat_etude)*(cli_01[[annee]:[annee]]=Exercice[[Exercice N-4]:[Exercice N-4]])*(cli_01[[bt_sup_36]:[bt_sup_36]]))</f>
        <v>2211</v>
      </c>
      <c r="D7" s="11" cm="1">
        <f t="array" ref="D7">SUMPRODUCT((cli_01[[client]:[client]]=syndicat_etude)*(cli_01[[annee]:[annee]]=Exercice[[Exercice N-3]:[Exercice N-3]])*(cli_01[[bt_sup_36]:[bt_sup_36]]))</f>
        <v>2240</v>
      </c>
      <c r="E7" s="11" cm="1">
        <f t="array" ref="E7">SUMPRODUCT((cli_01[[client]:[client]]=syndicat_etude)*(cli_01[[annee]:[annee]]=Exercice[[Exercice N-2]:[Exercice N-2]])*(cli_01[[bt_sup_36]:[bt_sup_36]]))</f>
        <v>2296</v>
      </c>
      <c r="F7" s="11" cm="1">
        <f t="array" ref="F7">SUMPRODUCT((cli_01[[client]:[client]]=syndicat_etude)*(cli_01[[annee]:[annee]]=Exercice[[Exercice N-1]:[Exercice N-1]])*(cli_01[[bt_sup_36]:[bt_sup_36]]))</f>
        <v>2329</v>
      </c>
      <c r="G7" s="11" cm="1">
        <f t="array" ref="G7">SUMPRODUCT((cli_01[[client]:[client]]=syndicat_etude)*(cli_01[[annee]:[annee]]=Exercice[[Exercice N]:[Exercice N]])*(cli_01[[bt_sup_36]:[bt_sup_36]]))</f>
        <v>2352</v>
      </c>
      <c r="H7" s="120">
        <f>IFERROR(G7/F7-1,"")</f>
        <v>9.8754830399312432E-3</v>
      </c>
    </row>
    <row r="8" spans="1:8" x14ac:dyDescent="0.25">
      <c r="B8" s="50" t="s">
        <v>1070</v>
      </c>
      <c r="C8" s="11" cm="1">
        <f t="array" ref="C8">SUMPRODUCT((cli_01[[client]:[client]]=syndicat_etude)*(cli_01[[annee]:[annee]]=Exercice[[Exercice N-4]:[Exercice N-4]])*(cli_01[[hta]:[hta]]))</f>
        <v>633</v>
      </c>
      <c r="D8" s="11" cm="1">
        <f t="array" ref="D8">SUMPRODUCT((cli_01[[client]:[client]]=syndicat_etude)*(cli_01[[annee]:[annee]]=Exercice[[Exercice N-3]:[Exercice N-3]])*(cli_01[[hta]:[hta]]))</f>
        <v>641</v>
      </c>
      <c r="E8" s="11" cm="1">
        <f t="array" ref="E8">SUMPRODUCT((cli_01[[client]:[client]]=syndicat_etude)*(cli_01[[annee]:[annee]]=Exercice[[Exercice N-2]:[Exercice N-2]])*(cli_01[[hta]:[hta]]))</f>
        <v>623</v>
      </c>
      <c r="F8" s="11" cm="1">
        <f t="array" ref="F8">SUMPRODUCT((cli_01[[client]:[client]]=syndicat_etude)*(cli_01[[annee]:[annee]]=Exercice[[Exercice N-1]:[Exercice N-1]])*(cli_01[[hta]:[hta]]))</f>
        <v>643</v>
      </c>
      <c r="G8" s="11" cm="1">
        <f t="array" ref="G8">SUMPRODUCT((cli_01[[client]:[client]]=syndicat_etude)*(cli_01[[annee]:[annee]]=Exercice[[Exercice N]:[Exercice N]])*(cli_01[[hta]:[hta]]))</f>
        <v>651</v>
      </c>
      <c r="H8" s="120">
        <f>IFERROR(G8/F8-1,"")</f>
        <v>1.2441679626749691E-2</v>
      </c>
    </row>
    <row r="9" spans="1:8" x14ac:dyDescent="0.25">
      <c r="B9" s="131" t="s">
        <v>182</v>
      </c>
      <c r="C9" s="141" cm="1">
        <f t="array" ref="C9">SUMPRODUCT((cli_01[[client]:[client]]=syndicat_etude)*(cli_01[[annee]:[annee]]=Exercice[[Exercice N-4]:[Exercice N-4]])*(cli_01[[total]:[total]]))</f>
        <v>178058</v>
      </c>
      <c r="D9" s="141" cm="1">
        <f t="array" ref="D9">SUMPRODUCT((cli_01[[client]:[client]]=syndicat_etude)*(cli_01[[annee]:[annee]]=Exercice[[Exercice N-3]:[Exercice N-3]])*(cli_01[[total]:[total]]))</f>
        <v>179132</v>
      </c>
      <c r="E9" s="141" cm="1">
        <f t="array" ref="E9">SUMPRODUCT((cli_01[[client]:[client]]=syndicat_etude)*(cli_01[[annee]:[annee]]=Exercice[[Exercice N-2]:[Exercice N-2]])*(cli_01[[total]:[total]]))</f>
        <v>180537</v>
      </c>
      <c r="F9" s="141" cm="1">
        <f t="array" ref="F9">SUMPRODUCT((cli_01[[client]:[client]]=syndicat_etude)*(cli_01[[annee]:[annee]]=Exercice[[Exercice N-1]:[Exercice N-1]])*(cli_01[[total]:[total]]))</f>
        <v>181759</v>
      </c>
      <c r="G9" s="141" cm="1">
        <f t="array" ref="G9">SUMPRODUCT((cli_01[[client]:[client]]=syndicat_etude)*(cli_01[[annee]:[annee]]=Exercice[[Exercice N]:[Exercice N]])*(cli_01[[total]:[total]]))</f>
        <v>182484</v>
      </c>
      <c r="H9" s="130">
        <f>IFERROR(G9/F9-1,"")</f>
        <v>3.9887983538642313E-3</v>
      </c>
    </row>
    <row r="13" spans="1:8" ht="30" customHeight="1" x14ac:dyDescent="0.25">
      <c r="A13" s="28" t="s">
        <v>1071</v>
      </c>
      <c r="B13" s="66" t="s">
        <v>1072</v>
      </c>
      <c r="C13" s="67" cm="1">
        <f t="array" ref="C13">Exercice[Exercice N-4]</f>
        <v>2019</v>
      </c>
      <c r="D13" s="67" cm="1">
        <f t="array" ref="D13">Exercice[Exercice N-3]</f>
        <v>2020</v>
      </c>
      <c r="E13" s="67" cm="1">
        <f t="array" ref="E13">Exercice[Exercice N-2]</f>
        <v>2021</v>
      </c>
      <c r="F13" s="67" cm="1">
        <f t="array" ref="F13">Exercice[Exercice N-1]</f>
        <v>2022</v>
      </c>
      <c r="G13" s="67" cm="1">
        <f t="array" ref="G13">Exercice[Exercice N]</f>
        <v>2023</v>
      </c>
      <c r="H13" s="68" t="s">
        <v>273</v>
      </c>
    </row>
    <row r="14" spans="1:8" x14ac:dyDescent="0.25">
      <c r="B14" s="50" t="s">
        <v>1068</v>
      </c>
      <c r="C14" s="11" cm="1">
        <f t="array" ref="C14">SUMPRODUCT((cli_02[[client]:[client]]=syndicat_etude)*(cli_02[[annee]:[annee]]=Exercice[[Exercice N-4]:[Exercice N-4]])*(cli_02[[bt_inf_36]:[bt_inf_36]]))</f>
        <v>1479.05</v>
      </c>
      <c r="D14" s="11" cm="1">
        <f t="array" ref="D14">SUMPRODUCT((cli_02[[client]:[client]]=syndicat_etude)*(cli_02[[annee]:[annee]]=Exercice[[Exercice N-3]:[Exercice N-3]])*(cli_02[[bt_inf_36]:[bt_inf_36]]))</f>
        <v>1491.79</v>
      </c>
      <c r="E14" s="11" cm="1">
        <f t="array" ref="E14">SUMPRODUCT((cli_02[[client]:[client]]=syndicat_etude)*(cli_02[[annee]:[annee]]=Exercice[[Exercice N-2]:[Exercice N-2]])*(cli_02[[bt_inf_36]:[bt_inf_36]]))</f>
        <v>1512</v>
      </c>
      <c r="F14" s="11" cm="1">
        <f t="array" ref="F14">SUMPRODUCT((cli_02[[client]:[client]]=syndicat_etude)*(cli_02[[annee]:[annee]]=Exercice[[Exercice N-1]:[Exercice N-1]])*(cli_02[[bt_inf_36]:[bt_inf_36]]))</f>
        <v>1526.79</v>
      </c>
      <c r="G14" s="11" cm="1">
        <f t="array" ref="G14">SUMPRODUCT((cli_02[[client]:[client]]=syndicat_etude)*(cli_02[[annee]:[annee]]=Exercice[[Exercice N]:[Exercice N]])*(cli_02[[bt_inf_36]:[bt_inf_36]]))</f>
        <v>1535.54</v>
      </c>
      <c r="H14" s="120">
        <f>IFERROR(G14/F14-1,"")</f>
        <v>5.7309780650907083E-3</v>
      </c>
    </row>
    <row r="15" spans="1:8" x14ac:dyDescent="0.25">
      <c r="B15" s="50" t="s">
        <v>1069</v>
      </c>
      <c r="C15" s="11" cm="1">
        <f t="array" ref="C15">SUMPRODUCT((cli_02[[client]:[client]]=syndicat_etude)*(cli_02[[annee]:[annee]]=Exercice[[Exercice N-4]:[Exercice N-4]])*(cli_02[[bt_sup_36]:[bt_sup_36]]))</f>
        <v>191.42</v>
      </c>
      <c r="D15" s="11" cm="1">
        <f t="array" ref="D15">SUMPRODUCT((cli_02[[client]:[client]]=syndicat_etude)*(cli_02[[annee]:[annee]]=Exercice[[Exercice N-3]:[Exercice N-3]])*(cli_02[[bt_sup_36]:[bt_sup_36]]))</f>
        <v>196.86</v>
      </c>
      <c r="E15" s="11" cm="1">
        <f t="array" ref="E15">SUMPRODUCT((cli_02[[client]:[client]]=syndicat_etude)*(cli_02[[annee]:[annee]]=Exercice[[Exercice N-2]:[Exercice N-2]])*(cli_02[[bt_sup_36]:[bt_sup_36]]))</f>
        <v>202.92</v>
      </c>
      <c r="F15" s="11" cm="1">
        <f t="array" ref="F15">SUMPRODUCT((cli_02[[client]:[client]]=syndicat_etude)*(cli_02[[annee]:[annee]]=Exercice[[Exercice N-1]:[Exercice N-1]])*(cli_02[[bt_sup_36]:[bt_sup_36]]))</f>
        <v>206.66</v>
      </c>
      <c r="G15" s="11" cm="1">
        <f t="array" ref="G15">SUMPRODUCT((cli_02[[client]:[client]]=syndicat_etude)*(cli_02[[annee]:[annee]]=Exercice[[Exercice N]:[Exercice N]])*(cli_02[[bt_sup_36]:[bt_sup_36]]))</f>
        <v>209.18</v>
      </c>
      <c r="H15" s="120">
        <f>IFERROR(G15/F15-1,"")</f>
        <v>1.219394174005628E-2</v>
      </c>
    </row>
    <row r="16" spans="1:8" x14ac:dyDescent="0.25">
      <c r="B16" s="50" t="s">
        <v>1070</v>
      </c>
      <c r="C16" s="11" cm="1">
        <f t="array" ref="C16">SUMPRODUCT((cli_02[[client]:[client]]=syndicat_etude)*(cli_02[[annee]:[annee]]=Exercice[[Exercice N-4]:[Exercice N-4]])*(cli_02[[hta]:[hta]]))</f>
        <v>227.64</v>
      </c>
      <c r="D16" s="11" cm="1">
        <f t="array" ref="D16">SUMPRODUCT((cli_02[[client]:[client]]=syndicat_etude)*(cli_02[[annee]:[annee]]=Exercice[[Exercice N-3]:[Exercice N-3]])*(cli_02[[hta]:[hta]]))</f>
        <v>235.87</v>
      </c>
      <c r="E16" s="11" cm="1">
        <f t="array" ref="E16">SUMPRODUCT((cli_02[[client]:[client]]=syndicat_etude)*(cli_02[[annee]:[annee]]=Exercice[[Exercice N-2]:[Exercice N-2]])*(cli_02[[hta]:[hta]]))</f>
        <v>233.76</v>
      </c>
      <c r="F16" s="11" cm="1">
        <f t="array" ref="F16">SUMPRODUCT((cli_02[[client]:[client]]=syndicat_etude)*(cli_02[[annee]:[annee]]=Exercice[[Exercice N-1]:[Exercice N-1]])*(cli_02[[hta]:[hta]]))</f>
        <v>245.63</v>
      </c>
      <c r="G16" s="11" cm="1">
        <f t="array" ref="G16">SUMPRODUCT((cli_02[[client]:[client]]=syndicat_etude)*(cli_02[[annee]:[annee]]=Exercice[[Exercice N]:[Exercice N]])*(cli_02[[hta]:[hta]]))</f>
        <v>242.24</v>
      </c>
      <c r="H16" s="120">
        <f>IFERROR(G16/F16-1,"")</f>
        <v>-1.380124577616737E-2</v>
      </c>
    </row>
    <row r="17" spans="1:8" x14ac:dyDescent="0.25">
      <c r="B17" s="131" t="s">
        <v>182</v>
      </c>
      <c r="C17" s="141" cm="1">
        <f t="array" ref="C17">SUMPRODUCT((cli_02[[client]:[client]]=syndicat_etude)*(cli_02[[annee]:[annee]]=Exercice[[Exercice N-4]:[Exercice N-4]])*(cli_02[[total]:[total]]))</f>
        <v>1898.12</v>
      </c>
      <c r="D17" s="141" cm="1">
        <f t="array" ref="D17">SUMPRODUCT((cli_02[[client]:[client]]=syndicat_etude)*(cli_02[[annee]:[annee]]=Exercice[[Exercice N-3]:[Exercice N-3]])*(cli_02[[total]:[total]]))</f>
        <v>1924.52</v>
      </c>
      <c r="E17" s="141" cm="1">
        <f t="array" ref="E17">SUMPRODUCT((cli_02[[client]:[client]]=syndicat_etude)*(cli_02[[annee]:[annee]]=Exercice[[Exercice N-2]:[Exercice N-2]])*(cli_02[[total]:[total]]))</f>
        <v>1948.68</v>
      </c>
      <c r="F17" s="141" cm="1">
        <f t="array" ref="F17">SUMPRODUCT((cli_02[[client]:[client]]=syndicat_etude)*(cli_02[[annee]:[annee]]=Exercice[[Exercice N-1]:[Exercice N-1]])*(cli_02[[total]:[total]]))</f>
        <v>1979.08</v>
      </c>
      <c r="G17" s="141" cm="1">
        <f t="array" ref="G17">SUMPRODUCT((cli_02[[client]:[client]]=syndicat_etude)*(cli_02[[annee]:[annee]]=Exercice[[Exercice N]:[Exercice N]])*(cli_02[[total]:[total]]))</f>
        <v>1986.96</v>
      </c>
      <c r="H17" s="130">
        <f>IFERROR(G17/F17-1,"")</f>
        <v>3.9816480384826658E-3</v>
      </c>
    </row>
    <row r="21" spans="1:8" ht="30" customHeight="1" x14ac:dyDescent="0.25">
      <c r="A21" s="28" t="s">
        <v>1073</v>
      </c>
      <c r="B21" s="66" t="s">
        <v>1074</v>
      </c>
      <c r="C21" s="67" cm="1">
        <f t="array" ref="C21">Exercice[Exercice N-4]</f>
        <v>2019</v>
      </c>
      <c r="D21" s="67" cm="1">
        <f t="array" ref="D21">Exercice[Exercice N-3]</f>
        <v>2020</v>
      </c>
      <c r="E21" s="67" cm="1">
        <f t="array" ref="E21">Exercice[Exercice N-2]</f>
        <v>2021</v>
      </c>
      <c r="F21" s="67" cm="1">
        <f t="array" ref="F21">Exercice[Exercice N-1]</f>
        <v>2022</v>
      </c>
      <c r="G21" s="67" cm="1">
        <f t="array" ref="G21">Exercice[Exercice N]</f>
        <v>2023</v>
      </c>
      <c r="H21" s="68" t="s">
        <v>273</v>
      </c>
    </row>
    <row r="22" spans="1:8" x14ac:dyDescent="0.25">
      <c r="B22" s="50" t="s">
        <v>1068</v>
      </c>
      <c r="C22" s="11" cm="1">
        <f t="array" ref="C22">SUMPRODUCT((cli_03[[client]:[client]]=syndicat_etude)*(cli_03[[annee]:[annee]]=Exercice[[Exercice N-4]:[Exercice N-4]])*(cli_03[[bt_inf_36]:[bt_inf_36]]))</f>
        <v>978.27</v>
      </c>
      <c r="D22" s="11" cm="1">
        <f t="array" ref="D22">SUMPRODUCT((cli_03[[client]:[client]]=syndicat_etude)*(cli_03[[annee]:[annee]]=Exercice[[Exercice N-3]:[Exercice N-3]])*(cli_03[[bt_inf_36]:[bt_inf_36]]))</f>
        <v>935.84</v>
      </c>
      <c r="E22" s="11" cm="1">
        <f t="array" ref="E22">SUMPRODUCT((cli_03[[client]:[client]]=syndicat_etude)*(cli_03[[annee]:[annee]]=Exercice[[Exercice N-2]:[Exercice N-2]])*(cli_03[[bt_inf_36]:[bt_inf_36]]))</f>
        <v>1048.5</v>
      </c>
      <c r="F22" s="11" cm="1">
        <f t="array" ref="F22">SUMPRODUCT((cli_03[[client]:[client]]=syndicat_etude)*(cli_03[[annee]:[annee]]=Exercice[[Exercice N-1]:[Exercice N-1]])*(cli_03[[bt_inf_36]:[bt_inf_36]]))</f>
        <v>944.39</v>
      </c>
      <c r="G22" s="11" cm="1">
        <f t="array" ref="G22">SUMPRODUCT((cli_03[[client]:[client]]=syndicat_etude)*(cli_03[[annee]:[annee]]=Exercice[[Exercice N]:[Exercice N]])*(cli_03[[bt_inf_36]:[bt_inf_36]]))</f>
        <v>907.41</v>
      </c>
      <c r="H22" s="120">
        <f>IFERROR(G22/F22-1,"")</f>
        <v>-3.9157551435318072E-2</v>
      </c>
    </row>
    <row r="23" spans="1:8" x14ac:dyDescent="0.25">
      <c r="B23" s="50" t="s">
        <v>1069</v>
      </c>
      <c r="C23" s="11" cm="1">
        <f t="array" ref="C23">SUMPRODUCT((cli_03[[client]:[client]]=syndicat_etude)*(cli_03[[annee]:[annee]]=Exercice[[Exercice N-4]:[Exercice N-4]])*(cli_03[[bt_sup_36]:[bt_sup_36]]))</f>
        <v>263.76</v>
      </c>
      <c r="D23" s="11" cm="1">
        <f t="array" ref="D23">SUMPRODUCT((cli_03[[client]:[client]]=syndicat_etude)*(cli_03[[annee]:[annee]]=Exercice[[Exercice N-3]:[Exercice N-3]])*(cli_03[[bt_sup_36]:[bt_sup_36]]))</f>
        <v>248.4</v>
      </c>
      <c r="E23" s="11" cm="1">
        <f t="array" ref="E23">SUMPRODUCT((cli_03[[client]:[client]]=syndicat_etude)*(cli_03[[annee]:[annee]]=Exercice[[Exercice N-2]:[Exercice N-2]])*(cli_03[[bt_sup_36]:[bt_sup_36]]))</f>
        <v>251.61</v>
      </c>
      <c r="F23" s="11" cm="1">
        <f t="array" ref="F23">SUMPRODUCT((cli_03[[client]:[client]]=syndicat_etude)*(cli_03[[annee]:[annee]]=Exercice[[Exercice N-1]:[Exercice N-1]])*(cli_03[[bt_sup_36]:[bt_sup_36]]))</f>
        <v>260.93</v>
      </c>
      <c r="G23" s="11" cm="1">
        <f t="array" ref="G23">SUMPRODUCT((cli_03[[client]:[client]]=syndicat_etude)*(cli_03[[annee]:[annee]]=Exercice[[Exercice N]:[Exercice N]])*(cli_03[[bt_sup_36]:[bt_sup_36]]))</f>
        <v>239.25</v>
      </c>
      <c r="H23" s="120">
        <f>IFERROR(G23/F23-1,"")</f>
        <v>-8.3087418081477793E-2</v>
      </c>
    </row>
    <row r="24" spans="1:8" x14ac:dyDescent="0.25">
      <c r="B24" s="50" t="s">
        <v>1070</v>
      </c>
      <c r="C24" s="11" cm="1">
        <f t="array" ref="C24">SUMPRODUCT((cli_03[[client]:[client]]=syndicat_etude)*(cli_03[[annee]:[annee]]=Exercice[[Exercice N-4]:[Exercice N-4]])*(cli_03[[hta]:[hta]]))</f>
        <v>661.12</v>
      </c>
      <c r="D24" s="11" cm="1">
        <f t="array" ref="D24">SUMPRODUCT((cli_03[[client]:[client]]=syndicat_etude)*(cli_03[[annee]:[annee]]=Exercice[[Exercice N-3]:[Exercice N-3]])*(cli_03[[hta]:[hta]]))</f>
        <v>634.59</v>
      </c>
      <c r="E24" s="11" cm="1">
        <f t="array" ref="E24">SUMPRODUCT((cli_03[[client]:[client]]=syndicat_etude)*(cli_03[[annee]:[annee]]=Exercice[[Exercice N-2]:[Exercice N-2]])*(cli_03[[hta]:[hta]]))</f>
        <v>670.38</v>
      </c>
      <c r="F24" s="11" cm="1">
        <f t="array" ref="F24">SUMPRODUCT((cli_03[[client]:[client]]=syndicat_etude)*(cli_03[[annee]:[annee]]=Exercice[[Exercice N-1]:[Exercice N-1]])*(cli_03[[hta]:[hta]]))</f>
        <v>685.76</v>
      </c>
      <c r="G24" s="11" cm="1">
        <f t="array" ref="G24">SUMPRODUCT((cli_03[[client]:[client]]=syndicat_etude)*(cli_03[[annee]:[annee]]=Exercice[[Exercice N]:[Exercice N]])*(cli_03[[hta]:[hta]]))</f>
        <v>662.15</v>
      </c>
      <c r="H24" s="120">
        <f>IFERROR(G24/F24-1,"")</f>
        <v>-3.4428954736350881E-2</v>
      </c>
    </row>
    <row r="25" spans="1:8" x14ac:dyDescent="0.25">
      <c r="B25" s="131" t="s">
        <v>182</v>
      </c>
      <c r="C25" s="141" cm="1">
        <f t="array" ref="C25">SUMPRODUCT((cli_03[[client]:[client]]=syndicat_etude)*(cli_03[[annee]:[annee]]=Exercice[[Exercice N-4]:[Exercice N-4]])*(cli_03[[total]:[total]]))</f>
        <v>1903.15</v>
      </c>
      <c r="D25" s="141" cm="1">
        <f t="array" ref="D25">SUMPRODUCT((cli_03[[client]:[client]]=syndicat_etude)*(cli_03[[annee]:[annee]]=Exercice[[Exercice N-3]:[Exercice N-3]])*(cli_03[[total]:[total]]))</f>
        <v>1818.83</v>
      </c>
      <c r="E25" s="141" cm="1">
        <f t="array" ref="E25">SUMPRODUCT((cli_03[[client]:[client]]=syndicat_etude)*(cli_03[[annee]:[annee]]=Exercice[[Exercice N-2]:[Exercice N-2]])*(cli_03[[total]:[total]]))</f>
        <v>1970.49</v>
      </c>
      <c r="F25" s="141" cm="1">
        <f t="array" ref="F25">SUMPRODUCT((cli_03[[client]:[client]]=syndicat_etude)*(cli_03[[annee]:[annee]]=Exercice[[Exercice N-1]:[Exercice N-1]])*(cli_03[[total]:[total]]))</f>
        <v>1891.07</v>
      </c>
      <c r="G25" s="141" cm="1">
        <f t="array" ref="G25">SUMPRODUCT((cli_03[[client]:[client]]=syndicat_etude)*(cli_03[[annee]:[annee]]=Exercice[[Exercice N]:[Exercice N]])*(cli_03[[total]:[total]]))</f>
        <v>1808.81</v>
      </c>
      <c r="H25" s="130">
        <f>IFERROR(G25/F25-1,"")</f>
        <v>-4.3499183002215669E-2</v>
      </c>
    </row>
    <row r="27" spans="1:8" x14ac:dyDescent="0.25">
      <c r="B27" s="23"/>
      <c r="C27" s="388"/>
      <c r="D27" s="388"/>
      <c r="E27" s="388"/>
      <c r="F27" s="388"/>
      <c r="G27" s="388"/>
    </row>
    <row r="29" spans="1:8" ht="30" customHeight="1" x14ac:dyDescent="0.25">
      <c r="A29" s="28" t="s">
        <v>1075</v>
      </c>
      <c r="B29" s="66" t="s">
        <v>1076</v>
      </c>
      <c r="C29" s="67" cm="1">
        <f t="array" ref="C29">Exercice[Exercice N-4]</f>
        <v>2019</v>
      </c>
      <c r="D29" s="67" cm="1">
        <f t="array" ref="D29">Exercice[Exercice N-3]</f>
        <v>2020</v>
      </c>
      <c r="E29" s="67" cm="1">
        <f t="array" ref="E29">Exercice[Exercice N-2]</f>
        <v>2021</v>
      </c>
      <c r="F29" s="67" cm="1">
        <f t="array" ref="F29">Exercice[Exercice N-1]</f>
        <v>2022</v>
      </c>
      <c r="G29" s="67" cm="1">
        <f t="array" ref="G29">Exercice[Exercice N]</f>
        <v>2023</v>
      </c>
      <c r="H29" s="68" t="s">
        <v>273</v>
      </c>
    </row>
    <row r="30" spans="1:8" x14ac:dyDescent="0.25">
      <c r="B30" s="50" t="s">
        <v>1068</v>
      </c>
      <c r="C30" s="7" cm="1">
        <f t="array" ref="C30">SUMPRODUCT((cli_04[[client]:[client]]=syndicat_etude)*(cli_04[[annee]:[annee]]=Exercice[[Exercice N-4]:[Exercice N-4]])*(cli_04[[bt_inf_36]:[bt_inf_36]]))</f>
        <v>5.58</v>
      </c>
      <c r="D30" s="7" cm="1">
        <f t="array" ref="D30">SUMPRODUCT((cli_04[[client]:[client]]=syndicat_etude)*(cli_04[[annee]:[annee]]=Exercice[[Exercice N-3]:[Exercice N-3]])*(cli_04[[bt_inf_36]:[bt_inf_36]]))</f>
        <v>5.31</v>
      </c>
      <c r="E30" s="7" cm="1">
        <f t="array" ref="E30">SUMPRODUCT((cli_04[[client]:[client]]=syndicat_etude)*(cli_04[[annee]:[annee]]=Exercice[[Exercice N-2]:[Exercice N-2]])*(cli_04[[bt_inf_36]:[bt_inf_36]]))</f>
        <v>5.9</v>
      </c>
      <c r="F30" s="7" cm="1">
        <f t="array" ref="F30">SUMPRODUCT((cli_04[[client]:[client]]=syndicat_etude)*(cli_04[[annee]:[annee]]=Exercice[[Exercice N-1]:[Exercice N-1]])*(cli_04[[bt_inf_36]:[bt_inf_36]]))</f>
        <v>5.28</v>
      </c>
      <c r="G30" s="7" cm="1">
        <f t="array" ref="G30">SUMPRODUCT((cli_04[[client]:[client]]=syndicat_etude)*(cli_04[[annee]:[annee]]=Exercice[[Exercice N]:[Exercice N]])*(cli_04[[bt_inf_36]:[bt_inf_36]]))</f>
        <v>5.0599999999999996</v>
      </c>
      <c r="H30" s="120">
        <f>IFERROR(G30/F30-1,"")</f>
        <v>-4.1666666666666741E-2</v>
      </c>
    </row>
    <row r="31" spans="1:8" x14ac:dyDescent="0.25">
      <c r="B31" s="50" t="s">
        <v>1069</v>
      </c>
      <c r="C31" s="7" cm="1">
        <f t="array" ref="C31">SUMPRODUCT((cli_04[[client]:[client]]=syndicat_etude)*(cli_04[[annee]:[annee]]=Exercice[[Exercice N-4]:[Exercice N-4]])*(cli_04[[bt_sup_36]:[bt_sup_36]]))</f>
        <v>119.3</v>
      </c>
      <c r="D31" s="7" cm="1">
        <f t="array" ref="D31">SUMPRODUCT((cli_04[[client]:[client]]=syndicat_etude)*(cli_04[[annee]:[annee]]=Exercice[[Exercice N-3]:[Exercice N-3]])*(cli_04[[bt_sup_36]:[bt_sup_36]]))</f>
        <v>110.89</v>
      </c>
      <c r="E31" s="7" cm="1">
        <f t="array" ref="E31">SUMPRODUCT((cli_04[[client]:[client]]=syndicat_etude)*(cli_04[[annee]:[annee]]=Exercice[[Exercice N-2]:[Exercice N-2]])*(cli_04[[bt_sup_36]:[bt_sup_36]]))</f>
        <v>109.58</v>
      </c>
      <c r="F31" s="7" cm="1">
        <f t="array" ref="F31">SUMPRODUCT((cli_04[[client]:[client]]=syndicat_etude)*(cli_04[[annee]:[annee]]=Exercice[[Exercice N-1]:[Exercice N-1]])*(cli_04[[bt_sup_36]:[bt_sup_36]]))</f>
        <v>112.03</v>
      </c>
      <c r="G31" s="7" cm="1">
        <f t="array" ref="G31">SUMPRODUCT((cli_04[[client]:[client]]=syndicat_etude)*(cli_04[[annee]:[annee]]=Exercice[[Exercice N]:[Exercice N]])*(cli_04[[bt_sup_36]:[bt_sup_36]]))</f>
        <v>101.72</v>
      </c>
      <c r="H31" s="120">
        <f>IFERROR(G31/F31-1,"")</f>
        <v>-9.2028920824779092E-2</v>
      </c>
    </row>
    <row r="32" spans="1:8" x14ac:dyDescent="0.25">
      <c r="B32" s="50" t="s">
        <v>1070</v>
      </c>
      <c r="C32" s="7" cm="1">
        <f t="array" ref="C32">SUMPRODUCT((cli_04[[client]:[client]]=syndicat_etude)*(cli_04[[annee]:[annee]]=Exercice[[Exercice N-4]:[Exercice N-4]])*(cli_04[[hta]:[hta]]))</f>
        <v>1044.42</v>
      </c>
      <c r="D32" s="7" cm="1">
        <f t="array" ref="D32">SUMPRODUCT((cli_04[[client]:[client]]=syndicat_etude)*(cli_04[[annee]:[annee]]=Exercice[[Exercice N-3]:[Exercice N-3]])*(cli_04[[hta]:[hta]]))</f>
        <v>990</v>
      </c>
      <c r="E32" s="7" cm="1">
        <f t="array" ref="E32">SUMPRODUCT((cli_04[[client]:[client]]=syndicat_etude)*(cli_04[[annee]:[annee]]=Exercice[[Exercice N-2]:[Exercice N-2]])*(cli_04[[hta]:[hta]]))</f>
        <v>1076.06</v>
      </c>
      <c r="F32" s="7" cm="1">
        <f t="array" ref="F32">SUMPRODUCT((cli_04[[client]:[client]]=syndicat_etude)*(cli_04[[annee]:[annee]]=Exercice[[Exercice N-1]:[Exercice N-1]])*(cli_04[[hta]:[hta]]))</f>
        <v>1066.5</v>
      </c>
      <c r="G32" s="7" cm="1">
        <f t="array" ref="G32">SUMPRODUCT((cli_04[[client]:[client]]=syndicat_etude)*(cli_04[[annee]:[annee]]=Exercice[[Exercice N]:[Exercice N]])*(cli_04[[hta]:[hta]]))</f>
        <v>1017.13</v>
      </c>
      <c r="H32" s="120">
        <f>IFERROR(G32/F32-1,"")</f>
        <v>-4.6291608063759981E-2</v>
      </c>
    </row>
    <row r="33" spans="1:8" x14ac:dyDescent="0.25">
      <c r="B33" s="131" t="s">
        <v>182</v>
      </c>
      <c r="C33" s="132" cm="1">
        <f t="array" ref="C33">SUMPRODUCT((cli_04[[client]:[client]]=syndicat_etude)*(cli_04[[annee]:[annee]]=Exercice[[Exercice N-4]:[Exercice N-4]])*(cli_04[[total]:[total]]))</f>
        <v>10.69</v>
      </c>
      <c r="D33" s="132" cm="1">
        <f t="array" ref="D33">SUMPRODUCT((cli_04[[client]:[client]]=syndicat_etude)*(cli_04[[annee]:[annee]]=Exercice[[Exercice N-3]:[Exercice N-3]])*(cli_04[[total]:[total]]))</f>
        <v>10.15</v>
      </c>
      <c r="E33" s="132" cm="1">
        <f t="array" ref="E33">SUMPRODUCT((cli_04[[client]:[client]]=syndicat_etude)*(cli_04[[annee]:[annee]]=Exercice[[Exercice N-2]:[Exercice N-2]])*(cli_04[[total]:[total]]))</f>
        <v>10.91</v>
      </c>
      <c r="F33" s="132" cm="1">
        <f t="array" ref="F33">SUMPRODUCT((cli_04[[client]:[client]]=syndicat_etude)*(cli_04[[annee]:[annee]]=Exercice[[Exercice N-1]:[Exercice N-1]])*(cli_04[[total]:[total]]))</f>
        <v>10.4</v>
      </c>
      <c r="G33" s="132" cm="1">
        <f t="array" ref="G33">SUMPRODUCT((cli_04[[client]:[client]]=syndicat_etude)*(cli_04[[annee]:[annee]]=Exercice[[Exercice N]:[Exercice N]])*(cli_04[[total]:[total]]))</f>
        <v>9.91</v>
      </c>
      <c r="H33" s="130">
        <f>IFERROR(G33/F33-1,"")</f>
        <v>-4.711538461538467E-2</v>
      </c>
    </row>
    <row r="37" spans="1:8" ht="30" customHeight="1" x14ac:dyDescent="0.25">
      <c r="A37" s="28" t="s">
        <v>1077</v>
      </c>
      <c r="B37" s="66" t="s">
        <v>1078</v>
      </c>
      <c r="C37" s="67" cm="1">
        <f t="array" ref="C37">Exercice[Exercice N-4]</f>
        <v>2019</v>
      </c>
      <c r="D37" s="67" cm="1">
        <f t="array" ref="D37">Exercice[Exercice N-3]</f>
        <v>2020</v>
      </c>
      <c r="E37" s="67" cm="1">
        <f t="array" ref="E37">Exercice[Exercice N-2]</f>
        <v>2021</v>
      </c>
      <c r="F37" s="67" cm="1">
        <f t="array" ref="F37">Exercice[Exercice N-1]</f>
        <v>2022</v>
      </c>
      <c r="G37" s="67" cm="1">
        <f t="array" ref="G37">Exercice[Exercice N]</f>
        <v>2023</v>
      </c>
      <c r="H37" s="68" t="s">
        <v>273</v>
      </c>
    </row>
    <row r="38" spans="1:8" x14ac:dyDescent="0.25">
      <c r="B38" s="50" t="s">
        <v>1068</v>
      </c>
      <c r="C38" s="7" cm="1">
        <f t="array" ref="C38">SUMPRODUCT((cli_05[[client]:[client]]=syndicat_etude)*(cli_05[[annee]:[annee]]=Exercice[[Exercice N-4]:[Exercice N-4]])*(cli_05[[bt_inf_36]:[bt_inf_36]]))</f>
        <v>46.68</v>
      </c>
      <c r="D38" s="7" cm="1">
        <f t="array" ref="D38">SUMPRODUCT((cli_05[[client]:[client]]=syndicat_etude)*(cli_05[[annee]:[annee]]=Exercice[[Exercice N-3]:[Exercice N-3]])*(cli_05[[bt_inf_36]:[bt_inf_36]]))</f>
        <v>46.42</v>
      </c>
      <c r="E38" s="7" cm="1">
        <f t="array" ref="E38">SUMPRODUCT((cli_05[[client]:[client]]=syndicat_etude)*(cli_05[[annee]:[annee]]=Exercice[[Exercice N-2]:[Exercice N-2]])*(cli_05[[bt_inf_36]:[bt_inf_36]]))</f>
        <v>53.45</v>
      </c>
      <c r="F38" s="7" cm="1">
        <f t="array" ref="F38">SUMPRODUCT((cli_05[[client]:[client]]=syndicat_etude)*(cli_05[[annee]:[annee]]=Exercice[[Exercice N-1]:[Exercice N-1]])*(cli_05[[bt_inf_36]:[bt_inf_36]]))</f>
        <v>50.64</v>
      </c>
      <c r="G38" s="7" cm="1">
        <f t="array" ref="G38">SUMPRODUCT((cli_05[[client]:[client]]=syndicat_etude)*(cli_05[[annee]:[annee]]=Exercice[[Exercice N]:[Exercice N]])*(cli_05[[bt_inf_36]:[bt_inf_36]]))</f>
        <v>52.73</v>
      </c>
      <c r="H38" s="120">
        <f>IFERROR(1-F38/G38,"")</f>
        <v>3.9635880902711862E-2</v>
      </c>
    </row>
    <row r="39" spans="1:8" x14ac:dyDescent="0.25">
      <c r="B39" s="50" t="s">
        <v>1069</v>
      </c>
      <c r="C39" s="7" cm="1">
        <f t="array" ref="C39">SUMPRODUCT((cli_05[[client]:[client]]=syndicat_etude)*(cli_05[[annee]:[annee]]=Exercice[[Exercice N-4]:[Exercice N-4]])*(cli_05[[bt_sup_36]:[bt_sup_36]]))</f>
        <v>11.38</v>
      </c>
      <c r="D39" s="7" cm="1">
        <f t="array" ref="D39">SUMPRODUCT((cli_05[[client]:[client]]=syndicat_etude)*(cli_05[[annee]:[annee]]=Exercice[[Exercice N-3]:[Exercice N-3]])*(cli_05[[bt_sup_36]:[bt_sup_36]]))</f>
        <v>11.3</v>
      </c>
      <c r="E39" s="7" cm="1">
        <f t="array" ref="E39">SUMPRODUCT((cli_05[[client]:[client]]=syndicat_etude)*(cli_05[[annee]:[annee]]=Exercice[[Exercice N-2]:[Exercice N-2]])*(cli_05[[bt_sup_36]:[bt_sup_36]]))</f>
        <v>11.67</v>
      </c>
      <c r="F39" s="7" cm="1">
        <f t="array" ref="F39">SUMPRODUCT((cli_05[[client]:[client]]=syndicat_etude)*(cli_05[[annee]:[annee]]=Exercice[[Exercice N-1]:[Exercice N-1]])*(cli_05[[bt_sup_36]:[bt_sup_36]]))</f>
        <v>12.1</v>
      </c>
      <c r="G39" s="7" cm="1">
        <f t="array" ref="G39">SUMPRODUCT((cli_05[[client]:[client]]=syndicat_etude)*(cli_05[[annee]:[annee]]=Exercice[[Exercice N]:[Exercice N]])*(cli_05[[bt_sup_36]:[bt_sup_36]]))</f>
        <v>12.14</v>
      </c>
      <c r="H39" s="120">
        <f>IFERROR(1-F39/G39,"")</f>
        <v>3.2948929159802853E-3</v>
      </c>
    </row>
    <row r="40" spans="1:8" x14ac:dyDescent="0.25">
      <c r="B40" s="50" t="s">
        <v>1070</v>
      </c>
      <c r="C40" s="7" cm="1">
        <f t="array" ref="C40">SUMPRODUCT((cli_05[[client]:[client]]=syndicat_etude)*(cli_05[[annee]:[annee]]=Exercice[[Exercice N-4]:[Exercice N-4]])*(cli_05[[hta]:[hta]]))</f>
        <v>12.66</v>
      </c>
      <c r="D40" s="7" cm="1">
        <f t="array" ref="D40">SUMPRODUCT((cli_05[[client]:[client]]=syndicat_etude)*(cli_05[[annee]:[annee]]=Exercice[[Exercice N-3]:[Exercice N-3]])*(cli_05[[hta]:[hta]]))</f>
        <v>12.64</v>
      </c>
      <c r="E40" s="7" cm="1">
        <f t="array" ref="E40">SUMPRODUCT((cli_05[[client]:[client]]=syndicat_etude)*(cli_05[[annee]:[annee]]=Exercice[[Exercice N-2]:[Exercice N-2]])*(cli_05[[hta]:[hta]]))</f>
        <v>13.31</v>
      </c>
      <c r="F40" s="7" cm="1">
        <f t="array" ref="F40">SUMPRODUCT((cli_05[[client]:[client]]=syndicat_etude)*(cli_05[[annee]:[annee]]=Exercice[[Exercice N-1]:[Exercice N-1]])*(cli_05[[hta]:[hta]]))</f>
        <v>13.9</v>
      </c>
      <c r="G40" s="7" cm="1">
        <f t="array" ref="G40">SUMPRODUCT((cli_05[[client]:[client]]=syndicat_etude)*(cli_05[[annee]:[annee]]=Exercice[[Exercice N]:[Exercice N]])*(cli_05[[hta]:[hta]]))</f>
        <v>14.65</v>
      </c>
      <c r="H40" s="101">
        <f>IFERROR(1-F40/G40,"")</f>
        <v>5.1194539249146742E-2</v>
      </c>
    </row>
    <row r="41" spans="1:8" x14ac:dyDescent="0.25">
      <c r="B41" s="131" t="s">
        <v>182</v>
      </c>
      <c r="C41" s="132" cm="1">
        <f t="array" ref="C41">SUMPRODUCT((cli_05[[client]:[client]]=syndicat_etude)*(cli_05[[annee]:[annee]]=Exercice[[Exercice N-4]:[Exercice N-4]])*(cli_05[[total]:[total]]))</f>
        <v>70.72</v>
      </c>
      <c r="D41" s="132" cm="1">
        <f t="array" ref="D41">SUMPRODUCT((cli_05[[client]:[client]]=syndicat_etude)*(cli_05[[annee]:[annee]]=Exercice[[Exercice N-3]:[Exercice N-3]])*(cli_05[[total]:[total]]))</f>
        <v>70.349999999999994</v>
      </c>
      <c r="E41" s="132" cm="1">
        <f t="array" ref="E41">SUMPRODUCT((cli_05[[client]:[client]]=syndicat_etude)*(cli_05[[annee]:[annee]]=Exercice[[Exercice N-2]:[Exercice N-2]])*(cli_05[[total]:[total]]))</f>
        <v>78.430000000000007</v>
      </c>
      <c r="F41" s="132" cm="1">
        <f t="array" ref="F41">SUMPRODUCT((cli_05[[client]:[client]]=syndicat_etude)*(cli_05[[annee]:[annee]]=Exercice[[Exercice N-1]:[Exercice N-1]])*(cli_05[[total]:[total]]))</f>
        <v>76.63</v>
      </c>
      <c r="G41" s="132" cm="1">
        <f t="array" ref="G41">SUMPRODUCT((cli_05[[client]:[client]]=syndicat_etude)*(cli_05[[annee]:[annee]]=Exercice[[Exercice N]:[Exercice N]])*(cli_05[[total]:[total]]))</f>
        <v>79.52</v>
      </c>
      <c r="H41" s="130">
        <f>IFERROR(1-F41/G41,"")</f>
        <v>3.6343058350100654E-2</v>
      </c>
    </row>
    <row r="45" spans="1:8" ht="30" customHeight="1" x14ac:dyDescent="0.25">
      <c r="A45" s="28" t="s">
        <v>1079</v>
      </c>
      <c r="B45" s="66" t="s">
        <v>1080</v>
      </c>
      <c r="C45" s="67" cm="1">
        <f t="array" ref="C45">Exercice[Exercice N-4]</f>
        <v>2019</v>
      </c>
      <c r="D45" s="67" cm="1">
        <f t="array" ref="D45">Exercice[Exercice N-3]</f>
        <v>2020</v>
      </c>
      <c r="E45" s="67" cm="1">
        <f t="array" ref="E45">Exercice[Exercice N-2]</f>
        <v>2021</v>
      </c>
      <c r="F45" s="67" cm="1">
        <f t="array" ref="F45">Exercice[Exercice N-1]</f>
        <v>2022</v>
      </c>
      <c r="G45" s="67" cm="1">
        <f t="array" ref="G45">Exercice[Exercice N]</f>
        <v>2023</v>
      </c>
      <c r="H45" s="68" t="s">
        <v>273</v>
      </c>
    </row>
    <row r="46" spans="1:8" x14ac:dyDescent="0.25">
      <c r="B46" s="50" t="s">
        <v>1081</v>
      </c>
      <c r="C46" s="11" cm="1">
        <f t="array" ref="C46">SUMPRODUCT((cli_06[[client]:[client]]=syndicat_etude)*(cli_06[[annee]:[annee]]=Exercice[[Exercice N-4]:[Exercice N-4]])*(cli_06[[nbr_photo]:[nbr_photo]]))</f>
        <v>1683</v>
      </c>
      <c r="D46" s="11" cm="1">
        <f t="array" ref="D46">SUMPRODUCT((cli_06[[client]:[client]]=syndicat_etude)*(cli_06[[annee]:[annee]]=Exercice[[Exercice N-3]:[Exercice N-3]])*(cli_06[[nbr_photo]:[nbr_photo]]))</f>
        <v>1870</v>
      </c>
      <c r="E46" s="11" cm="1">
        <f t="array" ref="E46">SUMPRODUCT((cli_06[[client]:[client]]=syndicat_etude)*(cli_06[[annee]:[annee]]=Exercice[[Exercice N-2]:[Exercice N-2]])*(cli_06[[nbr_photo]:[nbr_photo]]))</f>
        <v>0</v>
      </c>
      <c r="F46" s="11" cm="1">
        <f t="array" ref="F46">SUMPRODUCT((cli_06[[client]:[client]]=syndicat_etude)*(cli_06[[annee]:[annee]]=Exercice[[Exercice N-1]:[Exercice N-1]])*(cli_06[[nbr_photo]:[nbr_photo]]))</f>
        <v>2687</v>
      </c>
      <c r="G46" s="11" cm="1">
        <f t="array" ref="G46">SUMPRODUCT((cli_06[[client]:[client]]=syndicat_etude)*(cli_06[[annee]:[annee]]=Exercice[[Exercice N]:[Exercice N]])*(cli_06[[nbr_photo]:[nbr_photo]]))</f>
        <v>3639</v>
      </c>
      <c r="H46" s="120">
        <f>IFERROR(G46/F46-1,"")</f>
        <v>0.35429847413472282</v>
      </c>
    </row>
    <row r="47" spans="1:8" x14ac:dyDescent="0.25">
      <c r="B47" s="50" t="s">
        <v>1082</v>
      </c>
      <c r="C47" s="11" cm="1">
        <f t="array" ref="C47">SUMPRODUCT((cli_06[[client]:[client]]=syndicat_etude)*(cli_06[[annee]:[annee]]=Exercice[[Exercice N-4]:[Exercice N-4]])*(cli_06[[nbr_eolien]:[nbr_eolien]]))</f>
        <v>78</v>
      </c>
      <c r="D47" s="11" cm="1">
        <f t="array" ref="D47">SUMPRODUCT((cli_06[[client]:[client]]=syndicat_etude)*(cli_06[[annee]:[annee]]=Exercice[[Exercice N-3]:[Exercice N-3]])*(cli_06[[nbr_eolien]:[nbr_eolien]]))</f>
        <v>79</v>
      </c>
      <c r="E47" s="11" cm="1">
        <f t="array" ref="E47">SUMPRODUCT((cli_06[[client]:[client]]=syndicat_etude)*(cli_06[[annee]:[annee]]=Exercice[[Exercice N-2]:[Exercice N-2]])*(cli_06[[nbr_eolien]:[nbr_eolien]]))</f>
        <v>0</v>
      </c>
      <c r="F47" s="11" cm="1">
        <f t="array" ref="F47">SUMPRODUCT((cli_06[[client]:[client]]=syndicat_etude)*(cli_06[[annee]:[annee]]=Exercice[[Exercice N-1]:[Exercice N-1]])*(cli_06[[nbr_eolien]:[nbr_eolien]]))</f>
        <v>96</v>
      </c>
      <c r="G47" s="11" cm="1">
        <f t="array" ref="G47">SUMPRODUCT((cli_06[[client]:[client]]=syndicat_etude)*(cli_06[[annee]:[annee]]=Exercice[[Exercice N]:[Exercice N]])*(cli_06[[nbr_eolien]:[nbr_eolien]]))</f>
        <v>96</v>
      </c>
      <c r="H47" s="120">
        <f>IFERROR(G47/F47-1,"")</f>
        <v>0</v>
      </c>
    </row>
    <row r="48" spans="1:8" x14ac:dyDescent="0.25">
      <c r="B48" s="50" t="s">
        <v>1083</v>
      </c>
      <c r="C48" s="11" cm="1">
        <f t="array" ref="C48">SUMPRODUCT((cli_06[[client]:[client]]=syndicat_etude)*(cli_06[[annee]:[annee]]=Exercice[[Exercice N-4]:[Exercice N-4]])*(cli_06[[nbr_hydraulique]:[nbr_hydraulique]]))</f>
        <v>17</v>
      </c>
      <c r="D48" s="11" cm="1">
        <f t="array" ref="D48">SUMPRODUCT((cli_06[[client]:[client]]=syndicat_etude)*(cli_06[[annee]:[annee]]=Exercice[[Exercice N-3]:[Exercice N-3]])*(cli_06[[nbr_hydraulique]:[nbr_hydraulique]]))</f>
        <v>17</v>
      </c>
      <c r="E48" s="11" cm="1">
        <f t="array" ref="E48">SUMPRODUCT((cli_06[[client]:[client]]=syndicat_etude)*(cli_06[[annee]:[annee]]=Exercice[[Exercice N-2]:[Exercice N-2]])*(cli_06[[nbr_hydraulique]:[nbr_hydraulique]]))</f>
        <v>0</v>
      </c>
      <c r="F48" s="11" cm="1">
        <f t="array" ref="F48">SUMPRODUCT((cli_06[[client]:[client]]=syndicat_etude)*(cli_06[[annee]:[annee]]=Exercice[[Exercice N-1]:[Exercice N-1]])*(cli_06[[nbr_hydraulique]:[nbr_hydraulique]]))</f>
        <v>17</v>
      </c>
      <c r="G48" s="11" cm="1">
        <f t="array" ref="G48">SUMPRODUCT((cli_06[[client]:[client]]=syndicat_etude)*(cli_06[[annee]:[annee]]=Exercice[[Exercice N]:[Exercice N]])*(cli_06[[nbr_hydraulique]:[nbr_hydraulique]]))</f>
        <v>17</v>
      </c>
      <c r="H48" s="120">
        <f>IFERROR(G48/F48-1,"")</f>
        <v>0</v>
      </c>
    </row>
    <row r="49" spans="1:8" x14ac:dyDescent="0.25">
      <c r="B49" s="50" t="s">
        <v>258</v>
      </c>
      <c r="C49" s="11" cm="1">
        <f t="array" ref="C49">SUMPRODUCT((cli_06[[client]:[client]]=syndicat_etude)*(cli_06[[annee]:[annee]]=Exercice[[Exercice N-4]:[Exercice N-4]])*(cli_06[[nbr_autre]:[nbr_autre]]))</f>
        <v>16</v>
      </c>
      <c r="D49" s="11" cm="1">
        <f t="array" ref="D49">SUMPRODUCT((cli_06[[client]:[client]]=syndicat_etude)*(cli_06[[annee]:[annee]]=Exercice[[Exercice N-3]:[Exercice N-3]])*(cli_06[[nbr_autre]:[nbr_autre]]))</f>
        <v>19</v>
      </c>
      <c r="E49" s="11" cm="1">
        <f t="array" ref="E49">SUMPRODUCT((cli_06[[client]:[client]]=syndicat_etude)*(cli_06[[annee]:[annee]]=Exercice[[Exercice N-2]:[Exercice N-2]])*(cli_06[[nbr_autre]:[nbr_autre]]))</f>
        <v>0</v>
      </c>
      <c r="F49" s="11" cm="1">
        <f t="array" ref="F49">SUMPRODUCT((cli_06[[client]:[client]]=syndicat_etude)*(cli_06[[annee]:[annee]]=Exercice[[Exercice N-1]:[Exercice N-1]])*(cli_06[[nbr_autre]:[nbr_autre]]))</f>
        <v>21</v>
      </c>
      <c r="G49" s="11" cm="1">
        <f t="array" ref="G49">SUMPRODUCT((cli_06[[client]:[client]]=syndicat_etude)*(cli_06[[annee]:[annee]]=Exercice[[Exercice N]:[Exercice N]])*(cli_06[[nbr_autre]:[nbr_autre]]))</f>
        <v>24</v>
      </c>
      <c r="H49" s="120">
        <f>IFERROR(G49/F49-1,"")</f>
        <v>0.14285714285714279</v>
      </c>
    </row>
    <row r="50" spans="1:8" x14ac:dyDescent="0.25">
      <c r="B50" s="131" t="s">
        <v>182</v>
      </c>
      <c r="C50" s="141">
        <f>SUM(C46:C49)</f>
        <v>1794</v>
      </c>
      <c r="D50" s="141">
        <f>SUM(D46:D49)</f>
        <v>1985</v>
      </c>
      <c r="E50" s="141">
        <f>SUM(E46:E49)</f>
        <v>0</v>
      </c>
      <c r="F50" s="141">
        <f>SUM(F46:F49)</f>
        <v>2821</v>
      </c>
      <c r="G50" s="141" cm="1">
        <f t="array" ref="G50">SUMPRODUCT((cli_06[[client]:[client]]=syndicat_etude)*(cli_06[[annee]:[annee]]=Exercice[[Exercice N]:[Exercice N]])*(cli_06[[total]:[total]]))</f>
        <v>3776</v>
      </c>
      <c r="H50" s="130">
        <f>IFERROR(G50/F50-1,"")</f>
        <v>0.3385324353066288</v>
      </c>
    </row>
    <row r="52" spans="1:8" x14ac:dyDescent="0.25">
      <c r="B52" s="23" t="s">
        <v>1084</v>
      </c>
      <c r="C52" s="388">
        <f>IFERROR(C46/C50,"")</f>
        <v>0.93812709030100339</v>
      </c>
      <c r="D52" s="388">
        <f>IFERROR(D46/D50,"")</f>
        <v>0.94206549118387906</v>
      </c>
      <c r="E52" s="388" t="str">
        <f>IFERROR(E46/E50,"")</f>
        <v/>
      </c>
      <c r="F52" s="388">
        <f>IFERROR(F46/F50,"")</f>
        <v>0.95249911378943641</v>
      </c>
      <c r="G52" s="388">
        <f>IFERROR(G46/G50,"")</f>
        <v>0.96371822033898302</v>
      </c>
    </row>
    <row r="54" spans="1:8" ht="30" customHeight="1" x14ac:dyDescent="0.25">
      <c r="A54" s="28" t="s">
        <v>1085</v>
      </c>
      <c r="B54" s="66" t="s">
        <v>1086</v>
      </c>
      <c r="C54" s="67" cm="1">
        <f t="array" ref="C54">Exercice[Exercice N-4]</f>
        <v>2019</v>
      </c>
      <c r="D54" s="67" cm="1">
        <f t="array" ref="D54">Exercice[Exercice N-3]</f>
        <v>2020</v>
      </c>
      <c r="E54" s="67" cm="1">
        <f t="array" ref="E54">Exercice[Exercice N-2]</f>
        <v>2021</v>
      </c>
      <c r="F54" s="67" cm="1">
        <f t="array" ref="F54">Exercice[Exercice N-1]</f>
        <v>2022</v>
      </c>
      <c r="G54" s="67" cm="1">
        <f t="array" ref="G54">Exercice[Exercice N]</f>
        <v>2023</v>
      </c>
      <c r="H54" s="68" t="s">
        <v>273</v>
      </c>
    </row>
    <row r="55" spans="1:8" x14ac:dyDescent="0.25">
      <c r="B55" s="50" t="s">
        <v>1087</v>
      </c>
      <c r="C55" s="11" cm="1">
        <f t="array" ref="C55">SUMPRODUCT((cli_07[[client]:[client]]=syndicat_etude)*(cli_07[[annee]:[annee]]=Exercice[[Exercice N-4]:[Exercice N-4]])*(cli_07[[nbr_pdl_residentiel]:[nbr_pdl_residentiel]]))</f>
        <v>121324</v>
      </c>
      <c r="D55" s="11" cm="1">
        <f t="array" ref="D55">SUMPRODUCT((cli_07[[client]:[client]]=syndicat_etude)*(cli_07[[annee]:[annee]]=Exercice[[Exercice N-3]:[Exercice N-3]])*(cli_07[[nbr_pdl_residentiel]:[nbr_pdl_residentiel]]))</f>
        <v>114818</v>
      </c>
      <c r="E55" s="11" cm="1">
        <f t="array" ref="E55">SUMPRODUCT((cli_07[[client]:[client]]=syndicat_etude)*(cli_07[[annee]:[annee]]=Exercice[[Exercice N-2]:[Exercice N-2]])*(cli_07[[nbr_pdl_residentiel]:[nbr_pdl_residentiel]]))</f>
        <v>105828</v>
      </c>
      <c r="F55" s="11" cm="1">
        <f t="array" ref="F55">SUMPRODUCT((cli_07[[client]:[client]]=syndicat_etude)*(cli_07[[annee]:[annee]]=Exercice[[Exercice N-1]:[Exercice N-1]])*(cli_07[[nbr_pdl_residentiel]:[nbr_pdl_residentiel]]))</f>
        <v>0</v>
      </c>
      <c r="G55" s="394" cm="1">
        <f t="array" ref="G55">SUMPRODUCT((cli_07[[client]:[client]]=syndicat_etude)*(cli_07[[annee]:[annee]]=Exercice[[Exercice N]:[Exercice N]])*(cli_07[[nbr_pdl_residentiel]:[nbr_pdl_residentiel]]))</f>
        <v>101866</v>
      </c>
      <c r="H55" s="120" t="str">
        <f>IFERROR(G55/F55-1,"")</f>
        <v/>
      </c>
    </row>
    <row r="56" spans="1:8" x14ac:dyDescent="0.25">
      <c r="B56" s="50" t="s">
        <v>1088</v>
      </c>
      <c r="C56" s="11" cm="1">
        <f t="array" ref="C56">SUMPRODUCT((cli_07[[client]:[client]]=syndicat_etude)*(cli_07[[annee]:[annee]]=Exercice[[Exercice N-4]:[Exercice N-4]])*(cli_07[[nbr_pdl_non_residentiel]:[nbr_pdl_non_residentiel]]))</f>
        <v>0</v>
      </c>
      <c r="D56" s="11" cm="1">
        <f t="array" ref="D56">SUMPRODUCT((cli_07[[client]:[client]]=syndicat_etude)*(cli_07[[annee]:[annee]]=Exercice[[Exercice N]:[Exercice N]])*(cli_07[[nbr_pdl_non_residentiel]:[nbr_pdl_non_residentiel]]))</f>
        <v>0</v>
      </c>
      <c r="E56" s="11" cm="1">
        <f t="array" ref="E56">SUMPRODUCT((cli_07[[client]:[client]]=syndicat_etude)*(cli_07[[annee]:[annee]]=Exercice[[Exercice N]:[Exercice N]])*(cli_07[[nbr_pdl_non_residentiel]:[nbr_pdl_non_residentiel]]))</f>
        <v>0</v>
      </c>
      <c r="F56" s="11" cm="1">
        <f t="array" ref="F56">SUMPRODUCT((cli_07[[client]:[client]]=syndicat_etude)*(cli_07[[annee]:[annee]]=Exercice[[Exercice N]:[Exercice N]])*(cli_07[[nbr_pdl_non_residentiel]:[nbr_pdl_non_residentiel]]))</f>
        <v>0</v>
      </c>
      <c r="G56" s="11" cm="1">
        <f t="array" ref="G56">SUMPRODUCT((cli_07[[client]:[client]]=syndicat_etude)*(cli_07[[annee]:[annee]]=Exercice[[Exercice N-1]:[Exercice N-1]])*(cli_07[[nbr_pdl_non_residentiel]:[nbr_pdl_non_residentiel]]))</f>
        <v>0</v>
      </c>
      <c r="H56" s="120" t="str">
        <f>IFERROR(G56/F56-1,"")</f>
        <v/>
      </c>
    </row>
    <row r="57" spans="1:8" x14ac:dyDescent="0.25">
      <c r="B57" s="131" t="s">
        <v>182</v>
      </c>
      <c r="C57" s="141">
        <f>C55+C56</f>
        <v>121324</v>
      </c>
      <c r="D57" s="141">
        <f>D55+D56</f>
        <v>114818</v>
      </c>
      <c r="E57" s="141">
        <f>E55+E56</f>
        <v>105828</v>
      </c>
      <c r="F57" s="141">
        <f>F55+F56</f>
        <v>0</v>
      </c>
      <c r="G57" s="141">
        <f>G55+G56</f>
        <v>101866</v>
      </c>
      <c r="H57" s="130" t="str">
        <f>IFERROR(G57/F57-1,"")</f>
        <v/>
      </c>
    </row>
    <row r="61" spans="1:8" ht="30" customHeight="1" x14ac:dyDescent="0.25">
      <c r="A61" s="28" t="s">
        <v>1089</v>
      </c>
      <c r="B61" s="66" t="s">
        <v>1090</v>
      </c>
      <c r="C61" s="67" cm="1">
        <f t="array" ref="C61">Exercice[Exercice N-4]</f>
        <v>2019</v>
      </c>
      <c r="D61" s="67" cm="1">
        <f t="array" ref="D61">Exercice[Exercice N-3]</f>
        <v>2020</v>
      </c>
      <c r="E61" s="67" cm="1">
        <f t="array" ref="E61">Exercice[Exercice N-2]</f>
        <v>2021</v>
      </c>
      <c r="F61" s="67" cm="1">
        <f t="array" ref="F61">Exercice[Exercice N-1]</f>
        <v>2022</v>
      </c>
      <c r="G61" s="67" cm="1">
        <f t="array" ref="G61">Exercice[Exercice N]</f>
        <v>2023</v>
      </c>
      <c r="H61" s="68" t="s">
        <v>273</v>
      </c>
    </row>
    <row r="62" spans="1:8" x14ac:dyDescent="0.25">
      <c r="B62" s="50" t="s">
        <v>1087</v>
      </c>
      <c r="C62" s="8">
        <f>C55/Synth!$C$25</f>
        <v>0.68137348504419903</v>
      </c>
      <c r="D62" s="8">
        <f>D55/Synth!D25</f>
        <v>0.64096867114753364</v>
      </c>
      <c r="E62" s="8">
        <f>E55/Synth!E25</f>
        <v>0.58618454942754117</v>
      </c>
      <c r="F62" s="8">
        <f>F55/Synth!F25</f>
        <v>0</v>
      </c>
      <c r="G62" s="8">
        <f>G55/Synth!G25</f>
        <v>0.55821880274435021</v>
      </c>
      <c r="H62" s="120" t="str">
        <f>IFERROR(G62/F62-1,"")</f>
        <v/>
      </c>
    </row>
    <row r="63" spans="1:8" x14ac:dyDescent="0.25">
      <c r="B63" s="50" t="s">
        <v>1088</v>
      </c>
      <c r="C63" s="8">
        <f>C56/Synth!$C$25</f>
        <v>0</v>
      </c>
      <c r="D63" s="8">
        <f>D56/Synth!D25</f>
        <v>0</v>
      </c>
      <c r="E63" s="8">
        <f>E56/Synth!E25</f>
        <v>0</v>
      </c>
      <c r="F63" s="8">
        <f>F56/Synth!F25</f>
        <v>0</v>
      </c>
      <c r="G63" s="8">
        <f>G56/Synth!G25</f>
        <v>0</v>
      </c>
      <c r="H63" s="120" t="str">
        <f>IFERROR(G63/F63-1,"")</f>
        <v/>
      </c>
    </row>
    <row r="64" spans="1:8" x14ac:dyDescent="0.25">
      <c r="B64" s="131" t="s">
        <v>182</v>
      </c>
      <c r="C64" s="353">
        <f>C62+C63</f>
        <v>0.68137348504419903</v>
      </c>
      <c r="D64" s="353">
        <f>D62+D63</f>
        <v>0.64096867114753364</v>
      </c>
      <c r="E64" s="353">
        <f>E62+E63</f>
        <v>0.58618454942754117</v>
      </c>
      <c r="F64" s="353">
        <f>F62+F63</f>
        <v>0</v>
      </c>
      <c r="G64" s="353">
        <f>G62+G63</f>
        <v>0.55821880274435021</v>
      </c>
      <c r="H64" s="130" t="str">
        <f>IFERROR(G64/F64-1,"")</f>
        <v/>
      </c>
    </row>
    <row r="68" spans="1:8" ht="30" customHeight="1" x14ac:dyDescent="0.25">
      <c r="B68" s="66" t="s">
        <v>1091</v>
      </c>
      <c r="C68" s="67" cm="1">
        <f t="array" ref="C68">Exercice[Exercice N-4]</f>
        <v>2019</v>
      </c>
      <c r="D68" s="67" cm="1">
        <f t="array" ref="D68">Exercice[Exercice N-3]</f>
        <v>2020</v>
      </c>
      <c r="E68" s="67" cm="1">
        <f t="array" ref="E68">Exercice[Exercice N-2]</f>
        <v>2021</v>
      </c>
      <c r="F68" s="67" cm="1">
        <f t="array" ref="F68">Exercice[Exercice N-1]</f>
        <v>2022</v>
      </c>
      <c r="G68" s="67" cm="1">
        <f t="array" ref="G68">Exercice[Exercice N]</f>
        <v>2023</v>
      </c>
      <c r="H68" s="68" t="s">
        <v>273</v>
      </c>
    </row>
    <row r="69" spans="1:8" x14ac:dyDescent="0.25">
      <c r="B69" s="53" t="s">
        <v>182</v>
      </c>
      <c r="C69" s="81">
        <f>IFERROR(C76/C25,"")</f>
        <v>0.34992512413630034</v>
      </c>
      <c r="D69" s="81">
        <f>IFERROR(D76/D25,"")</f>
        <v>0.33758515089370639</v>
      </c>
      <c r="E69" s="81">
        <f>IFERROR(E76/E25,"")</f>
        <v>0.28924277717725033</v>
      </c>
      <c r="F69" s="81">
        <f>IFERROR(F76/F25,"")</f>
        <v>0</v>
      </c>
      <c r="G69" s="285">
        <f>IFERROR(G76/G25,"")</f>
        <v>0.28235690868582108</v>
      </c>
      <c r="H69" s="267" t="str">
        <f>IFERROR(G69/F69-1,"")</f>
        <v/>
      </c>
    </row>
    <row r="70" spans="1:8" x14ac:dyDescent="0.25">
      <c r="B70" s="334"/>
      <c r="C70" s="389"/>
      <c r="D70" s="389"/>
      <c r="E70" s="389"/>
      <c r="F70" s="389"/>
      <c r="G70" s="389"/>
    </row>
    <row r="73" spans="1:8" ht="30" customHeight="1" x14ac:dyDescent="0.25">
      <c r="A73" s="28" t="s">
        <v>1092</v>
      </c>
      <c r="B73" s="66" t="s">
        <v>1093</v>
      </c>
      <c r="C73" s="67" cm="1">
        <f t="array" ref="C73">Exercice[Exercice N-4]</f>
        <v>2019</v>
      </c>
      <c r="D73" s="67" cm="1">
        <f t="array" ref="D73">Exercice[Exercice N-3]</f>
        <v>2020</v>
      </c>
      <c r="E73" s="67" cm="1">
        <f t="array" ref="E73">Exercice[Exercice N-2]</f>
        <v>2021</v>
      </c>
      <c r="F73" s="67" cm="1">
        <f t="array" ref="F73">Exercice[Exercice N-1]</f>
        <v>2022</v>
      </c>
      <c r="G73" s="67" cm="1">
        <f t="array" ref="G73">Exercice[Exercice N]</f>
        <v>2023</v>
      </c>
      <c r="H73" s="68" t="s">
        <v>273</v>
      </c>
    </row>
    <row r="74" spans="1:8" x14ac:dyDescent="0.25">
      <c r="B74" s="50" t="s">
        <v>1087</v>
      </c>
      <c r="C74" s="11" cm="1">
        <f t="array" ref="C74">SUMPRODUCT((cli_09[[client]:[client]]=syndicat_etude)*(cli_09[[annee]:[annee]]=Exercice[[Exercice N-4]:[Exercice N-4]])*(cli_09[[qte_energie_residentiel]:[qte_energie_residentiel]]))</f>
        <v>665.96</v>
      </c>
      <c r="D74" s="11" cm="1">
        <f t="array" ref="D74">SUMPRODUCT((cli_09[[client]:[client]]=syndicat_etude)*(cli_09[[annee]:[annee]]=Exercice[[Exercice N-3]:[Exercice N-3]])*(cli_09[[qte_energie_residentiel]:[qte_energie_residentiel]]))</f>
        <v>614.01</v>
      </c>
      <c r="E74" s="11" cm="1">
        <f t="array" ref="E74">SUMPRODUCT((cli_09[[client]:[client]]=syndicat_etude)*(cli_09[[annee]:[annee]]=Exercice[[Exercice N-2]:[Exercice N-2]])*(cli_09[[qte_energie_residentiel]:[qte_energie_residentiel]]))</f>
        <v>569.95000000000005</v>
      </c>
      <c r="F74" s="11" cm="1">
        <f t="array" ref="F74">SUMPRODUCT((cli_09[[client]:[client]]=syndicat_etude)*(cli_09[[annee]:[annee]]=Exercice[[Exercice N-1]:[Exercice N-1]])*(cli_09[[qte_energie_residentiel]:[qte_energie_residentiel]]))</f>
        <v>0</v>
      </c>
      <c r="G74" s="11" cm="1">
        <f t="array" ref="G74">SUMPRODUCT((cli_09[[client]:[client]]=syndicat_etude)*(cli_09[[annee]:[annee]]=Exercice[[Exercice N]:[Exercice N]])*(cli_09[[qte_energie_residentiel]:[qte_energie_residentiel]]))</f>
        <v>510.73</v>
      </c>
      <c r="H74" s="120" t="str">
        <f>IFERROR(G74/F74-1,"")</f>
        <v/>
      </c>
    </row>
    <row r="75" spans="1:8" x14ac:dyDescent="0.25">
      <c r="B75" s="50" t="s">
        <v>1088</v>
      </c>
      <c r="C75" s="11" cm="1">
        <f t="array" ref="C75">SUMPRODUCT((cli_09[[client]:[client]]=syndicat_etude)*(cli_09[[annee]:[annee]]=Exercice[[Exercice N-4]:[Exercice N-4]])*(cli_09[[qte_energie_non_residentiel]:[qte_energie_non_residentiel]]))</f>
        <v>0</v>
      </c>
      <c r="D75" s="11" cm="1">
        <f t="array" ref="D75">SUMPRODUCT((cli_09[[client]:[client]]=syndicat_etude)*(cli_09[[annee]:[annee]]=Exercice[[Exercice N-3]:[Exercice N-3]])*(cli_09[[qte_energie_non_residentiel]:[qte_energie_non_residentiel]]))</f>
        <v>0</v>
      </c>
      <c r="E75" s="11" cm="1">
        <f t="array" ref="E75">SUMPRODUCT((cli_09[[client]:[client]]=syndicat_etude)*(cli_09[[annee]:[annee]]=Exercice[[Exercice N-2]:[Exercice N-2]])*(cli_09[[qte_energie_non_residentiel]:[qte_energie_non_residentiel]]))</f>
        <v>0</v>
      </c>
      <c r="F75" s="11" cm="1">
        <f t="array" ref="F75">SUMPRODUCT((cli_09[[client]:[client]]=syndicat_etude)*(cli_09[[annee]:[annee]]=Exercice[[Exercice N-1]:[Exercice N-1]])*(cli_09[[qte_energie_non_residentiel]:[qte_energie_non_residentiel]]))</f>
        <v>0</v>
      </c>
      <c r="G75" s="11" cm="1">
        <f t="array" ref="G75">SUMPRODUCT((cli_09[[client]:[client]]=syndicat_etude)*(cli_09[[annee]:[annee]]=Exercice[[Exercice N]:[Exercice N]])*(cli_09[[qte_energie_non_residentiel]:[qte_energie_non_residentiel]]))</f>
        <v>0</v>
      </c>
      <c r="H75" s="120" t="str">
        <f>IFERROR(G75/F75-1,"")</f>
        <v/>
      </c>
    </row>
    <row r="76" spans="1:8" x14ac:dyDescent="0.25">
      <c r="B76" s="131" t="s">
        <v>182</v>
      </c>
      <c r="C76" s="141">
        <f>C74+C75</f>
        <v>665.96</v>
      </c>
      <c r="D76" s="141">
        <f>D74+D75</f>
        <v>614.01</v>
      </c>
      <c r="E76" s="141">
        <f>E74+E75</f>
        <v>569.95000000000005</v>
      </c>
      <c r="F76" s="141">
        <f>F74+F75</f>
        <v>0</v>
      </c>
      <c r="G76" s="141">
        <f>G74+G75</f>
        <v>510.73</v>
      </c>
      <c r="H76" s="130" t="str">
        <f>IFERROR(G76/F76-1,"")</f>
        <v/>
      </c>
    </row>
    <row r="80" spans="1:8" ht="30" customHeight="1" x14ac:dyDescent="0.25">
      <c r="A80" s="28" t="s">
        <v>1094</v>
      </c>
      <c r="B80" s="66" t="s">
        <v>1095</v>
      </c>
      <c r="C80" s="67" cm="1">
        <f t="array" ref="C80">Exercice[Exercice N-4]</f>
        <v>2019</v>
      </c>
      <c r="D80" s="67" cm="1">
        <f t="array" ref="D80">Exercice[Exercice N-3]</f>
        <v>2020</v>
      </c>
      <c r="E80" s="67" cm="1">
        <f t="array" ref="E80">Exercice[Exercice N-2]</f>
        <v>2021</v>
      </c>
      <c r="F80" s="67" cm="1">
        <f t="array" ref="F80">Exercice[Exercice N-1]</f>
        <v>2022</v>
      </c>
      <c r="G80" s="67" cm="1">
        <f t="array" ref="G80">Exercice[Exercice N]</f>
        <v>2023</v>
      </c>
      <c r="H80" s="68" t="s">
        <v>273</v>
      </c>
    </row>
    <row r="81" spans="1:9" x14ac:dyDescent="0.25">
      <c r="B81" s="50" t="s">
        <v>1087</v>
      </c>
      <c r="C81" s="11" cm="1">
        <f t="array" ref="C81">SUMPRODUCT((cli_10[[client]:[client]]=syndicat_etude)*(cli_10[[annee]:[annee]]=Exercice[[Exercice N-4]:[Exercice N-4]])*(cli_10[[recette_trv_residentiel]:[recette_trv_residentiel]]))</f>
        <v>73.209999999999994</v>
      </c>
      <c r="D81" s="11" cm="1">
        <f t="array" ref="D81">SUMPRODUCT((cli_10[[client]:[client]]=syndicat_etude)*(cli_10[[annee]:[annee]]=Exercice[[Exercice N-3]:[Exercice N-3]])*(cli_10[[recette_trv_residentiel]:[recette_trv_residentiel]]))</f>
        <v>74.959999999999994</v>
      </c>
      <c r="E81" s="11" cm="1">
        <f t="array" ref="E81">SUMPRODUCT((cli_10[[client]:[client]]=syndicat_etude)*(cli_10[[annee]:[annee]]=Exercice[[Exercice N-2]:[Exercice N-2]])*(cli_10[[recette_trv_residentiel]:[recette_trv_residentiel]]))</f>
        <v>72.489999999999995</v>
      </c>
      <c r="F81" s="11" cm="1">
        <f t="array" ref="F81">SUMPRODUCT((cli_10[[client]:[client]]=syndicat_etude)*(cli_10[[annee]:[annee]]=Exercice[[Exercice N-1]:[Exercice N-1]])*(cli_10[[recette_trv_residentiel]:[recette_trv_residentiel]]))</f>
        <v>0</v>
      </c>
      <c r="G81" s="11" cm="1">
        <f t="array" ref="G81">SUMPRODUCT((cli_10[[client]:[client]]=syndicat_etude)*(cli_10[[annee]:[annee]]=Exercice[[Exercice N]:[Exercice N]])*(cli_10[[recette_trv_residentiel]:[recette_trv_residentiel]]))</f>
        <v>110.15</v>
      </c>
      <c r="H81" s="120" t="str">
        <f>IFERROR(G81/F81-1,"")</f>
        <v/>
      </c>
    </row>
    <row r="82" spans="1:9" x14ac:dyDescent="0.25">
      <c r="B82" s="50" t="s">
        <v>1088</v>
      </c>
      <c r="C82" s="11" cm="1">
        <f t="array" ref="C82">SUMPRODUCT((cli_10[[client]:[client]]=syndicat_etude)*(cli_10[[annee]:[annee]]=Exercice[[Exercice N-4]:[Exercice N-4]])*(cli_10[[recette_trv_non_residentiel]:[recette_trv_non_residentiel]]))</f>
        <v>0</v>
      </c>
      <c r="D82" s="11" cm="1">
        <f t="array" ref="D82">SUMPRODUCT((cli_10[[client]:[client]]=syndicat_etude)*(cli_10[[annee]:[annee]]=Exercice[[Exercice N-3]:[Exercice N-3]])*(cli_10[[recette_trv_non_residentiel]:[recette_trv_non_residentiel]]))</f>
        <v>0</v>
      </c>
      <c r="E82" s="11" cm="1">
        <f t="array" ref="E82">SUMPRODUCT((cli_10[[client]:[client]]=syndicat_etude)*(cli_10[[annee]:[annee]]=Exercice[[Exercice N-2]:[Exercice N-2]])*(cli_10[[recette_trv_non_residentiel]:[recette_trv_non_residentiel]]))</f>
        <v>0</v>
      </c>
      <c r="F82" s="11" cm="1">
        <f t="array" ref="F82">SUMPRODUCT((cli_10[[client]:[client]]=syndicat_etude)*(cli_10[[annee]:[annee]]=Exercice[[Exercice N-1]:[Exercice N-1]])*(cli_10[[recette_trv_non_residentiel]:[recette_trv_non_residentiel]]))</f>
        <v>0</v>
      </c>
      <c r="G82" s="11" cm="1">
        <f t="array" ref="G82">SUMPRODUCT((cli_10[[client]:[client]]=syndicat_etude)*(cli_10[[annee]:[annee]]=Exercice[[Exercice N]:[Exercice N]])*(cli_10[[recette_trv_non_residentiel]:[recette_trv_non_residentiel]]))</f>
        <v>0</v>
      </c>
      <c r="H82" s="120" t="str">
        <f>IFERROR(G82/F82-1,"")</f>
        <v/>
      </c>
    </row>
    <row r="83" spans="1:9" x14ac:dyDescent="0.25">
      <c r="B83" s="131" t="s">
        <v>182</v>
      </c>
      <c r="C83" s="141">
        <f>C81+C82</f>
        <v>73.209999999999994</v>
      </c>
      <c r="D83" s="141">
        <f>D81+D82</f>
        <v>74.959999999999994</v>
      </c>
      <c r="E83" s="141">
        <f>E81+E82</f>
        <v>72.489999999999995</v>
      </c>
      <c r="F83" s="141">
        <f>F81+F82</f>
        <v>0</v>
      </c>
      <c r="G83" s="141">
        <f>G81+G82</f>
        <v>110.15</v>
      </c>
      <c r="H83" s="130" t="str">
        <f>IFERROR(G83/F83-1,"")</f>
        <v/>
      </c>
    </row>
    <row r="87" spans="1:9" ht="30" customHeight="1" x14ac:dyDescent="0.25">
      <c r="A87" s="28" t="s">
        <v>1096</v>
      </c>
      <c r="B87" s="66" t="s">
        <v>1097</v>
      </c>
      <c r="C87" s="67" cm="1">
        <f t="array" ref="C87">Exercice[Exercice N-4]</f>
        <v>2019</v>
      </c>
      <c r="D87" s="67" cm="1">
        <f t="array" ref="D87">Exercice[Exercice N-3]</f>
        <v>2020</v>
      </c>
      <c r="E87" s="67" cm="1">
        <f t="array" ref="E87">Exercice[Exercice N-2]</f>
        <v>2021</v>
      </c>
      <c r="F87" s="67" cm="1">
        <f t="array" ref="F87">Exercice[Exercice N-1]</f>
        <v>2022</v>
      </c>
      <c r="G87" s="67" cm="1">
        <f t="array" ref="G87">Exercice[Exercice N]</f>
        <v>2023</v>
      </c>
      <c r="H87" s="68" t="s">
        <v>273</v>
      </c>
    </row>
    <row r="88" spans="1:9" x14ac:dyDescent="0.25">
      <c r="B88" s="50" t="s">
        <v>1087</v>
      </c>
      <c r="C88" s="11" cm="1">
        <f t="array" ref="C88">SUMPRODUCT((cli_11[[client]:[client]]=syndicat_etude)*(cli_11[[annee]:[annee]]=Exercice[[Exercice N-4]:[Exercice N-4]])*(cli_11[[puissance_trv_residentiel]:[puissance_trv_residentiel]]))</f>
        <v>1055.25</v>
      </c>
      <c r="D88" s="11" cm="1">
        <f t="array" ref="D88">SUMPRODUCT((cli_11[[client]:[client]]=syndicat_etude)*(cli_11[[annee]:[annee]]=Exercice[[Exercice N-3]:[Exercice N-3]])*(cli_11[[puissance_trv_residentiel]:[puissance_trv_residentiel]]))</f>
        <v>992.25</v>
      </c>
      <c r="E88" s="11" cm="1">
        <f t="array" ref="E88">SUMPRODUCT((cli_11[[client]:[client]]=syndicat_etude)*(cli_11[[annee]:[annee]]=Exercice[[Exercice N-2]:[Exercice N-2]])*(cli_11[[puissance_trv_residentiel]:[puissance_trv_residentiel]]))</f>
        <v>921.26</v>
      </c>
      <c r="F88" s="11" cm="1">
        <f t="array" ref="F88">SUMPRODUCT((cli_11[[client]:[client]]=syndicat_etude)*(cli_11[[annee]:[annee]]=Exercice[[Exercice N-1]:[Exercice N-1]])*(cli_11[[puissance_trv_residentiel]:[puissance_trv_residentiel]]))</f>
        <v>0</v>
      </c>
      <c r="G88" s="11" cm="1">
        <f t="array" ref="G88">SUMPRODUCT((cli_11[[client]:[client]]=syndicat_etude)*(cli_11[[annee]:[annee]]=Exercice[[Exercice N]:[Exercice N]])*(cli_11[[puissance_trv_residentiel]:[puissance_trv_residentiel]]))</f>
        <v>899.72</v>
      </c>
      <c r="H88" s="120" t="str">
        <f>IFERROR(G88/F88-1,"")</f>
        <v/>
      </c>
    </row>
    <row r="89" spans="1:9" x14ac:dyDescent="0.25">
      <c r="B89" s="50" t="s">
        <v>1088</v>
      </c>
      <c r="C89" s="11" cm="1">
        <f t="array" ref="C89">SUMPRODUCT((cli_11[[client]:[client]]=syndicat_etude)*(cli_11[[annee]:[annee]]=Exercice[[Exercice N-4]:[Exercice N-4]])*(cli_11[[puissance_trv_non_residentiel]:[puissance_trv_non_residentiel]]))</f>
        <v>0</v>
      </c>
      <c r="D89" s="11" cm="1">
        <f t="array" ref="D89">SUMPRODUCT((cli_11[[client]:[client]]=syndicat_etude)*(cli_11[[annee]:[annee]]=Exercice[[Exercice N-3]:[Exercice N-3]])*(cli_11[[puissance_trv_non_residentiel]:[puissance_trv_non_residentiel]]))</f>
        <v>0</v>
      </c>
      <c r="E89" s="11" cm="1">
        <f t="array" ref="E89">SUMPRODUCT((cli_11[[client]:[client]]=syndicat_etude)*(cli_11[[annee]:[annee]]=Exercice[[Exercice N-2]:[Exercice N-2]])*(cli_11[[puissance_trv_non_residentiel]:[puissance_trv_non_residentiel]]))</f>
        <v>0</v>
      </c>
      <c r="F89" s="11" cm="1">
        <f t="array" ref="F89">SUMPRODUCT((cli_11[[client]:[client]]=syndicat_etude)*(cli_11[[annee]:[annee]]=Exercice[[Exercice N-1]:[Exercice N-1]])*(cli_11[[puissance_trv_non_residentiel]:[puissance_trv_non_residentiel]]))</f>
        <v>0</v>
      </c>
      <c r="G89" s="11" cm="1">
        <f t="array" ref="G89">SUMPRODUCT((cli_11[[client]:[client]]=syndicat_etude)*(cli_11[[annee]:[annee]]=Exercice[[Exercice N]:[Exercice N]])*(cli_11[[puissance_trv_non_residentiel]:[puissance_trv_non_residentiel]]))</f>
        <v>0</v>
      </c>
      <c r="H89" s="120" t="str">
        <f>IFERROR(G89/F89-1,"")</f>
        <v/>
      </c>
    </row>
    <row r="90" spans="1:9" x14ac:dyDescent="0.25">
      <c r="B90" s="131" t="s">
        <v>182</v>
      </c>
      <c r="C90" s="141" cm="1">
        <f t="array" ref="C90">SUMPRODUCT((cli_11[[client]:[client]]=syndicat_etude)*(cli_11[[annee]:[annee]]=Exercice[[Exercice N-4]:[Exercice N-4]])*(cli_11[[puissance_trv_tot]:[puissance_trv_tot]]))</f>
        <v>1055.25</v>
      </c>
      <c r="D90" s="141" cm="1">
        <f t="array" ref="D90">SUMPRODUCT((cli_11[[client]:[client]]=syndicat_etude)*(cli_11[[annee]:[annee]]=Exercice[[Exercice N-3]:[Exercice N-3]])*(cli_11[[puissance_trv_tot]:[puissance_trv_tot]]))</f>
        <v>992.25</v>
      </c>
      <c r="E90" s="141" cm="1">
        <f t="array" ref="E90">SUMPRODUCT((cli_11[[client]:[client]]=syndicat_etude)*(cli_11[[annee]:[annee]]=Exercice[[Exercice N-2]:[Exercice N-2]])*(cli_11[[puissance_trv_tot]:[puissance_trv_tot]]))</f>
        <v>921.26</v>
      </c>
      <c r="F90" s="141" cm="1">
        <f t="array" ref="F90">SUMPRODUCT((cli_11[[client]:[client]]=syndicat_etude)*(cli_11[[annee]:[annee]]=Exercice[[Exercice N-1]:[Exercice N-1]])*(cli_11[[puissance_trv_tot]:[puissance_trv_tot]]))</f>
        <v>0</v>
      </c>
      <c r="G90" s="141" cm="1">
        <f t="array" ref="G90">SUMPRODUCT((cli_11[[client]:[client]]=syndicat_etude)*(cli_11[[annee]:[annee]]=Exercice[[Exercice N]:[Exercice N]])*(cli_11[[puissance_trv_tot]:[puissance_trv_tot]]))</f>
        <v>899.72</v>
      </c>
      <c r="H90" s="130" t="str">
        <f>IFERROR(G90/F90-1,"")</f>
        <v/>
      </c>
    </row>
    <row r="94" spans="1:9" ht="30" customHeight="1" x14ac:dyDescent="0.25">
      <c r="A94" s="28" t="s">
        <v>1098</v>
      </c>
      <c r="B94" s="66" t="s">
        <v>1099</v>
      </c>
      <c r="C94" s="67" cm="1">
        <f t="array" ref="C94">Exercice[Exercice N-4]</f>
        <v>2019</v>
      </c>
      <c r="D94" s="67" cm="1">
        <f t="array" ref="D94">Exercice[Exercice N-3]</f>
        <v>2020</v>
      </c>
      <c r="E94" s="67" cm="1">
        <f t="array" ref="E94">Exercice[Exercice N-2]</f>
        <v>2021</v>
      </c>
      <c r="F94" s="67" cm="1">
        <f t="array" ref="F94">Exercice[Exercice N-1]</f>
        <v>2022</v>
      </c>
      <c r="G94" s="67" cm="1">
        <f t="array" ref="G94">Exercice[Exercice N]</f>
        <v>2023</v>
      </c>
      <c r="H94" s="68" t="s">
        <v>273</v>
      </c>
    </row>
    <row r="95" spans="1:9" x14ac:dyDescent="0.25">
      <c r="B95" s="50" t="s">
        <v>1100</v>
      </c>
      <c r="C95" s="11" cm="1">
        <f t="array" ref="C95">SUMPRODUCT((cli_13[[client]:[client]]=syndicat_etude)*(cli_13[[annee]:[annee]]=Exercice[[Exercice N-4]:[Exercice N-4]])*(cli_13[[nature_demande]:[nature_demande]]="ACCUEIL")*(cli_13[[nbr_recla_enedis]:[nbr_recla_enedis]]))</f>
        <v>10</v>
      </c>
      <c r="D95" s="11" cm="1">
        <f t="array" ref="D95">SUMPRODUCT((cli_13[[client]:[client]]=syndicat_etude)*(cli_13[[annee]:[annee]]=Exercice[[Exercice N-3]:[Exercice N-3]])*(cli_13[[nature_demande]:[nature_demande]]="ACCUEIL")*(cli_13[[nbr_recla_enedis]:[nbr_recla_enedis]]))</f>
        <v>14</v>
      </c>
      <c r="E95" s="11" cm="1">
        <f t="array" ref="E95">SUMPRODUCT((cli_13[[client]:[client]]=syndicat_etude)*(cli_13[[annee]:[annee]]=Exercice[[Exercice N-2]:[Exercice N-2]])*(cli_13[[nature_demande]:[nature_demande]]="ACCUEIL")*(cli_13[[nbr_recla_enedis]:[nbr_recla_enedis]]))</f>
        <v>0</v>
      </c>
      <c r="F95" s="11" cm="1">
        <f t="array" ref="F95">SUMPRODUCT((cli_13[[client]:[client]]=syndicat_etude)*(cli_13[[annee]:[annee]]=Exercice[[Exercice N-1]:[Exercice N-1]])*(cli_13[[nature_demande]:[nature_demande]]="ACCUEIL")*(cli_13[[nbr_recla_enedis]:[nbr_recla_enedis]]))</f>
        <v>19</v>
      </c>
      <c r="G95" s="11" cm="1">
        <f t="array" ref="G95">SUMPRODUCT((cli_13[[client]:[client]]=syndicat_etude)*(cli_13[[annee]:[annee]]=Exercice[[Exercice N]:[Exercice N]])*(cli_13[[nature_demande]:[nature_demande]]="ACCUEIL")*(cli_13[[nbr_recla_enedis]:[nbr_recla_enedis]]))</f>
        <v>14</v>
      </c>
      <c r="H95" s="120">
        <f t="shared" ref="H95:H100" si="0">IFERROR(G95/F95-1,"")</f>
        <v>-0.26315789473684215</v>
      </c>
      <c r="I95" s="28">
        <f t="shared" ref="I95:I100" si="1">G95/$G$100*100</f>
        <v>1.5334063526834611</v>
      </c>
    </row>
    <row r="96" spans="1:9" x14ac:dyDescent="0.25">
      <c r="B96" s="50" t="s">
        <v>1101</v>
      </c>
      <c r="C96" s="11" cm="1">
        <f t="array" ref="C96">SUMPRODUCT((cli_13[[client]:[client]]=syndicat_etude)*(cli_13[[annee]:[annee]]=Exercice[[Exercice N-4]:[Exercice N-4]])*(cli_13[[nature_demande]:[nature_demande]]="INTERVENTIONS")*(cli_13[[nbr_recla_enedis]:[nbr_recla_enedis]]))</f>
        <v>507</v>
      </c>
      <c r="D96" s="11" cm="1">
        <f t="array" ref="D96">SUMPRODUCT((cli_13[[client]:[client]]=syndicat_etude)*(cli_13[[annee]:[annee]]=Exercice[[Exercice N-3]:[Exercice N-3]])*(cli_13[[nature_demande]:[nature_demande]]="INTERVENTIONS")*(cli_13[[nbr_recla_enedis]:[nbr_recla_enedis]]))</f>
        <v>734</v>
      </c>
      <c r="E96" s="11" cm="1">
        <f t="array" ref="E96">SUMPRODUCT((cli_13[[client]:[client]]=syndicat_etude)*(cli_13[[annee]:[annee]]=Exercice[[Exercice N-2]:[Exercice N-2]])*(cli_13[[nature_demande]:[nature_demande]]="INTERVENTIONS")*(cli_13[[nbr_recla_enedis]:[nbr_recla_enedis]]))</f>
        <v>0</v>
      </c>
      <c r="F96" s="11" cm="1">
        <f t="array" ref="F96">SUMPRODUCT((cli_13[[client]:[client]]=syndicat_etude)*(cli_13[[annee]:[annee]]=Exercice[[Exercice N-1]:[Exercice N-1]])*(cli_13[[nature_demande]:[nature_demande]]="INTERVENTIONS")*(cli_13[[nbr_recla_enedis]:[nbr_recla_enedis]]))</f>
        <v>0</v>
      </c>
      <c r="G96" s="11" cm="1">
        <f t="array" ref="G96">SUMPRODUCT((cli_13[[client]:[client]]=syndicat_etude)*(cli_13[[annee]:[annee]]=Exercice[[Exercice N]:[Exercice N]])*(cli_13[[nature_demande]:[nature_demande]]="INTERVENTIONS")*(cli_13[[nbr_recla_enedis]:[nbr_recla_enedis]]))</f>
        <v>156</v>
      </c>
      <c r="H96" s="120" t="str">
        <f t="shared" si="0"/>
        <v/>
      </c>
      <c r="I96" s="28">
        <f t="shared" si="1"/>
        <v>17.086527929901425</v>
      </c>
    </row>
    <row r="97" spans="1:9" x14ac:dyDescent="0.25">
      <c r="B97" s="50" t="s">
        <v>1102</v>
      </c>
      <c r="C97" s="11" cm="1">
        <f t="array" ref="C97">SUMPRODUCT((cli_13[[client]:[client]]=syndicat_etude)*(cli_13[[annee]:[annee]]=Exercice[[Exercice N-4]:[Exercice N-4]])*(cli_13[[nature_demande]:[nature_demande]]="QUALITE DU RESEAU PUBLIC")*(cli_13[[nbr_recla_enedis]:[nbr_recla_enedis]]))</f>
        <v>232</v>
      </c>
      <c r="D97" s="11" cm="1">
        <f t="array" ref="D97">SUMPRODUCT((cli_13[[client]:[client]]=syndicat_etude)*(cli_13[[annee]:[annee]]=Exercice[[Exercice N-3]:[Exercice N-3]])*(cli_13[[nature_demande]:[nature_demande]]="QUALITE DU RESEAU PUBLIC")*(cli_13[[nbr_recla_enedis]:[nbr_recla_enedis]]))</f>
        <v>222</v>
      </c>
      <c r="E97" s="11" cm="1">
        <f t="array" ref="E97">SUMPRODUCT((cli_13[[client]:[client]]=syndicat_etude)*(cli_13[[annee]:[annee]]=Exercice[[Exercice N-2]:[Exercice N-2]])*(cli_13[[nature_demande]:[nature_demande]]="QUALITE DU RESEAU PUBLIC")*(cli_13[[nbr_recla_enedis]:[nbr_recla_enedis]]))</f>
        <v>0</v>
      </c>
      <c r="F97" s="11" cm="1">
        <f t="array" ref="F97">SUMPRODUCT((cli_13[[client]:[client]]=syndicat_etude)*(cli_13[[annee]:[annee]]=Exercice[[Exercice N-1]:[Exercice N-1]])*(cli_13[[nature_demande]:[nature_demande]]="QUALITE DU RESEAU PUBLIC")*(cli_13[[nbr_recla_enedis]:[nbr_recla_enedis]]))</f>
        <v>0</v>
      </c>
      <c r="G97" s="11" cm="1">
        <f t="array" ref="G97">SUMPRODUCT((cli_13[[client]:[client]]=syndicat_etude)*(cli_13[[annee]:[annee]]=Exercice[[Exercice N]:[Exercice N]])*(cli_13[[nature_demande]:[nature_demande]]="QUALITE DU RESEAU PUBLIC")*(cli_13[[nbr_recla_enedis]:[nbr_recla_enedis]]))</f>
        <v>200</v>
      </c>
      <c r="H97" s="120" t="str">
        <f t="shared" si="0"/>
        <v/>
      </c>
      <c r="I97" s="28">
        <f t="shared" si="1"/>
        <v>21.905805038335156</v>
      </c>
    </row>
    <row r="98" spans="1:9" x14ac:dyDescent="0.25">
      <c r="B98" s="50" t="s">
        <v>1053</v>
      </c>
      <c r="C98" s="11" cm="1">
        <f t="array" ref="C98">SUMPRODUCT((cli_13[[client]:[client]]=syndicat_etude)*(cli_13[[annee]:[annee]]=Exercice[[Exercice N-4]:[Exercice N-4]])*(cli_13[[nature_demande]:[nature_demande]]="RACCORDEMENTS")*(cli_13[[nbr_recla_enedis]:[nbr_recla_enedis]]))</f>
        <v>111</v>
      </c>
      <c r="D98" s="11" cm="1">
        <f t="array" ref="D98">SUMPRODUCT((cli_13[[client]:[client]]=syndicat_etude)*(cli_13[[annee]:[annee]]=Exercice[[Exercice N-3]:[Exercice N-3]])*(cli_13[[nature_demande]:[nature_demande]]="RACCORDEMENTS")*(cli_13[[nbr_recla_enedis]:[nbr_recla_enedis]]))</f>
        <v>79</v>
      </c>
      <c r="E98" s="11" cm="1">
        <f t="array" ref="E98">SUMPRODUCT((cli_13[[client]:[client]]=syndicat_etude)*(cli_13[[annee]:[annee]]=Exercice[[Exercice N-2]:[Exercice N-2]])*(cli_13[[nature_demande]:[nature_demande]]="RACCORDEMENTS")*(cli_13[[nbr_recla_enedis]:[nbr_recla_enedis]]))</f>
        <v>0</v>
      </c>
      <c r="F98" s="11" cm="1">
        <f t="array" ref="F98">SUMPRODUCT((cli_13[[client]:[client]]=syndicat_etude)*(cli_13[[annee]:[annee]]=Exercice[[Exercice N-1]:[Exercice N-1]])*(cli_13[[nature_demande]:[nature_demande]]="RACCORDEMENTS")*(cli_13[[nbr_recla_enedis]:[nbr_recla_enedis]]))</f>
        <v>0</v>
      </c>
      <c r="G98" s="11" cm="1">
        <f t="array" ref="G98">SUMPRODUCT((cli_13[[client]:[client]]=syndicat_etude)*(cli_13[[annee]:[annee]]=Exercice[[Exercice N]:[Exercice N]])*(cli_13[[nature_demande]:[nature_demande]]="RACCORDEMENTS")*(cli_13[[nbr_recla_enedis]:[nbr_recla_enedis]]))</f>
        <v>53</v>
      </c>
      <c r="H98" s="120" t="str">
        <f t="shared" si="0"/>
        <v/>
      </c>
      <c r="I98" s="28">
        <f t="shared" si="1"/>
        <v>5.8050383351588168</v>
      </c>
    </row>
    <row r="99" spans="1:9" x14ac:dyDescent="0.25">
      <c r="B99" s="50" t="s">
        <v>1103</v>
      </c>
      <c r="C99" s="11" cm="1">
        <f t="array" ref="C99">SUMPRODUCT((cli_13[[client]:[client]]=syndicat_etude)*(cli_13[[annee]:[annee]]=Exercice[[Exercice N-4]:[Exercice N-4]])*(cli_13[[nature_demande]:[nature_demande]]="RELEVE ET FACTURATION")*(cli_13[[nbr_recla_enedis]:[nbr_recla_enedis]]))</f>
        <v>584</v>
      </c>
      <c r="D99" s="11" cm="1">
        <f t="array" ref="D99">SUMPRODUCT((cli_13[[client]:[client]]=syndicat_etude)*(cli_13[[annee]:[annee]]=Exercice[[Exercice N-3]:[Exercice N-3]])*(cli_13[[nature_demande]:[nature_demande]]="RELEVE ET FACTURATION")*(cli_13[[nbr_recla_enedis]:[nbr_recla_enedis]]))</f>
        <v>760</v>
      </c>
      <c r="E99" s="11" cm="1">
        <f t="array" ref="E99">SUMPRODUCT((cli_13[[client]:[client]]=syndicat_etude)*(cli_13[[annee]:[annee]]=Exercice[[Exercice N-2]:[Exercice N-2]])*(cli_13[[nature_demande]:[nature_demande]]="RELEVE ET FACTURATION")*(cli_13[[nbr_recla_enedis]:[nbr_recla_enedis]]))</f>
        <v>0</v>
      </c>
      <c r="F99" s="11" cm="1">
        <f t="array" ref="F99">SUMPRODUCT((cli_13[[client]:[client]]=syndicat_etude)*(cli_13[[annee]:[annee]]=Exercice[[Exercice N-1]:[Exercice N-1]])*(cli_13[[nature_demande]:[nature_demande]]="RELEVE ET FACTURATION")*(cli_13[[nbr_recla_enedis]:[nbr_recla_enedis]]))</f>
        <v>0</v>
      </c>
      <c r="G99" s="11" cm="1">
        <f t="array" ref="G99">SUMPRODUCT((cli_13[[client]:[client]]=syndicat_etude)*(cli_13[[annee]:[annee]]=Exercice[[Exercice N]:[Exercice N]])*(cli_13[[nature_demande]:[nature_demande]]="RELEVE ET FACTURATION")*(cli_13[[nbr_recla_enedis]:[nbr_recla_enedis]]))</f>
        <v>490</v>
      </c>
      <c r="H99" s="120" t="str">
        <f t="shared" si="0"/>
        <v/>
      </c>
      <c r="I99" s="28">
        <f t="shared" si="1"/>
        <v>53.669222343921142</v>
      </c>
    </row>
    <row r="100" spans="1:9" x14ac:dyDescent="0.25">
      <c r="B100" s="131" t="s">
        <v>182</v>
      </c>
      <c r="C100" s="141" cm="1">
        <f t="array" ref="C100">SUMPRODUCT((cli_13[[client]:[client]]=syndicat_etude)*(cli_13[[annee]:[annee]]=Exercice[[Exercice N-4]:[Exercice N-4]])*(cli_13[[nature_demande]:[nature_demande]]="Total")*(cli_13[[nbr_recla_enedis]:[nbr_recla_enedis]]))</f>
        <v>1444</v>
      </c>
      <c r="D100" s="141" cm="1">
        <f t="array" ref="D100">SUMPRODUCT((cli_13[[client]:[client]]=syndicat_etude)*(cli_13[[annee]:[annee]]=Exercice[[Exercice N-3]:[Exercice N-3]])*(cli_13[[nature_demande]:[nature_demande]]="Total")*(cli_13[[nbr_recla_enedis]:[nbr_recla_enedis]]))</f>
        <v>1809</v>
      </c>
      <c r="E100" s="141" cm="1">
        <f t="array" ref="E100">SUMPRODUCT((cli_13[[client]:[client]]=syndicat_etude)*(cli_13[[annee]:[annee]]=Exercice[[Exercice N-2]:[Exercice N-2]])*(cli_13[[nature_demande]:[nature_demande]]="Total")*(cli_13[[nbr_recla_enedis]:[nbr_recla_enedis]]))</f>
        <v>0</v>
      </c>
      <c r="F100" s="141" cm="1">
        <f t="array" ref="F100">SUMPRODUCT((cli_13[[client]:[client]]=syndicat_etude)*(cli_13[[annee]:[annee]]=Exercice[[Exercice N-1]:[Exercice N-1]])*(cli_13[[nature_demande]:[nature_demande]]="Total")*(cli_13[[nbr_recla_enedis]:[nbr_recla_enedis]]))</f>
        <v>982</v>
      </c>
      <c r="G100" s="141" cm="1">
        <f t="array" ref="G100">SUMPRODUCT((cli_13[[client]:[client]]=syndicat_etude)*(cli_13[[annee]:[annee]]=Exercice[[Exercice N]:[Exercice N]])*(cli_13[[nature_demande]:[nature_demande]]="Total")*(cli_13[[nbr_recla_enedis]:[nbr_recla_enedis]]))</f>
        <v>913</v>
      </c>
      <c r="H100" s="130">
        <f t="shared" si="0"/>
        <v>-7.0264765784114003E-2</v>
      </c>
      <c r="I100" s="28">
        <f t="shared" si="1"/>
        <v>100</v>
      </c>
    </row>
    <row r="104" spans="1:9" ht="30" customHeight="1" x14ac:dyDescent="0.25">
      <c r="A104" s="28" t="s">
        <v>1104</v>
      </c>
      <c r="B104" s="66" t="s">
        <v>1105</v>
      </c>
      <c r="C104" s="67" cm="1">
        <f t="array" ref="C104">Exercice[Exercice N-4]</f>
        <v>2019</v>
      </c>
      <c r="D104" s="67" cm="1">
        <f t="array" ref="D104">Exercice[Exercice N-3]</f>
        <v>2020</v>
      </c>
      <c r="E104" s="67" cm="1">
        <f t="array" ref="E104">Exercice[Exercice N-2]</f>
        <v>2021</v>
      </c>
      <c r="F104" s="67" cm="1">
        <f t="array" ref="F104">Exercice[Exercice N-1]</f>
        <v>2022</v>
      </c>
      <c r="G104" s="67" cm="1">
        <f t="array" ref="G104">Exercice[Exercice N]</f>
        <v>2023</v>
      </c>
      <c r="H104" s="68" t="s">
        <v>273</v>
      </c>
    </row>
    <row r="105" spans="1:9" x14ac:dyDescent="0.25">
      <c r="B105" s="50" t="s">
        <v>1100</v>
      </c>
      <c r="C105" s="11" cm="1">
        <f t="array" ref="C105">SUMPRODUCT((cli_14[[client]:[client]]=syndicat_etude)*(cli_14[[annee]:[annee]]=Exercice[[Exercice N-4]:[Exercice N-4]])*(cli_14[[motif]:[motif]]="ACCUEIL")*(cli_14[[nbr_recla_edf]:[nbr_recla_edf]]))</f>
        <v>245</v>
      </c>
      <c r="D105" s="11" cm="1">
        <f t="array" ref="D105">SUMPRODUCT((cli_14[[client]:[client]]=syndicat_etude)*(cli_14[[annee]:[annee]]=Exercice[[Exercice N-3]:[Exercice N-3]])*(cli_14[[motif]:[motif]]="ACCUEIL")*(cli_14[[nbr_recla_edf]:[nbr_recla_edf]]))</f>
        <v>345</v>
      </c>
      <c r="E105" s="11" cm="1">
        <f t="array" ref="E105">SUMPRODUCT((cli_14[[client]:[client]]=syndicat_etude)*(cli_14[[annee]:[annee]]=Exercice[[Exercice N-2]:[Exercice N-2]])*(cli_14[[motif]:[motif]]="ACCUEIL")*(cli_14[[nbr_recla_edf]:[nbr_recla_edf]]))</f>
        <v>432</v>
      </c>
      <c r="F105" s="11" cm="1">
        <f t="array" ref="F105">SUMPRODUCT((cli_14[[client]:[client]]=syndicat_etude)*(cli_14[[annee]:[annee]]=Exercice[[Exercice N-1]:[Exercice N-1]])*(cli_14[[motif]:[motif]]="ACCUEIL")*(cli_14[[nbr_recla_edf]:[nbr_recla_edf]]))</f>
        <v>500</v>
      </c>
      <c r="G105" s="11" cm="1">
        <f t="array" ref="G105">SUMPRODUCT((cli_14[[client]:[client]]=syndicat_etude)*(cli_14[[annee]:[annee]]=Exercice[[Exercice N]:[Exercice N]])*(cli_14[[motif]:[motif]]="ACCUEIL")*(cli_14[[nbr_recla_edf]:[nbr_recla_edf]]))</f>
        <v>594</v>
      </c>
      <c r="H105" s="397">
        <f>IFERROR(G105/F105-1,"")</f>
        <v>0.18799999999999994</v>
      </c>
      <c r="I105" s="28">
        <f>G105/$G$113*100</f>
        <v>17.322834645669293</v>
      </c>
    </row>
    <row r="106" spans="1:9" x14ac:dyDescent="0.25">
      <c r="B106" s="50" t="s">
        <v>1106</v>
      </c>
      <c r="C106" s="11" cm="1">
        <f t="array" ref="C106">SUMPRODUCT((cli_14[[client]:[client]]=syndicat_etude)*(cli_14[[annee]:[annee]]=Exercice[[Exercice N-4]:[Exercice N-4]])*(cli_14[[motif]:[motif]]="CONSEIL ET SERVICE")*(cli_14[[nbr_recla_edf]:[nbr_recla_edf]]))</f>
        <v>23</v>
      </c>
      <c r="D106" s="11" cm="1">
        <f t="array" ref="D106">SUMPRODUCT((cli_14[[client]:[client]]=syndicat_etude)*(cli_14[[annee]:[annee]]=Exercice[[Exercice N-3]:[Exercice N-3]])*(cli_14[[motif]:[motif]]="CONSEIL ET SERVICE")*(cli_14[[nbr_recla_edf]:[nbr_recla_edf]]))</f>
        <v>12</v>
      </c>
      <c r="E106" s="11" cm="1">
        <f t="array" ref="E106">SUMPRODUCT((cli_14[[client]:[client]]=syndicat_etude)*(cli_14[[annee]:[annee]]=Exercice[[Exercice N-2]:[Exercice N-2]])*(cli_14[[motif]:[motif]]="CONSEIL ET SERVICE")*(cli_14[[nbr_recla_edf]:[nbr_recla_edf]]))</f>
        <v>0</v>
      </c>
      <c r="F106" s="11" cm="1">
        <f t="array" ref="F106">SUMPRODUCT((cli_14[[client]:[client]]=syndicat_etude)*(cli_14[[annee]:[annee]]=Exercice[[Exercice N-1]:[Exercice N-1]])*(cli_14[[motif]:[motif]]="CONSEIL ET SERVICE")*(cli_14[[nbr_recla_edf]:[nbr_recla_edf]]))</f>
        <v>0</v>
      </c>
      <c r="G106" s="11" cm="1">
        <f t="array" ref="G106">SUMPRODUCT((cli_14[[client]:[client]]=syndicat_etude)*(cli_14[[annee]:[annee]]=Exercice[[Exercice N]:[Exercice N]])*(cli_14[[motif]:[motif]]="CONSEIL ET SERVICE")*(cli_14[[nbr_recla_edf]:[nbr_recla_edf]]))</f>
        <v>0</v>
      </c>
      <c r="H106" s="397" t="str">
        <f t="shared" ref="H106:H113" si="2">IFERROR(G106/F106-1,"")</f>
        <v/>
      </c>
      <c r="I106" s="28">
        <f t="shared" ref="I106:I113" si="3">G106/$G$113*100</f>
        <v>0</v>
      </c>
    </row>
    <row r="107" spans="1:9" x14ac:dyDescent="0.25">
      <c r="B107" s="50" t="s">
        <v>1107</v>
      </c>
      <c r="C107" s="11" cm="1">
        <f t="array" ref="C107">SUMPRODUCT((cli_14[[client]:[client]]=syndicat_etude)*(cli_14[[annee]:[annee]]=Exercice[[Exercice N-4]:[Exercice N-4]])*(cli_14[[motif]:[motif]]="CONTRAT")*(cli_14[[nbr_recla_edf]:[nbr_recla_edf]]))</f>
        <v>371</v>
      </c>
      <c r="D107" s="11" cm="1">
        <f t="array" ref="D107">SUMPRODUCT((cli_14[[client]:[client]]=syndicat_etude)*(cli_14[[annee]:[annee]]=Exercice[[Exercice N-3]:[Exercice N-3]])*(cli_14[[motif]:[motif]]="CONTRAT")*(cli_14[[nbr_recla_edf]:[nbr_recla_edf]]))</f>
        <v>419</v>
      </c>
      <c r="E107" s="11" cm="1">
        <f t="array" ref="E107">SUMPRODUCT((cli_14[[client]:[client]]=syndicat_etude)*(cli_14[[annee]:[annee]]=Exercice[[Exercice N-2]:[Exercice N-2]])*(cli_14[[motif]:[motif]]="CONTRAT")*(cli_14[[nbr_recla_edf]:[nbr_recla_edf]]))</f>
        <v>532</v>
      </c>
      <c r="F107" s="11" cm="1">
        <f t="array" ref="F107">SUMPRODUCT((cli_14[[client]:[client]]=syndicat_etude)*(cli_14[[annee]:[annee]]=Exercice[[Exercice N-1]:[Exercice N-1]])*(cli_14[[motif]:[motif]]="CONTRAT")*(cli_14[[nbr_recla_edf]:[nbr_recla_edf]]))</f>
        <v>446</v>
      </c>
      <c r="G107" s="11" cm="1">
        <f t="array" ref="G107">SUMPRODUCT((cli_14[[client]:[client]]=syndicat_etude)*(cli_14[[annee]:[annee]]=Exercice[[Exercice N]:[Exercice N]])*(cli_14[[motif]:[motif]]="CONTRAT")*(cli_14[[nbr_recla_edf]:[nbr_recla_edf]]))</f>
        <v>535</v>
      </c>
      <c r="H107" s="397">
        <f t="shared" si="2"/>
        <v>0.19955156950672648</v>
      </c>
      <c r="I107" s="28">
        <f t="shared" si="3"/>
        <v>15.602216389617965</v>
      </c>
    </row>
    <row r="108" spans="1:9" x14ac:dyDescent="0.25">
      <c r="B108" s="50" t="s">
        <v>1108</v>
      </c>
      <c r="C108" s="11" cm="1">
        <f t="array" ref="C108">SUMPRODUCT((cli_14[[client]:[client]]=syndicat_etude)*(cli_14[[annee]:[annee]]=Exercice[[Exercice N-4]:[Exercice N-4]])*(cli_14[[motif]:[motif]]="FACTURATION")*(cli_14[[nbr_recla_edf]:[nbr_recla_edf]]))</f>
        <v>685</v>
      </c>
      <c r="D108" s="11" cm="1">
        <f t="array" ref="D108">SUMPRODUCT((cli_14[[client]:[client]]=syndicat_etude)*(cli_14[[annee]:[annee]]=Exercice[[Exercice N-3]:[Exercice N-3]])*(cli_14[[motif]:[motif]]="FACTURATION")*(cli_14[[nbr_recla_edf]:[nbr_recla_edf]]))</f>
        <v>892</v>
      </c>
      <c r="E108" s="11" cm="1">
        <f t="array" ref="E108">SUMPRODUCT((cli_14[[client]:[client]]=syndicat_etude)*(cli_14[[annee]:[annee]]=Exercice[[Exercice N-2]:[Exercice N-2]])*(cli_14[[motif]:[motif]]="FACTURATION")*(cli_14[[nbr_recla_edf]:[nbr_recla_edf]]))</f>
        <v>1006</v>
      </c>
      <c r="F108" s="11" cm="1">
        <f t="array" ref="F108">SUMPRODUCT((cli_14[[client]:[client]]=syndicat_etude)*(cli_14[[annee]:[annee]]=Exercice[[Exercice N-1]:[Exercice N-1]])*(cli_14[[motif]:[motif]]="FACTURATION")*(cli_14[[nbr_recla_edf]:[nbr_recla_edf]]))</f>
        <v>880</v>
      </c>
      <c r="G108" s="11" cm="1">
        <f t="array" ref="G108">SUMPRODUCT((cli_14[[client]:[client]]=syndicat_etude)*(cli_14[[annee]:[annee]]=Exercice[[Exercice N]:[Exercice N]])*(cli_14[[motif]:[motif]]="FACTURATION")*(cli_14[[nbr_recla_edf]:[nbr_recla_edf]]))</f>
        <v>1219</v>
      </c>
      <c r="H108" s="397">
        <f t="shared" si="2"/>
        <v>0.38522727272727275</v>
      </c>
      <c r="I108" s="28">
        <f t="shared" si="3"/>
        <v>35.549722951297753</v>
      </c>
    </row>
    <row r="109" spans="1:9" x14ac:dyDescent="0.25">
      <c r="B109" s="50" t="s">
        <v>1109</v>
      </c>
      <c r="C109" s="11" cm="1">
        <f t="array" ref="C109">SUMPRODUCT((cli_14[[client]:[client]]=syndicat_etude)*(cli_14[[annee]:[annee]]=Exercice[[Exercice N-4]:[Exercice N-4]])*(cli_14[[motif]:[motif]]="QUALITE DE FOURNITURE &amp; RESEAUX")*(cli_14[[nbr_recla_edf]:[nbr_recla_edf]]))</f>
        <v>96</v>
      </c>
      <c r="D109" s="11" cm="1">
        <f t="array" ref="D109">SUMPRODUCT((cli_14[[client]:[client]]=syndicat_etude)*(cli_14[[annee]:[annee]]=Exercice[[Exercice N-3]:[Exercice N-3]])*(cli_14[[motif]:[motif]]="QUALITE DE FOURNITURE &amp; RESEAUX")*(cli_14[[nbr_recla_edf]:[nbr_recla_edf]]))</f>
        <v>77</v>
      </c>
      <c r="E109" s="11" cm="1">
        <f t="array" ref="E109">SUMPRODUCT((cli_14[[client]:[client]]=syndicat_etude)*(cli_14[[annee]:[annee]]=Exercice[[Exercice N-2]:[Exercice N-2]])*(cli_14[[motif]:[motif]]="QUALITE DE FOURNITURE &amp; RESEAUX")*(cli_14[[nbr_recla_edf]:[nbr_recla_edf]]))</f>
        <v>66</v>
      </c>
      <c r="F109" s="11" cm="1">
        <f t="array" ref="F109">SUMPRODUCT((cli_14[[client]:[client]]=syndicat_etude)*(cli_14[[annee]:[annee]]=Exercice[[Exercice N-1]:[Exercice N-1]])*(cli_14[[motif]:[motif]]="QUALITE DE FOURNITURE &amp; RESEAUX")*(cli_14[[nbr_recla_edf]:[nbr_recla_edf]]))</f>
        <v>54</v>
      </c>
      <c r="G109" s="11" cm="1">
        <f t="array" ref="G109">SUMPRODUCT((cli_14[[client]:[client]]=syndicat_etude)*(cli_14[[annee]:[annee]]=Exercice[[Exercice N]:[Exercice N]])*(cli_14[[motif]:[motif]]="QUALITE DE FOURNITURE &amp; RESEAUX")*(cli_14[[nbr_recla_edf]:[nbr_recla_edf]]))</f>
        <v>59</v>
      </c>
      <c r="H109" s="397">
        <f t="shared" si="2"/>
        <v>9.259259259259256E-2</v>
      </c>
      <c r="I109" s="28">
        <f t="shared" si="3"/>
        <v>1.7206182560513268</v>
      </c>
    </row>
    <row r="110" spans="1:9" x14ac:dyDescent="0.25">
      <c r="B110" s="50" t="s">
        <v>1110</v>
      </c>
      <c r="C110" s="11" cm="1">
        <f t="array" ref="C110">SUMPRODUCT((cli_14[[client]:[client]]=syndicat_etude)*(cli_14[[annee]:[annee]]=Exercice[[Exercice N-4]:[Exercice N-4]])*(cli_14[[motif]:[motif]]="RECOUVREMENT")*(cli_14[[nbr_recla_edf]:[nbr_recla_edf]]))</f>
        <v>622</v>
      </c>
      <c r="D110" s="11" cm="1">
        <f t="array" ref="D110">SUMPRODUCT((cli_14[[client]:[client]]=syndicat_etude)*(cli_14[[annee]:[annee]]=Exercice[[Exercice N-3]:[Exercice N-3]])*(cli_14[[motif]:[motif]]="RECOUVREMENT")*(cli_14[[nbr_recla_edf]:[nbr_recla_edf]]))</f>
        <v>644</v>
      </c>
      <c r="E110" s="11" cm="1">
        <f t="array" ref="E110">SUMPRODUCT((cli_14[[client]:[client]]=syndicat_etude)*(cli_14[[annee]:[annee]]=Exercice[[Exercice N-2]:[Exercice N-2]])*(cli_14[[motif]:[motif]]="RECOUVREMENT")*(cli_14[[nbr_recla_edf]:[nbr_recla_edf]]))</f>
        <v>707</v>
      </c>
      <c r="F110" s="11" cm="1">
        <f t="array" ref="F110">SUMPRODUCT((cli_14[[client]:[client]]=syndicat_etude)*(cli_14[[annee]:[annee]]=Exercice[[Exercice N-1]:[Exercice N-1]])*(cli_14[[motif]:[motif]]="RECOUVREMENT")*(cli_14[[nbr_recla_edf]:[nbr_recla_edf]]))</f>
        <v>558</v>
      </c>
      <c r="G110" s="11" cm="1">
        <f t="array" ref="G110">SUMPRODUCT((cli_14[[client]:[client]]=syndicat_etude)*(cli_14[[annee]:[annee]]=Exercice[[Exercice N]:[Exercice N]])*(cli_14[[motif]:[motif]]="RECOUVREMENT")*(cli_14[[nbr_recla_edf]:[nbr_recla_edf]]))</f>
        <v>821</v>
      </c>
      <c r="H110" s="397">
        <f t="shared" si="2"/>
        <v>0.47132616487455192</v>
      </c>
      <c r="I110" s="28">
        <f t="shared" si="3"/>
        <v>23.942840478273549</v>
      </c>
    </row>
    <row r="111" spans="1:9" x14ac:dyDescent="0.25">
      <c r="B111" s="50" t="s">
        <v>1111</v>
      </c>
      <c r="C111" s="11" cm="1">
        <f t="array" ref="C111">SUMPRODUCT((cli_14[[client]:[client]]=syndicat_etude)*(cli_14[[annee]:[annee]]=Exercice[[Exercice N-4]:[Exercice N-4]])*(cli_14[[motif]:[motif]]="RELATIONS AVEC LE DISTRIBUTEUR")*(cli_14[[nbr_recla_edf]:[nbr_recla_edf]]))</f>
        <v>49</v>
      </c>
      <c r="D111" s="11" cm="1">
        <f t="array" ref="D111">SUMPRODUCT((cli_14[[client]:[client]]=syndicat_etude)*(cli_14[[annee]:[annee]]=Exercice[[Exercice N-3]:[Exercice N-3]])*(cli_14[[motif]:[motif]]="RELATIONS AVEC LE DISTRIBUTEUR")*(cli_14[[nbr_recla_edf]:[nbr_recla_edf]]))</f>
        <v>96</v>
      </c>
      <c r="E111" s="11" cm="1">
        <f t="array" ref="E111">SUMPRODUCT((cli_14[[client]:[client]]=syndicat_etude)*(cli_14[[annee]:[annee]]=Exercice[[Exercice N-2]:[Exercice N-2]])*(cli_14[[motif]:[motif]]="RELATIONS AVEC LE DISTRIBUTEUR")*(cli_14[[nbr_recla_edf]:[nbr_recla_edf]]))</f>
        <v>155</v>
      </c>
      <c r="F111" s="11" cm="1">
        <f t="array" ref="F111">SUMPRODUCT((cli_14[[client]:[client]]=syndicat_etude)*(cli_14[[annee]:[annee]]=Exercice[[Exercice N-1]:[Exercice N-1]])*(cli_14[[motif]:[motif]]="RELATIONS AVEC LE DISTRIBUTEUR")*(cli_14[[nbr_recla_edf]:[nbr_recla_edf]]))</f>
        <v>143</v>
      </c>
      <c r="G111" s="11" cm="1">
        <f t="array" ref="G111">SUMPRODUCT((cli_14[[client]:[client]]=syndicat_etude)*(cli_14[[annee]:[annee]]=Exercice[[Exercice N]:[Exercice N]])*(cli_14[[motif]:[motif]]="RELATIONS AVEC LE DISTRIBUTEUR")*(cli_14[[nbr_recla_edf]:[nbr_recla_edf]]))</f>
        <v>112</v>
      </c>
      <c r="H111" s="397">
        <f t="shared" si="2"/>
        <v>-0.21678321678321677</v>
      </c>
      <c r="I111" s="28">
        <f t="shared" si="3"/>
        <v>3.2662583843686206</v>
      </c>
    </row>
    <row r="112" spans="1:9" x14ac:dyDescent="0.25">
      <c r="B112" s="50" t="s">
        <v>1112</v>
      </c>
      <c r="C112" s="11" cm="1">
        <f t="array" ref="C112">SUMPRODUCT((cli_14[[client]:[client]]=syndicat_etude)*(cli_14[[annee]:[annee]]=Exercice[[Exercice N-4]:[Exercice N-4]])*(cli_14[[motif]:[motif]]="RELEVE")*(cli_14[[nbr_recla_edf]:[nbr_recla_edf]]))</f>
        <v>208</v>
      </c>
      <c r="D112" s="11" cm="1">
        <f t="array" ref="D112">SUMPRODUCT((cli_14[[client]:[client]]=syndicat_etude)*(cli_14[[annee]:[annee]]=Exercice[[Exercice N-3]:[Exercice N-3]])*(cli_14[[motif]:[motif]]="RELEVE")*(cli_14[[nbr_recla_edf]:[nbr_recla_edf]]))</f>
        <v>175</v>
      </c>
      <c r="E112" s="11" cm="1">
        <f t="array" ref="E112">SUMPRODUCT((cli_14[[client]:[client]]=syndicat_etude)*(cli_14[[annee]:[annee]]=Exercice[[Exercice N-2]:[Exercice N-2]])*(cli_14[[motif]:[motif]]="RELEVE")*(cli_14[[nbr_recla_edf]:[nbr_recla_edf]]))</f>
        <v>84</v>
      </c>
      <c r="F112" s="11" cm="1">
        <f t="array" ref="F112">SUMPRODUCT((cli_14[[client]:[client]]=syndicat_etude)*(cli_14[[annee]:[annee]]=Exercice[[Exercice N-1]:[Exercice N-1]])*(cli_14[[motif]:[motif]]="RELEVE")*(cli_14[[nbr_recla_edf]:[nbr_recla_edf]]))</f>
        <v>81</v>
      </c>
      <c r="G112" s="11" cm="1">
        <f t="array" ref="G112">SUMPRODUCT((cli_14[[client]:[client]]=syndicat_etude)*(cli_14[[annee]:[annee]]=Exercice[[Exercice N]:[Exercice N]])*(cli_14[[motif]:[motif]]="RELEVE")*(cli_14[[nbr_recla_edf]:[nbr_recla_edf]]))</f>
        <v>89</v>
      </c>
      <c r="H112" s="397">
        <f t="shared" si="2"/>
        <v>9.8765432098765427E-2</v>
      </c>
      <c r="I112" s="28">
        <f t="shared" si="3"/>
        <v>2.595508894721493</v>
      </c>
    </row>
    <row r="113" spans="1:9" x14ac:dyDescent="0.25">
      <c r="B113" s="131" t="s">
        <v>182</v>
      </c>
      <c r="C113" s="141" cm="1">
        <f t="array" ref="C113">SUMPRODUCT((cli_14[[client]:[client]]=syndicat_etude)*(cli_14[[annee]:[annee]]=Exercice[[Exercice N-4]:[Exercice N-4]])*(cli_14[[motif]:[motif]]="Total")*(cli_14[[nbr_recla_edf]:[nbr_recla_edf]]))</f>
        <v>2299</v>
      </c>
      <c r="D113" s="141" cm="1">
        <f t="array" ref="D113">SUMPRODUCT((cli_14[[client]:[client]]=syndicat_etude)*(cli_14[[annee]:[annee]]=Exercice[[Exercice N-3]:[Exercice N-3]])*(cli_14[[motif]:[motif]]="Total")*(cli_14[[nbr_recla_edf]:[nbr_recla_edf]]))</f>
        <v>2660</v>
      </c>
      <c r="E113" s="141" cm="1">
        <f t="array" ref="E113">SUMPRODUCT((cli_14[[client]:[client]]=syndicat_etude)*(cli_14[[annee]:[annee]]=Exercice[[Exercice N-2]:[Exercice N-2]])*(cli_14[[motif]:[motif]]="Total")*(cli_14[[nbr_recla_edf]:[nbr_recla_edf]]))</f>
        <v>2982</v>
      </c>
      <c r="F113" s="141" cm="1">
        <f t="array" ref="F113">SUMPRODUCT((cli_14[[client]:[client]]=syndicat_etude)*(cli_14[[annee]:[annee]]=Exercice[[Exercice N-1]:[Exercice N-1]])*(cli_14[[motif]:[motif]]="Total")*(cli_14[[nbr_recla_edf]:[nbr_recla_edf]]))</f>
        <v>2662</v>
      </c>
      <c r="G113" s="141" cm="1">
        <f t="array" ref="G113">SUMPRODUCT((cli_14[[client]:[client]]=syndicat_etude)*(cli_14[[annee]:[annee]]=Exercice[[Exercice N]:[Exercice N]])*(cli_14[[motif]:[motif]]="Total")*(cli_14[[nbr_recla_edf]:[nbr_recla_edf]]))</f>
        <v>3429</v>
      </c>
      <c r="H113" s="395">
        <f t="shared" si="2"/>
        <v>0.28812922614575509</v>
      </c>
      <c r="I113" s="28">
        <f t="shared" si="3"/>
        <v>100</v>
      </c>
    </row>
    <row r="117" spans="1:9" ht="30" customHeight="1" x14ac:dyDescent="0.25">
      <c r="A117" s="28" t="s">
        <v>1113</v>
      </c>
      <c r="B117" s="66" t="s">
        <v>1114</v>
      </c>
      <c r="C117" s="67" cm="1">
        <f t="array" ref="C117">Exercice[Exercice N-4]</f>
        <v>2019</v>
      </c>
      <c r="D117" s="67" cm="1">
        <f t="array" ref="D117">Exercice[Exercice N-3]</f>
        <v>2020</v>
      </c>
      <c r="E117" s="67" cm="1">
        <f t="array" ref="E117">Exercice[Exercice N-2]</f>
        <v>2021</v>
      </c>
      <c r="F117" s="67" cm="1">
        <f t="array" ref="F117">Exercice[Exercice N-1]</f>
        <v>2022</v>
      </c>
      <c r="G117" s="67" cm="1">
        <f t="array" ref="G117">Exercice[Exercice N]</f>
        <v>2023</v>
      </c>
      <c r="H117" s="68" t="s">
        <v>273</v>
      </c>
    </row>
    <row r="118" spans="1:9" x14ac:dyDescent="0.25">
      <c r="B118" s="50" t="s">
        <v>1115</v>
      </c>
      <c r="C118" s="8" cm="1">
        <f t="array" ref="C118">SUMPRODUCT((cli_15[[client]:[client]]=syndicat_etude)*(cli_15[[annee]:[annee]]=Exercice[[Exercice N-4]:[Exercice N-4]])*(cli_15[[tx_reponse_15j]:[tx_reponse_15j]]))</f>
        <v>0.96879999999999999</v>
      </c>
      <c r="D118" s="8" cm="1">
        <f t="array" ref="D118">SUMPRODUCT((cli_15[[client]:[client]]=syndicat_etude)*(cli_15[[annee]:[annee]]=Exercice[[Exercice N-3]:[Exercice N-3]])*(cli_15[[tx_reponse_15j]:[tx_reponse_15j]]))</f>
        <v>0.98450000000000004</v>
      </c>
      <c r="E118" s="8" cm="1">
        <f t="array" ref="E118">SUMPRODUCT((cli_15[[client]:[client]]=syndicat_etude)*(cli_15[[annee]:[annee]]=Exercice[[Exercice N-2]:[Exercice N-2]])*(cli_15[[tx_reponse_15j]:[tx_reponse_15j]]))</f>
        <v>0</v>
      </c>
      <c r="F118" s="8" cm="1">
        <f t="array" ref="F118">SUMPRODUCT((cli_15[[client]:[client]]=syndicat_etude)*(cli_15[[annee]:[annee]]=Exercice[[Exercice N-1]:[Exercice N-1]])*(cli_15[[tx_reponse_15j]:[tx_reponse_15j]]))</f>
        <v>0.98470000000000002</v>
      </c>
      <c r="G118" s="8" cm="1">
        <f t="array" ref="G118">SUMPRODUCT((cli_15[[client]:[client]]=syndicat_etude)*(cli_15[[annee]:[annee]]=Exercice[[Exercice N]:[Exercice N]])*(cli_15[[tx_reponse_15j]:[tx_reponse_15j]]))</f>
        <v>0.99339999999999995</v>
      </c>
      <c r="H118" s="120">
        <f>IFERROR(G118/F118-1,"")</f>
        <v>8.8351782268709655E-3</v>
      </c>
    </row>
    <row r="119" spans="1:9" x14ac:dyDescent="0.25">
      <c r="B119" s="53" t="s">
        <v>1116</v>
      </c>
      <c r="C119" s="81" cm="1">
        <f t="array" ref="C119">SUMPRODUCT((cli_15[[client]:[client]]=syndicat_etude)*(cli_15[[annee]:[annee]]=Exercice[[Exercice N-4]:[Exercice N-4]])*(cli_15[[tx_reponse_30j]:[tx_reponse_30j]]))</f>
        <v>0.99719999999999998</v>
      </c>
      <c r="D119" s="81" cm="1">
        <f t="array" ref="D119">SUMPRODUCT((cli_15[[client]:[client]]=syndicat_etude)*(cli_15[[annee]:[annee]]=Exercice[[Exercice N-3]:[Exercice N-3]])*(cli_15[[tx_reponse_30j]:[tx_reponse_30j]]))</f>
        <v>0.995</v>
      </c>
      <c r="E119" s="81" cm="1">
        <f t="array" ref="E119">SUMPRODUCT((cli_15[[client]:[client]]=syndicat_etude)*(cli_15[[annee]:[annee]]=Exercice[[Exercice N-2]:[Exercice N-2]])*(cli_15[[tx_reponse_30j]:[tx_reponse_30j]]))</f>
        <v>0</v>
      </c>
      <c r="F119" s="81" cm="1">
        <f t="array" ref="F119">SUMPRODUCT((cli_15[[client]:[client]]=syndicat_etude)*(cli_15[[annee]:[annee]]=Exercice[[Exercice N-1]:[Exercice N-1]])*(cli_15[[tx_reponse_30j]:[tx_reponse_30j]]))</f>
        <v>0.99590000000000001</v>
      </c>
      <c r="G119" s="81" cm="1">
        <f t="array" ref="G119">SUMPRODUCT((cli_15[[client]:[client]]=syndicat_etude)*(cli_15[[annee]:[annee]]=Exercice[[Exercice N]:[Exercice N]])*(cli_15[[tx_reponse_30j]:[tx_reponse_30j]]))</f>
        <v>0.99780000000000002</v>
      </c>
      <c r="H119" s="133">
        <f>IFERROR(G119/F119-1,"")</f>
        <v>1.907822070489118E-3</v>
      </c>
    </row>
    <row r="123" spans="1:9" ht="30" customHeight="1" x14ac:dyDescent="0.25">
      <c r="A123" s="28" t="s">
        <v>1117</v>
      </c>
      <c r="B123" s="66" t="s">
        <v>1118</v>
      </c>
      <c r="C123" s="67" cm="1">
        <f t="array" ref="C123">Exercice[Exercice N-4]</f>
        <v>2019</v>
      </c>
      <c r="D123" s="67" cm="1">
        <f t="array" ref="D123">Exercice[Exercice N-3]</f>
        <v>2020</v>
      </c>
      <c r="E123" s="67" cm="1">
        <f t="array" ref="E123">Exercice[Exercice N-2]</f>
        <v>2021</v>
      </c>
      <c r="F123" s="67" cm="1">
        <f t="array" ref="F123">Exercice[Exercice N-1]</f>
        <v>2022</v>
      </c>
      <c r="G123" s="67" cm="1">
        <f t="array" ref="G123">Exercice[Exercice N]</f>
        <v>2023</v>
      </c>
      <c r="H123" s="68" t="s">
        <v>273</v>
      </c>
    </row>
    <row r="124" spans="1:9" x14ac:dyDescent="0.25">
      <c r="B124" s="50" t="s">
        <v>1115</v>
      </c>
      <c r="C124" s="8" cm="1">
        <f t="array" ref="C124">SUMPRODUCT((cli_16[[client]:[client]]=syndicat_etude)*(cli_16[[annee]:[annee]]=Exercice[[Exercice N-4]:[Exercice N-4]])*(cli_16[[tx_reponse_15j]:[tx_reponse_15j]]))</f>
        <v>0.91820000000000002</v>
      </c>
      <c r="D124" s="8" cm="1">
        <f t="array" ref="D124">SUMPRODUCT((cli_16[[client]:[client]]=syndicat_etude)*(cli_16[[annee]:[annee]]=Exercice[[Exercice N-3]:[Exercice N-3]])*(cli_16[[tx_reponse_15j]:[tx_reponse_15j]]))</f>
        <v>0.70409999999999995</v>
      </c>
      <c r="E124" s="8" cm="1">
        <f t="array" ref="E124">SUMPRODUCT((cli_16[[client]:[client]]=syndicat_etude)*(cli_16[[annee]:[annee]]=Exercice[[Exercice N-2]:[Exercice N-2]])*(cli_16[[tx_reponse_15j]:[tx_reponse_15j]]))</f>
        <v>0.57340000000000002</v>
      </c>
      <c r="F124" s="8" cm="1">
        <f t="array" ref="F124">SUMPRODUCT((cli_16[[client]:[client]]=syndicat_etude)*(cli_16[[annee]:[annee]]=Exercice[[Exercice N-1]:[Exercice N-1]])*(cli_16[[tx_reponse_15j]:[tx_reponse_15j]]))</f>
        <v>0.62660000000000005</v>
      </c>
      <c r="G124" s="8" cm="1">
        <f t="array" ref="G124">SUMPRODUCT((cli_16[[client]:[client]]=syndicat_etude)*(cli_16[[annee]:[annee]]=Exercice[[Exercice N]:[Exercice N]])*(cli_16[[tx_reponse_15j]:[tx_reponse_15j]]))</f>
        <v>0.81769999999999998</v>
      </c>
      <c r="H124" s="120">
        <f>IFERROR(G124/F124-1,"")</f>
        <v>0.304979253112033</v>
      </c>
    </row>
    <row r="125" spans="1:9" x14ac:dyDescent="0.25">
      <c r="B125" s="53" t="s">
        <v>1116</v>
      </c>
      <c r="C125" s="81" cm="1">
        <f t="array" ref="C125">SUMPRODUCT((cli_16[[client]:[client]]=syndicat_etude)*(cli_16[[annee]:[annee]]=Exercice[[Exercice N-4]:[Exercice N-4]])*(cli_16[[tx_reponse_30j]:[tx_reponse_30j]]))</f>
        <v>0.95040000000000002</v>
      </c>
      <c r="D125" s="81" cm="1">
        <f t="array" ref="D125">SUMPRODUCT((cli_16[[client]:[client]]=syndicat_etude)*(cli_16[[annee]:[annee]]=Exercice[[Exercice N-3]:[Exercice N-3]])*(cli_16[[tx_reponse_30j]:[tx_reponse_30j]]))</f>
        <v>0.75639999999999996</v>
      </c>
      <c r="E125" s="81" cm="1">
        <f t="array" ref="E125">SUMPRODUCT((cli_16[[client]:[client]]=syndicat_etude)*(cli_16[[annee]:[annee]]=Exercice[[Exercice N-2]:[Exercice N-2]])*(cli_16[[tx_reponse_30j]:[tx_reponse_30j]]))</f>
        <v>0.95309999999999995</v>
      </c>
      <c r="F125" s="81" cm="1">
        <f t="array" ref="F125">SUMPRODUCT((cli_16[[client]:[client]]=syndicat_etude)*(cli_16[[annee]:[annee]]=Exercice[[Exercice N-1]:[Exercice N-1]])*(cli_16[[tx_reponse_30j]:[tx_reponse_30j]]))</f>
        <v>0.95299999999999996</v>
      </c>
      <c r="G125" s="81" cm="1">
        <f t="array" ref="G125">SUMPRODUCT((cli_16[[client]:[client]]=syndicat_etude)*(cli_16[[annee]:[annee]]=Exercice[[Exercice N]:[Exercice N]])*(cli_16[[tx_reponse_30j]:[tx_reponse_30j]]))</f>
        <v>0.94310000000000005</v>
      </c>
      <c r="H125" s="133">
        <f>IFERROR(G125/F125-1,"")</f>
        <v>-1.0388247639034565E-2</v>
      </c>
    </row>
    <row r="129" spans="1:8" ht="30" customHeight="1" x14ac:dyDescent="0.25">
      <c r="A129" s="28" t="s">
        <v>1119</v>
      </c>
      <c r="B129" s="66" t="s">
        <v>1120</v>
      </c>
      <c r="C129" s="67" cm="1">
        <f t="array" ref="C129">Exercice[Exercice N-4]</f>
        <v>2019</v>
      </c>
      <c r="D129" s="67" cm="1">
        <f t="array" ref="D129">Exercice[Exercice N-3]</f>
        <v>2020</v>
      </c>
      <c r="E129" s="67" cm="1">
        <f t="array" ref="E129">Exercice[Exercice N-2]</f>
        <v>2021</v>
      </c>
      <c r="F129" s="67" cm="1">
        <f t="array" ref="F129">Exercice[Exercice N-1]</f>
        <v>2022</v>
      </c>
      <c r="G129" s="67" cm="1">
        <f t="array" ref="G129">Exercice[Exercice N]</f>
        <v>2023</v>
      </c>
      <c r="H129" s="68" t="s">
        <v>273</v>
      </c>
    </row>
    <row r="130" spans="1:8" x14ac:dyDescent="0.25">
      <c r="B130" s="50" t="s">
        <v>1081</v>
      </c>
      <c r="C130" s="11" cm="1">
        <f t="array" ref="C130">SUMPRODUCT((cli_17[[client]:[client]]=syndicat_etude)*(cli_17[[annee]:[annee]]=Exercice[[Exercice N-4]:[Exercice N-4]])*(cli_17[[pui_photo_hors_dcp]:[pui_photo_hors_dcp]]))</f>
        <v>0</v>
      </c>
      <c r="D130" s="11" cm="1">
        <f t="array" ref="D130">SUMPRODUCT((cli_17[[client]:[client]]=syndicat_etude)*(cli_17[[annee]:[annee]]=Exercice[[Exercice N-3]:[Exercice N-3]])*(cli_17[[pui_photo_hors_dcp]:[pui_photo_hors_dcp]]))</f>
        <v>0</v>
      </c>
      <c r="E130" s="11" cm="1">
        <f t="array" ref="E130">SUMPRODUCT((cli_17[[client]:[client]]=syndicat_etude)*(cli_17[[annee]:[annee]]=Exercice[[Exercice N-2]:[Exercice N-2]])*(cli_17[[pui_photo_hors_dcp]:[pui_photo_hors_dcp]]))</f>
        <v>0</v>
      </c>
      <c r="F130" s="11" cm="1">
        <f t="array" ref="F130">SUMPRODUCT((cli_17[[client]:[client]]=syndicat_etude)*(cli_17[[annee]:[annee]]=Exercice[[Exercice N-1]:[Exercice N-1]])*(cli_17[[pui_photo_hors_dcp]:[pui_photo_hors_dcp]]))</f>
        <v>0</v>
      </c>
      <c r="G130" s="11" cm="1">
        <f t="array" ref="G130">SUMPRODUCT((cli_17[[client]:[client]]=syndicat_etude)*(cli_17[[annee]:[annee]]=Exercice[[Exercice N]:[Exercice N]])*(cli_17[[pui_photo_hors_dcp]:[pui_photo_hors_dcp]]))</f>
        <v>0</v>
      </c>
      <c r="H130" s="101" t="str">
        <f>IFERROR(G130/F130-1,"")</f>
        <v/>
      </c>
    </row>
    <row r="131" spans="1:8" x14ac:dyDescent="0.25">
      <c r="B131" s="50" t="s">
        <v>1082</v>
      </c>
      <c r="C131" s="11" cm="1">
        <f t="array" ref="C131">SUMPRODUCT((cli_17[[client]:[client]]=syndicat_etude)*(cli_17[[annee]:[annee]]=Exercice[[Exercice N-4]:[Exercice N-4]])*(cli_17[[pui_eolien_hors_dcp]:[pui_eolien_hors_dcp]]))</f>
        <v>756451</v>
      </c>
      <c r="D131" s="11" cm="1">
        <f t="array" ref="D131">SUMPRODUCT((cli_17[[client]:[client]]=syndicat_etude)*(cli_17[[annee]:[annee]]=Exercice[[Exercice N-3]:[Exercice N-3]])*(cli_17[[pui_eolien_hors_dcp]:[pui_eolien_hors_dcp]]))</f>
        <v>763952</v>
      </c>
      <c r="E131" s="11" cm="1">
        <f t="array" ref="E131">SUMPRODUCT((cli_17[[client]:[client]]=syndicat_etude)*(cli_17[[annee]:[annee]]=Exercice[[Exercice N-2]:[Exercice N-2]])*(cli_17[[pui_eolien_hors_dcp]:[pui_eolien_hors_dcp]]))</f>
        <v>0</v>
      </c>
      <c r="F131" s="11" cm="1">
        <f t="array" ref="F131">SUMPRODUCT((cli_17[[client]:[client]]=syndicat_etude)*(cli_17[[annee]:[annee]]=Exercice[[Exercice N-1]:[Exercice N-1]])*(cli_17[[pui_eolien_hors_dcp]:[pui_eolien_hors_dcp]]))</f>
        <v>978171</v>
      </c>
      <c r="G131" s="11" cm="1">
        <f t="array" ref="G131">SUMPRODUCT((cli_17[[client]:[client]]=syndicat_etude)*(cli_17[[annee]:[annee]]=Exercice[[Exercice N]:[Exercice N]])*(cli_17[[pui_eolien_hors_dcp]:[pui_eolien_hors_dcp]]))</f>
        <v>981670</v>
      </c>
      <c r="H131" s="101">
        <f>IFERROR(G131/F131-1,"")</f>
        <v>3.5770841703546274E-3</v>
      </c>
    </row>
    <row r="132" spans="1:8" x14ac:dyDescent="0.25">
      <c r="B132" s="50" t="s">
        <v>1083</v>
      </c>
      <c r="C132" s="11" cm="1">
        <f t="array" ref="C132">SUMPRODUCT((cli_17[[client]:[client]]=syndicat_etude)*(cli_17[[annee]:[annee]]=Exercice[[Exercice N-4]:[Exercice N-4]])*(cli_17[[pui_hydraulique_hors_dcp]:[pui_hydraulique_hors_dcp]]))</f>
        <v>5085</v>
      </c>
      <c r="D132" s="11" cm="1">
        <f t="array" ref="D132">SUMPRODUCT((cli_17[[client]:[client]]=syndicat_etude)*(cli_17[[annee]:[annee]]=Exercice[[Exercice N-3]:[Exercice N-3]])*(cli_17[[pui_hydraulique_hors_dcp]:[pui_hydraulique_hors_dcp]]))</f>
        <v>5220</v>
      </c>
      <c r="E132" s="11" cm="1">
        <f t="array" ref="E132">SUMPRODUCT((cli_17[[client]:[client]]=syndicat_etude)*(cli_17[[annee]:[annee]]=Exercice[[Exercice N-2]:[Exercice N-2]])*(cli_17[[pui_hydraulique_hors_dcp]:[pui_hydraulique_hors_dcp]]))</f>
        <v>0</v>
      </c>
      <c r="F132" s="11" cm="1">
        <f t="array" ref="F132">SUMPRODUCT((cli_17[[client]:[client]]=syndicat_etude)*(cli_17[[annee]:[annee]]=Exercice[[Exercice N-1]:[Exercice N-1]])*(cli_17[[pui_hydraulique_hors_dcp]:[pui_hydraulique_hors_dcp]]))</f>
        <v>5220</v>
      </c>
      <c r="G132" s="11" cm="1">
        <f t="array" ref="G132">SUMPRODUCT((cli_17[[client]:[client]]=syndicat_etude)*(cli_17[[annee]:[annee]]=Exercice[[Exercice N]:[Exercice N]])*(cli_17[[pui_hydraulique_hors_dcp]:[pui_hydraulique_hors_dcp]]))</f>
        <v>5220</v>
      </c>
      <c r="H132" s="101">
        <f>IFERROR(G132/F132-1,"")</f>
        <v>0</v>
      </c>
    </row>
    <row r="133" spans="1:8" x14ac:dyDescent="0.25">
      <c r="B133" s="50" t="s">
        <v>258</v>
      </c>
      <c r="C133" s="11" cm="1">
        <f t="array" ref="C133">SUMPRODUCT((cli_17[[client]:[client]]=syndicat_etude)*(cli_17[[annee]:[annee]]=Exercice[[Exercice N-4]:[Exercice N-4]])*(cli_17[[pui_autre_hors_dcp]:[pui_autre_hors_dcp]]))</f>
        <v>66108.3</v>
      </c>
      <c r="D133" s="11" cm="1">
        <f t="array" ref="D133">SUMPRODUCT((cli_17[[client]:[client]]=syndicat_etude)*(cli_17[[annee]:[annee]]=Exercice[[Exercice N-3]:[Exercice N-3]])*(cli_17[[pui_autre_hors_dcp]:[pui_autre_hors_dcp]]))</f>
        <v>56500.6</v>
      </c>
      <c r="E133" s="11" cm="1">
        <f t="array" ref="E133">SUMPRODUCT((cli_17[[client]:[client]]=syndicat_etude)*(cli_17[[annee]:[annee]]=Exercice[[Exercice N-2]:[Exercice N-2]])*(cli_17[[pui_autre_hors_dcp]:[pui_autre_hors_dcp]]))</f>
        <v>0</v>
      </c>
      <c r="F133" s="11" cm="1">
        <f t="array" ref="F133">SUMPRODUCT((cli_17[[client]:[client]]=syndicat_etude)*(cli_17[[annee]:[annee]]=Exercice[[Exercice N-1]:[Exercice N-1]])*(cli_17[[pui_autre_hors_dcp]:[pui_autre_hors_dcp]]))</f>
        <v>73461.23</v>
      </c>
      <c r="G133" s="11" cm="1">
        <f t="array" ref="G133">SUMPRODUCT((cli_17[[client]:[client]]=syndicat_etude)*(cli_17[[annee]:[annee]]=Exercice[[Exercice N]:[Exercice N]])*(cli_17[[pui_autre_hors_dcp]:[pui_autre_hors_dcp]]))</f>
        <v>132633.97</v>
      </c>
      <c r="H133" s="101">
        <f>IFERROR(G133/F133-1,"")</f>
        <v>0.80549617805201468</v>
      </c>
    </row>
    <row r="134" spans="1:8" x14ac:dyDescent="0.25">
      <c r="B134" s="131" t="s">
        <v>182</v>
      </c>
      <c r="C134" s="141" cm="1">
        <f t="array" ref="C134">SUMPRODUCT((cli_17[[client]:[client]]=syndicat_etude)*(cli_17[[annee]:[annee]]=Exercice[[Exercice N-4]:[Exercice N-4]])*(cli_17[[pui_total_hors_dcp]:[pui_total_hors_dcp]]))</f>
        <v>827644.3</v>
      </c>
      <c r="D134" s="141" cm="1">
        <f t="array" ref="D134">SUMPRODUCT((cli_17[[client]:[client]]=syndicat_etude)*(cli_17[[annee]:[annee]]=Exercice[[Exercice N-3]:[Exercice N-3]])*(cli_17[[pui_total_hors_dcp]:[pui_total_hors_dcp]]))</f>
        <v>825672.6</v>
      </c>
      <c r="E134" s="141" cm="1">
        <f t="array" ref="E134">SUMPRODUCT((cli_17[[client]:[client]]=syndicat_etude)*(cli_17[[annee]:[annee]]=Exercice[[Exercice N-2]:[Exercice N-2]])*(cli_17[[pui_total_hors_dcp]:[pui_total_hors_dcp]]))</f>
        <v>0</v>
      </c>
      <c r="F134" s="141" cm="1">
        <f t="array" ref="F134">SUMPRODUCT((cli_17[[client]:[client]]=syndicat_etude)*(cli_17[[annee]:[annee]]=Exercice[[Exercice N-1]:[Exercice N-1]])*(cli_17[[pui_total_hors_dcp]:[pui_total_hors_dcp]]))</f>
        <v>1056852.23</v>
      </c>
      <c r="G134" s="141" cm="1">
        <f t="array" ref="G134">SUMPRODUCT((cli_17[[client]:[client]]=syndicat_etude)*(cli_17[[annee]:[annee]]=Exercice[[Exercice N]:[Exercice N]])*(cli_17[[pui_total_hors_dcp]:[pui_total_hors_dcp]]))</f>
        <v>1119523.97</v>
      </c>
      <c r="H134" s="130">
        <f>IFERROR(G134/F134-1,"")</f>
        <v>5.9300381094904875E-2</v>
      </c>
    </row>
    <row r="138" spans="1:8" ht="30" customHeight="1" x14ac:dyDescent="0.25">
      <c r="A138" s="28" t="s">
        <v>1121</v>
      </c>
      <c r="B138" s="66" t="s">
        <v>1122</v>
      </c>
      <c r="C138" s="67" cm="1">
        <f t="array" ref="C138">Exercice[Exercice N-4]</f>
        <v>2019</v>
      </c>
      <c r="D138" s="67" cm="1">
        <f t="array" ref="D138">Exercice[Exercice N-3]</f>
        <v>2020</v>
      </c>
      <c r="E138" s="67" cm="1">
        <f t="array" ref="E138">Exercice[Exercice N-2]</f>
        <v>2021</v>
      </c>
      <c r="F138" s="67" cm="1">
        <f t="array" ref="F138">Exercice[Exercice N-1]</f>
        <v>2022</v>
      </c>
      <c r="G138" s="67" cm="1">
        <f t="array" ref="G138">Exercice[Exercice N]</f>
        <v>2023</v>
      </c>
      <c r="H138" s="68" t="s">
        <v>273</v>
      </c>
    </row>
    <row r="139" spans="1:8" x14ac:dyDescent="0.25">
      <c r="B139" s="50" t="s">
        <v>1123</v>
      </c>
      <c r="C139" s="11" cm="1">
        <f t="array" ref="C139">SUMPRODUCT((cli_19[[client]:[client]]=syndicat_etude)*(cli_19[[annee]:[annee]]=Exercice[[Exercice N-4]:[Exercice N-4]])*(cli_19[[nbr_coupures_conditionnelles]:[nbr_coupures_conditionnelles]]))</f>
        <v>259</v>
      </c>
      <c r="D139" s="11" cm="1">
        <f t="array" ref="D139">SUMPRODUCT((cli_19[[client]:[client]]=syndicat_etude)*(cli_19[[annee]:[annee]]=Exercice[[Exercice N-3]:[Exercice N-3]])*(cli_19[[nbr_coupures_conditionnelles]:[nbr_coupures_conditionnelles]]))</f>
        <v>113</v>
      </c>
      <c r="E139" s="11" cm="1">
        <f t="array" ref="E139">SUMPRODUCT((cli_19[[client]:[client]]=syndicat_etude)*(cli_19[[annee]:[annee]]=Exercice[[Exercice N-2]:[Exercice N-2]])*(cli_19[[nbr_coupures_conditionnelles]:[nbr_coupures_conditionnelles]]))</f>
        <v>0</v>
      </c>
      <c r="F139" s="11" cm="1">
        <f t="array" ref="F139">SUMPRODUCT((cli_19[[client]:[client]]=syndicat_etude)*(cli_19[[annee]:[annee]]=Exercice[[Exercice N-1]:[Exercice N-1]])*(cli_19[[nbr_coupures_conditionnelles]:[nbr_coupures_conditionnelles]]))</f>
        <v>0</v>
      </c>
      <c r="G139" s="11" cm="1">
        <f t="array" ref="G139">SUMPRODUCT((cli_19[[client]:[client]]=syndicat_etude)*(cli_19[[annee]:[annee]]=Exercice[[Exercice N]:[Exercice N]])*(cli_19[[nbr_coupures_conditionnelles]:[nbr_coupures_conditionnelles]]))</f>
        <v>0</v>
      </c>
      <c r="H139" s="120" t="str">
        <f>IFERROR(G139/F139-1,"")</f>
        <v/>
      </c>
    </row>
    <row r="140" spans="1:8" x14ac:dyDescent="0.25">
      <c r="B140" s="50" t="s">
        <v>1124</v>
      </c>
      <c r="C140" s="11" cm="1">
        <f t="array" ref="C140">SUMPRODUCT((cli_19[[client]:[client]]=syndicat_etude)*(cli_19[[annee]:[annee]]=Exercice[[Exercice N-4]:[Exercice N-4]])*(cli_19[[nbr_coupures_fermes]:[nbr_coupures_fermes]]))</f>
        <v>535</v>
      </c>
      <c r="D140" s="11" cm="1">
        <f t="array" ref="D140">SUMPRODUCT((cli_19[[client]:[client]]=syndicat_etude)*(cli_19[[annee]:[annee]]=Exercice[[Exercice N-3]:[Exercice N-3]])*(cli_19[[nbr_coupures_fermes]:[nbr_coupures_fermes]]))</f>
        <v>173</v>
      </c>
      <c r="E140" s="11" cm="1">
        <f t="array" ref="E140">SUMPRODUCT((cli_19[[client]:[client]]=syndicat_etude)*(cli_19[[annee]:[annee]]=Exercice[[Exercice N-2]:[Exercice N-2]])*(cli_19[[nbr_coupures_fermes]:[nbr_coupures_fermes]]))</f>
        <v>0</v>
      </c>
      <c r="F140" s="11" cm="1">
        <f t="array" ref="F140">SUMPRODUCT((cli_19[[client]:[client]]=syndicat_etude)*(cli_19[[annee]:[annee]]=Exercice[[Exercice N-1]:[Exercice N-1]])*(cli_19[[nbr_coupures_fermes]:[nbr_coupures_fermes]]))</f>
        <v>0</v>
      </c>
      <c r="G140" s="11" cm="1">
        <f t="array" ref="G140">SUMPRODUCT((cli_19[[client]:[client]]=syndicat_etude)*(cli_19[[annee]:[annee]]=Exercice[[Exercice N]:[Exercice N]])*(cli_19[[nbr_coupures_fermes]:[nbr_coupures_fermes]]))</f>
        <v>0</v>
      </c>
      <c r="H140" s="120" t="str">
        <f>IFERROR(G140/F140-1,"")</f>
        <v/>
      </c>
    </row>
    <row r="141" spans="1:8" x14ac:dyDescent="0.25">
      <c r="B141" s="131" t="s">
        <v>182</v>
      </c>
      <c r="C141" s="141" cm="1">
        <f t="array" ref="C141">SUMPRODUCT((cli_19[[client]:[client]]=syndicat_etude)*(cli_19[[annee]:[annee]]=Exercice[[Exercice N-4]:[Exercice N-4]])*(cli_19[[nbr_coupures_total]:[nbr_coupures_total]]))</f>
        <v>794</v>
      </c>
      <c r="D141" s="141" cm="1">
        <f t="array" ref="D141">SUMPRODUCT((cli_19[[client]:[client]]=syndicat_etude)*(cli_19[[annee]:[annee]]=Exercice[[Exercice N-3]:[Exercice N-3]])*(cli_19[[nbr_coupures_total]:[nbr_coupures_total]]))</f>
        <v>286</v>
      </c>
      <c r="E141" s="141" cm="1">
        <f t="array" ref="E141">SUMPRODUCT((cli_19[[client]:[client]]=syndicat_etude)*(cli_19[[annee]:[annee]]=Exercice[[Exercice N-2]:[Exercice N-2]])*(cli_19[[nbr_coupures_total]:[nbr_coupures_total]]))</f>
        <v>0</v>
      </c>
      <c r="F141" s="141" cm="1">
        <f t="array" ref="F141">SUMPRODUCT((cli_19[[client]:[client]]=syndicat_etude)*(cli_19[[annee]:[annee]]=Exercice[[Exercice N-1]:[Exercice N-1]])*(cli_19[[nbr_coupures_total]:[nbr_coupures_total]]))</f>
        <v>0</v>
      </c>
      <c r="G141" s="141" cm="1">
        <f t="array" ref="G141">SUMPRODUCT((cli_19[[client]:[client]]=syndicat_etude)*(cli_19[[annee]:[annee]]=Exercice[[Exercice N]:[Exercice N]])*(cli_19[[nbr_coupures_total]:[nbr_coupures_total]]))</f>
        <v>1433</v>
      </c>
      <c r="H141" s="130" t="str">
        <f>IFERROR(G141/F141-1,"")</f>
        <v/>
      </c>
    </row>
    <row r="145" spans="1:8" ht="30" customHeight="1" x14ac:dyDescent="0.25">
      <c r="A145" s="28" t="s">
        <v>1125</v>
      </c>
      <c r="B145" s="66" t="s">
        <v>1126</v>
      </c>
      <c r="C145" s="67" cm="1">
        <f t="array" ref="C145">Exercice[Exercice N-4]</f>
        <v>2019</v>
      </c>
      <c r="D145" s="67" cm="1">
        <f t="array" ref="D145">Exercice[Exercice N-3]</f>
        <v>2020</v>
      </c>
      <c r="E145" s="67" cm="1">
        <f t="array" ref="E145">Exercice[Exercice N-2]</f>
        <v>2021</v>
      </c>
      <c r="F145" s="67" cm="1">
        <f t="array" ref="F145">Exercice[Exercice N-1]</f>
        <v>2022</v>
      </c>
      <c r="G145" s="67" cm="1">
        <f t="array" ref="G145">Exercice[Exercice N]</f>
        <v>2023</v>
      </c>
      <c r="H145" s="68" t="s">
        <v>273</v>
      </c>
    </row>
    <row r="146" spans="1:8" x14ac:dyDescent="0.25">
      <c r="B146" s="50" t="s">
        <v>1127</v>
      </c>
      <c r="C146" s="24" cm="1">
        <f t="array" ref="C146">SUMPRODUCT((cli_20[[client]:[client]]=syndicat_etude)*(cli_20[[annee]:[annee]]=Exercice[[Exercice N-4]:[Exercice N-4]])*(cli_20[[fsl]:[fsl]]))</f>
        <v>87471</v>
      </c>
      <c r="D146" s="24" cm="1">
        <f t="array" ref="D146">SUMPRODUCT((cli_20[[client]:[client]]=syndicat_etude)*(cli_20[[annee]:[annee]]=Exercice[[Exercice N-3]:[Exercice N-3]])*(cli_20[[fsl]:[fsl]]))</f>
        <v>63409</v>
      </c>
      <c r="E146" s="24" cm="1">
        <f t="array" ref="E146">SUMPRODUCT((cli_20[[client]:[client]]=syndicat_etude)*(cli_20[[annee]:[annee]]=Exercice[[Exercice N-2]:[Exercice N-2]])*(cli_20[[fsl]:[fsl]]))</f>
        <v>69749</v>
      </c>
      <c r="F146" s="24" cm="1">
        <f t="array" ref="F146">SUMPRODUCT((cli_20[[client]:[client]]=syndicat_etude)*(cli_20[[annee]:[annee]]=Exercice[[Exercice N-1]:[Exercice N-1]])*(cli_20[[fsl]:[fsl]]))</f>
        <v>74290</v>
      </c>
      <c r="G146" s="24" cm="1">
        <f t="array" ref="G146">SUMPRODUCT((cli_20[[client]:[client]]=syndicat_etude)*(cli_20[[annee]:[annee]]=Exercice[[Exercice N]:[Exercice N]])*(cli_20[[fsl]:[fsl]]))</f>
        <v>71648</v>
      </c>
      <c r="H146" s="120">
        <f>IFERROR(G146/F146-1,"")</f>
        <v>-3.5563332884641308E-2</v>
      </c>
    </row>
    <row r="147" spans="1:8" x14ac:dyDescent="0.25">
      <c r="B147" s="53" t="s">
        <v>1128</v>
      </c>
      <c r="C147" s="392" cm="1">
        <f t="array" ref="C147">SUMPRODUCT((cli_20[[client]:[client]]=syndicat_etude)*(cli_20[[annee]:[annee]]=Exercice[[Exercice N-4]:[Exercice N-4]])*(cli_20[[nbr_dossiers]:[nbr_dossiers]]))</f>
        <v>411</v>
      </c>
      <c r="D147" s="392" cm="1">
        <f t="array" ref="D147">SUMPRODUCT((cli_20[[client]:[client]]=syndicat_etude)*(cli_20[[annee]:[annee]]=Exercice[[Exercice N-3]:[Exercice N-3]])*(cli_20[[nbr_dossiers]:[nbr_dossiers]]))</f>
        <v>289</v>
      </c>
      <c r="E147" s="392" cm="1">
        <f t="array" ref="E147">SUMPRODUCT((cli_20[[client]:[client]]=syndicat_etude)*(cli_20[[annee]:[annee]]=Exercice[[Exercice N-2]:[Exercice N-2]])*(cli_20[[nbr_dossiers]:[nbr_dossiers]]))</f>
        <v>279</v>
      </c>
      <c r="F147" s="392" cm="1">
        <f t="array" ref="F147">SUMPRODUCT((cli_20[[client]:[client]]=syndicat_etude)*(cli_20[[annee]:[annee]]=Exercice[[Exercice N-1]:[Exercice N-1]])*(cli_20[[nbr_dossiers]:[nbr_dossiers]]))</f>
        <v>269</v>
      </c>
      <c r="G147" s="392" cm="1">
        <f t="array" ref="G147">SUMPRODUCT((cli_20[[client]:[client]]=syndicat_etude)*(cli_20[[annee]:[annee]]=Exercice[[Exercice N]:[Exercice N]])*(cli_20[[nbr_dossiers]:[nbr_dossiers]]))</f>
        <v>255</v>
      </c>
      <c r="H147" s="133">
        <f>IFERROR(G147/F147-1,"")</f>
        <v>-5.2044609665427455E-2</v>
      </c>
    </row>
    <row r="151" spans="1:8" ht="30" customHeight="1" x14ac:dyDescent="0.25">
      <c r="A151" s="28" t="s">
        <v>1129</v>
      </c>
      <c r="B151" s="66" t="s">
        <v>1130</v>
      </c>
      <c r="C151" s="67" cm="1">
        <f t="array" ref="C151">Exercice[Exercice N-4]</f>
        <v>2019</v>
      </c>
      <c r="D151" s="67" cm="1">
        <f t="array" ref="D151">Exercice[Exercice N-3]</f>
        <v>2020</v>
      </c>
      <c r="E151" s="67" cm="1">
        <f t="array" ref="E151">Exercice[Exercice N-2]</f>
        <v>2021</v>
      </c>
      <c r="F151" s="67" cm="1">
        <f t="array" ref="F151">Exercice[Exercice N-1]</f>
        <v>2022</v>
      </c>
      <c r="G151" s="67" cm="1">
        <f t="array" ref="G151">Exercice[Exercice N]</f>
        <v>2023</v>
      </c>
      <c r="H151" s="68" t="s">
        <v>273</v>
      </c>
    </row>
    <row r="152" spans="1:8" x14ac:dyDescent="0.25">
      <c r="B152" s="50" t="s">
        <v>1127</v>
      </c>
      <c r="C152" s="18" cm="1">
        <f t="array" ref="C152">SUMPRODUCT((cli_21[[client]:[client]]=syndicat_etude)*(cli_21[[annee]:[annee]]=Exercice[[Exercice N-4]:[Exercice N-4]])*(cli_21[[montant_penalites]:[montant_penalites]]))</f>
        <v>0</v>
      </c>
      <c r="D152" s="18" cm="1">
        <f t="array" ref="D152">SUMPRODUCT((cli_21[[client]:[client]]=syndicat_etude)*(cli_21[[annee]:[annee]]=Exercice[[Exercice N-3]:[Exercice N-3]])*(cli_21[[montant_penalites]:[montant_penalites]]))</f>
        <v>37687.5</v>
      </c>
      <c r="E152" s="18" cm="1">
        <f t="array" ref="E152">SUMPRODUCT((cli_21[[client]:[client]]=syndicat_etude)*(cli_21[[annee]:[annee]]=Exercice[[Exercice N-2]:[Exercice N-2]])*(cli_21[[montant_penalites]:[montant_penalites]]))</f>
        <v>0</v>
      </c>
      <c r="F152" s="18" cm="1">
        <f t="array" ref="F152">SUMPRODUCT((cli_21[[client]:[client]]=syndicat_etude)*(cli_21[[annee]:[annee]]=Exercice[[Exercice N-1]:[Exercice N-1]])*(cli_21[[montant_penalites]:[montant_penalites]]))</f>
        <v>0</v>
      </c>
      <c r="G152" s="18" cm="1">
        <f t="array" ref="G152">SUMPRODUCT((cli_21[[client]:[client]]=syndicat_etude)*(cli_21[[annee]:[annee]]=Exercice[[Exercice N]:[Exercice N]])*(cli_21[[montant_penalites]:[montant_penalites]]))</f>
        <v>49867.5</v>
      </c>
      <c r="H152" s="120" t="str">
        <f>IFERROR(G152/F152-1,"")</f>
        <v/>
      </c>
    </row>
    <row r="153" spans="1:8" x14ac:dyDescent="0.25">
      <c r="B153" s="53" t="s">
        <v>1131</v>
      </c>
      <c r="C153" s="392" cm="1">
        <f t="array" ref="C153">SUMPRODUCT((cli_21[[client]:[client]]=syndicat_etude)*(cli_21[[annee]:[annee]]=Exercice[[Exercice N-4]:[Exercice N-4]])*(cli_21[[nbr_penalites]:[nbr_penalites]]))</f>
        <v>0</v>
      </c>
      <c r="D153" s="392" cm="1">
        <f t="array" ref="D153">SUMPRODUCT((cli_21[[client]:[client]]=syndicat_etude)*(cli_21[[annee]:[annee]]=Exercice[[Exercice N-3]:[Exercice N-3]])*(cli_21[[nbr_penalites]:[nbr_penalites]]))</f>
        <v>5025</v>
      </c>
      <c r="E153" s="392" cm="1">
        <f t="array" ref="E153">SUMPRODUCT((cli_21[[client]:[client]]=syndicat_etude)*(cli_21[[annee]:[annee]]=Exercice[[Exercice N-2]:[Exercice N-2]])*(cli_21[[nbr_penalites]:[nbr_penalites]]))</f>
        <v>0</v>
      </c>
      <c r="F153" s="392" cm="1">
        <f t="array" ref="F153">SUMPRODUCT((cli_21[[client]:[client]]=syndicat_etude)*(cli_21[[annee]:[annee]]=Exercice[[Exercice N-1]:[Exercice N-1]])*(cli_21[[nbr_penalites]:[nbr_penalites]]))</f>
        <v>0</v>
      </c>
      <c r="G153" s="392" cm="1">
        <f t="array" ref="G153">SUMPRODUCT((cli_21[[client]:[client]]=syndicat_etude)*(cli_21[[annee]:[annee]]=Exercice[[Exercice N]:[Exercice N]])*(cli_21[[nbr_penalites]:[nbr_penalites]]))</f>
        <v>6649</v>
      </c>
      <c r="H153" s="133" t="str">
        <f>IFERROR(G153/F153-1,"")</f>
        <v/>
      </c>
    </row>
    <row r="157" spans="1:8" ht="30" customHeight="1" x14ac:dyDescent="0.25">
      <c r="A157" s="28" t="s">
        <v>1132</v>
      </c>
      <c r="B157" s="66" t="s">
        <v>1133</v>
      </c>
      <c r="C157" s="67" cm="1">
        <f t="array" ref="C157">Exercice[Exercice N-4]</f>
        <v>2019</v>
      </c>
      <c r="D157" s="67" cm="1">
        <f t="array" ref="D157">Exercice[Exercice N-3]</f>
        <v>2020</v>
      </c>
      <c r="E157" s="67" cm="1">
        <f t="array" ref="E157">Exercice[Exercice N-2]</f>
        <v>2021</v>
      </c>
      <c r="F157" s="67" cm="1">
        <f t="array" ref="F157">Exercice[Exercice N-1]</f>
        <v>2022</v>
      </c>
      <c r="G157" s="67" cm="1">
        <f t="array" ref="G157">Exercice[Exercice N]</f>
        <v>2023</v>
      </c>
      <c r="H157" s="68" t="s">
        <v>273</v>
      </c>
    </row>
    <row r="158" spans="1:8" x14ac:dyDescent="0.25">
      <c r="B158" s="50" t="s">
        <v>1134</v>
      </c>
      <c r="C158" s="393" cm="1">
        <f t="array" ref="C158">SUMPRODUCT((cli_22[[client]:[client]]=syndicat_etude)*(cli_22[[annee]:[annee]]=Exercice[[Exercice N-4]:[Exercice N-4]])*(cli_22[[bt_inf_36]:[bt_inf_36]]))</f>
        <v>4.7699999999999996</v>
      </c>
      <c r="D158" s="393" cm="1">
        <f t="array" ref="D158">SUMPRODUCT((cli_22[[client]:[client]]=syndicat_etude)*(cli_22[[annee]:[annee]]=Exercice[[Exercice N-3]:[Exercice N-3]])*(cli_22[[bt_inf_36]:[bt_inf_36]]))</f>
        <v>4.96</v>
      </c>
      <c r="E158" s="393" cm="1">
        <f t="array" ref="E158">SUMPRODUCT((cli_22[[client]:[client]]=syndicat_etude)*(cli_22[[annee]:[annee]]=Exercice[[Exercice N-2]:[Exercice N-2]])*(cli_22[[bt_inf_36]:[bt_inf_36]]))</f>
        <v>5.0999999999999996</v>
      </c>
      <c r="F158" s="393" cm="1">
        <f t="array" ref="F158">SUMPRODUCT((cli_22[[client]:[client]]=syndicat_etude)*(cli_22[[annee]:[annee]]=Exercice[[Exercice N-1]:[Exercice N-1]])*(cli_22[[bt_inf_36]:[bt_inf_36]]))</f>
        <v>5.36</v>
      </c>
      <c r="G158" s="393" cm="1">
        <f t="array" ref="G158">SUMPRODUCT((cli_22[[client]:[client]]=syndicat_etude)*(cli_22[[annee]:[annee]]=Exercice[[Exercice N]:[Exercice N]])*(cli_22[[bt_inf_36]:[bt_inf_36]]))</f>
        <v>5.81</v>
      </c>
      <c r="H158" s="120">
        <f>IFERROR(G158/F158-1,"")</f>
        <v>8.3955223880596952E-2</v>
      </c>
    </row>
    <row r="159" spans="1:8" x14ac:dyDescent="0.25">
      <c r="B159" s="50" t="s">
        <v>1135</v>
      </c>
      <c r="C159" s="393" cm="1">
        <f t="array" ref="C159">SUMPRODUCT((cli_22[[client]:[client]]=syndicat_etude)*(cli_22[[annee]:[annee]]=Exercice[[Exercice N-4]:[Exercice N-4]])*(cli_22[[bt_sup_36]:[bt_sup_36]]))</f>
        <v>4.3099999999999996</v>
      </c>
      <c r="D159" s="393" cm="1">
        <f t="array" ref="D159">SUMPRODUCT((cli_22[[client]:[client]]=syndicat_etude)*(cli_22[[annee]:[annee]]=Exercice[[Exercice N-3]:[Exercice N-3]])*(cli_22[[bt_sup_36]:[bt_sup_36]]))</f>
        <v>4.55</v>
      </c>
      <c r="E159" s="393" cm="1">
        <f t="array" ref="E159">SUMPRODUCT((cli_22[[client]:[client]]=syndicat_etude)*(cli_22[[annee]:[annee]]=Exercice[[Exercice N-2]:[Exercice N-2]])*(cli_22[[bt_sup_36]:[bt_sup_36]]))</f>
        <v>4.6399999999999997</v>
      </c>
      <c r="F159" s="393" cm="1">
        <f t="array" ref="F159">SUMPRODUCT((cli_22[[client]:[client]]=syndicat_etude)*(cli_22[[annee]:[annee]]=Exercice[[Exercice N-1]:[Exercice N-1]])*(cli_22[[bt_sup_36]:[bt_sup_36]]))</f>
        <v>4.6399999999999997</v>
      </c>
      <c r="G159" s="393" cm="1">
        <f t="array" ref="G159">SUMPRODUCT((cli_22[[client]:[client]]=syndicat_etude)*(cli_22[[annee]:[annee]]=Exercice[[Exercice N]:[Exercice N]])*(cli_22[[bt_sup_36]:[bt_sup_36]]))</f>
        <v>5.08</v>
      </c>
      <c r="H159" s="120">
        <f>IFERROR(G159/F159-1,"")</f>
        <v>9.4827586206896575E-2</v>
      </c>
    </row>
    <row r="160" spans="1:8" x14ac:dyDescent="0.25">
      <c r="B160" s="50" t="s">
        <v>1070</v>
      </c>
      <c r="C160" s="393" cm="1">
        <f t="array" ref="C160">SUMPRODUCT((cli_22[[client]:[client]]=syndicat_etude)*(cli_22[[annee]:[annee]]=Exercice[[Exercice N-4]:[Exercice N-4]])*(cli_22[[hta]:[hta]]))</f>
        <v>1.92</v>
      </c>
      <c r="D160" s="393" cm="1">
        <f t="array" ref="D160">SUMPRODUCT((cli_22[[client]:[client]]=syndicat_etude)*(cli_22[[annee]:[annee]]=Exercice[[Exercice N-3]:[Exercice N-3]])*(cli_22[[hta]:[hta]]))</f>
        <v>1.99</v>
      </c>
      <c r="E160" s="393" cm="1">
        <f t="array" ref="E160">SUMPRODUCT((cli_22[[client]:[client]]=syndicat_etude)*(cli_22[[annee]:[annee]]=Exercice[[Exercice N-2]:[Exercice N-2]])*(cli_22[[hta]:[hta]]))</f>
        <v>1.99</v>
      </c>
      <c r="F160" s="393" cm="1">
        <f t="array" ref="F160">SUMPRODUCT((cli_22[[client]:[client]]=syndicat_etude)*(cli_22[[annee]:[annee]]=Exercice[[Exercice N-1]:[Exercice N-1]])*(cli_22[[hta]:[hta]]))</f>
        <v>2.0299999999999998</v>
      </c>
      <c r="G160" s="393" cm="1">
        <f t="array" ref="G160">SUMPRODUCT((cli_22[[client]:[client]]=syndicat_etude)*(cli_22[[annee]:[annee]]=Exercice[[Exercice N]:[Exercice N]])*(cli_22[[hta]:[hta]]))</f>
        <v>2.21</v>
      </c>
      <c r="H160" s="120">
        <f>IFERROR(G160/F160-1,"")</f>
        <v>8.866995073891637E-2</v>
      </c>
    </row>
    <row r="161" spans="1:8" x14ac:dyDescent="0.25">
      <c r="B161" s="131" t="s">
        <v>182</v>
      </c>
      <c r="C161" s="396" cm="1">
        <f t="array" ref="C161">SUMPRODUCT((cli_22[[client]:[client]]=syndicat_etude)*(cli_22[[annee]:[annee]]=Exercice[[Exercice N-4]:[Exercice N-4]])*(cli_22[[total]:[total]]))</f>
        <v>3.72</v>
      </c>
      <c r="D161" s="396" cm="1">
        <f t="array" ref="D161">SUMPRODUCT((cli_22[[client]:[client]]=syndicat_etude)*(cli_22[[annee]:[annee]]=Exercice[[Exercice N-3]:[Exercice N-3]])*(cli_22[[total]:[total]]))</f>
        <v>3.87</v>
      </c>
      <c r="E161" s="396" cm="1">
        <f t="array" ref="E161">SUMPRODUCT((cli_22[[client]:[client]]=syndicat_etude)*(cli_22[[annee]:[annee]]=Exercice[[Exercice N-2]:[Exercice N-2]])*(cli_22[[total]:[total]]))</f>
        <v>3.98</v>
      </c>
      <c r="F161" s="396" cm="1">
        <f t="array" ref="F161">SUMPRODUCT((cli_22[[client]:[client]]=syndicat_etude)*(cli_22[[annee]:[annee]]=Exercice[[Exercice N-1]:[Exercice N-1]])*(cli_22[[total]:[total]]))</f>
        <v>4.05</v>
      </c>
      <c r="G161" s="396" cm="1">
        <f t="array" ref="G161">SUMPRODUCT((cli_22[[client]:[client]]=syndicat_etude)*(cli_22[[annee]:[annee]]=Exercice[[Exercice N]:[Exercice N]])*(cli_22[[total]:[total]]))</f>
        <v>4.4000000000000004</v>
      </c>
      <c r="H161" s="130">
        <f>IFERROR(G161/F161-1,"")</f>
        <v>8.6419753086419915E-2</v>
      </c>
    </row>
    <row r="165" spans="1:8" ht="30" customHeight="1" x14ac:dyDescent="0.25">
      <c r="A165" s="28" t="s">
        <v>1136</v>
      </c>
      <c r="B165" s="66" t="s">
        <v>1137</v>
      </c>
      <c r="C165" s="67" cm="1">
        <f t="array" ref="C165">Exercice[Exercice N-4]</f>
        <v>2019</v>
      </c>
      <c r="D165" s="67" cm="1">
        <f t="array" ref="D165">Exercice[Exercice N-3]</f>
        <v>2020</v>
      </c>
      <c r="E165" s="67" cm="1">
        <f t="array" ref="E165">Exercice[Exercice N-2]</f>
        <v>2021</v>
      </c>
      <c r="F165" s="67" cm="1">
        <f t="array" ref="F165">Exercice[Exercice N-1]</f>
        <v>2022</v>
      </c>
      <c r="G165" s="67" cm="1">
        <f t="array" ref="G165">Exercice[Exercice N]</f>
        <v>2023</v>
      </c>
      <c r="H165" s="68" t="s">
        <v>273</v>
      </c>
    </row>
    <row r="166" spans="1:8" x14ac:dyDescent="0.25">
      <c r="B166" s="50" t="s">
        <v>1138</v>
      </c>
      <c r="C166" s="8" cm="1">
        <f t="array" ref="C166">SUMPRODUCT((cli_23[[client]:[client]]=syndicat_etude)*(cli_23[[annee]:[annee]]=Exercice[[Exercice N-4]:[Exercice N-4]])*(cli_23[[tx_mes_install_delais_catalogue]:[tx_mes_install_delais_catalogue]]))</f>
        <v>0.97899999999999998</v>
      </c>
      <c r="D166" s="8" cm="1">
        <f t="array" ref="D166">SUMPRODUCT((cli_23[[client]:[client]]=syndicat_etude)*(cli_23[[annee]:[annee]]=Exercice[[Exercice N-3]:[Exercice N-3]])*(cli_23[[tx_mes_install_delais_catalogue]:[tx_mes_install_delais_catalogue]]))</f>
        <v>0.98099999999999998</v>
      </c>
      <c r="E166" s="8" cm="1">
        <f t="array" ref="E166">SUMPRODUCT((cli_23[[client]:[client]]=syndicat_etude)*(cli_23[[annee]:[annee]]=Exercice[[Exercice N-2]:[Exercice N-2]])*(cli_23[[tx_mes_install_delais_catalogue]:[tx_mes_install_delais_catalogue]]))</f>
        <v>0.98299999999999998</v>
      </c>
      <c r="F166" s="8" cm="1">
        <f t="array" ref="F166">SUMPRODUCT((cli_23[[client]:[client]]=syndicat_etude)*(cli_23[[annee]:[annee]]=Exercice[[Exercice N-1]:[Exercice N-1]])*(cli_23[[tx_mes_install_delais_catalogue]:[tx_mes_install_delais_catalogue]]))</f>
        <v>0.98799999999999999</v>
      </c>
      <c r="G166" s="8" cm="1">
        <f t="array" ref="G166">SUMPRODUCT((cli_23[[client]:[client]]=syndicat_etude)*(cli_23[[annee]:[annee]]=Exercice[[Exercice N]:[Exercice N]])*(cli_23[[tx_mes_install_delais_catalogue]:[tx_mes_install_delais_catalogue]]))</f>
        <v>0.98199999999999998</v>
      </c>
      <c r="H166" s="120">
        <f>IFERROR(G166/F166-1,"")</f>
        <v>-6.0728744939271273E-3</v>
      </c>
    </row>
    <row r="167" spans="1:8" x14ac:dyDescent="0.25">
      <c r="B167" s="50" t="s">
        <v>1139</v>
      </c>
      <c r="C167" s="8" cm="1">
        <f t="array" ref="C167">SUMPRODUCT((cli_23[[client]:[client]]=syndicat_etude)*(cli_23[[annee]:[annee]]=Exercice[[Exercice N-4]:[Exercice N-4]])*(cli_23[[tx_devis_envoye_delai_soutirage]:[tx_devis_envoye_delai_soutirage]]))</f>
        <v>0.878</v>
      </c>
      <c r="D167" s="8" cm="1">
        <f t="array" ref="D167">SUMPRODUCT((cli_23[[client]:[client]]=syndicat_etude)*(cli_23[[annee]:[annee]]=Exercice[[Exercice N-3]:[Exercice N-3]])*(cli_23[[tx_devis_envoye_delai_soutirage]:[tx_devis_envoye_delai_soutirage]]))</f>
        <v>0.86399999999999999</v>
      </c>
      <c r="E167" s="8" cm="1">
        <f t="array" ref="E167">SUMPRODUCT((cli_23[[client]:[client]]=syndicat_etude)*(cli_23[[annee]:[annee]]=Exercice[[Exercice N-2]:[Exercice N-2]])*(cli_23[[tx_devis_envoye_delai_soutirage]:[tx_devis_envoye_delai_soutirage]]))</f>
        <v>0.93</v>
      </c>
      <c r="F167" s="8" cm="1">
        <f t="array" ref="F167">SUMPRODUCT((cli_23[[client]:[client]]=syndicat_etude)*(cli_23[[annee]:[annee]]=Exercice[[Exercice N-1]:[Exercice N-1]])*(cli_23[[tx_devis_envoye_delai_soutirage]:[tx_devis_envoye_delai_soutirage]]))</f>
        <v>0.96299999999999997</v>
      </c>
      <c r="G167" s="8" cm="1">
        <f t="array" ref="G167">SUMPRODUCT((cli_23[[client]:[client]]=syndicat_etude)*(cli_23[[annee]:[annee]]=Exercice[[Exercice N]:[Exercice N]])*(cli_23[[tx_devis_envoye_delai_soutirage]:[tx_devis_envoye_delai_soutirage]]))</f>
        <v>0.96899999999999997</v>
      </c>
      <c r="H167" s="120">
        <f>IFERROR(G167/F167-1,"")</f>
        <v>6.230529595015577E-3</v>
      </c>
    </row>
    <row r="168" spans="1:8" x14ac:dyDescent="0.25">
      <c r="B168" s="50" t="s">
        <v>1140</v>
      </c>
      <c r="C168" s="8" cm="1">
        <f t="array" ref="C168">SUMPRODUCT((cli_23[[client]:[client]]=syndicat_etude)*(cli_23[[annee]:[annee]]=Exercice[[Exercice N-4]:[Exercice N-4]])*(cli_23[[tx_devis_envoye_delai_injection]:[tx_devis_envoye_delai_injection]]))</f>
        <v>0.89900000000000002</v>
      </c>
      <c r="D168" s="8" cm="1">
        <f t="array" ref="D168">SUMPRODUCT((cli_23[[client]:[client]]=syndicat_etude)*(cli_23[[annee]:[annee]]=Exercice[[Exercice N-3]:[Exercice N-3]])*(cli_23[[tx_devis_envoye_delai_injection]:[tx_devis_envoye_delai_injection]]))</f>
        <v>0.86099999999999999</v>
      </c>
      <c r="E168" s="8" cm="1">
        <f t="array" ref="E168">SUMPRODUCT((cli_23[[client]:[client]]=syndicat_etude)*(cli_23[[annee]:[annee]]=Exercice[[Exercice N-2]:[Exercice N-2]])*(cli_23[[tx_devis_envoye_delai_injection]:[tx_devis_envoye_delai_injection]]))</f>
        <v>0.92300000000000004</v>
      </c>
      <c r="F168" s="8" cm="1">
        <f t="array" ref="F168">SUMPRODUCT((cli_23[[client]:[client]]=syndicat_etude)*(cli_23[[annee]:[annee]]=Exercice[[Exercice N-1]:[Exercice N-1]])*(cli_23[[tx_devis_envoye_delai_injection]:[tx_devis_envoye_delai_injection]]))</f>
        <v>0.76500000000000001</v>
      </c>
      <c r="G168" s="8" cm="1">
        <f t="array" ref="G168">SUMPRODUCT((cli_23[[client]:[client]]=syndicat_etude)*(cli_23[[annee]:[annee]]=Exercice[[Exercice N]:[Exercice N]])*(cli_23[[tx_devis_envoye_delai_injection]:[tx_devis_envoye_delai_injection]]))</f>
        <v>0.71199999999999997</v>
      </c>
      <c r="H168" s="120">
        <f>IFERROR(G168/F168-1,"")</f>
        <v>-6.9281045751634074E-2</v>
      </c>
    </row>
    <row r="169" spans="1:8" x14ac:dyDescent="0.25">
      <c r="B169" s="53" t="s">
        <v>1141</v>
      </c>
      <c r="C169" s="81" cm="1">
        <f t="array" ref="C169">SUMPRODUCT((cli_23[[client]:[client]]=syndicat_etude)*(cli_23[[annee]:[annee]]=Exercice[[Exercice N-4]:[Exercice N-4]])*(cli_23[[tx_access_accueil_raccordement_tel]:[tx_access_accueil_raccordement_tel]]))</f>
        <v>0.97399999999999998</v>
      </c>
      <c r="D169" s="81" cm="1">
        <f t="array" ref="D169">SUMPRODUCT((cli_23[[client]:[client]]=syndicat_etude)*(cli_23[[annee]:[annee]]=Exercice[[Exercice N-3]:[Exercice N-3]])*(cli_23[[tx_access_accueil_raccordement_tel]:[tx_access_accueil_raccordement_tel]]))</f>
        <v>1</v>
      </c>
      <c r="E169" s="81" cm="1">
        <f t="array" ref="E169">SUMPRODUCT((cli_23[[client]:[client]]=syndicat_etude)*(cli_23[[annee]:[annee]]=Exercice[[Exercice N-2]:[Exercice N-2]])*(cli_23[[tx_access_accueil_raccordement_tel]:[tx_access_accueil_raccordement_tel]]))</f>
        <v>0.99099999999999999</v>
      </c>
      <c r="F169" s="81" cm="1">
        <f t="array" ref="F169">SUMPRODUCT((cli_23[[client]:[client]]=syndicat_etude)*(cli_23[[annee]:[annee]]=Exercice[[Exercice N-1]:[Exercice N-1]])*(cli_23[[tx_access_accueil_raccordement_tel]:[tx_access_accueil_raccordement_tel]]))</f>
        <v>0.998</v>
      </c>
      <c r="G169" s="81" cm="1">
        <f t="array" ref="G169">SUMPRODUCT((cli_23[[client]:[client]]=syndicat_etude)*(cli_23[[annee]:[annee]]=Exercice[[Exercice N]:[Exercice N]])*(cli_23[[tx_access_accueil_raccordement_tel]:[tx_access_accueil_raccordement_tel]]))</f>
        <v>0.999</v>
      </c>
      <c r="H169" s="133">
        <f>IFERROR(G169/F169-1,"")</f>
        <v>1.0020040080160886E-3</v>
      </c>
    </row>
    <row r="173" spans="1:8" ht="30" customHeight="1" x14ac:dyDescent="0.25">
      <c r="A173" s="28" t="s">
        <v>1142</v>
      </c>
      <c r="B173" s="66" t="s">
        <v>1143</v>
      </c>
      <c r="C173" s="67" cm="1">
        <f t="array" ref="C173">Exercice[Exercice N-4]</f>
        <v>2019</v>
      </c>
      <c r="D173" s="67" cm="1">
        <f t="array" ref="D173">Exercice[Exercice N-3]</f>
        <v>2020</v>
      </c>
      <c r="E173" s="67" cm="1">
        <f t="array" ref="E173">Exercice[Exercice N-2]</f>
        <v>2021</v>
      </c>
      <c r="F173" s="67" cm="1">
        <f t="array" ref="F173">Exercice[Exercice N-1]</f>
        <v>2022</v>
      </c>
      <c r="G173" s="67" cm="1">
        <f t="array" ref="G173">Exercice[Exercice N]</f>
        <v>2023</v>
      </c>
      <c r="H173" s="68" t="s">
        <v>273</v>
      </c>
    </row>
    <row r="174" spans="1:8" x14ac:dyDescent="0.25">
      <c r="B174" s="50" t="s">
        <v>1144</v>
      </c>
      <c r="C174" s="19" cm="1">
        <f t="array" ref="C174">SUMPRODUCT((cli_24[[client]:[client]]=syndicat_etude)*(cli_24[[annee]:[annee]]=Exercice[[Exercice N-4]:[Exercice N-4]])*(cli_24[[jours_prod_devis_raccordement_soutirage]:[jours_prod_devis_raccordement_soutirage]]))</f>
        <v>18</v>
      </c>
      <c r="D174" s="19" cm="1">
        <f t="array" ref="D174">SUMPRODUCT((cli_24[[client]:[client]]=syndicat_etude)*(cli_24[[annee]:[annee]]=Exercice[[Exercice N-3]:[Exercice N-3]])*(cli_24[[jours_prod_devis_raccordement_soutirage]:[jours_prod_devis_raccordement_soutirage]]))</f>
        <v>16</v>
      </c>
      <c r="E174" s="19" cm="1">
        <f t="array" ref="E174">SUMPRODUCT((cli_24[[client]:[client]]=syndicat_etude)*(cli_24[[annee]:[annee]]=Exercice[[Exercice N-2]:[Exercice N-2]])*(cli_24[[jours_prod_devis_raccordement_soutirage]:[jours_prod_devis_raccordement_soutirage]]))</f>
        <v>5</v>
      </c>
      <c r="F174" s="19" cm="1">
        <f t="array" ref="F174">SUMPRODUCT((cli_24[[client]:[client]]=syndicat_etude)*(cli_24[[annee]:[annee]]=Exercice[[Exercice N-1]:[Exercice N-1]])*(cli_24[[jours_prod_devis_raccordement_soutirage]:[jours_prod_devis_raccordement_soutirage]]))</f>
        <v>2</v>
      </c>
      <c r="G174" s="19" cm="1">
        <f t="array" ref="G174">SUMPRODUCT((cli_24[[client]:[client]]=syndicat_etude)*(cli_24[[annee]:[annee]]=Exercice[[Exercice N]:[Exercice N]])*(cli_24[[jours_prod_devis_raccordement_soutirage]:[jours_prod_devis_raccordement_soutirage]]))</f>
        <v>2</v>
      </c>
      <c r="H174" s="120">
        <f>IFERROR(G174/F174-1,"")</f>
        <v>0</v>
      </c>
    </row>
    <row r="175" spans="1:8" x14ac:dyDescent="0.25">
      <c r="B175" s="53" t="s">
        <v>1145</v>
      </c>
      <c r="C175" s="392" cm="1">
        <f t="array" ref="C175">SUMPRODUCT((cli_24[[client]:[client]]=syndicat_etude)*(cli_24[[annee]:[annee]]=Exercice[[Exercice N-4]:[Exercice N-4]])*(cli_24[[jours_prod_devis_raccordement_injection]:[jours_prod_devis_raccordement_injection]]))</f>
        <v>8</v>
      </c>
      <c r="D175" s="392" cm="1">
        <f t="array" ref="D175">SUMPRODUCT((cli_24[[client]:[client]]=syndicat_etude)*(cli_24[[annee]:[annee]]=Exercice[[Exercice N-3]:[Exercice N-3]])*(cli_24[[jours_prod_devis_raccordement_injection]:[jours_prod_devis_raccordement_injection]]))</f>
        <v>41</v>
      </c>
      <c r="E175" s="392" cm="1">
        <f t="array" ref="E175">SUMPRODUCT((cli_24[[client]:[client]]=syndicat_etude)*(cli_24[[annee]:[annee]]=Exercice[[Exercice N-2]:[Exercice N-2]])*(cli_24[[jours_prod_devis_raccordement_injection]:[jours_prod_devis_raccordement_injection]]))</f>
        <v>1</v>
      </c>
      <c r="F175" s="392" cm="1">
        <f t="array" ref="F175">SUMPRODUCT((cli_24[[client]:[client]]=syndicat_etude)*(cli_24[[annee]:[annee]]=Exercice[[Exercice N-1]:[Exercice N-1]])*(cli_24[[jours_prod_devis_raccordement_injection]:[jours_prod_devis_raccordement_injection]]))</f>
        <v>0</v>
      </c>
      <c r="G175" s="392" cm="1">
        <f t="array" ref="G175">SUMPRODUCT((cli_24[[client]:[client]]=syndicat_etude)*(cli_24[[annee]:[annee]]=Exercice[[Exercice N]:[Exercice N]])*(cli_24[[jours_prod_devis_raccordement_injection]:[jours_prod_devis_raccordement_injection]]))</f>
        <v>0</v>
      </c>
      <c r="H175" s="133" t="str">
        <f>IFERROR(G175/F175-1,"")</f>
        <v/>
      </c>
    </row>
    <row r="179" spans="1:8" ht="30" customHeight="1" x14ac:dyDescent="0.25">
      <c r="A179" s="28" t="s">
        <v>1146</v>
      </c>
      <c r="B179" s="66" t="s">
        <v>1147</v>
      </c>
      <c r="C179" s="67" cm="1">
        <f t="array" ref="C179">Exercice[Exercice N-4]</f>
        <v>2019</v>
      </c>
      <c r="D179" s="67" cm="1">
        <f t="array" ref="D179">Exercice[Exercice N-3]</f>
        <v>2020</v>
      </c>
      <c r="E179" s="67" cm="1">
        <f t="array" ref="E179">Exercice[Exercice N-2]</f>
        <v>2021</v>
      </c>
      <c r="F179" s="67" cm="1">
        <f t="array" ref="F179">Exercice[Exercice N-1]</f>
        <v>2022</v>
      </c>
      <c r="G179" s="67" cm="1">
        <f t="array" ref="G179">Exercice[Exercice N]</f>
        <v>2023</v>
      </c>
      <c r="H179" s="68" t="s">
        <v>273</v>
      </c>
    </row>
    <row r="180" spans="1:8" x14ac:dyDescent="0.25">
      <c r="B180" s="50" t="s">
        <v>1148</v>
      </c>
      <c r="C180" s="16" cm="1">
        <f t="array" ref="C180">SUMPRODUCT((cli_25[[client]:[client]]=syndicat_etude)*(cli_25[[annee]:[annee]]=Exercice[[Exercice N-4]:[Exercice N-4]])*(cli_25[[libelle]:[libelle]]=$B180)*(cli_25[[tx_reussite_appel_tel]:[tx_reussite_appel_tel]]))</f>
        <v>0.86199999999999999</v>
      </c>
      <c r="D180" s="16" cm="1">
        <f t="array" ref="D180">SUMPRODUCT((cli_25[[client]:[client]]=syndicat_etude)*(cli_25[[annee]:[annee]]=Exercice[[Exercice N-3]:[Exercice N-3]])*(cli_25[[libelle]:[libelle]]=$B180)*(cli_25[[tx_reussite_appel_tel]:[tx_reussite_appel_tel]]))</f>
        <v>0.83599999999999997</v>
      </c>
      <c r="E180" s="16" cm="1">
        <f t="array" ref="E180">SUMPRODUCT((cli_25[[client]:[client]]=syndicat_etude)*(cli_25[[annee]:[annee]]=Exercice[[Exercice N-2]:[Exercice N-2]])*(cli_25[[libelle]:[libelle]]=$B180)*(cli_25[[tx_reussite_appel_tel]:[tx_reussite_appel_tel]]))</f>
        <v>0.876</v>
      </c>
      <c r="F180" s="16" cm="1">
        <f t="array" ref="F180">SUMPRODUCT((cli_25[[client]:[client]]=syndicat_etude)*(cli_25[[annee]:[annee]]=Exercice[[Exercice N-1]:[Exercice N-1]])*(cli_25[[libelle]:[libelle]]=$B180)*(cli_25[[tx_reussite_appel_tel]:[tx_reussite_appel_tel]]))</f>
        <v>0.66300000000000003</v>
      </c>
      <c r="G180" s="16" cm="1">
        <f t="array" ref="G180">SUMPRODUCT((cli_25[[client]:[client]]=syndicat_etude)*(cli_25[[annee]:[annee]]=Exercice[[Exercice N]:[Exercice N]])*(cli_25[[libelle]:[libelle]]=$B180)*(cli_25[[tx_reussite_appel_tel]:[tx_reussite_appel_tel]]))</f>
        <v>0.61799999999999999</v>
      </c>
      <c r="H180" s="120">
        <f>IFERROR(G180/F180-1,"")</f>
        <v>-6.7873303167420906E-2</v>
      </c>
    </row>
    <row r="181" spans="1:8" x14ac:dyDescent="0.25">
      <c r="B181" s="50" t="s">
        <v>1149</v>
      </c>
      <c r="C181" s="16" cm="1">
        <f t="array" ref="C181">SUMPRODUCT((cli_25[[client]:[client]]=syndicat_etude)*(cli_25[[annee]:[annee]]=Exercice[[Exercice N-4]:[Exercice N-4]])*(cli_25[[libelle]:[libelle]]=$B181)*(cli_25[[tx_reussite_appel_tel]:[tx_reussite_appel_tel]]))</f>
        <v>0.89900000000000002</v>
      </c>
      <c r="D181" s="16" cm="1">
        <f t="array" ref="D181">SUMPRODUCT((cli_25[[client]:[client]]=syndicat_etude)*(cli_25[[annee]:[annee]]=Exercice[[Exercice N-3]:[Exercice N-3]])*(cli_25[[libelle]:[libelle]]=$B181)*(cli_25[[tx_reussite_appel_tel]:[tx_reussite_appel_tel]]))</f>
        <v>0.86099999999999999</v>
      </c>
      <c r="E181" s="16" cm="1">
        <f t="array" ref="E181">SUMPRODUCT((cli_25[[client]:[client]]=syndicat_etude)*(cli_25[[annee]:[annee]]=Exercice[[Exercice N-2]:[Exercice N-2]])*(cli_25[[libelle]:[libelle]]=$B181)*(cli_25[[tx_reussite_appel_tel]:[tx_reussite_appel_tel]]))</f>
        <v>0.92300000000000004</v>
      </c>
      <c r="F181" s="16" cm="1">
        <f t="array" ref="F181">SUMPRODUCT((cli_25[[client]:[client]]=syndicat_etude)*(cli_25[[annee]:[annee]]=Exercice[[Exercice N-1]:[Exercice N-1]])*(cli_25[[libelle]:[libelle]]=$B181)*(cli_25[[tx_reussite_appel_tel]:[tx_reussite_appel_tel]]))</f>
        <v>0.76500000000000001</v>
      </c>
      <c r="G181" s="16" cm="1">
        <f t="array" ref="G181">SUMPRODUCT((cli_25[[client]:[client]]=syndicat_etude)*(cli_25[[annee]:[annee]]=Exercice[[Exercice N]:[Exercice N]])*(cli_25[[libelle]:[libelle]]=$B181)*(cli_25[[tx_reussite_appel_tel]:[tx_reussite_appel_tel]]))</f>
        <v>0.71199999999999997</v>
      </c>
      <c r="H181" s="120">
        <f>IFERROR(G181/F181-1,"")</f>
        <v>-6.9281045751634074E-2</v>
      </c>
    </row>
    <row r="182" spans="1:8" x14ac:dyDescent="0.25">
      <c r="B182" s="53" t="s">
        <v>1150</v>
      </c>
      <c r="C182" s="285" cm="1">
        <f t="array" ref="C182">SUMPRODUCT((cli_25[[client]:[client]]=syndicat_etude)*(cli_25[[annee]:[annee]]=Exercice[[Exercice N-4]:[Exercice N-4]])*(cli_25[[libelle]:[libelle]]=$B182)*(cli_25[[tx_reussite_appel_tel]:[tx_reussite_appel_tel]]))</f>
        <v>0.92800000000000005</v>
      </c>
      <c r="D182" s="285" cm="1">
        <f t="array" ref="D182">SUMPRODUCT((cli_25[[client]:[client]]=syndicat_etude)*(cli_25[[annee]:[annee]]=Exercice[[Exercice N-3]:[Exercice N-3]])*(cli_25[[libelle]:[libelle]]=$B182)*(cli_25[[tx_reussite_appel_tel]:[tx_reussite_appel_tel]]))</f>
        <v>0.96</v>
      </c>
      <c r="E182" s="285" cm="1">
        <f t="array" ref="E182">SUMPRODUCT((cli_25[[client]:[client]]=syndicat_etude)*(cli_25[[annee]:[annee]]=Exercice[[Exercice N-2]:[Exercice N-2]])*(cli_25[[libelle]:[libelle]]=$B182)*(cli_25[[tx_reussite_appel_tel]:[tx_reussite_appel_tel]]))</f>
        <v>0.96599999999999997</v>
      </c>
      <c r="F182" s="285" cm="1">
        <f t="array" ref="F182">SUMPRODUCT((cli_25[[client]:[client]]=syndicat_etude)*(cli_25[[annee]:[annee]]=Exercice[[Exercice N-1]:[Exercice N-1]])*(cli_25[[libelle]:[libelle]]=$B182)*(cli_25[[tx_reussite_appel_tel]:[tx_reussite_appel_tel]]))</f>
        <v>0.90400000000000003</v>
      </c>
      <c r="G182" s="285" cm="1">
        <f t="array" ref="G182">SUMPRODUCT((cli_25[[client]:[client]]=syndicat_etude)*(cli_25[[annee]:[annee]]=Exercice[[Exercice N]:[Exercice N]])*(cli_25[[libelle]:[libelle]]=$B182)*(cli_25[[tx_reussite_appel_tel]:[tx_reussite_appel_tel]]))</f>
        <v>0.90200000000000002</v>
      </c>
      <c r="H182" s="133">
        <f>IFERROR(G182/F182-1,"")</f>
        <v>-2.2123893805309214E-3</v>
      </c>
    </row>
    <row r="185" spans="1:8" ht="30" customHeight="1" x14ac:dyDescent="0.25">
      <c r="A185" s="28" t="s">
        <v>1151</v>
      </c>
      <c r="B185" s="390" t="s">
        <v>1152</v>
      </c>
      <c r="C185" s="391" cm="1">
        <f t="array" ref="C185">Exercice[Exercice N-4]</f>
        <v>2019</v>
      </c>
      <c r="D185" s="391" cm="1">
        <f t="array" ref="D185">Exercice[Exercice N-3]</f>
        <v>2020</v>
      </c>
      <c r="E185" s="391" cm="1">
        <f t="array" ref="E185">Exercice[Exercice N-2]</f>
        <v>2021</v>
      </c>
      <c r="F185" s="391" cm="1">
        <f t="array" ref="F185">Exercice[Exercice N-1]</f>
        <v>2022</v>
      </c>
      <c r="G185" s="391" cm="1">
        <f t="array" ref="G185">Exercice[Exercice N]</f>
        <v>2023</v>
      </c>
      <c r="H185" s="68" t="s">
        <v>273</v>
      </c>
    </row>
    <row r="186" spans="1:8" x14ac:dyDescent="0.25">
      <c r="B186" s="50" t="s">
        <v>1153</v>
      </c>
      <c r="C186" s="16" cm="1">
        <f t="array" ref="C186">SUMPRODUCT((cli_26[[client]:[client]]=syndicat_etude)*(cli_26[[annee]:[annee]]=Exercice[[Exercice N-4]:[Exercice N-4]])*(cli_26[[libelle_crac]:[libelle_crac]]="En BT et de puissance &lt;= à 36 kVA")*(cli_26[[valeur]:[valeur]]))</f>
        <v>878</v>
      </c>
      <c r="D186" s="16" cm="1">
        <f t="array" ref="D186">SUMPRODUCT((cli_26[[client]:[client]]=syndicat_etude)*(cli_26[[annee]:[annee]]=Exercice[[Exercice N-3]:[Exercice N-3]])*(cli_26[[libelle_crac]:[libelle_crac]]="En BT et de puissance &lt;= à 36 kVA")*(cli_26[[valeur]:[valeur]]))</f>
        <v>784</v>
      </c>
      <c r="E186" s="16" cm="1">
        <f t="array" ref="E186">SUMPRODUCT((cli_26[[client]:[client]]=syndicat_etude)*(cli_26[[annee]:[annee]]=Exercice[[Exercice N-2]:[Exercice N-2]])*(cli_26[[libelle_crac]:[libelle_crac]]="En BT et de puissance &lt;= à 36 kVA")*(cli_26[[valeur]:[valeur]]))</f>
        <v>892</v>
      </c>
      <c r="F186" s="16" cm="1">
        <f t="array" ref="F186">SUMPRODUCT((cli_26[[client]:[client]]=syndicat_etude)*(cli_26[[annee]:[annee]]=Exercice[[Exercice N-1]:[Exercice N-1]])*(cli_26[[libelle_crac]:[libelle_crac]]="En BT et de puissance &lt;= à 36 kVA")*(cli_26[[valeur]:[valeur]]))</f>
        <v>946</v>
      </c>
      <c r="G186" s="16" cm="1">
        <f t="array" ref="G186">SUMPRODUCT((cli_26[[client]:[client]]=syndicat_etude)*(cli_26[[annee]:[annee]]=Exercice[[Exercice N]:[Exercice N]])*(cli_26[[libelle_crac]:[libelle_crac]]="En BT et de puissance &lt;= à 36 kVA")*(cli_26[[valeur]:[valeur]]))</f>
        <v>853</v>
      </c>
      <c r="H186" s="120">
        <f t="shared" ref="H186:H192" si="4">IFERROR(G186/F186-1,"")</f>
        <v>-9.830866807610994E-2</v>
      </c>
    </row>
    <row r="187" spans="1:8" x14ac:dyDescent="0.25">
      <c r="B187" s="51" t="s">
        <v>1154</v>
      </c>
      <c r="C187" s="49" cm="1">
        <f t="array" ref="C187">SUMPRODUCT((cli_26[[client]:[client]]=syndicat_etude)*(cli_26[[annee]:[annee]]=Exercice[[Exercice N-4]:[Exercice N-4]])*(cli_26[[libelle_crac]:[libelle_crac]]="Dont raccordements BT individuels sans adaptation de réseau")*(cli_26[[valeur]:[valeur]]))</f>
        <v>712</v>
      </c>
      <c r="D187" s="49" cm="1">
        <f t="array" ref="D187">SUMPRODUCT((cli_26[[client]:[client]]=syndicat_etude)*(cli_26[[annee]:[annee]]=Exercice[[Exercice N-3]:[Exercice N-3]])*(cli_26[[libelle_crac]:[libelle_crac]]="Dont raccordements BT individuels sans adaptation de réseau")*(cli_26[[valeur]:[valeur]]))</f>
        <v>679</v>
      </c>
      <c r="E187" s="49" cm="1">
        <f t="array" ref="E187">SUMPRODUCT((cli_26[[client]:[client]]=syndicat_etude)*(cli_26[[annee]:[annee]]=Exercice[[Exercice N-2]:[Exercice N-2]])*(cli_26[[libelle_crac]:[libelle_crac]]="Dont raccordements BT individuels sans adaptation de réseau")*(cli_26[[valeur]:[valeur]]))</f>
        <v>775</v>
      </c>
      <c r="F187" s="49" cm="1">
        <f t="array" ref="F187">SUMPRODUCT((cli_26[[client]:[client]]=syndicat_etude)*(cli_26[[annee]:[annee]]=Exercice[[Exercice N-1]:[Exercice N-1]])*(cli_26[[libelle_crac]:[libelle_crac]]="Dont raccordements BT individuels sans adaptation de réseau")*(cli_26[[valeur]:[valeur]]))</f>
        <v>805</v>
      </c>
      <c r="G187" s="49" cm="1">
        <f t="array" ref="G187">SUMPRODUCT((cli_26[[client]:[client]]=syndicat_etude)*(cli_26[[annee]:[annee]]=Exercice[[Exercice N]:[Exercice N]])*(cli_26[[libelle_crac]:[libelle_crac]]="Dont raccordements BT individuels sans adaptation de réseau")*(cli_26[[valeur]:[valeur]]))</f>
        <v>702</v>
      </c>
      <c r="H187" s="120">
        <f t="shared" si="4"/>
        <v>-0.12795031055900619</v>
      </c>
    </row>
    <row r="188" spans="1:8" x14ac:dyDescent="0.25">
      <c r="B188" s="51" t="s">
        <v>1155</v>
      </c>
      <c r="C188" s="49" cm="1">
        <f t="array" ref="C188">SUMPRODUCT((cli_26[[client]:[client]]=syndicat_etude)*(cli_26[[annee]:[annee]]=Exercice[[Exercice N-4]:[Exercice N-4]])*(cli_26[[libelle_crac]:[libelle_crac]]="Dont raccordements BT collectifs sans adaptation de réseau")*(cli_26[[valeur]:[valeur]]))</f>
        <v>7</v>
      </c>
      <c r="D188" s="49" cm="1">
        <f t="array" ref="D188">SUMPRODUCT((cli_26[[client]:[client]]=syndicat_etude)*(cli_26[[annee]:[annee]]=Exercice[[Exercice N-3]:[Exercice N-3]])*(cli_26[[libelle_crac]:[libelle_crac]]="Dont raccordements BT collectifs sans adaptation de réseau")*(cli_26[[valeur]:[valeur]]))</f>
        <v>6</v>
      </c>
      <c r="E188" s="49" cm="1">
        <f t="array" ref="E188">SUMPRODUCT((cli_26[[client]:[client]]=syndicat_etude)*(cli_26[[annee]:[annee]]=Exercice[[Exercice N-2]:[Exercice N-2]])*(cli_26[[libelle_crac]:[libelle_crac]]="Dont raccordements BT collectifs sans adaptation de réseau")*(cli_26[[valeur]:[valeur]]))</f>
        <v>13</v>
      </c>
      <c r="F188" s="49" cm="1">
        <f t="array" ref="F188">SUMPRODUCT((cli_26[[client]:[client]]=syndicat_etude)*(cli_26[[annee]:[annee]]=Exercice[[Exercice N-1]:[Exercice N-1]])*(cli_26[[libelle_crac]:[libelle_crac]]="Dont raccordements BT collectifs sans adaptation de réseau")*(cli_26[[valeur]:[valeur]]))</f>
        <v>20</v>
      </c>
      <c r="G188" s="49" cm="1">
        <f t="array" ref="G188">SUMPRODUCT((cli_26[[client]:[client]]=syndicat_etude)*(cli_26[[annee]:[annee]]=Exercice[[Exercice N]:[Exercice N]])*(cli_26[[libelle_crac]:[libelle_crac]]="Dont raccordements BT collectifs sans adaptation de réseau")*(cli_26[[valeur]:[valeur]]))</f>
        <v>8</v>
      </c>
      <c r="H188" s="120">
        <f t="shared" si="4"/>
        <v>-0.6</v>
      </c>
    </row>
    <row r="189" spans="1:8" x14ac:dyDescent="0.25">
      <c r="B189" s="51" t="s">
        <v>1156</v>
      </c>
      <c r="C189" s="49" cm="1">
        <f t="array" ref="C189">SUMPRODUCT((cli_26[[client]:[client]]=syndicat_etude)*(cli_26[[annee]:[annee]]=Exercice[[Exercice N-4]:[Exercice N-4]])*(cli_26[[libelle_crac]:[libelle_crac]]="Dont raccordements BT individuels et collectifs avec adaptation de réseau")*(cli_26[[valeur]:[valeur]]))</f>
        <v>159</v>
      </c>
      <c r="D189" s="49" cm="1">
        <f t="array" ref="D189">SUMPRODUCT((cli_26[[client]:[client]]=syndicat_etude)*(cli_26[[annee]:[annee]]=Exercice[[Exercice N-3]:[Exercice N-3]])*(cli_26[[libelle_crac]:[libelle_crac]]="Dont raccordements BT individuels et collectifs avec adaptation de réseau")*(cli_26[[valeur]:[valeur]]))</f>
        <v>99</v>
      </c>
      <c r="E189" s="49" cm="1">
        <f t="array" ref="E189">SUMPRODUCT((cli_26[[client]:[client]]=syndicat_etude)*(cli_26[[annee]:[annee]]=Exercice[[Exercice N-2]:[Exercice N-2]])*(cli_26[[libelle_crac]:[libelle_crac]]="Dont raccordements BT individuels et collectifs avec adaptation de réseau")*(cli_26[[valeur]:[valeur]]))</f>
        <v>104</v>
      </c>
      <c r="F189" s="49" cm="1">
        <f t="array" ref="F189">SUMPRODUCT((cli_26[[client]:[client]]=syndicat_etude)*(cli_26[[annee]:[annee]]=Exercice[[Exercice N-1]:[Exercice N-1]])*(cli_26[[libelle_crac]:[libelle_crac]]="Dont raccordements BT individuels et collectifs avec adaptation de réseau")*(cli_26[[valeur]:[valeur]]))</f>
        <v>121</v>
      </c>
      <c r="G189" s="49" cm="1">
        <f t="array" ref="G189">SUMPRODUCT((cli_26[[client]:[client]]=syndicat_etude)*(cli_26[[annee]:[annee]]=Exercice[[Exercice N]:[Exercice N]])*(cli_26[[libelle_crac]:[libelle_crac]]="Dont raccordements BT individuels et collectifs avec adaptation de réseau")*(cli_26[[valeur]:[valeur]]))</f>
        <v>143</v>
      </c>
      <c r="H189" s="120">
        <f t="shared" si="4"/>
        <v>0.18181818181818188</v>
      </c>
    </row>
    <row r="190" spans="1:8" x14ac:dyDescent="0.25">
      <c r="B190" s="50" t="s">
        <v>1157</v>
      </c>
      <c r="C190" s="19" cm="1">
        <f t="array" ref="C190">SUMPRODUCT((cli_26[[client]:[client]]=syndicat_etude)*(cli_26[[annee]:[annee]]=Exercice[[Exercice N-4]:[Exercice N-4]])*(cli_26[[libelle_crac]:[libelle_crac]]="En BT et de puissance comprise entre 36 et 250 kVA")*(cli_26[[valeur]:[valeur]]))</f>
        <v>38</v>
      </c>
      <c r="D190" s="19" cm="1">
        <f t="array" ref="D190">SUMPRODUCT((cli_26[[client]:[client]]=syndicat_etude)*(cli_26[[annee]:[annee]]=Exercice[[Exercice N-3]:[Exercice N-3]])*(cli_26[[libelle_crac]:[libelle_crac]]="En BT et de puissance comprise entre 36 et 250 kVA")*(cli_26[[valeur]:[valeur]]))</f>
        <v>32</v>
      </c>
      <c r="E190" s="19" cm="1">
        <f t="array" ref="E190">SUMPRODUCT((cli_26[[client]:[client]]=syndicat_etude)*(cli_26[[annee]:[annee]]=Exercice[[Exercice N-2]:[Exercice N-2]])*(cli_26[[libelle_crac]:[libelle_crac]]="En BT et de puissance comprise entre 36 et 250 kVA")*(cli_26[[valeur]:[valeur]]))</f>
        <v>27</v>
      </c>
      <c r="F190" s="19" cm="1">
        <f t="array" ref="F190">SUMPRODUCT((cli_26[[client]:[client]]=syndicat_etude)*(cli_26[[annee]:[annee]]=Exercice[[Exercice N-1]:[Exercice N-1]])*(cli_26[[libelle_crac]:[libelle_crac]]="En BT et de puissance comprise entre 36 et 250 kVA")*(cli_26[[valeur]:[valeur]]))</f>
        <v>44</v>
      </c>
      <c r="G190" s="19" cm="1">
        <f t="array" ref="G190">SUMPRODUCT((cli_26[[client]:[client]]=syndicat_etude)*(cli_26[[annee]:[annee]]=Exercice[[Exercice N]:[Exercice N]])*(cli_26[[libelle_crac]:[libelle_crac]]="En BT et de puissance comprise entre 36 et 250 kVA")*(cli_26[[valeur]:[valeur]]))</f>
        <v>53</v>
      </c>
      <c r="H190" s="120">
        <f t="shared" si="4"/>
        <v>0.20454545454545459</v>
      </c>
    </row>
    <row r="191" spans="1:8" x14ac:dyDescent="0.25">
      <c r="B191" s="50" t="s">
        <v>1158</v>
      </c>
      <c r="C191" s="19" cm="1">
        <f t="array" ref="C191">SUMPRODUCT((cli_26[[client]:[client]]=syndicat_etude)*(cli_26[[annee]:[annee]]=Exercice[[Exercice N-4]:[Exercice N-4]])*(cli_26[[libelle_crac]:[libelle_crac]]="En HTA")*(cli_26[[valeur]:[valeur]]))</f>
        <v>14</v>
      </c>
      <c r="D191" s="19" cm="1">
        <f t="array" ref="D191">SUMPRODUCT((cli_26[[client]:[client]]=syndicat_etude)*(cli_26[[annee]:[annee]]=Exercice[[Exercice N-3]:[Exercice N-3]])*(cli_26[[libelle_crac]:[libelle_crac]]="En HTA")*(cli_26[[valeur]:[valeur]]))</f>
        <v>13</v>
      </c>
      <c r="E191" s="19" cm="1">
        <f t="array" ref="E191">SUMPRODUCT((cli_26[[client]:[client]]=syndicat_etude)*(cli_26[[annee]:[annee]]=Exercice[[Exercice N-2]:[Exercice N-2]])*(cli_26[[libelle_crac]:[libelle_crac]]="En HTA")*(cli_26[[valeur]:[valeur]]))</f>
        <v>5</v>
      </c>
      <c r="F191" s="19" cm="1">
        <f t="array" ref="F191">SUMPRODUCT((cli_26[[client]:[client]]=syndicat_etude)*(cli_26[[annee]:[annee]]=Exercice[[Exercice N-1]:[Exercice N-1]])*(cli_26[[libelle_crac]:[libelle_crac]]="En HTA")*(cli_26[[valeur]:[valeur]]))</f>
        <v>11</v>
      </c>
      <c r="G191" s="19" cm="1">
        <f t="array" ref="G191">SUMPRODUCT((cli_26[[client]:[client]]=syndicat_etude)*(cli_26[[annee]:[annee]]=Exercice[[Exercice N]:[Exercice N]])*(cli_26[[libelle_crac]:[libelle_crac]]="En HTA")*(cli_26[[valeur]:[valeur]]))</f>
        <v>10</v>
      </c>
      <c r="H191" s="120">
        <f t="shared" si="4"/>
        <v>-9.0909090909090939E-2</v>
      </c>
    </row>
    <row r="192" spans="1:8" x14ac:dyDescent="0.25">
      <c r="B192" s="131" t="s">
        <v>182</v>
      </c>
      <c r="C192" s="141">
        <f>C186+C190+C191</f>
        <v>930</v>
      </c>
      <c r="D192" s="141">
        <f>D186+D190+D191</f>
        <v>829</v>
      </c>
      <c r="E192" s="141">
        <f>E186+E190+E191</f>
        <v>924</v>
      </c>
      <c r="F192" s="141">
        <f>F186+F190+F191</f>
        <v>1001</v>
      </c>
      <c r="G192" s="141">
        <f>G186+G190+G191</f>
        <v>916</v>
      </c>
      <c r="H192" s="130">
        <f t="shared" si="4"/>
        <v>-8.4915084915084926E-2</v>
      </c>
    </row>
    <row r="193" spans="1:8" x14ac:dyDescent="0.25">
      <c r="B193" s="334"/>
      <c r="C193" s="335"/>
      <c r="D193" s="335"/>
      <c r="E193" s="335"/>
      <c r="F193" s="335"/>
      <c r="G193" s="335"/>
    </row>
    <row r="196" spans="1:8" ht="30" customHeight="1" x14ac:dyDescent="0.25">
      <c r="A196" s="28" t="s">
        <v>1159</v>
      </c>
      <c r="B196" s="66" t="s">
        <v>1160</v>
      </c>
      <c r="C196" s="67" cm="1">
        <f t="array" ref="C196">Exercice[Exercice N-4]</f>
        <v>2019</v>
      </c>
      <c r="D196" s="67" cm="1">
        <f t="array" ref="D196">Exercice[Exercice N-3]</f>
        <v>2020</v>
      </c>
      <c r="E196" s="67" cm="1">
        <f t="array" ref="E196">Exercice[Exercice N-2]</f>
        <v>2021</v>
      </c>
      <c r="F196" s="67" cm="1">
        <f t="array" ref="F196">Exercice[Exercice N-1]</f>
        <v>2022</v>
      </c>
      <c r="G196" s="67" cm="1">
        <f t="array" ref="G196">Exercice[Exercice N]</f>
        <v>2023</v>
      </c>
      <c r="H196" s="68" t="s">
        <v>273</v>
      </c>
    </row>
    <row r="197" spans="1:8" x14ac:dyDescent="0.25">
      <c r="B197" s="50" t="s">
        <v>1161</v>
      </c>
      <c r="C197" s="8" cm="1">
        <f t="array" ref="C197">SUMPRODUCT((cli_27[[client]:[client]]=syndicat_etude)*(cli_27[[annee]:[annee]]=Exercice[[Exercice N-4]:[Exercice N-4]])*(cli_27[[tx_contrat_br_preleve]:[tx_contrat_br_preleve]]))</f>
        <v>0</v>
      </c>
      <c r="D197" s="8" cm="1">
        <f t="array" ref="D197">SUMPRODUCT((cli_27[[client]:[client]]=syndicat_etude)*(cli_27[[annee]:[annee]]=Exercice[[Exercice N-3]:[Exercice N-3]])*(cli_27[[tx_contrat_br_preleve]:[tx_contrat_br_preleve]]))</f>
        <v>1</v>
      </c>
      <c r="E197" s="8" cm="1">
        <f t="array" ref="E197">SUMPRODUCT((cli_27[[client]:[client]]=syndicat_etude)*(cli_27[[annee]:[annee]]=Exercice[[Exercice N-2]:[Exercice N-2]])*(cli_27[[tx_contrat_br_preleve]:[tx_contrat_br_preleve]]))</f>
        <v>0.85</v>
      </c>
      <c r="F197" s="8" cm="1">
        <f t="array" ref="F197">SUMPRODUCT((cli_27[[client]:[client]]=syndicat_etude)*(cli_27[[annee]:[annee]]=Exercice[[Exercice N-1]:[Exercice N-1]])*(cli_27[[tx_contrat_br_preleve]:[tx_contrat_br_preleve]]))</f>
        <v>0</v>
      </c>
      <c r="G197" s="8" cm="1">
        <f t="array" ref="G197">SUMPRODUCT((cli_27[[client]:[client]]=syndicat_etude)*(cli_27[[annee]:[annee]]=Exercice[[Exercice N]:[Exercice N]])*(cli_27[[tx_contrat_br_preleve]:[tx_contrat_br_preleve]]))</f>
        <v>0.85399999999999998</v>
      </c>
      <c r="H197" s="120" t="str">
        <f>IFERROR(G197/F197-1,"")</f>
        <v/>
      </c>
    </row>
    <row r="198" spans="1:8" x14ac:dyDescent="0.25">
      <c r="B198" s="50" t="s">
        <v>1162</v>
      </c>
      <c r="C198" s="8" cm="1">
        <f t="array" ref="C198">SUMPRODUCT((cli_27[[client]:[client]]=syndicat_etude)*(cli_27[[annee]:[annee]]=Exercice[[Exercice N-4]:[Exercice N-4]])*(cli_27[[tx_contrat_br_mensualises]:[tx_contrat_br_mensualises]]))</f>
        <v>0</v>
      </c>
      <c r="D198" s="8" cm="1">
        <f t="array" ref="D198">SUMPRODUCT((cli_27[[client]:[client]]=syndicat_etude)*(cli_27[[annee]:[annee]]=Exercice[[Exercice N-3]:[Exercice N-3]])*(cli_27[[tx_contrat_br_mensualises]:[tx_contrat_br_mensualises]]))</f>
        <v>1</v>
      </c>
      <c r="E198" s="8" cm="1">
        <f t="array" ref="E198">SUMPRODUCT((cli_27[[client]:[client]]=syndicat_etude)*(cli_27[[annee]:[annee]]=Exercice[[Exercice N-2]:[Exercice N-2]])*(cli_27[[tx_contrat_br_mensualises]:[tx_contrat_br_mensualises]]))</f>
        <v>0.71</v>
      </c>
      <c r="F198" s="8" cm="1">
        <f t="array" ref="F198">SUMPRODUCT((cli_27[[client]:[client]]=syndicat_etude)*(cli_27[[annee]:[annee]]=Exercice[[Exercice N-1]:[Exercice N-1]])*(cli_27[[tx_contrat_br_mensualises]:[tx_contrat_br_mensualises]]))</f>
        <v>0</v>
      </c>
      <c r="G198" s="8" cm="1">
        <f t="array" ref="G198">SUMPRODUCT((cli_27[[client]:[client]]=syndicat_etude)*(cli_27[[annee]:[annee]]=Exercice[[Exercice N]:[Exercice N]])*(cli_27[[tx_contrat_br_mensualises]:[tx_contrat_br_mensualises]]))</f>
        <v>0.70799999999999996</v>
      </c>
      <c r="H198" s="120" t="str">
        <f>IFERROR(G198/F198-1,"")</f>
        <v/>
      </c>
    </row>
    <row r="199" spans="1:8" x14ac:dyDescent="0.25">
      <c r="B199" s="50" t="s">
        <v>1163</v>
      </c>
      <c r="C199" s="8" cm="1">
        <f t="array" ref="C199">SUMPRODUCT((cli_28[[client]:[client]]=syndicat_etude)*(cli_28[[annee]:[annee]]=Exercice[[Exercice N-4]:[Exercice N-4]])*(cli_28[[tx_contrat_bnr_preleve]:[tx_contrat_bnr_preleve]]))</f>
        <v>0</v>
      </c>
      <c r="D199" s="8" cm="1">
        <f t="array" ref="D199">SUMPRODUCT((cli_28[[client]:[client]]=syndicat_etude)*(cli_28[[annee]:[annee]]=Exercice[[Exercice N-3]:[Exercice N-3]])*(cli_28[[tx_contrat_bnr_preleve]:[tx_contrat_bnr_preleve]]))</f>
        <v>1</v>
      </c>
      <c r="E199" s="8" cm="1">
        <f t="array" ref="E199">SUMPRODUCT((cli_28[[client]:[client]]=syndicat_etude)*(cli_28[[annee]:[annee]]=Exercice[[Exercice N-2]:[Exercice N-2]])*(cli_28[[tx_contrat_bnr_preleve]:[tx_contrat_bnr_preleve]]))</f>
        <v>0.73</v>
      </c>
      <c r="F199" s="8" cm="1">
        <f t="array" ref="F199">SUMPRODUCT((cli_28[[client]:[client]]=syndicat_etude)*(cli_28[[annee]:[annee]]=Exercice[[Exercice N-1]:[Exercice N-1]])*(cli_28[[tx_contrat_bnr_preleve]:[tx_contrat_bnr_preleve]]))</f>
        <v>0</v>
      </c>
      <c r="G199" s="8" cm="1">
        <f t="array" ref="G199">SUMPRODUCT((cli_28[[client]:[client]]=syndicat_etude)*(cli_28[[annee]:[annee]]=Exercice[[Exercice N]:[Exercice N]])*(cli_28[[tx_contrat_bnr_preleve]:[tx_contrat_bnr_preleve]]))</f>
        <v>0.72699999999999998</v>
      </c>
      <c r="H199" s="120" t="str">
        <f>IFERROR(G199/F199-1,"")</f>
        <v/>
      </c>
    </row>
    <row r="200" spans="1:8" x14ac:dyDescent="0.25">
      <c r="B200" s="53" t="s">
        <v>1164</v>
      </c>
      <c r="C200" s="81" cm="1">
        <f t="array" ref="C200">SUMPRODUCT((cli_28[[client]:[client]]=syndicat_etude)*(cli_28[[annee]:[annee]]=Exercice[[Exercice N-4]:[Exercice N-4]])*(cli_28[[tx_contrat_bnr_mensualises]:[tx_contrat_bnr_mensualises]]))</f>
        <v>0</v>
      </c>
      <c r="D200" s="81" cm="1">
        <f t="array" ref="D200">SUMPRODUCT((cli_28[[client]:[client]]=syndicat_etude)*(cli_28[[annee]:[annee]]=Exercice[[Exercice N-3]:[Exercice N-3]])*(cli_28[[tx_contrat_bnr_mensualises]:[tx_contrat_bnr_mensualises]]))</f>
        <v>0</v>
      </c>
      <c r="E200" s="81" cm="1">
        <f t="array" ref="E200">SUMPRODUCT((cli_28[[client]:[client]]=syndicat_etude)*(cli_28[[annee]:[annee]]=Exercice[[Exercice N-2]:[Exercice N-2]])*(cli_28[[tx_contrat_bnr_mensualises]:[tx_contrat_bnr_mensualises]]))</f>
        <v>0.08</v>
      </c>
      <c r="F200" s="81" cm="1">
        <f t="array" ref="F200">SUMPRODUCT((cli_28[[client]:[client]]=syndicat_etude)*(cli_28[[annee]:[annee]]=Exercice[[Exercice N-1]:[Exercice N-1]])*(cli_28[[tx_contrat_bnr_mensualises]:[tx_contrat_bnr_mensualises]]))</f>
        <v>0</v>
      </c>
      <c r="G200" s="81" cm="1">
        <f t="array" ref="G200">SUMPRODUCT((cli_28[[client]:[client]]=syndicat_etude)*(cli_28[[annee]:[annee]]=Exercice[[Exercice N]:[Exercice N]])*(cli_28[[tx_contrat_bnr_mensualises]:[tx_contrat_bnr_mensualises]]))</f>
        <v>0</v>
      </c>
      <c r="H200" s="133" t="str">
        <f>IFERROR(G200/F200-1,"")</f>
        <v/>
      </c>
    </row>
    <row r="204" spans="1:8" ht="30" customHeight="1" x14ac:dyDescent="0.25">
      <c r="A204" s="28" t="s">
        <v>1165</v>
      </c>
      <c r="B204" s="66" t="s">
        <v>699</v>
      </c>
      <c r="C204" s="67" cm="1">
        <f t="array" ref="C204">Exercice[Exercice N-4]</f>
        <v>2019</v>
      </c>
      <c r="D204" s="67" cm="1">
        <f t="array" ref="D204">Exercice[Exercice N-3]</f>
        <v>2020</v>
      </c>
      <c r="E204" s="67" cm="1">
        <f t="array" ref="E204">Exercice[Exercice N-2]</f>
        <v>2021</v>
      </c>
      <c r="F204" s="67" cm="1">
        <f t="array" ref="F204">Exercice[Exercice N-1]</f>
        <v>2022</v>
      </c>
      <c r="G204" s="67" cm="1">
        <f t="array" ref="G204">Exercice[Exercice N]</f>
        <v>2023</v>
      </c>
      <c r="H204" s="68" t="s">
        <v>273</v>
      </c>
    </row>
    <row r="205" spans="1:8" ht="15" customHeight="1" x14ac:dyDescent="0.25">
      <c r="B205" s="337" t="s">
        <v>1166</v>
      </c>
      <c r="C205" s="19" cm="1">
        <f t="array" ref="C205">SUMPRODUCT((cli_29[[client]:[client]]=syndicat_etude)*(cli_29[[annee]:[annee]]=Exercice[[Exercice N-4]:[Exercice N-4]])*(cli_29[[nbr_coupures_demandees_par_fournisseur]:[nbr_coupures_demandees_par_fournisseur]]))</f>
        <v>2583</v>
      </c>
      <c r="D205" s="19" cm="1">
        <f t="array" ref="D205">SUMPRODUCT((cli_29[[client]:[client]]=syndicat_etude)*(cli_29[[annee]:[annee]]=Exercice[[Exercice N-3]:[Exercice N-3]])*(cli_29[[nbr_coupures_demandees_par_fournisseur]:[nbr_coupures_demandees_par_fournisseur]]))</f>
        <v>866</v>
      </c>
      <c r="E205" s="19" cm="1">
        <f t="array" ref="E205">SUMPRODUCT((cli_29[[client]:[client]]=syndicat_etude)*(cli_29[[annee]:[annee]]=Exercice[[Exercice N-2]:[Exercice N-2]])*(cli_29[[nbr_coupures_demandees_par_fournisseur]:[nbr_coupures_demandees_par_fournisseur]]))</f>
        <v>1251</v>
      </c>
      <c r="F205" s="19" cm="1">
        <f t="array" ref="F205">SUMPRODUCT((cli_29[[client]:[client]]=syndicat_etude)*(cli_29[[annee]:[annee]]=Exercice[[Exercice N-1]:[Exercice N-1]])*(cli_29[[nbr_coupures_demandees_par_fournisseur]:[nbr_coupures_demandees_par_fournisseur]]))</f>
        <v>0</v>
      </c>
      <c r="G205" s="19" cm="1">
        <f t="array" ref="G205">SUMPRODUCT((cli_29[[client]:[client]]=syndicat_etude)*(cli_29[[annee]:[annee]]=Exercice[[Exercice N]:[Exercice N]])*(cli_29[[nbr_coupures_demandees_par_fournisseur]:[nbr_coupures_demandees_par_fournisseur]]))</f>
        <v>0</v>
      </c>
      <c r="H205" s="120" t="str">
        <f>IFERROR(G205/F205-1,"")</f>
        <v/>
      </c>
    </row>
    <row r="206" spans="1:8" ht="15" customHeight="1" x14ac:dyDescent="0.25">
      <c r="B206" s="337" t="s">
        <v>1167</v>
      </c>
      <c r="C206" s="19" cm="1">
        <f t="array" ref="C206">SUMPRODUCT((cli_29[[client]:[client]]=syndicat_etude)*(cli_29[[annee]:[annee]]=Exercice[[Exercice N-4]:[Exercice N-4]])*(cli_29[[nbr_coupures_effectives]:[nbr_coupures_effectives]]))</f>
        <v>794</v>
      </c>
      <c r="D206" s="19" cm="1">
        <f t="array" ref="D206">SUMPRODUCT((cli_29[[client]:[client]]=syndicat_etude)*(cli_29[[annee]:[annee]]=Exercice[[Exercice N-3]:[Exercice N-3]])*(cli_29[[nbr_coupures_effectives]:[nbr_coupures_effectives]]))</f>
        <v>290</v>
      </c>
      <c r="E206" s="19" cm="1">
        <f t="array" ref="E206">SUMPRODUCT((cli_29[[client]:[client]]=syndicat_etude)*(cli_29[[annee]:[annee]]=Exercice[[Exercice N-2]:[Exercice N-2]])*(cli_29[[nbr_coupures_effectives]:[nbr_coupures_effectives]]))</f>
        <v>490</v>
      </c>
      <c r="F206" s="19" cm="1">
        <f t="array" ref="F206">SUMPRODUCT((cli_29[[client]:[client]]=syndicat_etude)*(cli_29[[annee]:[annee]]=Exercice[[Exercice N-1]:[Exercice N-1]])*(cli_29[[nbr_coupures_effectives]:[nbr_coupures_effectives]]))</f>
        <v>0</v>
      </c>
      <c r="G206" s="19" cm="1">
        <f t="array" ref="G206">SUMPRODUCT((cli_29[[client]:[client]]=syndicat_etude)*(cli_29[[annee]:[annee]]=Exercice[[Exercice N]:[Exercice N]])*(cli_29[[nbr_coupures_effectives]:[nbr_coupures_effectives]]))</f>
        <v>0</v>
      </c>
      <c r="H206" s="120" t="str">
        <f>IFERROR(G206/F206-1,"")</f>
        <v/>
      </c>
    </row>
    <row r="207" spans="1:8" ht="15" customHeight="1" x14ac:dyDescent="0.25">
      <c r="B207" s="170" t="s">
        <v>1168</v>
      </c>
      <c r="C207" s="392" cm="1">
        <f t="array" ref="C207">SUMPRODUCT((cli_29[[client]:[client]]=syndicat_etude)*(cli_29[[annee]:[annee]]=Exercice[[Exercice N-4]:[Exercice N-4]])*(cli_29[[nbr_clients_realimentes_hiver]:[nbr_clients_realimentes_hiver]]))</f>
        <v>298</v>
      </c>
      <c r="D207" s="392" cm="1">
        <f t="array" ref="D207">SUMPRODUCT((cli_29[[client]:[client]]=syndicat_etude)*(cli_29[[annee]:[annee]]=Exercice[[Exercice N-3]:[Exercice N-3]])*(cli_29[[nbr_clients_realimentes_hiver]:[nbr_clients_realimentes_hiver]]))</f>
        <v>240</v>
      </c>
      <c r="E207" s="392" cm="1">
        <f t="array" ref="E207">SUMPRODUCT((cli_29[[client]:[client]]=syndicat_etude)*(cli_29[[annee]:[annee]]=Exercice[[Exercice N-2]:[Exercice N-2]])*(cli_29[[nbr_clients_realimentes_hiver]:[nbr_clients_realimentes_hiver]]))</f>
        <v>265</v>
      </c>
      <c r="F207" s="392" cm="1">
        <f t="array" ref="F207">SUMPRODUCT((cli_29[[client]:[client]]=syndicat_etude)*(cli_29[[annee]:[annee]]=Exercice[[Exercice N-1]:[Exercice N-1]])*(cli_29[[nbr_clients_realimentes_hiver]:[nbr_clients_realimentes_hiver]]))</f>
        <v>337</v>
      </c>
      <c r="G207" s="392" cm="1">
        <f t="array" ref="G207">SUMPRODUCT((cli_29[[client]:[client]]=syndicat_etude)*(cli_29[[annee]:[annee]]=Exercice[[Exercice N]:[Exercice N]])*(cli_29[[nbr_clients_realimentes_hiver]:[nbr_clients_realimentes_hiver]]))</f>
        <v>350</v>
      </c>
      <c r="H207" s="133">
        <f>IFERROR(G207/F207-1,"")</f>
        <v>3.8575667655786461E-2</v>
      </c>
    </row>
    <row r="208" spans="1:8" ht="15" customHeight="1" x14ac:dyDescent="0.25"/>
    <row r="209" spans="1:8" ht="15" customHeight="1" x14ac:dyDescent="0.25"/>
    <row r="210" spans="1:8" ht="15" customHeight="1" x14ac:dyDescent="0.25"/>
    <row r="211" spans="1:8" ht="30" customHeight="1" x14ac:dyDescent="0.25">
      <c r="A211" s="28" t="s">
        <v>1169</v>
      </c>
      <c r="B211" s="66" t="s">
        <v>1170</v>
      </c>
      <c r="C211" s="67" cm="1">
        <f t="array" ref="C211">Exercice[Exercice N-4]</f>
        <v>2019</v>
      </c>
      <c r="D211" s="67" cm="1">
        <f t="array" ref="D211">Exercice[Exercice N-3]</f>
        <v>2020</v>
      </c>
      <c r="E211" s="67" cm="1">
        <f t="array" ref="E211">Exercice[Exercice N-2]</f>
        <v>2021</v>
      </c>
      <c r="F211" s="67" cm="1">
        <f t="array" ref="F211">Exercice[Exercice N-1]</f>
        <v>2022</v>
      </c>
      <c r="G211" s="67" cm="1">
        <f t="array" ref="G211">Exercice[Exercice N]</f>
        <v>2023</v>
      </c>
      <c r="H211" s="68" t="s">
        <v>273</v>
      </c>
    </row>
    <row r="212" spans="1:8" ht="15" customHeight="1" x14ac:dyDescent="0.25">
      <c r="B212" s="337" t="s">
        <v>1171</v>
      </c>
      <c r="C212" s="19" cm="1">
        <f t="array" ref="C212">SUMPRODUCT((cli_30[[client]:[client]]=syndicat_etude)*(cli_30[[annee]:[annee]]=Exercice[[Exercice N-4]:[Exercice N-4]])*(cli_30[[valeur]:[valeur]])*(cli_30[[libelle_crac]:[libelle_crac]]=$B212))</f>
        <v>730</v>
      </c>
      <c r="D212" s="19" cm="1">
        <f t="array" ref="D212">SUMPRODUCT((cli_30[[client]:[client]]=syndicat_etude)*(cli_30[[annee]:[annee]]=Exercice[[Exercice N-3]:[Exercice N-3]])*(cli_30[[valeur]:[valeur]])*(cli_30[[libelle_crac]:[libelle_crac]]=$B212))</f>
        <v>256</v>
      </c>
      <c r="E212" s="19" cm="1">
        <f t="array" ref="E212">SUMPRODUCT((cli_30[[client]:[client]]=syndicat_etude)*(cli_30[[annee]:[annee]]=Exercice[[Exercice N-2]:[Exercice N-2]])*(cli_30[[valeur]:[valeur]])*(cli_30[[libelle_crac]:[libelle_crac]]=$B212))</f>
        <v>533</v>
      </c>
      <c r="F212" s="19" cm="1">
        <f t="array" ref="F212">SUMPRODUCT((cli_30[[client]:[client]]=syndicat_etude)*(cli_30[[annee]:[annee]]=Exercice[[Exercice N-1]:[Exercice N-1]])*(cli_30[[valeur]:[valeur]])*(cli_30[[libelle_crac]:[libelle_crac]]=$B212))</f>
        <v>454</v>
      </c>
      <c r="G212" s="19" cm="1">
        <f t="array" ref="G212">SUMPRODUCT((cli_30[[client]:[client]]=syndicat_etude)*(cli_30[[annee]:[annee]]=Exercice[[Exercice N]:[Exercice N]])*(cli_30[[valeur]:[valeur]])*(cli_30[[libelle_crac]:[libelle_crac]]=$B212))</f>
        <v>317</v>
      </c>
      <c r="H212" s="120">
        <f>IFERROR(G212/F212-1,"")</f>
        <v>-0.30176211453744495</v>
      </c>
    </row>
    <row r="213" spans="1:8" ht="15" customHeight="1" x14ac:dyDescent="0.25">
      <c r="B213" s="337" t="s">
        <v>1172</v>
      </c>
      <c r="C213" s="19" cm="1">
        <f t="array" ref="C213">SUMPRODUCT((cli_30[[client]:[client]]=syndicat_etude)*(cli_30[[annee]:[annee]]=Exercice[[Exercice N-4]:[Exercice N-4]])*(cli_30[[valeur]:[valeur]])*(cli_30[[libelle_crac]:[libelle_crac]]=$B213))</f>
        <v>1122</v>
      </c>
      <c r="D213" s="19" cm="1">
        <f t="array" ref="D213">SUMPRODUCT((cli_30[[client]:[client]]=syndicat_etude)*(cli_30[[annee]:[annee]]=Exercice[[Exercice N-3]:[Exercice N-3]])*(cli_30[[valeur]:[valeur]])*(cli_30[[libelle_crac]:[libelle_crac]]=$B213))</f>
        <v>650</v>
      </c>
      <c r="E213" s="19" cm="1">
        <f t="array" ref="E213">SUMPRODUCT((cli_30[[client]:[client]]=syndicat_etude)*(cli_30[[annee]:[annee]]=Exercice[[Exercice N-2]:[Exercice N-2]])*(cli_30[[valeur]:[valeur]])*(cli_30[[libelle_crac]:[libelle_crac]]=$B213))</f>
        <v>1158</v>
      </c>
      <c r="F213" s="19" cm="1">
        <f t="array" ref="F213">SUMPRODUCT((cli_30[[client]:[client]]=syndicat_etude)*(cli_30[[annee]:[annee]]=Exercice[[Exercice N-1]:[Exercice N-1]])*(cli_30[[valeur]:[valeur]])*(cli_30[[libelle_crac]:[libelle_crac]]=$B213))</f>
        <v>1464</v>
      </c>
      <c r="G213" s="19" cm="1">
        <f t="array" ref="G213">SUMPRODUCT((cli_30[[client]:[client]]=syndicat_etude)*(cli_30[[annee]:[annee]]=Exercice[[Exercice N]:[Exercice N]])*(cli_30[[valeur]:[valeur]])*(cli_30[[libelle_crac]:[libelle_crac]]=$B213))</f>
        <v>1433</v>
      </c>
      <c r="H213" s="120">
        <f>IFERROR(G213/F213-1,"")</f>
        <v>-2.1174863387978138E-2</v>
      </c>
    </row>
    <row r="214" spans="1:8" ht="15" customHeight="1" x14ac:dyDescent="0.25">
      <c r="B214" s="170" t="s">
        <v>1173</v>
      </c>
      <c r="C214" s="392" cm="1">
        <f t="array" ref="C214">SUMPRODUCT((cli_30[[client]:[client]]=syndicat_etude)*(cli_30[[annee]:[annee]]=Exercice[[Exercice N-4]:[Exercice N-4]])*(cli_30[[valeur]:[valeur]])*(cli_30[[libelle_crac]:[libelle_crac]]=$B214))</f>
        <v>258</v>
      </c>
      <c r="D214" s="392" cm="1">
        <f t="array" ref="D214">SUMPRODUCT((cli_30[[client]:[client]]=syndicat_etude)*(cli_30[[annee]:[annee]]=Exercice[[Exercice N-3]:[Exercice N-3]])*(cli_30[[valeur]:[valeur]])*(cli_30[[libelle_crac]:[libelle_crac]]=$B214))</f>
        <v>172</v>
      </c>
      <c r="E214" s="392" cm="1">
        <f t="array" ref="E214">SUMPRODUCT((cli_30[[client]:[client]]=syndicat_etude)*(cli_30[[annee]:[annee]]=Exercice[[Exercice N-2]:[Exercice N-2]])*(cli_30[[valeur]:[valeur]])*(cli_30[[libelle_crac]:[libelle_crac]]=$B214))</f>
        <v>214</v>
      </c>
      <c r="F214" s="392" cm="1">
        <f t="array" ref="F214">SUMPRODUCT((cli_30[[client]:[client]]=syndicat_etude)*(cli_30[[annee]:[annee]]=Exercice[[Exercice N-1]:[Exercice N-1]])*(cli_30[[valeur]:[valeur]])*(cli_30[[libelle_crac]:[libelle_crac]]=$B214))</f>
        <v>308</v>
      </c>
      <c r="G214" s="392" cm="1">
        <f t="array" ref="G214">SUMPRODUCT((cli_30[[client]:[client]]=syndicat_etude)*(cli_30[[annee]:[annee]]=Exercice[[Exercice N]:[Exercice N]])*(cli_30[[valeur]:[valeur]])*(cli_30[[libelle_crac]:[libelle_crac]]=$B214))</f>
        <v>287</v>
      </c>
      <c r="H214" s="133">
        <f>IFERROR(G214/F214-1,"")</f>
        <v>-6.8181818181818232E-2</v>
      </c>
    </row>
    <row r="215" spans="1:8" ht="15" customHeight="1" x14ac:dyDescent="0.25"/>
    <row r="216" spans="1:8" ht="15" customHeight="1" x14ac:dyDescent="0.25"/>
    <row r="217" spans="1:8" ht="30" customHeight="1" x14ac:dyDescent="0.25">
      <c r="A217" s="28" t="s">
        <v>1174</v>
      </c>
      <c r="B217" s="66" t="s">
        <v>1175</v>
      </c>
      <c r="C217" s="67" cm="1">
        <f t="array" ref="C217">Exercice[Exercice N-4]</f>
        <v>2019</v>
      </c>
      <c r="D217" s="67" cm="1">
        <f t="array" ref="D217">Exercice[Exercice N-3]</f>
        <v>2020</v>
      </c>
      <c r="E217" s="67" cm="1">
        <f t="array" ref="E217">Exercice[Exercice N-2]</f>
        <v>2021</v>
      </c>
      <c r="F217" s="67" cm="1">
        <f t="array" ref="F217">Exercice[Exercice N-1]</f>
        <v>2022</v>
      </c>
      <c r="G217" s="67" cm="1">
        <f t="array" ref="G217">Exercice[Exercice N]</f>
        <v>2023</v>
      </c>
      <c r="H217" s="68" t="s">
        <v>273</v>
      </c>
    </row>
    <row r="218" spans="1:8" ht="27.6" customHeight="1" x14ac:dyDescent="0.25">
      <c r="B218" s="170" t="s">
        <v>1176</v>
      </c>
      <c r="C218" s="360" cm="1">
        <f t="array" ref="C218">SUMPRODUCT((cli_34[[client]:[client]]=syndicat_etude)*(cli_34[[annee]:[annee]]=Exercice[[Exercice N-4]:[Exercice N-4]])*(cli_34[[valeur]:[valeur]])*(cli_34[[libelle_crac]:[libelle_crac]]=$B218))</f>
        <v>10099</v>
      </c>
      <c r="D218" s="360" cm="1">
        <f t="array" ref="D218">SUMPRODUCT((cli_34[[client]:[client]]=syndicat_etude)*(cli_34[[annee]:[annee]]=Exercice[[Exercice N-3]:[Exercice N-3]])*(cli_34[[valeur]:[valeur]])*(cli_34[[libelle_crac]:[libelle_crac]]=$B218))</f>
        <v>10817</v>
      </c>
      <c r="E218" s="360" cm="1">
        <f t="array" ref="E218">SUMPRODUCT((cli_34[[client]:[client]]=syndicat_etude)*(cli_34[[annee]:[annee]]=Exercice[[Exercice N-2]:[Exercice N-2]])*(cli_34[[valeur]:[valeur]])*(cli_34[[libelle_crac]:[libelle_crac]]=$B218))</f>
        <v>10326</v>
      </c>
      <c r="F218" s="360" cm="1">
        <f t="array" ref="F218">SUMPRODUCT((cli_34[[client]:[client]]=syndicat_etude)*(cli_34[[annee]:[annee]]=Exercice[[Exercice N-1]:[Exercice N-1]])*(cli_34[[valeur]:[valeur]])*(cli_34[[libelle_crac]:[libelle_crac]]=$B218))</f>
        <v>10521</v>
      </c>
      <c r="G218" s="360" cm="1">
        <f t="array" ref="G218">SUMPRODUCT((cli_34[[client]:[client]]=syndicat_etude)*(cli_34[[annee]:[annee]]=Exercice[[Exercice N]:[Exercice N]])*(cli_34[[valeur]:[valeur]])*(cli_34[[libelle_crac]:[libelle_crac]]=$B218))</f>
        <v>10308</v>
      </c>
      <c r="H218" s="133">
        <f>IFERROR(G218/F218-1,"")</f>
        <v>-2.0245223838038173E-2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D0DA-A180-4877-9FA0-E3719C490AA6}">
  <sheetPr codeName="Feuil10">
    <tabColor theme="5" tint="0.39997558519241921"/>
  </sheetPr>
  <dimension ref="A1:CF146"/>
  <sheetViews>
    <sheetView topLeftCell="A21" zoomScaleNormal="100" workbookViewId="0">
      <selection activeCell="C55" sqref="C55"/>
    </sheetView>
  </sheetViews>
  <sheetFormatPr defaultColWidth="11.42578125" defaultRowHeight="12" x14ac:dyDescent="0.25"/>
  <cols>
    <col min="1" max="1" width="11.42578125" style="25"/>
    <col min="2" max="2" width="35.7109375" style="25" bestFit="1" customWidth="1"/>
    <col min="3" max="3" width="15" style="25" customWidth="1"/>
    <col min="4" max="4" width="11.28515625" style="25" customWidth="1"/>
    <col min="5" max="5" width="14" style="25" customWidth="1"/>
    <col min="6" max="16384" width="11.42578125" style="25"/>
  </cols>
  <sheetData>
    <row r="1" spans="1:84" ht="40.15" customHeight="1" x14ac:dyDescent="0.25">
      <c r="A1" s="97" t="s">
        <v>1177</v>
      </c>
    </row>
    <row r="3" spans="1:84" ht="30" customHeight="1" x14ac:dyDescent="0.25">
      <c r="B3" s="423" t="s">
        <v>1178</v>
      </c>
      <c r="C3" s="424" t="s">
        <v>1179</v>
      </c>
      <c r="D3" s="424">
        <v>1946</v>
      </c>
      <c r="E3" s="424">
        <v>1947</v>
      </c>
      <c r="F3" s="424">
        <v>1948</v>
      </c>
      <c r="G3" s="424">
        <v>1949</v>
      </c>
      <c r="H3" s="424">
        <v>1950</v>
      </c>
      <c r="I3" s="424">
        <v>1951</v>
      </c>
      <c r="J3" s="424">
        <v>1952</v>
      </c>
      <c r="K3" s="424">
        <v>1953</v>
      </c>
      <c r="L3" s="424">
        <v>1954</v>
      </c>
      <c r="M3" s="424">
        <v>1955</v>
      </c>
      <c r="N3" s="424">
        <v>1956</v>
      </c>
      <c r="O3" s="424">
        <v>1957</v>
      </c>
      <c r="P3" s="424">
        <v>1958</v>
      </c>
      <c r="Q3" s="424">
        <v>1959</v>
      </c>
      <c r="R3" s="424">
        <v>1960</v>
      </c>
      <c r="S3" s="424">
        <v>1961</v>
      </c>
      <c r="T3" s="424">
        <v>1962</v>
      </c>
      <c r="U3" s="424">
        <v>1963</v>
      </c>
      <c r="V3" s="424">
        <v>1964</v>
      </c>
      <c r="W3" s="424">
        <v>1965</v>
      </c>
      <c r="X3" s="424">
        <v>1966</v>
      </c>
      <c r="Y3" s="424">
        <v>1967</v>
      </c>
      <c r="Z3" s="424">
        <v>1968</v>
      </c>
      <c r="AA3" s="424">
        <v>1969</v>
      </c>
      <c r="AB3" s="424">
        <v>1970</v>
      </c>
      <c r="AC3" s="424">
        <v>1971</v>
      </c>
      <c r="AD3" s="424">
        <v>1972</v>
      </c>
      <c r="AE3" s="424">
        <v>1973</v>
      </c>
      <c r="AF3" s="424">
        <v>1974</v>
      </c>
      <c r="AG3" s="424">
        <v>1975</v>
      </c>
      <c r="AH3" s="424">
        <v>1976</v>
      </c>
      <c r="AI3" s="424">
        <v>1977</v>
      </c>
      <c r="AJ3" s="424">
        <v>1978</v>
      </c>
      <c r="AK3" s="424">
        <v>1979</v>
      </c>
      <c r="AL3" s="424">
        <v>1980</v>
      </c>
      <c r="AM3" s="424">
        <v>1981</v>
      </c>
      <c r="AN3" s="424">
        <v>1982</v>
      </c>
      <c r="AO3" s="424">
        <v>1983</v>
      </c>
      <c r="AP3" s="424">
        <v>1984</v>
      </c>
      <c r="AQ3" s="424">
        <v>1985</v>
      </c>
      <c r="AR3" s="424">
        <v>1986</v>
      </c>
      <c r="AS3" s="424">
        <v>1987</v>
      </c>
      <c r="AT3" s="424">
        <v>1988</v>
      </c>
      <c r="AU3" s="424">
        <v>1989</v>
      </c>
      <c r="AV3" s="424">
        <v>1990</v>
      </c>
      <c r="AW3" s="424">
        <v>1991</v>
      </c>
      <c r="AX3" s="424">
        <v>1992</v>
      </c>
      <c r="AY3" s="424">
        <v>1993</v>
      </c>
      <c r="AZ3" s="424">
        <v>1994</v>
      </c>
      <c r="BA3" s="424">
        <v>1995</v>
      </c>
      <c r="BB3" s="424">
        <v>1996</v>
      </c>
      <c r="BC3" s="424">
        <v>1997</v>
      </c>
      <c r="BD3" s="424">
        <v>1998</v>
      </c>
      <c r="BE3" s="424">
        <v>1999</v>
      </c>
      <c r="BF3" s="424">
        <v>2000</v>
      </c>
      <c r="BG3" s="424">
        <v>2001</v>
      </c>
      <c r="BH3" s="424">
        <v>2002</v>
      </c>
      <c r="BI3" s="424">
        <v>2003</v>
      </c>
      <c r="BJ3" s="424">
        <v>2004</v>
      </c>
      <c r="BK3" s="424">
        <v>2005</v>
      </c>
      <c r="BL3" s="424">
        <v>2006</v>
      </c>
      <c r="BM3" s="424">
        <v>2007</v>
      </c>
      <c r="BN3" s="424">
        <v>2008</v>
      </c>
      <c r="BO3" s="424">
        <v>2009</v>
      </c>
      <c r="BP3" s="424">
        <v>2010</v>
      </c>
      <c r="BQ3" s="424">
        <v>2011</v>
      </c>
      <c r="BR3" s="424">
        <v>2012</v>
      </c>
      <c r="BS3" s="424">
        <v>2013</v>
      </c>
      <c r="BT3" s="424">
        <v>2014</v>
      </c>
      <c r="BU3" s="424">
        <v>2015</v>
      </c>
      <c r="BV3" s="424">
        <v>2016</v>
      </c>
      <c r="BW3" s="424">
        <v>2017</v>
      </c>
      <c r="BX3" s="424">
        <v>2018</v>
      </c>
      <c r="BY3" s="424">
        <v>2019</v>
      </c>
      <c r="BZ3" s="424">
        <v>2020</v>
      </c>
      <c r="CA3" s="424">
        <v>2021</v>
      </c>
      <c r="CB3" s="424">
        <v>2022</v>
      </c>
      <c r="CC3" s="425">
        <v>2023</v>
      </c>
      <c r="CD3" s="399"/>
      <c r="CE3" s="399"/>
      <c r="CF3" s="399"/>
    </row>
    <row r="4" spans="1:84" x14ac:dyDescent="0.25">
      <c r="B4" s="429" t="s">
        <v>248</v>
      </c>
      <c r="C4" s="264" cm="1">
        <f t="array" ref="C4">SUMPRODUCT((evolution_hta_par_typologie[[client]:[client]]=syndicat_etude)*(evolution_hta_par_typologie[[annee]:[annee]]=Exercice[[Exercice N]:[Exercice N]])*(evolution_hta_par_typologie[[annee_mes]:[annee_mes]]&lt;1946)*(evolution_hta_par_typologie[[lineaire_hta_nu_HFS]:[lineaire_hta_nu_HFS]]))</f>
        <v>0</v>
      </c>
      <c r="D4" s="264" cm="1">
        <f t="array" ref="D4">SUMPRODUCT((evolution_hta_par_typologie[[client]:[client]]=syndicat_etude)*(evolution_hta_par_typologie[[annee]:[annee]]=Exercice[[Exercice N]:[Exercice N]])*(evolution_hta_par_typologie[[annee_mes]:[annee_mes]]=D$3)*(evolution_hta_par_typologie[[lineaire_hta_nu_HFS]:[lineaire_hta_nu_HFS]]))</f>
        <v>0.48</v>
      </c>
      <c r="E4" s="264" cm="1">
        <f t="array" ref="E4">SUMPRODUCT((evolution_hta_par_typologie[[client]:[client]]=syndicat_etude)*(evolution_hta_par_typologie[[annee]:[annee]]=Exercice[[Exercice N]:[Exercice N]])*(evolution_hta_par_typologie[[annee_mes]:[annee_mes]]=E$3)*(evolution_hta_par_typologie[[lineaire_hta_nu_HFS]:[lineaire_hta_nu_HFS]]))</f>
        <v>2.31</v>
      </c>
      <c r="F4" s="264" cm="1">
        <f t="array" ref="F4">SUMPRODUCT((evolution_hta_par_typologie[[client]:[client]]=syndicat_etude)*(evolution_hta_par_typologie[[annee]:[annee]]=Exercice[[Exercice N]:[Exercice N]])*(evolution_hta_par_typologie[[annee_mes]:[annee_mes]]=F$3)*(evolution_hta_par_typologie[[lineaire_hta_nu_HFS]:[lineaire_hta_nu_HFS]]))</f>
        <v>1.65</v>
      </c>
      <c r="G4" s="264" cm="1">
        <f t="array" ref="G4">SUMPRODUCT((evolution_hta_par_typologie[[client]:[client]]=syndicat_etude)*(evolution_hta_par_typologie[[annee]:[annee]]=Exercice[[Exercice N]:[Exercice N]])*(evolution_hta_par_typologie[[annee_mes]:[annee_mes]]=G$3)*(evolution_hta_par_typologie[[lineaire_hta_nu_HFS]:[lineaire_hta_nu_HFS]]))</f>
        <v>1.75</v>
      </c>
      <c r="H4" s="264" cm="1">
        <f t="array" ref="H4">SUMPRODUCT((evolution_hta_par_typologie[[client]:[client]]=syndicat_etude)*(evolution_hta_par_typologie[[annee]:[annee]]=Exercice[[Exercice N]:[Exercice N]])*(evolution_hta_par_typologie[[annee_mes]:[annee_mes]]=H$3)*(evolution_hta_par_typologie[[lineaire_hta_nu_HFS]:[lineaire_hta_nu_HFS]]))</f>
        <v>4.17</v>
      </c>
      <c r="I4" s="264" cm="1">
        <f t="array" ref="I4">SUMPRODUCT((evolution_hta_par_typologie[[client]:[client]]=syndicat_etude)*(evolution_hta_par_typologie[[annee]:[annee]]=Exercice[[Exercice N]:[Exercice N]])*(evolution_hta_par_typologie[[annee_mes]:[annee_mes]]=I$3)*(evolution_hta_par_typologie[[lineaire_hta_nu_HFS]:[lineaire_hta_nu_HFS]]))</f>
        <v>1.56</v>
      </c>
      <c r="J4" s="264" cm="1">
        <f t="array" ref="J4">SUMPRODUCT((evolution_hta_par_typologie[[client]:[client]]=syndicat_etude)*(evolution_hta_par_typologie[[annee]:[annee]]=Exercice[[Exercice N]:[Exercice N]])*(evolution_hta_par_typologie[[annee_mes]:[annee_mes]]=J$3)*(evolution_hta_par_typologie[[lineaire_hta_nu_HFS]:[lineaire_hta_nu_HFS]]))</f>
        <v>0.32</v>
      </c>
      <c r="K4" s="264" cm="1">
        <f t="array" ref="K4">SUMPRODUCT((evolution_hta_par_typologie[[client]:[client]]=syndicat_etude)*(evolution_hta_par_typologie[[annee]:[annee]]=Exercice[[Exercice N]:[Exercice N]])*(evolution_hta_par_typologie[[annee_mes]:[annee_mes]]=K$3)*(evolution_hta_par_typologie[[lineaire_hta_nu_HFS]:[lineaire_hta_nu_HFS]]))</f>
        <v>0.09</v>
      </c>
      <c r="L4" s="264" cm="1">
        <f t="array" ref="L4">SUMPRODUCT((evolution_hta_par_typologie[[client]:[client]]=syndicat_etude)*(evolution_hta_par_typologie[[annee]:[annee]]=Exercice[[Exercice N]:[Exercice N]])*(evolution_hta_par_typologie[[annee_mes]:[annee_mes]]=L$3)*(evolution_hta_par_typologie[[lineaire_hta_nu_HFS]:[lineaire_hta_nu_HFS]]))</f>
        <v>0.27</v>
      </c>
      <c r="M4" s="264" cm="1">
        <f t="array" ref="M4">SUMPRODUCT((evolution_hta_par_typologie[[client]:[client]]=syndicat_etude)*(evolution_hta_par_typologie[[annee]:[annee]]=Exercice[[Exercice N]:[Exercice N]])*(evolution_hta_par_typologie[[annee_mes]:[annee_mes]]=M$3)*(evolution_hta_par_typologie[[lineaire_hta_nu_HFS]:[lineaire_hta_nu_HFS]]))</f>
        <v>4.28</v>
      </c>
      <c r="N4" s="264" cm="1">
        <f t="array" ref="N4">SUMPRODUCT((evolution_hta_par_typologie[[client]:[client]]=syndicat_etude)*(evolution_hta_par_typologie[[annee]:[annee]]=Exercice[[Exercice N]:[Exercice N]])*(evolution_hta_par_typologie[[annee_mes]:[annee_mes]]=N$3)*(evolution_hta_par_typologie[[lineaire_hta_nu_HFS]:[lineaire_hta_nu_HFS]]))</f>
        <v>3.89</v>
      </c>
      <c r="O4" s="264" cm="1">
        <f t="array" ref="O4">SUMPRODUCT((evolution_hta_par_typologie[[client]:[client]]=syndicat_etude)*(evolution_hta_par_typologie[[annee]:[annee]]=Exercice[[Exercice N]:[Exercice N]])*(evolution_hta_par_typologie[[annee_mes]:[annee_mes]]=O$3)*(evolution_hta_par_typologie[[lineaire_hta_nu_HFS]:[lineaire_hta_nu_HFS]]))</f>
        <v>14.33</v>
      </c>
      <c r="P4" s="264" cm="1">
        <f t="array" ref="P4">SUMPRODUCT((evolution_hta_par_typologie[[client]:[client]]=syndicat_etude)*(evolution_hta_par_typologie[[annee]:[annee]]=Exercice[[Exercice N]:[Exercice N]])*(evolution_hta_par_typologie[[annee_mes]:[annee_mes]]=P$3)*(evolution_hta_par_typologie[[lineaire_hta_nu_HFS]:[lineaire_hta_nu_HFS]]))</f>
        <v>3.22</v>
      </c>
      <c r="Q4" s="264" cm="1">
        <f t="array" ref="Q4">SUMPRODUCT((evolution_hta_par_typologie[[client]:[client]]=syndicat_etude)*(evolution_hta_par_typologie[[annee]:[annee]]=Exercice[[Exercice N]:[Exercice N]])*(evolution_hta_par_typologie[[annee_mes]:[annee_mes]]=Q$3)*(evolution_hta_par_typologie[[lineaire_hta_nu_HFS]:[lineaire_hta_nu_HFS]]))</f>
        <v>8.34</v>
      </c>
      <c r="R4" s="264" cm="1">
        <f t="array" ref="R4">SUMPRODUCT((evolution_hta_par_typologie[[client]:[client]]=syndicat_etude)*(evolution_hta_par_typologie[[annee]:[annee]]=Exercice[[Exercice N]:[Exercice N]])*(evolution_hta_par_typologie[[annee_mes]:[annee_mes]]=R$3)*(evolution_hta_par_typologie[[lineaire_hta_nu_HFS]:[lineaire_hta_nu_HFS]]))</f>
        <v>19.88</v>
      </c>
      <c r="S4" s="264" cm="1">
        <f t="array" ref="S4">SUMPRODUCT((evolution_hta_par_typologie[[client]:[client]]=syndicat_etude)*(evolution_hta_par_typologie[[annee]:[annee]]=Exercice[[Exercice N]:[Exercice N]])*(evolution_hta_par_typologie[[annee_mes]:[annee_mes]]=S$3)*(evolution_hta_par_typologie[[lineaire_hta_nu_HFS]:[lineaire_hta_nu_HFS]]))</f>
        <v>17.93</v>
      </c>
      <c r="T4" s="264" cm="1">
        <f t="array" ref="T4">SUMPRODUCT((evolution_hta_par_typologie[[client]:[client]]=syndicat_etude)*(evolution_hta_par_typologie[[annee]:[annee]]=Exercice[[Exercice N]:[Exercice N]])*(evolution_hta_par_typologie[[annee_mes]:[annee_mes]]=T$3)*(evolution_hta_par_typologie[[lineaire_hta_nu_HFS]:[lineaire_hta_nu_HFS]]))</f>
        <v>37.1</v>
      </c>
      <c r="U4" s="264" cm="1">
        <f t="array" ref="U4">SUMPRODUCT((evolution_hta_par_typologie[[client]:[client]]=syndicat_etude)*(evolution_hta_par_typologie[[annee]:[annee]]=Exercice[[Exercice N]:[Exercice N]])*(evolution_hta_par_typologie[[annee_mes]:[annee_mes]]=U$3)*(evolution_hta_par_typologie[[lineaire_hta_nu_HFS]:[lineaire_hta_nu_HFS]]))</f>
        <v>41.16</v>
      </c>
      <c r="V4" s="264" cm="1">
        <f t="array" ref="V4">SUMPRODUCT((evolution_hta_par_typologie[[client]:[client]]=syndicat_etude)*(evolution_hta_par_typologie[[annee]:[annee]]=Exercice[[Exercice N]:[Exercice N]])*(evolution_hta_par_typologie[[annee_mes]:[annee_mes]]=V$3)*(evolution_hta_par_typologie[[lineaire_hta_nu_HFS]:[lineaire_hta_nu_HFS]]))</f>
        <v>52.53</v>
      </c>
      <c r="W4" s="264" cm="1">
        <f t="array" ref="W4">SUMPRODUCT((evolution_hta_par_typologie[[client]:[client]]=syndicat_etude)*(evolution_hta_par_typologie[[annee]:[annee]]=Exercice[[Exercice N]:[Exercice N]])*(evolution_hta_par_typologie[[annee_mes]:[annee_mes]]=W$3)*(evolution_hta_par_typologie[[lineaire_hta_nu_HFS]:[lineaire_hta_nu_HFS]]))</f>
        <v>68.36</v>
      </c>
      <c r="X4" s="264" cm="1">
        <f t="array" ref="X4">SUMPRODUCT((evolution_hta_par_typologie[[client]:[client]]=syndicat_etude)*(evolution_hta_par_typologie[[annee]:[annee]]=Exercice[[Exercice N]:[Exercice N]])*(evolution_hta_par_typologie[[annee_mes]:[annee_mes]]=X$3)*(evolution_hta_par_typologie[[lineaire_hta_nu_HFS]:[lineaire_hta_nu_HFS]]))</f>
        <v>77.94</v>
      </c>
      <c r="Y4" s="264" cm="1">
        <f t="array" ref="Y4">SUMPRODUCT((evolution_hta_par_typologie[[client]:[client]]=syndicat_etude)*(evolution_hta_par_typologie[[annee]:[annee]]=Exercice[[Exercice N]:[Exercice N]])*(evolution_hta_par_typologie[[annee_mes]:[annee_mes]]=Y$3)*(evolution_hta_par_typologie[[lineaire_hta_nu_HFS]:[lineaire_hta_nu_HFS]]))</f>
        <v>78.92</v>
      </c>
      <c r="Z4" s="264" cm="1">
        <f t="array" ref="Z4">SUMPRODUCT((evolution_hta_par_typologie[[client]:[client]]=syndicat_etude)*(evolution_hta_par_typologie[[annee]:[annee]]=Exercice[[Exercice N]:[Exercice N]])*(evolution_hta_par_typologie[[annee_mes]:[annee_mes]]=Z$3)*(evolution_hta_par_typologie[[lineaire_hta_nu_HFS]:[lineaire_hta_nu_HFS]]))</f>
        <v>47.78</v>
      </c>
      <c r="AA4" s="264" cm="1">
        <f t="array" ref="AA4">SUMPRODUCT((evolution_hta_par_typologie[[client]:[client]]=syndicat_etude)*(evolution_hta_par_typologie[[annee]:[annee]]=Exercice[[Exercice N]:[Exercice N]])*(evolution_hta_par_typologie[[annee_mes]:[annee_mes]]=AA$3)*(evolution_hta_par_typologie[[lineaire_hta_nu_HFS]:[lineaire_hta_nu_HFS]]))</f>
        <v>46.83</v>
      </c>
      <c r="AB4" s="264" cm="1">
        <f t="array" ref="AB4">SUMPRODUCT((evolution_hta_par_typologie[[client]:[client]]=syndicat_etude)*(evolution_hta_par_typologie[[annee]:[annee]]=Exercice[[Exercice N]:[Exercice N]])*(evolution_hta_par_typologie[[annee_mes]:[annee_mes]]=AB$3)*(evolution_hta_par_typologie[[lineaire_hta_nu_HFS]:[lineaire_hta_nu_HFS]]))</f>
        <v>60.58</v>
      </c>
      <c r="AC4" s="264" cm="1">
        <f t="array" ref="AC4">SUMPRODUCT((evolution_hta_par_typologie[[client]:[client]]=syndicat_etude)*(evolution_hta_par_typologie[[annee]:[annee]]=Exercice[[Exercice N]:[Exercice N]])*(evolution_hta_par_typologie[[annee_mes]:[annee_mes]]=AC$3)*(evolution_hta_par_typologie[[lineaire_hta_nu_HFS]:[lineaire_hta_nu_HFS]]))</f>
        <v>46.82</v>
      </c>
      <c r="AD4" s="264" cm="1">
        <f t="array" ref="AD4">SUMPRODUCT((evolution_hta_par_typologie[[client]:[client]]=syndicat_etude)*(evolution_hta_par_typologie[[annee]:[annee]]=Exercice[[Exercice N]:[Exercice N]])*(evolution_hta_par_typologie[[annee_mes]:[annee_mes]]=AD$3)*(evolution_hta_par_typologie[[lineaire_hta_nu_HFS]:[lineaire_hta_nu_HFS]]))</f>
        <v>42.17</v>
      </c>
      <c r="AE4" s="264" cm="1">
        <f t="array" ref="AE4">SUMPRODUCT((evolution_hta_par_typologie[[client]:[client]]=syndicat_etude)*(evolution_hta_par_typologie[[annee]:[annee]]=Exercice[[Exercice N]:[Exercice N]])*(evolution_hta_par_typologie[[annee_mes]:[annee_mes]]=AE$3)*(evolution_hta_par_typologie[[lineaire_hta_nu_HFS]:[lineaire_hta_nu_HFS]]))</f>
        <v>64.510000000000005</v>
      </c>
      <c r="AF4" s="264" cm="1">
        <f t="array" ref="AF4">SUMPRODUCT((evolution_hta_par_typologie[[client]:[client]]=syndicat_etude)*(evolution_hta_par_typologie[[annee]:[annee]]=Exercice[[Exercice N]:[Exercice N]])*(evolution_hta_par_typologie[[annee_mes]:[annee_mes]]=AF$3)*(evolution_hta_par_typologie[[lineaire_hta_nu_HFS]:[lineaire_hta_nu_HFS]]))</f>
        <v>51.13</v>
      </c>
      <c r="AG4" s="264" cm="1">
        <f t="array" ref="AG4">SUMPRODUCT((evolution_hta_par_typologie[[client]:[client]]=syndicat_etude)*(evolution_hta_par_typologie[[annee]:[annee]]=Exercice[[Exercice N]:[Exercice N]])*(evolution_hta_par_typologie[[annee_mes]:[annee_mes]]=AG$3)*(evolution_hta_par_typologie[[lineaire_hta_nu_HFS]:[lineaire_hta_nu_HFS]]))</f>
        <v>32.1</v>
      </c>
      <c r="AH4" s="264" cm="1">
        <f t="array" ref="AH4">SUMPRODUCT((evolution_hta_par_typologie[[client]:[client]]=syndicat_etude)*(evolution_hta_par_typologie[[annee]:[annee]]=Exercice[[Exercice N]:[Exercice N]])*(evolution_hta_par_typologie[[annee_mes]:[annee_mes]]=AH$3)*(evolution_hta_par_typologie[[lineaire_hta_nu_HFS]:[lineaire_hta_nu_HFS]]))</f>
        <v>34.65</v>
      </c>
      <c r="AI4" s="264" cm="1">
        <f t="array" ref="AI4">SUMPRODUCT((evolution_hta_par_typologie[[client]:[client]]=syndicat_etude)*(evolution_hta_par_typologie[[annee]:[annee]]=Exercice[[Exercice N]:[Exercice N]])*(evolution_hta_par_typologie[[annee_mes]:[annee_mes]]=AI$3)*(evolution_hta_par_typologie[[lineaire_hta_nu_HFS]:[lineaire_hta_nu_HFS]]))</f>
        <v>25.12</v>
      </c>
      <c r="AJ4" s="264" cm="1">
        <f t="array" ref="AJ4">SUMPRODUCT((evolution_hta_par_typologie[[client]:[client]]=syndicat_etude)*(evolution_hta_par_typologie[[annee]:[annee]]=Exercice[[Exercice N]:[Exercice N]])*(evolution_hta_par_typologie[[annee_mes]:[annee_mes]]=AJ$3)*(evolution_hta_par_typologie[[lineaire_hta_nu_HFS]:[lineaire_hta_nu_HFS]]))</f>
        <v>43.28</v>
      </c>
      <c r="AK4" s="264" cm="1">
        <f t="array" ref="AK4">SUMPRODUCT((evolution_hta_par_typologie[[client]:[client]]=syndicat_etude)*(evolution_hta_par_typologie[[annee]:[annee]]=Exercice[[Exercice N]:[Exercice N]])*(evolution_hta_par_typologie[[annee_mes]:[annee_mes]]=AK$3)*(evolution_hta_par_typologie[[lineaire_hta_nu_HFS]:[lineaire_hta_nu_HFS]]))</f>
        <v>52.23</v>
      </c>
      <c r="AL4" s="264" cm="1">
        <f t="array" ref="AL4">SUMPRODUCT((evolution_hta_par_typologie[[client]:[client]]=syndicat_etude)*(evolution_hta_par_typologie[[annee]:[annee]]=Exercice[[Exercice N]:[Exercice N]])*(evolution_hta_par_typologie[[annee_mes]:[annee_mes]]=AL$3)*(evolution_hta_par_typologie[[lineaire_hta_nu_HFS]:[lineaire_hta_nu_HFS]]))</f>
        <v>28.67</v>
      </c>
      <c r="AM4" s="264" cm="1">
        <f t="array" ref="AM4">SUMPRODUCT((evolution_hta_par_typologie[[client]:[client]]=syndicat_etude)*(evolution_hta_par_typologie[[annee]:[annee]]=Exercice[[Exercice N]:[Exercice N]])*(evolution_hta_par_typologie[[annee_mes]:[annee_mes]]=AM$3)*(evolution_hta_par_typologie[[lineaire_hta_nu_HFS]:[lineaire_hta_nu_HFS]]))</f>
        <v>19.29</v>
      </c>
      <c r="AN4" s="264" cm="1">
        <f t="array" ref="AN4">SUMPRODUCT((evolution_hta_par_typologie[[client]:[client]]=syndicat_etude)*(evolution_hta_par_typologie[[annee]:[annee]]=Exercice[[Exercice N]:[Exercice N]])*(evolution_hta_par_typologie[[annee_mes]:[annee_mes]]=AN$3)*(evolution_hta_par_typologie[[lineaire_hta_nu_HFS]:[lineaire_hta_nu_HFS]]))</f>
        <v>59.36</v>
      </c>
      <c r="AO4" s="264" cm="1">
        <f t="array" ref="AO4">SUMPRODUCT((evolution_hta_par_typologie[[client]:[client]]=syndicat_etude)*(evolution_hta_par_typologie[[annee]:[annee]]=Exercice[[Exercice N]:[Exercice N]])*(evolution_hta_par_typologie[[annee_mes]:[annee_mes]]=AO$3)*(evolution_hta_par_typologie[[lineaire_hta_nu_HFS]:[lineaire_hta_nu_HFS]]))</f>
        <v>52.11</v>
      </c>
      <c r="AP4" s="264" cm="1">
        <f t="array" ref="AP4">SUMPRODUCT((evolution_hta_par_typologie[[client]:[client]]=syndicat_etude)*(evolution_hta_par_typologie[[annee]:[annee]]=Exercice[[Exercice N]:[Exercice N]])*(evolution_hta_par_typologie[[annee_mes]:[annee_mes]]=AP$3)*(evolution_hta_par_typologie[[lineaire_hta_nu_HFS]:[lineaire_hta_nu_HFS]]))</f>
        <v>83.77</v>
      </c>
      <c r="AQ4" s="264" cm="1">
        <f t="array" ref="AQ4">SUMPRODUCT((evolution_hta_par_typologie[[client]:[client]]=syndicat_etude)*(evolution_hta_par_typologie[[annee]:[annee]]=Exercice[[Exercice N]:[Exercice N]])*(evolution_hta_par_typologie[[annee_mes]:[annee_mes]]=AQ$3)*(evolution_hta_par_typologie[[lineaire_hta_nu_HFS]:[lineaire_hta_nu_HFS]]))</f>
        <v>89.03</v>
      </c>
      <c r="AR4" s="264" cm="1">
        <f t="array" ref="AR4">SUMPRODUCT((evolution_hta_par_typologie[[client]:[client]]=syndicat_etude)*(evolution_hta_par_typologie[[annee]:[annee]]=Exercice[[Exercice N]:[Exercice N]])*(evolution_hta_par_typologie[[annee_mes]:[annee_mes]]=AR$3)*(evolution_hta_par_typologie[[lineaire_hta_nu_HFS]:[lineaire_hta_nu_HFS]]))</f>
        <v>60.55</v>
      </c>
      <c r="AS4" s="264" cm="1">
        <f t="array" ref="AS4">SUMPRODUCT((evolution_hta_par_typologie[[client]:[client]]=syndicat_etude)*(evolution_hta_par_typologie[[annee]:[annee]]=Exercice[[Exercice N]:[Exercice N]])*(evolution_hta_par_typologie[[annee_mes]:[annee_mes]]=AS$3)*(evolution_hta_par_typologie[[lineaire_hta_nu_HFS]:[lineaire_hta_nu_HFS]]))</f>
        <v>98.16</v>
      </c>
      <c r="AT4" s="264" cm="1">
        <f t="array" ref="AT4">SUMPRODUCT((evolution_hta_par_typologie[[client]:[client]]=syndicat_etude)*(evolution_hta_par_typologie[[annee]:[annee]]=Exercice[[Exercice N]:[Exercice N]])*(evolution_hta_par_typologie[[annee_mes]:[annee_mes]]=AT$3)*(evolution_hta_par_typologie[[lineaire_hta_nu_HFS]:[lineaire_hta_nu_HFS]]))</f>
        <v>168.86</v>
      </c>
      <c r="AU4" s="264" cm="1">
        <f t="array" ref="AU4">SUMPRODUCT((evolution_hta_par_typologie[[client]:[client]]=syndicat_etude)*(evolution_hta_par_typologie[[annee]:[annee]]=Exercice[[Exercice N]:[Exercice N]])*(evolution_hta_par_typologie[[annee_mes]:[annee_mes]]=AU$3)*(evolution_hta_par_typologie[[lineaire_hta_nu_HFS]:[lineaire_hta_nu_HFS]]))</f>
        <v>133.66999999999999</v>
      </c>
      <c r="AV4" s="264" cm="1">
        <f t="array" ref="AV4">SUMPRODUCT((evolution_hta_par_typologie[[client]:[client]]=syndicat_etude)*(evolution_hta_par_typologie[[annee]:[annee]]=Exercice[[Exercice N]:[Exercice N]])*(evolution_hta_par_typologie[[annee_mes]:[annee_mes]]=AV$3)*(evolution_hta_par_typologie[[lineaire_hta_nu_HFS]:[lineaire_hta_nu_HFS]]))</f>
        <v>96.57</v>
      </c>
      <c r="AW4" s="264" cm="1">
        <f t="array" ref="AW4">SUMPRODUCT((evolution_hta_par_typologie[[client]:[client]]=syndicat_etude)*(evolution_hta_par_typologie[[annee]:[annee]]=Exercice[[Exercice N]:[Exercice N]])*(evolution_hta_par_typologie[[annee_mes]:[annee_mes]]=AW$3)*(evolution_hta_par_typologie[[lineaire_hta_nu_HFS]:[lineaire_hta_nu_HFS]]))</f>
        <v>108.36</v>
      </c>
      <c r="AX4" s="264" cm="1">
        <f t="array" ref="AX4">SUMPRODUCT((evolution_hta_par_typologie[[client]:[client]]=syndicat_etude)*(evolution_hta_par_typologie[[annee]:[annee]]=Exercice[[Exercice N]:[Exercice N]])*(evolution_hta_par_typologie[[annee_mes]:[annee_mes]]=AX$3)*(evolution_hta_par_typologie[[lineaire_hta_nu_HFS]:[lineaire_hta_nu_HFS]]))</f>
        <v>101.83</v>
      </c>
      <c r="AY4" s="264" cm="1">
        <f t="array" ref="AY4">SUMPRODUCT((evolution_hta_par_typologie[[client]:[client]]=syndicat_etude)*(evolution_hta_par_typologie[[annee]:[annee]]=Exercice[[Exercice N]:[Exercice N]])*(evolution_hta_par_typologie[[annee_mes]:[annee_mes]]=AY$3)*(evolution_hta_par_typologie[[lineaire_hta_nu_HFS]:[lineaire_hta_nu_HFS]]))</f>
        <v>38.03</v>
      </c>
      <c r="AZ4" s="264" cm="1">
        <f t="array" ref="AZ4">SUMPRODUCT((evolution_hta_par_typologie[[client]:[client]]=syndicat_etude)*(evolution_hta_par_typologie[[annee]:[annee]]=Exercice[[Exercice N]:[Exercice N]])*(evolution_hta_par_typologie[[annee_mes]:[annee_mes]]=AZ$3)*(evolution_hta_par_typologie[[lineaire_hta_nu_HFS]:[lineaire_hta_nu_HFS]]))</f>
        <v>17.739999999999998</v>
      </c>
      <c r="BA4" s="264" cm="1">
        <f t="array" ref="BA4">SUMPRODUCT((evolution_hta_par_typologie[[client]:[client]]=syndicat_etude)*(evolution_hta_par_typologie[[annee]:[annee]]=Exercice[[Exercice N]:[Exercice N]])*(evolution_hta_par_typologie[[annee_mes]:[annee_mes]]=BA$3)*(evolution_hta_par_typologie[[lineaire_hta_nu_HFS]:[lineaire_hta_nu_HFS]]))</f>
        <v>15.78</v>
      </c>
      <c r="BB4" s="264" cm="1">
        <f t="array" ref="BB4">SUMPRODUCT((evolution_hta_par_typologie[[client]:[client]]=syndicat_etude)*(evolution_hta_par_typologie[[annee]:[annee]]=Exercice[[Exercice N]:[Exercice N]])*(evolution_hta_par_typologie[[annee_mes]:[annee_mes]]=BB$3)*(evolution_hta_par_typologie[[lineaire_hta_nu_HFS]:[lineaire_hta_nu_HFS]]))</f>
        <v>16.48</v>
      </c>
      <c r="BC4" s="264" cm="1">
        <f t="array" ref="BC4">SUMPRODUCT((evolution_hta_par_typologie[[client]:[client]]=syndicat_etude)*(evolution_hta_par_typologie[[annee]:[annee]]=Exercice[[Exercice N]:[Exercice N]])*(evolution_hta_par_typologie[[annee_mes]:[annee_mes]]=BC$3)*(evolution_hta_par_typologie[[lineaire_hta_nu_HFS]:[lineaire_hta_nu_HFS]]))</f>
        <v>6.38</v>
      </c>
      <c r="BD4" s="264" cm="1">
        <f t="array" ref="BD4">SUMPRODUCT((evolution_hta_par_typologie[[client]:[client]]=syndicat_etude)*(evolution_hta_par_typologie[[annee]:[annee]]=Exercice[[Exercice N]:[Exercice N]])*(evolution_hta_par_typologie[[annee_mes]:[annee_mes]]=BD$3)*(evolution_hta_par_typologie[[lineaire_hta_nu_HFS]:[lineaire_hta_nu_HFS]]))</f>
        <v>7.19</v>
      </c>
      <c r="BE4" s="264" cm="1">
        <f t="array" ref="BE4">SUMPRODUCT((evolution_hta_par_typologie[[client]:[client]]=syndicat_etude)*(evolution_hta_par_typologie[[annee]:[annee]]=Exercice[[Exercice N]:[Exercice N]])*(evolution_hta_par_typologie[[annee_mes]:[annee_mes]]=BE$3)*(evolution_hta_par_typologie[[lineaire_hta_nu_HFS]:[lineaire_hta_nu_HFS]]))</f>
        <v>7.53</v>
      </c>
      <c r="BF4" s="264" cm="1">
        <f t="array" ref="BF4">SUMPRODUCT((evolution_hta_par_typologie[[client]:[client]]=syndicat_etude)*(evolution_hta_par_typologie[[annee]:[annee]]=Exercice[[Exercice N]:[Exercice N]])*(evolution_hta_par_typologie[[annee_mes]:[annee_mes]]=BF$3)*(evolution_hta_par_typologie[[lineaire_hta_nu_HFS]:[lineaire_hta_nu_HFS]]))</f>
        <v>13.79</v>
      </c>
      <c r="BG4" s="264" cm="1">
        <f t="array" ref="BG4">SUMPRODUCT((evolution_hta_par_typologie[[client]:[client]]=syndicat_etude)*(evolution_hta_par_typologie[[annee]:[annee]]=Exercice[[Exercice N]:[Exercice N]])*(evolution_hta_par_typologie[[annee_mes]:[annee_mes]]=BG$3)*(evolution_hta_par_typologie[[lineaire_hta_nu_HFS]:[lineaire_hta_nu_HFS]]))</f>
        <v>2.65</v>
      </c>
      <c r="BH4" s="264" cm="1">
        <f t="array" ref="BH4">SUMPRODUCT((evolution_hta_par_typologie[[client]:[client]]=syndicat_etude)*(evolution_hta_par_typologie[[annee]:[annee]]=Exercice[[Exercice N]:[Exercice N]])*(evolution_hta_par_typologie[[annee_mes]:[annee_mes]]=BH$3)*(evolution_hta_par_typologie[[lineaire_hta_nu_HFS]:[lineaire_hta_nu_HFS]]))</f>
        <v>1.72</v>
      </c>
      <c r="BI4" s="264" cm="1">
        <f t="array" ref="BI4">SUMPRODUCT((evolution_hta_par_typologie[[client]:[client]]=syndicat_etude)*(evolution_hta_par_typologie[[annee]:[annee]]=Exercice[[Exercice N]:[Exercice N]])*(evolution_hta_par_typologie[[annee_mes]:[annee_mes]]=BI$3)*(evolution_hta_par_typologie[[lineaire_hta_nu_HFS]:[lineaire_hta_nu_HFS]]))</f>
        <v>1.02</v>
      </c>
      <c r="BJ4" s="264" cm="1">
        <f t="array" ref="BJ4">SUMPRODUCT((evolution_hta_par_typologie[[client]:[client]]=syndicat_etude)*(evolution_hta_par_typologie[[annee]:[annee]]=Exercice[[Exercice N]:[Exercice N]])*(evolution_hta_par_typologie[[annee_mes]:[annee_mes]]=BJ$3)*(evolution_hta_par_typologie[[lineaire_hta_nu_HFS]:[lineaire_hta_nu_HFS]]))</f>
        <v>1.2</v>
      </c>
      <c r="BK4" s="264" cm="1">
        <f t="array" ref="BK4">SUMPRODUCT((evolution_hta_par_typologie[[client]:[client]]=syndicat_etude)*(evolution_hta_par_typologie[[annee]:[annee]]=Exercice[[Exercice N]:[Exercice N]])*(evolution_hta_par_typologie[[annee_mes]:[annee_mes]]=BK$3)*(evolution_hta_par_typologie[[lineaire_hta_nu_HFS]:[lineaire_hta_nu_HFS]]))</f>
        <v>2.35</v>
      </c>
      <c r="BL4" s="264" cm="1">
        <f t="array" ref="BL4">SUMPRODUCT((evolution_hta_par_typologie[[client]:[client]]=syndicat_etude)*(evolution_hta_par_typologie[[annee]:[annee]]=Exercice[[Exercice N]:[Exercice N]])*(evolution_hta_par_typologie[[annee_mes]:[annee_mes]]=BL$3)*(evolution_hta_par_typologie[[lineaire_hta_nu_HFS]:[lineaire_hta_nu_HFS]]))</f>
        <v>1.54</v>
      </c>
      <c r="BM4" s="264" cm="1">
        <f t="array" ref="BM4">SUMPRODUCT((evolution_hta_par_typologie[[client]:[client]]=syndicat_etude)*(evolution_hta_par_typologie[[annee]:[annee]]=Exercice[[Exercice N]:[Exercice N]])*(evolution_hta_par_typologie[[annee_mes]:[annee_mes]]=BM$3)*(evolution_hta_par_typologie[[lineaire_hta_nu_HFS]:[lineaire_hta_nu_HFS]]))</f>
        <v>1.27</v>
      </c>
      <c r="BN4" s="264" cm="1">
        <f t="array" ref="BN4">SUMPRODUCT((evolution_hta_par_typologie[[client]:[client]]=syndicat_etude)*(evolution_hta_par_typologie[[annee]:[annee]]=Exercice[[Exercice N]:[Exercice N]])*(evolution_hta_par_typologie[[annee_mes]:[annee_mes]]=BN$3)*(evolution_hta_par_typologie[[lineaire_hta_nu_HFS]:[lineaire_hta_nu_HFS]]))</f>
        <v>1.78</v>
      </c>
      <c r="BO4" s="264" cm="1">
        <f t="array" ref="BO4">SUMPRODUCT((evolution_hta_par_typologie[[client]:[client]]=syndicat_etude)*(evolution_hta_par_typologie[[annee]:[annee]]=Exercice[[Exercice N]:[Exercice N]])*(evolution_hta_par_typologie[[annee_mes]:[annee_mes]]=BO$3)*(evolution_hta_par_typologie[[lineaire_hta_nu_HFS]:[lineaire_hta_nu_HFS]]))</f>
        <v>0.15</v>
      </c>
      <c r="BP4" s="264" cm="1">
        <f t="array" ref="BP4">SUMPRODUCT((evolution_hta_par_typologie[[client]:[client]]=syndicat_etude)*(evolution_hta_par_typologie[[annee]:[annee]]=Exercice[[Exercice N]:[Exercice N]])*(evolution_hta_par_typologie[[annee_mes]:[annee_mes]]=BP$3)*(evolution_hta_par_typologie[[lineaire_hta_nu_HFS]:[lineaire_hta_nu_HFS]]))</f>
        <v>0.87</v>
      </c>
      <c r="BQ4" s="264" cm="1">
        <f t="array" ref="BQ4">SUMPRODUCT((evolution_hta_par_typologie[[client]:[client]]=syndicat_etude)*(evolution_hta_par_typologie[[annee]:[annee]]=Exercice[[Exercice N]:[Exercice N]])*(evolution_hta_par_typologie[[annee_mes]:[annee_mes]]=BQ$3)*(evolution_hta_par_typologie[[lineaire_hta_nu_HFS]:[lineaire_hta_nu_HFS]]))</f>
        <v>0.27</v>
      </c>
      <c r="BR4" s="264" cm="1">
        <f t="array" ref="BR4">SUMPRODUCT((evolution_hta_par_typologie[[client]:[client]]=syndicat_etude)*(evolution_hta_par_typologie[[annee]:[annee]]=Exercice[[Exercice N]:[Exercice N]])*(evolution_hta_par_typologie[[annee_mes]:[annee_mes]]=BR$3)*(evolution_hta_par_typologie[[lineaire_hta_nu_HFS]:[lineaire_hta_nu_HFS]]))</f>
        <v>0.42</v>
      </c>
      <c r="BS4" s="264" cm="1">
        <f t="array" ref="BS4">SUMPRODUCT((evolution_hta_par_typologie[[client]:[client]]=syndicat_etude)*(evolution_hta_par_typologie[[annee]:[annee]]=Exercice[[Exercice N]:[Exercice N]])*(evolution_hta_par_typologie[[annee_mes]:[annee_mes]]=BS$3)*(evolution_hta_par_typologie[[lineaire_hta_nu_HFS]:[lineaire_hta_nu_HFS]]))</f>
        <v>0.73</v>
      </c>
      <c r="BT4" s="264" cm="1">
        <f t="array" ref="BT4">SUMPRODUCT((evolution_hta_par_typologie[[client]:[client]]=syndicat_etude)*(evolution_hta_par_typologie[[annee]:[annee]]=Exercice[[Exercice N]:[Exercice N]])*(evolution_hta_par_typologie[[annee_mes]:[annee_mes]]=BT$3)*(evolution_hta_par_typologie[[lineaire_hta_nu_HFS]:[lineaire_hta_nu_HFS]]))</f>
        <v>0.28000000000000003</v>
      </c>
      <c r="BU4" s="264" cm="1">
        <f t="array" ref="BU4">SUMPRODUCT((evolution_hta_par_typologie[[client]:[client]]=syndicat_etude)*(evolution_hta_par_typologie[[annee]:[annee]]=Exercice[[Exercice N]:[Exercice N]])*(evolution_hta_par_typologie[[annee_mes]:[annee_mes]]=BU$3)*(evolution_hta_par_typologie[[lineaire_hta_nu_HFS]:[lineaire_hta_nu_HFS]]))</f>
        <v>0.92</v>
      </c>
      <c r="BV4" s="264" cm="1">
        <f t="array" ref="BV4">SUMPRODUCT((evolution_hta_par_typologie[[client]:[client]]=syndicat_etude)*(evolution_hta_par_typologie[[annee]:[annee]]=Exercice[[Exercice N]:[Exercice N]])*(evolution_hta_par_typologie[[annee_mes]:[annee_mes]]=BV$3)*(evolution_hta_par_typologie[[lineaire_hta_nu_HFS]:[lineaire_hta_nu_HFS]]))</f>
        <v>0.35</v>
      </c>
      <c r="BW4" s="264" cm="1">
        <f t="array" ref="BW4">SUMPRODUCT((evolution_hta_par_typologie[[client]:[client]]=syndicat_etude)*(evolution_hta_par_typologie[[annee]:[annee]]=Exercice[[Exercice N]:[Exercice N]])*(evolution_hta_par_typologie[[annee_mes]:[annee_mes]]=BW$3)*(evolution_hta_par_typologie[[lineaire_hta_nu_HFS]:[lineaire_hta_nu_HFS]]))</f>
        <v>0.23</v>
      </c>
      <c r="BX4" s="264" cm="1">
        <f t="array" ref="BX4">SUMPRODUCT((evolution_hta_par_typologie[[client]:[client]]=syndicat_etude)*(evolution_hta_par_typologie[[annee]:[annee]]=Exercice[[Exercice N]:[Exercice N]])*(evolution_hta_par_typologie[[annee_mes]:[annee_mes]]=BX$3)*(evolution_hta_par_typologie[[lineaire_hta_nu_HFS]:[lineaire_hta_nu_HFS]]))</f>
        <v>2.19</v>
      </c>
      <c r="BY4" s="264" cm="1">
        <f t="array" ref="BY4">SUMPRODUCT((evolution_hta_par_typologie[[client]:[client]]=syndicat_etude)*(evolution_hta_par_typologie[[annee]:[annee]]=Exercice[[Exercice N]:[Exercice N]])*(evolution_hta_par_typologie[[annee_mes]:[annee_mes]]=BY$3)*(evolution_hta_par_typologie[[lineaire_hta_nu_HFS]:[lineaire_hta_nu_HFS]]))</f>
        <v>0.25</v>
      </c>
      <c r="BZ4" s="264" cm="1">
        <f t="array" ref="BZ4">SUMPRODUCT((evolution_hta_par_typologie[[client]:[client]]=syndicat_etude)*(evolution_hta_par_typologie[[annee]:[annee]]=Exercice[[Exercice N]:[Exercice N]])*(evolution_hta_par_typologie[[annee_mes]:[annee_mes]]=BZ$3)*(evolution_hta_par_typologie[[lineaire_hta_nu_HFS]:[lineaire_hta_nu_HFS]]))</f>
        <v>0</v>
      </c>
      <c r="CA4" s="264" cm="1">
        <f t="array" ref="CA4">SUMPRODUCT((evolution_hta_par_typologie[[client]:[client]]=syndicat_etude)*(evolution_hta_par_typologie[[annee]:[annee]]=Exercice[[Exercice N]:[Exercice N]])*(evolution_hta_par_typologie[[annee_mes]:[annee_mes]]=CA$3)*(evolution_hta_par_typologie[[lineaire_hta_nu_HFS]:[lineaire_hta_nu_HFS]]))</f>
        <v>0</v>
      </c>
      <c r="CB4" s="264" cm="1">
        <f t="array" ref="CB4">SUMPRODUCT((evolution_hta_par_typologie[[client]:[client]]=syndicat_etude)*(evolution_hta_par_typologie[[annee]:[annee]]=Exercice[[Exercice N]:[Exercice N]])*(evolution_hta_par_typologie[[annee_mes]:[annee_mes]]=CB$3)*(evolution_hta_par_typologie[[lineaire_hta_nu_HFS]:[lineaire_hta_nu_HFS]]))</f>
        <v>0.01</v>
      </c>
      <c r="CC4" s="426" cm="1">
        <f t="array" ref="CC4">SUMPRODUCT((evolution_hta_par_typologie[[client]:[client]]=syndicat_etude)*(evolution_hta_par_typologie[[annee]:[annee]]=Exercice[[Exercice N]:[Exercice N]])*(evolution_hta_par_typologie[[annee_mes]:[annee_mes]]=CC$3)*(evolution_hta_par_typologie[[lineaire_hta_nu_HFS]:[lineaire_hta_nu_HFS]]))</f>
        <v>0</v>
      </c>
      <c r="CD4" s="406"/>
      <c r="CE4" s="406"/>
      <c r="CF4" s="406"/>
    </row>
    <row r="5" spans="1:84" x14ac:dyDescent="0.25">
      <c r="B5" s="429" t="s">
        <v>1180</v>
      </c>
      <c r="C5" s="264" cm="1">
        <f t="array" ref="C5">SUMPRODUCT((evolution_hta_par_typologie[[client]:[client]]=syndicat_etude)*(evolution_hta_par_typologie[[annee]:[annee]]=Exercice[[Exercice N]:[Exercice N]])*(evolution_hta_par_typologie[[annee_mes]:[annee_mes]]&lt;1946)*(evolution_hta_par_typologie[[lineaire_hta_aerien_nu_fs]:[lineaire_hta_aerien_nu_fs]]))</f>
        <v>0</v>
      </c>
      <c r="D5" s="264" cm="1">
        <f t="array" ref="D5">SUMPRODUCT((evolution_hta_par_typologie[[client]:[client]]=syndicat_etude)*(evolution_hta_par_typologie[[annee]:[annee]]=Exercice[[Exercice N]:[Exercice N]])*(evolution_hta_par_typologie[[annee_mes]:[annee_mes]]=D$3)*(evolution_hta_par_typologie[[lineaire_hta_aerien_nu_fs]:[lineaire_hta_aerien_nu_fs]]))</f>
        <v>0</v>
      </c>
      <c r="E5" s="264" cm="1">
        <f t="array" ref="E5">SUMPRODUCT((evolution_hta_par_typologie[[client]:[client]]=syndicat_etude)*(evolution_hta_par_typologie[[annee]:[annee]]=Exercice[[Exercice N]:[Exercice N]])*(evolution_hta_par_typologie[[annee_mes]:[annee_mes]]=E$3)*(evolution_hta_par_typologie[[lineaire_hta_aerien_nu_fs]:[lineaire_hta_aerien_nu_fs]]))</f>
        <v>0</v>
      </c>
      <c r="F5" s="264" cm="1">
        <f t="array" ref="F5">SUMPRODUCT((evolution_hta_par_typologie[[client]:[client]]=syndicat_etude)*(evolution_hta_par_typologie[[annee]:[annee]]=Exercice[[Exercice N]:[Exercice N]])*(evolution_hta_par_typologie[[annee_mes]:[annee_mes]]=F$3)*(evolution_hta_par_typologie[[lineaire_hta_aerien_nu_fs]:[lineaire_hta_aerien_nu_fs]]))</f>
        <v>0.13</v>
      </c>
      <c r="G5" s="264" cm="1">
        <f t="array" ref="G5">SUMPRODUCT((evolution_hta_par_typologie[[client]:[client]]=syndicat_etude)*(evolution_hta_par_typologie[[annee]:[annee]]=Exercice[[Exercice N]:[Exercice N]])*(evolution_hta_par_typologie[[annee_mes]:[annee_mes]]=G$3)*(evolution_hta_par_typologie[[lineaire_hta_aerien_nu_fs]:[lineaire_hta_aerien_nu_fs]]))</f>
        <v>0</v>
      </c>
      <c r="H5" s="264" cm="1">
        <f t="array" ref="H5">SUMPRODUCT((evolution_hta_par_typologie[[client]:[client]]=syndicat_etude)*(evolution_hta_par_typologie[[annee]:[annee]]=Exercice[[Exercice N]:[Exercice N]])*(evolution_hta_par_typologie[[annee_mes]:[annee_mes]]=H$3)*(evolution_hta_par_typologie[[lineaire_hta_aerien_nu_fs]:[lineaire_hta_aerien_nu_fs]]))</f>
        <v>0.3</v>
      </c>
      <c r="I5" s="264" cm="1">
        <f t="array" ref="I5">SUMPRODUCT((evolution_hta_par_typologie[[client]:[client]]=syndicat_etude)*(evolution_hta_par_typologie[[annee]:[annee]]=Exercice[[Exercice N]:[Exercice N]])*(evolution_hta_par_typologie[[annee_mes]:[annee_mes]]=I$3)*(evolution_hta_par_typologie[[lineaire_hta_aerien_nu_fs]:[lineaire_hta_aerien_nu_fs]]))</f>
        <v>0</v>
      </c>
      <c r="J5" s="264" cm="1">
        <f t="array" ref="J5">SUMPRODUCT((evolution_hta_par_typologie[[client]:[client]]=syndicat_etude)*(evolution_hta_par_typologie[[annee]:[annee]]=Exercice[[Exercice N]:[Exercice N]])*(evolution_hta_par_typologie[[annee_mes]:[annee_mes]]=J$3)*(evolution_hta_par_typologie[[lineaire_hta_aerien_nu_fs]:[lineaire_hta_aerien_nu_fs]]))</f>
        <v>0.66</v>
      </c>
      <c r="K5" s="264" cm="1">
        <f t="array" ref="K5">SUMPRODUCT((evolution_hta_par_typologie[[client]:[client]]=syndicat_etude)*(evolution_hta_par_typologie[[annee]:[annee]]=Exercice[[Exercice N]:[Exercice N]])*(evolution_hta_par_typologie[[annee_mes]:[annee_mes]]=K$3)*(evolution_hta_par_typologie[[lineaire_hta_aerien_nu_fs]:[lineaire_hta_aerien_nu_fs]]))</f>
        <v>0.67</v>
      </c>
      <c r="L5" s="264" cm="1">
        <f t="array" ref="L5">SUMPRODUCT((evolution_hta_par_typologie[[client]:[client]]=syndicat_etude)*(evolution_hta_par_typologie[[annee]:[annee]]=Exercice[[Exercice N]:[Exercice N]])*(evolution_hta_par_typologie[[annee_mes]:[annee_mes]]=L$3)*(evolution_hta_par_typologie[[lineaire_hta_aerien_nu_fs]:[lineaire_hta_aerien_nu_fs]]))</f>
        <v>0</v>
      </c>
      <c r="M5" s="264" cm="1">
        <f t="array" ref="M5">SUMPRODUCT((evolution_hta_par_typologie[[client]:[client]]=syndicat_etude)*(evolution_hta_par_typologie[[annee]:[annee]]=Exercice[[Exercice N]:[Exercice N]])*(evolution_hta_par_typologie[[annee_mes]:[annee_mes]]=M$3)*(evolution_hta_par_typologie[[lineaire_hta_aerien_nu_fs]:[lineaire_hta_aerien_nu_fs]]))</f>
        <v>0</v>
      </c>
      <c r="N5" s="264" cm="1">
        <f t="array" ref="N5">SUMPRODUCT((evolution_hta_par_typologie[[client]:[client]]=syndicat_etude)*(evolution_hta_par_typologie[[annee]:[annee]]=Exercice[[Exercice N]:[Exercice N]])*(evolution_hta_par_typologie[[annee_mes]:[annee_mes]]=N$3)*(evolution_hta_par_typologie[[lineaire_hta_aerien_nu_fs]:[lineaire_hta_aerien_nu_fs]]))</f>
        <v>3.11</v>
      </c>
      <c r="O5" s="264" cm="1">
        <f t="array" ref="O5">SUMPRODUCT((evolution_hta_par_typologie[[client]:[client]]=syndicat_etude)*(evolution_hta_par_typologie[[annee]:[annee]]=Exercice[[Exercice N]:[Exercice N]])*(evolution_hta_par_typologie[[annee_mes]:[annee_mes]]=O$3)*(evolution_hta_par_typologie[[lineaire_hta_aerien_nu_fs]:[lineaire_hta_aerien_nu_fs]]))</f>
        <v>0</v>
      </c>
      <c r="P5" s="264" cm="1">
        <f t="array" ref="P5">SUMPRODUCT((evolution_hta_par_typologie[[client]:[client]]=syndicat_etude)*(evolution_hta_par_typologie[[annee]:[annee]]=Exercice[[Exercice N]:[Exercice N]])*(evolution_hta_par_typologie[[annee_mes]:[annee_mes]]=P$3)*(evolution_hta_par_typologie[[lineaire_hta_aerien_nu_fs]:[lineaire_hta_aerien_nu_fs]]))</f>
        <v>0.17</v>
      </c>
      <c r="Q5" s="264" cm="1">
        <f t="array" ref="Q5">SUMPRODUCT((evolution_hta_par_typologie[[client]:[client]]=syndicat_etude)*(evolution_hta_par_typologie[[annee]:[annee]]=Exercice[[Exercice N]:[Exercice N]])*(evolution_hta_par_typologie[[annee_mes]:[annee_mes]]=Q$3)*(evolution_hta_par_typologie[[lineaire_hta_aerien_nu_fs]:[lineaire_hta_aerien_nu_fs]]))</f>
        <v>0</v>
      </c>
      <c r="R5" s="264" cm="1">
        <f t="array" ref="R5">SUMPRODUCT((evolution_hta_par_typologie[[client]:[client]]=syndicat_etude)*(evolution_hta_par_typologie[[annee]:[annee]]=Exercice[[Exercice N]:[Exercice N]])*(evolution_hta_par_typologie[[annee_mes]:[annee_mes]]=R$3)*(evolution_hta_par_typologie[[lineaire_hta_aerien_nu_fs]:[lineaire_hta_aerien_nu_fs]]))</f>
        <v>0</v>
      </c>
      <c r="S5" s="264" cm="1">
        <f t="array" ref="S5">SUMPRODUCT((evolution_hta_par_typologie[[client]:[client]]=syndicat_etude)*(evolution_hta_par_typologie[[annee]:[annee]]=Exercice[[Exercice N]:[Exercice N]])*(evolution_hta_par_typologie[[annee_mes]:[annee_mes]]=S$3)*(evolution_hta_par_typologie[[lineaire_hta_aerien_nu_fs]:[lineaire_hta_aerien_nu_fs]]))</f>
        <v>0</v>
      </c>
      <c r="T5" s="264" cm="1">
        <f t="array" ref="T5">SUMPRODUCT((evolution_hta_par_typologie[[client]:[client]]=syndicat_etude)*(evolution_hta_par_typologie[[annee]:[annee]]=Exercice[[Exercice N]:[Exercice N]])*(evolution_hta_par_typologie[[annee_mes]:[annee_mes]]=T$3)*(evolution_hta_par_typologie[[lineaire_hta_aerien_nu_fs]:[lineaire_hta_aerien_nu_fs]]))</f>
        <v>0.08</v>
      </c>
      <c r="U5" s="264" cm="1">
        <f t="array" ref="U5">SUMPRODUCT((evolution_hta_par_typologie[[client]:[client]]=syndicat_etude)*(evolution_hta_par_typologie[[annee]:[annee]]=Exercice[[Exercice N]:[Exercice N]])*(evolution_hta_par_typologie[[annee_mes]:[annee_mes]]=U$3)*(evolution_hta_par_typologie[[lineaire_hta_aerien_nu_fs]:[lineaire_hta_aerien_nu_fs]]))</f>
        <v>0.23</v>
      </c>
      <c r="V5" s="264" cm="1">
        <f t="array" ref="V5">SUMPRODUCT((evolution_hta_par_typologie[[client]:[client]]=syndicat_etude)*(evolution_hta_par_typologie[[annee]:[annee]]=Exercice[[Exercice N]:[Exercice N]])*(evolution_hta_par_typologie[[annee_mes]:[annee_mes]]=V$3)*(evolution_hta_par_typologie[[lineaire_hta_aerien_nu_fs]:[lineaire_hta_aerien_nu_fs]]))</f>
        <v>0.12</v>
      </c>
      <c r="W5" s="264" cm="1">
        <f t="array" ref="W5">SUMPRODUCT((evolution_hta_par_typologie[[client]:[client]]=syndicat_etude)*(evolution_hta_par_typologie[[annee]:[annee]]=Exercice[[Exercice N]:[Exercice N]])*(evolution_hta_par_typologie[[annee_mes]:[annee_mes]]=W$3)*(evolution_hta_par_typologie[[lineaire_hta_aerien_nu_fs]:[lineaire_hta_aerien_nu_fs]]))</f>
        <v>0.03</v>
      </c>
      <c r="X5" s="264" cm="1">
        <f t="array" ref="X5">SUMPRODUCT((evolution_hta_par_typologie[[client]:[client]]=syndicat_etude)*(evolution_hta_par_typologie[[annee]:[annee]]=Exercice[[Exercice N]:[Exercice N]])*(evolution_hta_par_typologie[[annee_mes]:[annee_mes]]=X$3)*(evolution_hta_par_typologie[[lineaire_hta_aerien_nu_fs]:[lineaire_hta_aerien_nu_fs]]))</f>
        <v>0</v>
      </c>
      <c r="Y5" s="264" cm="1">
        <f t="array" ref="Y5">SUMPRODUCT((evolution_hta_par_typologie[[client]:[client]]=syndicat_etude)*(evolution_hta_par_typologie[[annee]:[annee]]=Exercice[[Exercice N]:[Exercice N]])*(evolution_hta_par_typologie[[annee_mes]:[annee_mes]]=Y$3)*(evolution_hta_par_typologie[[lineaire_hta_aerien_nu_fs]:[lineaire_hta_aerien_nu_fs]]))</f>
        <v>0.47</v>
      </c>
      <c r="Z5" s="264" cm="1">
        <f t="array" ref="Z5">SUMPRODUCT((evolution_hta_par_typologie[[client]:[client]]=syndicat_etude)*(evolution_hta_par_typologie[[annee]:[annee]]=Exercice[[Exercice N]:[Exercice N]])*(evolution_hta_par_typologie[[annee_mes]:[annee_mes]]=Z$3)*(evolution_hta_par_typologie[[lineaire_hta_aerien_nu_fs]:[lineaire_hta_aerien_nu_fs]]))</f>
        <v>7.0000000000000007E-2</v>
      </c>
      <c r="AA5" s="264" cm="1">
        <f t="array" ref="AA5">SUMPRODUCT((evolution_hta_par_typologie[[client]:[client]]=syndicat_etude)*(evolution_hta_par_typologie[[annee]:[annee]]=Exercice[[Exercice N]:[Exercice N]])*(evolution_hta_par_typologie[[annee_mes]:[annee_mes]]=AA$3)*(evolution_hta_par_typologie[[lineaire_hta_aerien_nu_fs]:[lineaire_hta_aerien_nu_fs]]))</f>
        <v>0</v>
      </c>
      <c r="AB5" s="264" cm="1">
        <f t="array" ref="AB5">SUMPRODUCT((evolution_hta_par_typologie[[client]:[client]]=syndicat_etude)*(evolution_hta_par_typologie[[annee]:[annee]]=Exercice[[Exercice N]:[Exercice N]])*(evolution_hta_par_typologie[[annee_mes]:[annee_mes]]=AB$3)*(evolution_hta_par_typologie[[lineaire_hta_aerien_nu_fs]:[lineaire_hta_aerien_nu_fs]]))</f>
        <v>0</v>
      </c>
      <c r="AC5" s="264" cm="1">
        <f t="array" ref="AC5">SUMPRODUCT((evolution_hta_par_typologie[[client]:[client]]=syndicat_etude)*(evolution_hta_par_typologie[[annee]:[annee]]=Exercice[[Exercice N]:[Exercice N]])*(evolution_hta_par_typologie[[annee_mes]:[annee_mes]]=AC$3)*(evolution_hta_par_typologie[[lineaire_hta_aerien_nu_fs]:[lineaire_hta_aerien_nu_fs]]))</f>
        <v>1.0900000000000001</v>
      </c>
      <c r="AD5" s="264" cm="1">
        <f t="array" ref="AD5">SUMPRODUCT((evolution_hta_par_typologie[[client]:[client]]=syndicat_etude)*(evolution_hta_par_typologie[[annee]:[annee]]=Exercice[[Exercice N]:[Exercice N]])*(evolution_hta_par_typologie[[annee_mes]:[annee_mes]]=AD$3)*(evolution_hta_par_typologie[[lineaire_hta_aerien_nu_fs]:[lineaire_hta_aerien_nu_fs]]))</f>
        <v>0.25</v>
      </c>
      <c r="AE5" s="264" cm="1">
        <f t="array" ref="AE5">SUMPRODUCT((evolution_hta_par_typologie[[client]:[client]]=syndicat_etude)*(evolution_hta_par_typologie[[annee]:[annee]]=Exercice[[Exercice N]:[Exercice N]])*(evolution_hta_par_typologie[[annee_mes]:[annee_mes]]=AE$3)*(evolution_hta_par_typologie[[lineaire_hta_aerien_nu_fs]:[lineaire_hta_aerien_nu_fs]]))</f>
        <v>0.45</v>
      </c>
      <c r="AF5" s="264" cm="1">
        <f t="array" ref="AF5">SUMPRODUCT((evolution_hta_par_typologie[[client]:[client]]=syndicat_etude)*(evolution_hta_par_typologie[[annee]:[annee]]=Exercice[[Exercice N]:[Exercice N]])*(evolution_hta_par_typologie[[annee_mes]:[annee_mes]]=AF$3)*(evolution_hta_par_typologie[[lineaire_hta_aerien_nu_fs]:[lineaire_hta_aerien_nu_fs]]))</f>
        <v>0</v>
      </c>
      <c r="AG5" s="264" cm="1">
        <f t="array" ref="AG5">SUMPRODUCT((evolution_hta_par_typologie[[client]:[client]]=syndicat_etude)*(evolution_hta_par_typologie[[annee]:[annee]]=Exercice[[Exercice N]:[Exercice N]])*(evolution_hta_par_typologie[[annee_mes]:[annee_mes]]=AG$3)*(evolution_hta_par_typologie[[lineaire_hta_aerien_nu_fs]:[lineaire_hta_aerien_nu_fs]]))</f>
        <v>0</v>
      </c>
      <c r="AH5" s="264" cm="1">
        <f t="array" ref="AH5">SUMPRODUCT((evolution_hta_par_typologie[[client]:[client]]=syndicat_etude)*(evolution_hta_par_typologie[[annee]:[annee]]=Exercice[[Exercice N]:[Exercice N]])*(evolution_hta_par_typologie[[annee_mes]:[annee_mes]]=AH$3)*(evolution_hta_par_typologie[[lineaire_hta_aerien_nu_fs]:[lineaire_hta_aerien_nu_fs]]))</f>
        <v>0</v>
      </c>
      <c r="AI5" s="264" cm="1">
        <f t="array" ref="AI5">SUMPRODUCT((evolution_hta_par_typologie[[client]:[client]]=syndicat_etude)*(evolution_hta_par_typologie[[annee]:[annee]]=Exercice[[Exercice N]:[Exercice N]])*(evolution_hta_par_typologie[[annee_mes]:[annee_mes]]=AI$3)*(evolution_hta_par_typologie[[lineaire_hta_aerien_nu_fs]:[lineaire_hta_aerien_nu_fs]]))</f>
        <v>0.01</v>
      </c>
      <c r="AJ5" s="264" cm="1">
        <f t="array" ref="AJ5">SUMPRODUCT((evolution_hta_par_typologie[[client]:[client]]=syndicat_etude)*(evolution_hta_par_typologie[[annee]:[annee]]=Exercice[[Exercice N]:[Exercice N]])*(evolution_hta_par_typologie[[annee_mes]:[annee_mes]]=AJ$3)*(evolution_hta_par_typologie[[lineaire_hta_aerien_nu_fs]:[lineaire_hta_aerien_nu_fs]]))</f>
        <v>0</v>
      </c>
      <c r="AK5" s="264" cm="1">
        <f t="array" ref="AK5">SUMPRODUCT((evolution_hta_par_typologie[[client]:[client]]=syndicat_etude)*(evolution_hta_par_typologie[[annee]:[annee]]=Exercice[[Exercice N]:[Exercice N]])*(evolution_hta_par_typologie[[annee_mes]:[annee_mes]]=AK$3)*(evolution_hta_par_typologie[[lineaire_hta_aerien_nu_fs]:[lineaire_hta_aerien_nu_fs]]))</f>
        <v>0.27</v>
      </c>
      <c r="AL5" s="264" cm="1">
        <f t="array" ref="AL5">SUMPRODUCT((evolution_hta_par_typologie[[client]:[client]]=syndicat_etude)*(evolution_hta_par_typologie[[annee]:[annee]]=Exercice[[Exercice N]:[Exercice N]])*(evolution_hta_par_typologie[[annee_mes]:[annee_mes]]=AL$3)*(evolution_hta_par_typologie[[lineaire_hta_aerien_nu_fs]:[lineaire_hta_aerien_nu_fs]]))</f>
        <v>0.43</v>
      </c>
      <c r="AM5" s="264" cm="1">
        <f t="array" ref="AM5">SUMPRODUCT((evolution_hta_par_typologie[[client]:[client]]=syndicat_etude)*(evolution_hta_par_typologie[[annee]:[annee]]=Exercice[[Exercice N]:[Exercice N]])*(evolution_hta_par_typologie[[annee_mes]:[annee_mes]]=AM$3)*(evolution_hta_par_typologie[[lineaire_hta_aerien_nu_fs]:[lineaire_hta_aerien_nu_fs]]))</f>
        <v>0</v>
      </c>
      <c r="AN5" s="264" cm="1">
        <f t="array" ref="AN5">SUMPRODUCT((evolution_hta_par_typologie[[client]:[client]]=syndicat_etude)*(evolution_hta_par_typologie[[annee]:[annee]]=Exercice[[Exercice N]:[Exercice N]])*(evolution_hta_par_typologie[[annee_mes]:[annee_mes]]=AN$3)*(evolution_hta_par_typologie[[lineaire_hta_aerien_nu_fs]:[lineaire_hta_aerien_nu_fs]]))</f>
        <v>0.28000000000000003</v>
      </c>
      <c r="AO5" s="264" cm="1">
        <f t="array" ref="AO5">SUMPRODUCT((evolution_hta_par_typologie[[client]:[client]]=syndicat_etude)*(evolution_hta_par_typologie[[annee]:[annee]]=Exercice[[Exercice N]:[Exercice N]])*(evolution_hta_par_typologie[[annee_mes]:[annee_mes]]=AO$3)*(evolution_hta_par_typologie[[lineaire_hta_aerien_nu_fs]:[lineaire_hta_aerien_nu_fs]]))</f>
        <v>0.49</v>
      </c>
      <c r="AP5" s="264" cm="1">
        <f t="array" ref="AP5">SUMPRODUCT((evolution_hta_par_typologie[[client]:[client]]=syndicat_etude)*(evolution_hta_par_typologie[[annee]:[annee]]=Exercice[[Exercice N]:[Exercice N]])*(evolution_hta_par_typologie[[annee_mes]:[annee_mes]]=AP$3)*(evolution_hta_par_typologie[[lineaire_hta_aerien_nu_fs]:[lineaire_hta_aerien_nu_fs]]))</f>
        <v>0.95</v>
      </c>
      <c r="AQ5" s="264" cm="1">
        <f t="array" ref="AQ5">SUMPRODUCT((evolution_hta_par_typologie[[client]:[client]]=syndicat_etude)*(evolution_hta_par_typologie[[annee]:[annee]]=Exercice[[Exercice N]:[Exercice N]])*(evolution_hta_par_typologie[[annee_mes]:[annee_mes]]=AQ$3)*(evolution_hta_par_typologie[[lineaire_hta_aerien_nu_fs]:[lineaire_hta_aerien_nu_fs]]))</f>
        <v>0.42</v>
      </c>
      <c r="AR5" s="264" cm="1">
        <f t="array" ref="AR5">SUMPRODUCT((evolution_hta_par_typologie[[client]:[client]]=syndicat_etude)*(evolution_hta_par_typologie[[annee]:[annee]]=Exercice[[Exercice N]:[Exercice N]])*(evolution_hta_par_typologie[[annee_mes]:[annee_mes]]=AR$3)*(evolution_hta_par_typologie[[lineaire_hta_aerien_nu_fs]:[lineaire_hta_aerien_nu_fs]]))</f>
        <v>0</v>
      </c>
      <c r="AS5" s="264" cm="1">
        <f t="array" ref="AS5">SUMPRODUCT((evolution_hta_par_typologie[[client]:[client]]=syndicat_etude)*(evolution_hta_par_typologie[[annee]:[annee]]=Exercice[[Exercice N]:[Exercice N]])*(evolution_hta_par_typologie[[annee_mes]:[annee_mes]]=AS$3)*(evolution_hta_par_typologie[[lineaire_hta_aerien_nu_fs]:[lineaire_hta_aerien_nu_fs]]))</f>
        <v>7.0000000000000007E-2</v>
      </c>
      <c r="AT5" s="264" cm="1">
        <f t="array" ref="AT5">SUMPRODUCT((evolution_hta_par_typologie[[client]:[client]]=syndicat_etude)*(evolution_hta_par_typologie[[annee]:[annee]]=Exercice[[Exercice N]:[Exercice N]])*(evolution_hta_par_typologie[[annee_mes]:[annee_mes]]=AT$3)*(evolution_hta_par_typologie[[lineaire_hta_aerien_nu_fs]:[lineaire_hta_aerien_nu_fs]]))</f>
        <v>0.02</v>
      </c>
      <c r="AU5" s="264" cm="1">
        <f t="array" ref="AU5">SUMPRODUCT((evolution_hta_par_typologie[[client]:[client]]=syndicat_etude)*(evolution_hta_par_typologie[[annee]:[annee]]=Exercice[[Exercice N]:[Exercice N]])*(evolution_hta_par_typologie[[annee_mes]:[annee_mes]]=AU$3)*(evolution_hta_par_typologie[[lineaire_hta_aerien_nu_fs]:[lineaire_hta_aerien_nu_fs]]))</f>
        <v>0.79</v>
      </c>
      <c r="AV5" s="264" cm="1">
        <f t="array" ref="AV5">SUMPRODUCT((evolution_hta_par_typologie[[client]:[client]]=syndicat_etude)*(evolution_hta_par_typologie[[annee]:[annee]]=Exercice[[Exercice N]:[Exercice N]])*(evolution_hta_par_typologie[[annee_mes]:[annee_mes]]=AV$3)*(evolution_hta_par_typologie[[lineaire_hta_aerien_nu_fs]:[lineaire_hta_aerien_nu_fs]]))</f>
        <v>1.26</v>
      </c>
      <c r="AW5" s="264" cm="1">
        <f t="array" ref="AW5">SUMPRODUCT((evolution_hta_par_typologie[[client]:[client]]=syndicat_etude)*(evolution_hta_par_typologie[[annee]:[annee]]=Exercice[[Exercice N]:[Exercice N]])*(evolution_hta_par_typologie[[annee_mes]:[annee_mes]]=AW$3)*(evolution_hta_par_typologie[[lineaire_hta_aerien_nu_fs]:[lineaire_hta_aerien_nu_fs]]))</f>
        <v>0</v>
      </c>
      <c r="AX5" s="264" cm="1">
        <f t="array" ref="AX5">SUMPRODUCT((evolution_hta_par_typologie[[client]:[client]]=syndicat_etude)*(evolution_hta_par_typologie[[annee]:[annee]]=Exercice[[Exercice N]:[Exercice N]])*(evolution_hta_par_typologie[[annee_mes]:[annee_mes]]=AX$3)*(evolution_hta_par_typologie[[lineaire_hta_aerien_nu_fs]:[lineaire_hta_aerien_nu_fs]]))</f>
        <v>2.3199999999999998</v>
      </c>
      <c r="AY5" s="264" cm="1">
        <f t="array" ref="AY5">SUMPRODUCT((evolution_hta_par_typologie[[client]:[client]]=syndicat_etude)*(evolution_hta_par_typologie[[annee]:[annee]]=Exercice[[Exercice N]:[Exercice N]])*(evolution_hta_par_typologie[[annee_mes]:[annee_mes]]=AY$3)*(evolution_hta_par_typologie[[lineaire_hta_aerien_nu_fs]:[lineaire_hta_aerien_nu_fs]]))</f>
        <v>0</v>
      </c>
      <c r="AZ5" s="264" cm="1">
        <f t="array" ref="AZ5">SUMPRODUCT((evolution_hta_par_typologie[[client]:[client]]=syndicat_etude)*(evolution_hta_par_typologie[[annee]:[annee]]=Exercice[[Exercice N]:[Exercice N]])*(evolution_hta_par_typologie[[annee_mes]:[annee_mes]]=AZ$3)*(evolution_hta_par_typologie[[lineaire_hta_aerien_nu_fs]:[lineaire_hta_aerien_nu_fs]]))</f>
        <v>0</v>
      </c>
      <c r="BA5" s="264" cm="1">
        <f t="array" ref="BA5">SUMPRODUCT((evolution_hta_par_typologie[[client]:[client]]=syndicat_etude)*(evolution_hta_par_typologie[[annee]:[annee]]=Exercice[[Exercice N]:[Exercice N]])*(evolution_hta_par_typologie[[annee_mes]:[annee_mes]]=BA$3)*(evolution_hta_par_typologie[[lineaire_hta_aerien_nu_fs]:[lineaire_hta_aerien_nu_fs]]))</f>
        <v>0</v>
      </c>
      <c r="BB5" s="264" cm="1">
        <f t="array" ref="BB5">SUMPRODUCT((evolution_hta_par_typologie[[client]:[client]]=syndicat_etude)*(evolution_hta_par_typologie[[annee]:[annee]]=Exercice[[Exercice N]:[Exercice N]])*(evolution_hta_par_typologie[[annee_mes]:[annee_mes]]=BB$3)*(evolution_hta_par_typologie[[lineaire_hta_aerien_nu_fs]:[lineaire_hta_aerien_nu_fs]]))</f>
        <v>0</v>
      </c>
      <c r="BC5" s="264" cm="1">
        <f t="array" ref="BC5">SUMPRODUCT((evolution_hta_par_typologie[[client]:[client]]=syndicat_etude)*(evolution_hta_par_typologie[[annee]:[annee]]=Exercice[[Exercice N]:[Exercice N]])*(evolution_hta_par_typologie[[annee_mes]:[annee_mes]]=BC$3)*(evolution_hta_par_typologie[[lineaire_hta_aerien_nu_fs]:[lineaire_hta_aerien_nu_fs]]))</f>
        <v>0</v>
      </c>
      <c r="BD5" s="264" cm="1">
        <f t="array" ref="BD5">SUMPRODUCT((evolution_hta_par_typologie[[client]:[client]]=syndicat_etude)*(evolution_hta_par_typologie[[annee]:[annee]]=Exercice[[Exercice N]:[Exercice N]])*(evolution_hta_par_typologie[[annee_mes]:[annee_mes]]=BD$3)*(evolution_hta_par_typologie[[lineaire_hta_aerien_nu_fs]:[lineaire_hta_aerien_nu_fs]]))</f>
        <v>0</v>
      </c>
      <c r="BE5" s="264" cm="1">
        <f t="array" ref="BE5">SUMPRODUCT((evolution_hta_par_typologie[[client]:[client]]=syndicat_etude)*(evolution_hta_par_typologie[[annee]:[annee]]=Exercice[[Exercice N]:[Exercice N]])*(evolution_hta_par_typologie[[annee_mes]:[annee_mes]]=BE$3)*(evolution_hta_par_typologie[[lineaire_hta_aerien_nu_fs]:[lineaire_hta_aerien_nu_fs]]))</f>
        <v>0</v>
      </c>
      <c r="BF5" s="264" cm="1">
        <f t="array" ref="BF5">SUMPRODUCT((evolution_hta_par_typologie[[client]:[client]]=syndicat_etude)*(evolution_hta_par_typologie[[annee]:[annee]]=Exercice[[Exercice N]:[Exercice N]])*(evolution_hta_par_typologie[[annee_mes]:[annee_mes]]=BF$3)*(evolution_hta_par_typologie[[lineaire_hta_aerien_nu_fs]:[lineaire_hta_aerien_nu_fs]]))</f>
        <v>0</v>
      </c>
      <c r="BG5" s="264" cm="1">
        <f t="array" ref="BG5">SUMPRODUCT((evolution_hta_par_typologie[[client]:[client]]=syndicat_etude)*(evolution_hta_par_typologie[[annee]:[annee]]=Exercice[[Exercice N]:[Exercice N]])*(evolution_hta_par_typologie[[annee_mes]:[annee_mes]]=BG$3)*(evolution_hta_par_typologie[[lineaire_hta_aerien_nu_fs]:[lineaire_hta_aerien_nu_fs]]))</f>
        <v>0</v>
      </c>
      <c r="BH5" s="264" cm="1">
        <f t="array" ref="BH5">SUMPRODUCT((evolution_hta_par_typologie[[client]:[client]]=syndicat_etude)*(evolution_hta_par_typologie[[annee]:[annee]]=Exercice[[Exercice N]:[Exercice N]])*(evolution_hta_par_typologie[[annee_mes]:[annee_mes]]=BH$3)*(evolution_hta_par_typologie[[lineaire_hta_aerien_nu_fs]:[lineaire_hta_aerien_nu_fs]]))</f>
        <v>0</v>
      </c>
      <c r="BI5" s="264" cm="1">
        <f t="array" ref="BI5">SUMPRODUCT((evolution_hta_par_typologie[[client]:[client]]=syndicat_etude)*(evolution_hta_par_typologie[[annee]:[annee]]=Exercice[[Exercice N]:[Exercice N]])*(evolution_hta_par_typologie[[annee_mes]:[annee_mes]]=BI$3)*(evolution_hta_par_typologie[[lineaire_hta_aerien_nu_fs]:[lineaire_hta_aerien_nu_fs]]))</f>
        <v>0</v>
      </c>
      <c r="BJ5" s="264" cm="1">
        <f t="array" ref="BJ5">SUMPRODUCT((evolution_hta_par_typologie[[client]:[client]]=syndicat_etude)*(evolution_hta_par_typologie[[annee]:[annee]]=Exercice[[Exercice N]:[Exercice N]])*(evolution_hta_par_typologie[[annee_mes]:[annee_mes]]=BJ$3)*(evolution_hta_par_typologie[[lineaire_hta_aerien_nu_fs]:[lineaire_hta_aerien_nu_fs]]))</f>
        <v>0</v>
      </c>
      <c r="BK5" s="264" cm="1">
        <f t="array" ref="BK5">SUMPRODUCT((evolution_hta_par_typologie[[client]:[client]]=syndicat_etude)*(evolution_hta_par_typologie[[annee]:[annee]]=Exercice[[Exercice N]:[Exercice N]])*(evolution_hta_par_typologie[[annee_mes]:[annee_mes]]=BK$3)*(evolution_hta_par_typologie[[lineaire_hta_aerien_nu_fs]:[lineaire_hta_aerien_nu_fs]]))</f>
        <v>0</v>
      </c>
      <c r="BL5" s="264" cm="1">
        <f t="array" ref="BL5">SUMPRODUCT((evolution_hta_par_typologie[[client]:[client]]=syndicat_etude)*(evolution_hta_par_typologie[[annee]:[annee]]=Exercice[[Exercice N]:[Exercice N]])*(evolution_hta_par_typologie[[annee_mes]:[annee_mes]]=BL$3)*(evolution_hta_par_typologie[[lineaire_hta_aerien_nu_fs]:[lineaire_hta_aerien_nu_fs]]))</f>
        <v>0</v>
      </c>
      <c r="BM5" s="264" cm="1">
        <f t="array" ref="BM5">SUMPRODUCT((evolution_hta_par_typologie[[client]:[client]]=syndicat_etude)*(evolution_hta_par_typologie[[annee]:[annee]]=Exercice[[Exercice N]:[Exercice N]])*(evolution_hta_par_typologie[[annee_mes]:[annee_mes]]=BM$3)*(evolution_hta_par_typologie[[lineaire_hta_aerien_nu_fs]:[lineaire_hta_aerien_nu_fs]]))</f>
        <v>0</v>
      </c>
      <c r="BN5" s="264" cm="1">
        <f t="array" ref="BN5">SUMPRODUCT((evolution_hta_par_typologie[[client]:[client]]=syndicat_etude)*(evolution_hta_par_typologie[[annee]:[annee]]=Exercice[[Exercice N]:[Exercice N]])*(evolution_hta_par_typologie[[annee_mes]:[annee_mes]]=BN$3)*(evolution_hta_par_typologie[[lineaire_hta_aerien_nu_fs]:[lineaire_hta_aerien_nu_fs]]))</f>
        <v>0</v>
      </c>
      <c r="BO5" s="264" cm="1">
        <f t="array" ref="BO5">SUMPRODUCT((evolution_hta_par_typologie[[client]:[client]]=syndicat_etude)*(evolution_hta_par_typologie[[annee]:[annee]]=Exercice[[Exercice N]:[Exercice N]])*(evolution_hta_par_typologie[[annee_mes]:[annee_mes]]=BO$3)*(evolution_hta_par_typologie[[lineaire_hta_aerien_nu_fs]:[lineaire_hta_aerien_nu_fs]]))</f>
        <v>0</v>
      </c>
      <c r="BP5" s="264" cm="1">
        <f t="array" ref="BP5">SUMPRODUCT((evolution_hta_par_typologie[[client]:[client]]=syndicat_etude)*(evolution_hta_par_typologie[[annee]:[annee]]=Exercice[[Exercice N]:[Exercice N]])*(evolution_hta_par_typologie[[annee_mes]:[annee_mes]]=BP$3)*(evolution_hta_par_typologie[[lineaire_hta_aerien_nu_fs]:[lineaire_hta_aerien_nu_fs]]))</f>
        <v>0</v>
      </c>
      <c r="BQ5" s="264" cm="1">
        <f t="array" ref="BQ5">SUMPRODUCT((evolution_hta_par_typologie[[client]:[client]]=syndicat_etude)*(evolution_hta_par_typologie[[annee]:[annee]]=Exercice[[Exercice N]:[Exercice N]])*(evolution_hta_par_typologie[[annee_mes]:[annee_mes]]=BQ$3)*(evolution_hta_par_typologie[[lineaire_hta_aerien_nu_fs]:[lineaire_hta_aerien_nu_fs]]))</f>
        <v>0</v>
      </c>
      <c r="BR5" s="264" cm="1">
        <f t="array" ref="BR5">SUMPRODUCT((evolution_hta_par_typologie[[client]:[client]]=syndicat_etude)*(evolution_hta_par_typologie[[annee]:[annee]]=Exercice[[Exercice N]:[Exercice N]])*(evolution_hta_par_typologie[[annee_mes]:[annee_mes]]=BR$3)*(evolution_hta_par_typologie[[lineaire_hta_aerien_nu_fs]:[lineaire_hta_aerien_nu_fs]]))</f>
        <v>0</v>
      </c>
      <c r="BS5" s="264" cm="1">
        <f t="array" ref="BS5">SUMPRODUCT((evolution_hta_par_typologie[[client]:[client]]=syndicat_etude)*(evolution_hta_par_typologie[[annee]:[annee]]=Exercice[[Exercice N]:[Exercice N]])*(evolution_hta_par_typologie[[annee_mes]:[annee_mes]]=BS$3)*(evolution_hta_par_typologie[[lineaire_hta_aerien_nu_fs]:[lineaire_hta_aerien_nu_fs]]))</f>
        <v>0</v>
      </c>
      <c r="BT5" s="264" cm="1">
        <f t="array" ref="BT5">SUMPRODUCT((evolution_hta_par_typologie[[client]:[client]]=syndicat_etude)*(evolution_hta_par_typologie[[annee]:[annee]]=Exercice[[Exercice N]:[Exercice N]])*(evolution_hta_par_typologie[[annee_mes]:[annee_mes]]=BT$3)*(evolution_hta_par_typologie[[lineaire_hta_aerien_nu_fs]:[lineaire_hta_aerien_nu_fs]]))</f>
        <v>0</v>
      </c>
      <c r="BU5" s="264" cm="1">
        <f t="array" ref="BU5">SUMPRODUCT((evolution_hta_par_typologie[[client]:[client]]=syndicat_etude)*(evolution_hta_par_typologie[[annee]:[annee]]=Exercice[[Exercice N]:[Exercice N]])*(evolution_hta_par_typologie[[annee_mes]:[annee_mes]]=BU$3)*(evolution_hta_par_typologie[[lineaire_hta_aerien_nu_fs]:[lineaire_hta_aerien_nu_fs]]))</f>
        <v>0</v>
      </c>
      <c r="BV5" s="264" cm="1">
        <f t="array" ref="BV5">SUMPRODUCT((evolution_hta_par_typologie[[client]:[client]]=syndicat_etude)*(evolution_hta_par_typologie[[annee]:[annee]]=Exercice[[Exercice N]:[Exercice N]])*(evolution_hta_par_typologie[[annee_mes]:[annee_mes]]=BV$3)*(evolution_hta_par_typologie[[lineaire_hta_aerien_nu_fs]:[lineaire_hta_aerien_nu_fs]]))</f>
        <v>0</v>
      </c>
      <c r="BW5" s="264" cm="1">
        <f t="array" ref="BW5">SUMPRODUCT((evolution_hta_par_typologie[[client]:[client]]=syndicat_etude)*(evolution_hta_par_typologie[[annee]:[annee]]=Exercice[[Exercice N]:[Exercice N]])*(evolution_hta_par_typologie[[annee_mes]:[annee_mes]]=BW$3)*(evolution_hta_par_typologie[[lineaire_hta_aerien_nu_fs]:[lineaire_hta_aerien_nu_fs]]))</f>
        <v>0</v>
      </c>
      <c r="BX5" s="264" cm="1">
        <f t="array" ref="BX5">SUMPRODUCT((evolution_hta_par_typologie[[client]:[client]]=syndicat_etude)*(evolution_hta_par_typologie[[annee]:[annee]]=Exercice[[Exercice N]:[Exercice N]])*(evolution_hta_par_typologie[[annee_mes]:[annee_mes]]=BX$3)*(evolution_hta_par_typologie[[lineaire_hta_aerien_nu_fs]:[lineaire_hta_aerien_nu_fs]]))</f>
        <v>0</v>
      </c>
      <c r="BY5" s="264" cm="1">
        <f t="array" ref="BY5">SUMPRODUCT((evolution_hta_par_typologie[[client]:[client]]=syndicat_etude)*(evolution_hta_par_typologie[[annee]:[annee]]=Exercice[[Exercice N]:[Exercice N]])*(evolution_hta_par_typologie[[annee_mes]:[annee_mes]]=BY$3)*(evolution_hta_par_typologie[[lineaire_hta_aerien_nu_fs]:[lineaire_hta_aerien_nu_fs]]))</f>
        <v>0</v>
      </c>
      <c r="BZ5" s="264" cm="1">
        <f t="array" ref="BZ5">SUMPRODUCT((evolution_hta_par_typologie[[client]:[client]]=syndicat_etude)*(evolution_hta_par_typologie[[annee]:[annee]]=Exercice[[Exercice N]:[Exercice N]])*(evolution_hta_par_typologie[[annee_mes]:[annee_mes]]=BZ$3)*(evolution_hta_par_typologie[[lineaire_hta_aerien_nu_fs]:[lineaire_hta_aerien_nu_fs]]))</f>
        <v>0</v>
      </c>
      <c r="CA5" s="264" cm="1">
        <f t="array" ref="CA5">SUMPRODUCT((evolution_hta_par_typologie[[client]:[client]]=syndicat_etude)*(evolution_hta_par_typologie[[annee]:[annee]]=Exercice[[Exercice N]:[Exercice N]])*(evolution_hta_par_typologie[[annee_mes]:[annee_mes]]=CA$3)*(evolution_hta_par_typologie[[lineaire_hta_aerien_nu_fs]:[lineaire_hta_aerien_nu_fs]]))</f>
        <v>0</v>
      </c>
      <c r="CB5" s="264" cm="1">
        <f t="array" ref="CB5">SUMPRODUCT((evolution_hta_par_typologie[[client]:[client]]=syndicat_etude)*(evolution_hta_par_typologie[[annee]:[annee]]=Exercice[[Exercice N]:[Exercice N]])*(evolution_hta_par_typologie[[annee_mes]:[annee_mes]]=CB$3)*(evolution_hta_par_typologie[[lineaire_hta_aerien_nu_fs]:[lineaire_hta_aerien_nu_fs]]))</f>
        <v>0</v>
      </c>
      <c r="CC5" s="426" cm="1">
        <f t="array" ref="CC5">SUMPRODUCT((evolution_hta_par_typologie[[client]:[client]]=syndicat_etude)*(evolution_hta_par_typologie[[annee]:[annee]]=Exercice[[Exercice N]:[Exercice N]])*(evolution_hta_par_typologie[[annee_mes]:[annee_mes]]=CC$3)*(evolution_hta_par_typologie[[lineaire_hta_aerien_nu_fs]:[lineaire_hta_aerien_nu_fs]]))</f>
        <v>0</v>
      </c>
      <c r="CD5" s="406"/>
      <c r="CE5" s="406"/>
      <c r="CF5" s="406"/>
    </row>
    <row r="6" spans="1:84" x14ac:dyDescent="0.25">
      <c r="B6" s="429" t="s">
        <v>114</v>
      </c>
      <c r="C6" s="264" cm="1">
        <f t="array" ref="C6">SUMPRODUCT((evolution_hta_par_typologie[[client]:[client]]=syndicat_etude)*(evolution_hta_par_typologie[[annee]:[annee]]=Exercice[[Exercice N]:[Exercice N]])*(evolution_hta_par_typologie[[annee_mes]:[annee_mes]]&lt;1946)*(evolution_hta_par_typologie[[lineaire_hta_torsade]:[lineaire_hta_torsade]]))</f>
        <v>0</v>
      </c>
      <c r="D6" s="264" cm="1">
        <f t="array" ref="D6">SUMPRODUCT((evolution_hta_par_typologie[[client]:[client]]=syndicat_etude)*(evolution_hta_par_typologie[[annee]:[annee]]=Exercice[[Exercice N]:[Exercice N]])*(evolution_hta_par_typologie[[annee_mes]:[annee_mes]]=D$3)*(evolution_hta_par_typologie[[lineaire_hta_torsade]:[lineaire_hta_torsade]]))</f>
        <v>0</v>
      </c>
      <c r="E6" s="264" cm="1">
        <f t="array" ref="E6">SUMPRODUCT((evolution_hta_par_typologie[[client]:[client]]=syndicat_etude)*(evolution_hta_par_typologie[[annee]:[annee]]=Exercice[[Exercice N]:[Exercice N]])*(evolution_hta_par_typologie[[annee_mes]:[annee_mes]]=E$3)*(evolution_hta_par_typologie[[lineaire_hta_torsade]:[lineaire_hta_torsade]]))</f>
        <v>0</v>
      </c>
      <c r="F6" s="264" cm="1">
        <f t="array" ref="F6">SUMPRODUCT((evolution_hta_par_typologie[[client]:[client]]=syndicat_etude)*(evolution_hta_par_typologie[[annee]:[annee]]=Exercice[[Exercice N]:[Exercice N]])*(evolution_hta_par_typologie[[annee_mes]:[annee_mes]]=F$3)*(evolution_hta_par_typologie[[lineaire_hta_torsade]:[lineaire_hta_torsade]]))</f>
        <v>0</v>
      </c>
      <c r="G6" s="264" cm="1">
        <f t="array" ref="G6">SUMPRODUCT((evolution_hta_par_typologie[[client]:[client]]=syndicat_etude)*(evolution_hta_par_typologie[[annee]:[annee]]=Exercice[[Exercice N]:[Exercice N]])*(evolution_hta_par_typologie[[annee_mes]:[annee_mes]]=G$3)*(evolution_hta_par_typologie[[lineaire_hta_torsade]:[lineaire_hta_torsade]]))</f>
        <v>0</v>
      </c>
      <c r="H6" s="264" cm="1">
        <f t="array" ref="H6">SUMPRODUCT((evolution_hta_par_typologie[[client]:[client]]=syndicat_etude)*(evolution_hta_par_typologie[[annee]:[annee]]=Exercice[[Exercice N]:[Exercice N]])*(evolution_hta_par_typologie[[annee_mes]:[annee_mes]]=H$3)*(evolution_hta_par_typologie[[lineaire_hta_torsade]:[lineaire_hta_torsade]]))</f>
        <v>0</v>
      </c>
      <c r="I6" s="264" cm="1">
        <f t="array" ref="I6">SUMPRODUCT((evolution_hta_par_typologie[[client]:[client]]=syndicat_etude)*(evolution_hta_par_typologie[[annee]:[annee]]=Exercice[[Exercice N]:[Exercice N]])*(evolution_hta_par_typologie[[annee_mes]:[annee_mes]]=I$3)*(evolution_hta_par_typologie[[lineaire_hta_torsade]:[lineaire_hta_torsade]]))</f>
        <v>0</v>
      </c>
      <c r="J6" s="264" cm="1">
        <f t="array" ref="J6">SUMPRODUCT((evolution_hta_par_typologie[[client]:[client]]=syndicat_etude)*(evolution_hta_par_typologie[[annee]:[annee]]=Exercice[[Exercice N]:[Exercice N]])*(evolution_hta_par_typologie[[annee_mes]:[annee_mes]]=J$3)*(evolution_hta_par_typologie[[lineaire_hta_torsade]:[lineaire_hta_torsade]]))</f>
        <v>0</v>
      </c>
      <c r="K6" s="264" cm="1">
        <f t="array" ref="K6">SUMPRODUCT((evolution_hta_par_typologie[[client]:[client]]=syndicat_etude)*(evolution_hta_par_typologie[[annee]:[annee]]=Exercice[[Exercice N]:[Exercice N]])*(evolution_hta_par_typologie[[annee_mes]:[annee_mes]]=K$3)*(evolution_hta_par_typologie[[lineaire_hta_torsade]:[lineaire_hta_torsade]]))</f>
        <v>0</v>
      </c>
      <c r="L6" s="264" cm="1">
        <f t="array" ref="L6">SUMPRODUCT((evolution_hta_par_typologie[[client]:[client]]=syndicat_etude)*(evolution_hta_par_typologie[[annee]:[annee]]=Exercice[[Exercice N]:[Exercice N]])*(evolution_hta_par_typologie[[annee_mes]:[annee_mes]]=L$3)*(evolution_hta_par_typologie[[lineaire_hta_torsade]:[lineaire_hta_torsade]]))</f>
        <v>0</v>
      </c>
      <c r="M6" s="264" cm="1">
        <f t="array" ref="M6">SUMPRODUCT((evolution_hta_par_typologie[[client]:[client]]=syndicat_etude)*(evolution_hta_par_typologie[[annee]:[annee]]=Exercice[[Exercice N]:[Exercice N]])*(evolution_hta_par_typologie[[annee_mes]:[annee_mes]]=M$3)*(evolution_hta_par_typologie[[lineaire_hta_torsade]:[lineaire_hta_torsade]]))</f>
        <v>0</v>
      </c>
      <c r="N6" s="264" cm="1">
        <f t="array" ref="N6">SUMPRODUCT((evolution_hta_par_typologie[[client]:[client]]=syndicat_etude)*(evolution_hta_par_typologie[[annee]:[annee]]=Exercice[[Exercice N]:[Exercice N]])*(evolution_hta_par_typologie[[annee_mes]:[annee_mes]]=N$3)*(evolution_hta_par_typologie[[lineaire_hta_torsade]:[lineaire_hta_torsade]]))</f>
        <v>0</v>
      </c>
      <c r="O6" s="264" cm="1">
        <f t="array" ref="O6">SUMPRODUCT((evolution_hta_par_typologie[[client]:[client]]=syndicat_etude)*(evolution_hta_par_typologie[[annee]:[annee]]=Exercice[[Exercice N]:[Exercice N]])*(evolution_hta_par_typologie[[annee_mes]:[annee_mes]]=O$3)*(evolution_hta_par_typologie[[lineaire_hta_torsade]:[lineaire_hta_torsade]]))</f>
        <v>0</v>
      </c>
      <c r="P6" s="264" cm="1">
        <f t="array" ref="P6">SUMPRODUCT((evolution_hta_par_typologie[[client]:[client]]=syndicat_etude)*(evolution_hta_par_typologie[[annee]:[annee]]=Exercice[[Exercice N]:[Exercice N]])*(evolution_hta_par_typologie[[annee_mes]:[annee_mes]]=P$3)*(evolution_hta_par_typologie[[lineaire_hta_torsade]:[lineaire_hta_torsade]]))</f>
        <v>0</v>
      </c>
      <c r="Q6" s="264" cm="1">
        <f t="array" ref="Q6">SUMPRODUCT((evolution_hta_par_typologie[[client]:[client]]=syndicat_etude)*(evolution_hta_par_typologie[[annee]:[annee]]=Exercice[[Exercice N]:[Exercice N]])*(evolution_hta_par_typologie[[annee_mes]:[annee_mes]]=Q$3)*(evolution_hta_par_typologie[[lineaire_hta_torsade]:[lineaire_hta_torsade]]))</f>
        <v>0</v>
      </c>
      <c r="R6" s="264" cm="1">
        <f t="array" ref="R6">SUMPRODUCT((evolution_hta_par_typologie[[client]:[client]]=syndicat_etude)*(evolution_hta_par_typologie[[annee]:[annee]]=Exercice[[Exercice N]:[Exercice N]])*(evolution_hta_par_typologie[[annee_mes]:[annee_mes]]=R$3)*(evolution_hta_par_typologie[[lineaire_hta_torsade]:[lineaire_hta_torsade]]))</f>
        <v>0</v>
      </c>
      <c r="S6" s="264" cm="1">
        <f t="array" ref="S6">SUMPRODUCT((evolution_hta_par_typologie[[client]:[client]]=syndicat_etude)*(evolution_hta_par_typologie[[annee]:[annee]]=Exercice[[Exercice N]:[Exercice N]])*(evolution_hta_par_typologie[[annee_mes]:[annee_mes]]=S$3)*(evolution_hta_par_typologie[[lineaire_hta_torsade]:[lineaire_hta_torsade]]))</f>
        <v>0</v>
      </c>
      <c r="T6" s="264" cm="1">
        <f t="array" ref="T6">SUMPRODUCT((evolution_hta_par_typologie[[client]:[client]]=syndicat_etude)*(evolution_hta_par_typologie[[annee]:[annee]]=Exercice[[Exercice N]:[Exercice N]])*(evolution_hta_par_typologie[[annee_mes]:[annee_mes]]=T$3)*(evolution_hta_par_typologie[[lineaire_hta_torsade]:[lineaire_hta_torsade]]))</f>
        <v>0</v>
      </c>
      <c r="U6" s="264" cm="1">
        <f t="array" ref="U6">SUMPRODUCT((evolution_hta_par_typologie[[client]:[client]]=syndicat_etude)*(evolution_hta_par_typologie[[annee]:[annee]]=Exercice[[Exercice N]:[Exercice N]])*(evolution_hta_par_typologie[[annee_mes]:[annee_mes]]=U$3)*(evolution_hta_par_typologie[[lineaire_hta_torsade]:[lineaire_hta_torsade]]))</f>
        <v>0</v>
      </c>
      <c r="V6" s="264" cm="1">
        <f t="array" ref="V6">SUMPRODUCT((evolution_hta_par_typologie[[client]:[client]]=syndicat_etude)*(evolution_hta_par_typologie[[annee]:[annee]]=Exercice[[Exercice N]:[Exercice N]])*(evolution_hta_par_typologie[[annee_mes]:[annee_mes]]=V$3)*(evolution_hta_par_typologie[[lineaire_hta_torsade]:[lineaire_hta_torsade]]))</f>
        <v>0.25</v>
      </c>
      <c r="W6" s="264" cm="1">
        <f t="array" ref="W6">SUMPRODUCT((evolution_hta_par_typologie[[client]:[client]]=syndicat_etude)*(evolution_hta_par_typologie[[annee]:[annee]]=Exercice[[Exercice N]:[Exercice N]])*(evolution_hta_par_typologie[[annee_mes]:[annee_mes]]=W$3)*(evolution_hta_par_typologie[[lineaire_hta_torsade]:[lineaire_hta_torsade]]))</f>
        <v>0</v>
      </c>
      <c r="X6" s="264" cm="1">
        <f t="array" ref="X6">SUMPRODUCT((evolution_hta_par_typologie[[client]:[client]]=syndicat_etude)*(evolution_hta_par_typologie[[annee]:[annee]]=Exercice[[Exercice N]:[Exercice N]])*(evolution_hta_par_typologie[[annee_mes]:[annee_mes]]=X$3)*(evolution_hta_par_typologie[[lineaire_hta_torsade]:[lineaire_hta_torsade]]))</f>
        <v>0</v>
      </c>
      <c r="Y6" s="264" cm="1">
        <f t="array" ref="Y6">SUMPRODUCT((evolution_hta_par_typologie[[client]:[client]]=syndicat_etude)*(evolution_hta_par_typologie[[annee]:[annee]]=Exercice[[Exercice N]:[Exercice N]])*(evolution_hta_par_typologie[[annee_mes]:[annee_mes]]=Y$3)*(evolution_hta_par_typologie[[lineaire_hta_torsade]:[lineaire_hta_torsade]]))</f>
        <v>0</v>
      </c>
      <c r="Z6" s="264" cm="1">
        <f t="array" ref="Z6">SUMPRODUCT((evolution_hta_par_typologie[[client]:[client]]=syndicat_etude)*(evolution_hta_par_typologie[[annee]:[annee]]=Exercice[[Exercice N]:[Exercice N]])*(evolution_hta_par_typologie[[annee_mes]:[annee_mes]]=Z$3)*(evolution_hta_par_typologie[[lineaire_hta_torsade]:[lineaire_hta_torsade]]))</f>
        <v>0</v>
      </c>
      <c r="AA6" s="264" cm="1">
        <f t="array" ref="AA6">SUMPRODUCT((evolution_hta_par_typologie[[client]:[client]]=syndicat_etude)*(evolution_hta_par_typologie[[annee]:[annee]]=Exercice[[Exercice N]:[Exercice N]])*(evolution_hta_par_typologie[[annee_mes]:[annee_mes]]=AA$3)*(evolution_hta_par_typologie[[lineaire_hta_torsade]:[lineaire_hta_torsade]]))</f>
        <v>0</v>
      </c>
      <c r="AB6" s="264" cm="1">
        <f t="array" ref="AB6">SUMPRODUCT((evolution_hta_par_typologie[[client]:[client]]=syndicat_etude)*(evolution_hta_par_typologie[[annee]:[annee]]=Exercice[[Exercice N]:[Exercice N]])*(evolution_hta_par_typologie[[annee_mes]:[annee_mes]]=AB$3)*(evolution_hta_par_typologie[[lineaire_hta_torsade]:[lineaire_hta_torsade]]))</f>
        <v>0</v>
      </c>
      <c r="AC6" s="264" cm="1">
        <f t="array" ref="AC6">SUMPRODUCT((evolution_hta_par_typologie[[client]:[client]]=syndicat_etude)*(evolution_hta_par_typologie[[annee]:[annee]]=Exercice[[Exercice N]:[Exercice N]])*(evolution_hta_par_typologie[[annee_mes]:[annee_mes]]=AC$3)*(evolution_hta_par_typologie[[lineaire_hta_torsade]:[lineaire_hta_torsade]]))</f>
        <v>0</v>
      </c>
      <c r="AD6" s="264" cm="1">
        <f t="array" ref="AD6">SUMPRODUCT((evolution_hta_par_typologie[[client]:[client]]=syndicat_etude)*(evolution_hta_par_typologie[[annee]:[annee]]=Exercice[[Exercice N]:[Exercice N]])*(evolution_hta_par_typologie[[annee_mes]:[annee_mes]]=AD$3)*(evolution_hta_par_typologie[[lineaire_hta_torsade]:[lineaire_hta_torsade]]))</f>
        <v>0</v>
      </c>
      <c r="AE6" s="264" cm="1">
        <f t="array" ref="AE6">SUMPRODUCT((evolution_hta_par_typologie[[client]:[client]]=syndicat_etude)*(evolution_hta_par_typologie[[annee]:[annee]]=Exercice[[Exercice N]:[Exercice N]])*(evolution_hta_par_typologie[[annee_mes]:[annee_mes]]=AE$3)*(evolution_hta_par_typologie[[lineaire_hta_torsade]:[lineaire_hta_torsade]]))</f>
        <v>0</v>
      </c>
      <c r="AF6" s="264" cm="1">
        <f t="array" ref="AF6">SUMPRODUCT((evolution_hta_par_typologie[[client]:[client]]=syndicat_etude)*(evolution_hta_par_typologie[[annee]:[annee]]=Exercice[[Exercice N]:[Exercice N]])*(evolution_hta_par_typologie[[annee_mes]:[annee_mes]]=AF$3)*(evolution_hta_par_typologie[[lineaire_hta_torsade]:[lineaire_hta_torsade]]))</f>
        <v>0</v>
      </c>
      <c r="AG6" s="264" cm="1">
        <f t="array" ref="AG6">SUMPRODUCT((evolution_hta_par_typologie[[client]:[client]]=syndicat_etude)*(evolution_hta_par_typologie[[annee]:[annee]]=Exercice[[Exercice N]:[Exercice N]])*(evolution_hta_par_typologie[[annee_mes]:[annee_mes]]=AG$3)*(evolution_hta_par_typologie[[lineaire_hta_torsade]:[lineaire_hta_torsade]]))</f>
        <v>0</v>
      </c>
      <c r="AH6" s="264" cm="1">
        <f t="array" ref="AH6">SUMPRODUCT((evolution_hta_par_typologie[[client]:[client]]=syndicat_etude)*(evolution_hta_par_typologie[[annee]:[annee]]=Exercice[[Exercice N]:[Exercice N]])*(evolution_hta_par_typologie[[annee_mes]:[annee_mes]]=AH$3)*(evolution_hta_par_typologie[[lineaire_hta_torsade]:[lineaire_hta_torsade]]))</f>
        <v>0</v>
      </c>
      <c r="AI6" s="264" cm="1">
        <f t="array" ref="AI6">SUMPRODUCT((evolution_hta_par_typologie[[client]:[client]]=syndicat_etude)*(evolution_hta_par_typologie[[annee]:[annee]]=Exercice[[Exercice N]:[Exercice N]])*(evolution_hta_par_typologie[[annee_mes]:[annee_mes]]=AI$3)*(evolution_hta_par_typologie[[lineaire_hta_torsade]:[lineaire_hta_torsade]]))</f>
        <v>0</v>
      </c>
      <c r="AJ6" s="264" cm="1">
        <f t="array" ref="AJ6">SUMPRODUCT((evolution_hta_par_typologie[[client]:[client]]=syndicat_etude)*(evolution_hta_par_typologie[[annee]:[annee]]=Exercice[[Exercice N]:[Exercice N]])*(evolution_hta_par_typologie[[annee_mes]:[annee_mes]]=AJ$3)*(evolution_hta_par_typologie[[lineaire_hta_torsade]:[lineaire_hta_torsade]]))</f>
        <v>1.3</v>
      </c>
      <c r="AK6" s="264" cm="1">
        <f t="array" ref="AK6">SUMPRODUCT((evolution_hta_par_typologie[[client]:[client]]=syndicat_etude)*(evolution_hta_par_typologie[[annee]:[annee]]=Exercice[[Exercice N]:[Exercice N]])*(evolution_hta_par_typologie[[annee_mes]:[annee_mes]]=AK$3)*(evolution_hta_par_typologie[[lineaire_hta_torsade]:[lineaire_hta_torsade]]))</f>
        <v>0</v>
      </c>
      <c r="AL6" s="264" cm="1">
        <f t="array" ref="AL6">SUMPRODUCT((evolution_hta_par_typologie[[client]:[client]]=syndicat_etude)*(evolution_hta_par_typologie[[annee]:[annee]]=Exercice[[Exercice N]:[Exercice N]])*(evolution_hta_par_typologie[[annee_mes]:[annee_mes]]=AL$3)*(evolution_hta_par_typologie[[lineaire_hta_torsade]:[lineaire_hta_torsade]]))</f>
        <v>0</v>
      </c>
      <c r="AM6" s="264" cm="1">
        <f t="array" ref="AM6">SUMPRODUCT((evolution_hta_par_typologie[[client]:[client]]=syndicat_etude)*(evolution_hta_par_typologie[[annee]:[annee]]=Exercice[[Exercice N]:[Exercice N]])*(evolution_hta_par_typologie[[annee_mes]:[annee_mes]]=AM$3)*(evolution_hta_par_typologie[[lineaire_hta_torsade]:[lineaire_hta_torsade]]))</f>
        <v>0</v>
      </c>
      <c r="AN6" s="264" cm="1">
        <f t="array" ref="AN6">SUMPRODUCT((evolution_hta_par_typologie[[client]:[client]]=syndicat_etude)*(evolution_hta_par_typologie[[annee]:[annee]]=Exercice[[Exercice N]:[Exercice N]])*(evolution_hta_par_typologie[[annee_mes]:[annee_mes]]=AN$3)*(evolution_hta_par_typologie[[lineaire_hta_torsade]:[lineaire_hta_torsade]]))</f>
        <v>0</v>
      </c>
      <c r="AO6" s="264" cm="1">
        <f t="array" ref="AO6">SUMPRODUCT((evolution_hta_par_typologie[[client]:[client]]=syndicat_etude)*(evolution_hta_par_typologie[[annee]:[annee]]=Exercice[[Exercice N]:[Exercice N]])*(evolution_hta_par_typologie[[annee_mes]:[annee_mes]]=AO$3)*(evolution_hta_par_typologie[[lineaire_hta_torsade]:[lineaire_hta_torsade]]))</f>
        <v>0</v>
      </c>
      <c r="AP6" s="264" cm="1">
        <f t="array" ref="AP6">SUMPRODUCT((evolution_hta_par_typologie[[client]:[client]]=syndicat_etude)*(evolution_hta_par_typologie[[annee]:[annee]]=Exercice[[Exercice N]:[Exercice N]])*(evolution_hta_par_typologie[[annee_mes]:[annee_mes]]=AP$3)*(evolution_hta_par_typologie[[lineaire_hta_torsade]:[lineaire_hta_torsade]]))</f>
        <v>0</v>
      </c>
      <c r="AQ6" s="264" cm="1">
        <f t="array" ref="AQ6">SUMPRODUCT((evolution_hta_par_typologie[[client]:[client]]=syndicat_etude)*(evolution_hta_par_typologie[[annee]:[annee]]=Exercice[[Exercice N]:[Exercice N]])*(evolution_hta_par_typologie[[annee_mes]:[annee_mes]]=AQ$3)*(evolution_hta_par_typologie[[lineaire_hta_torsade]:[lineaire_hta_torsade]]))</f>
        <v>0</v>
      </c>
      <c r="AR6" s="264" cm="1">
        <f t="array" ref="AR6">SUMPRODUCT((evolution_hta_par_typologie[[client]:[client]]=syndicat_etude)*(evolution_hta_par_typologie[[annee]:[annee]]=Exercice[[Exercice N]:[Exercice N]])*(evolution_hta_par_typologie[[annee_mes]:[annee_mes]]=AR$3)*(evolution_hta_par_typologie[[lineaire_hta_torsade]:[lineaire_hta_torsade]]))</f>
        <v>0</v>
      </c>
      <c r="AS6" s="264" cm="1">
        <f t="array" ref="AS6">SUMPRODUCT((evolution_hta_par_typologie[[client]:[client]]=syndicat_etude)*(evolution_hta_par_typologie[[annee]:[annee]]=Exercice[[Exercice N]:[Exercice N]])*(evolution_hta_par_typologie[[annee_mes]:[annee_mes]]=AS$3)*(evolution_hta_par_typologie[[lineaire_hta_torsade]:[lineaire_hta_torsade]]))</f>
        <v>1.28</v>
      </c>
      <c r="AT6" s="264" cm="1">
        <f t="array" ref="AT6">SUMPRODUCT((evolution_hta_par_typologie[[client]:[client]]=syndicat_etude)*(evolution_hta_par_typologie[[annee]:[annee]]=Exercice[[Exercice N]:[Exercice N]])*(evolution_hta_par_typologie[[annee_mes]:[annee_mes]]=AT$3)*(evolution_hta_par_typologie[[lineaire_hta_torsade]:[lineaire_hta_torsade]]))</f>
        <v>0.83</v>
      </c>
      <c r="AU6" s="264" cm="1">
        <f t="array" ref="AU6">SUMPRODUCT((evolution_hta_par_typologie[[client]:[client]]=syndicat_etude)*(evolution_hta_par_typologie[[annee]:[annee]]=Exercice[[Exercice N]:[Exercice N]])*(evolution_hta_par_typologie[[annee_mes]:[annee_mes]]=AU$3)*(evolution_hta_par_typologie[[lineaire_hta_torsade]:[lineaire_hta_torsade]]))</f>
        <v>0.96</v>
      </c>
      <c r="AV6" s="264" cm="1">
        <f t="array" ref="AV6">SUMPRODUCT((evolution_hta_par_typologie[[client]:[client]]=syndicat_etude)*(evolution_hta_par_typologie[[annee]:[annee]]=Exercice[[Exercice N]:[Exercice N]])*(evolution_hta_par_typologie[[annee_mes]:[annee_mes]]=AV$3)*(evolution_hta_par_typologie[[lineaire_hta_torsade]:[lineaire_hta_torsade]]))</f>
        <v>0</v>
      </c>
      <c r="AW6" s="264" cm="1">
        <f t="array" ref="AW6">SUMPRODUCT((evolution_hta_par_typologie[[client]:[client]]=syndicat_etude)*(evolution_hta_par_typologie[[annee]:[annee]]=Exercice[[Exercice N]:[Exercice N]])*(evolution_hta_par_typologie[[annee_mes]:[annee_mes]]=AW$3)*(evolution_hta_par_typologie[[lineaire_hta_torsade]:[lineaire_hta_torsade]]))</f>
        <v>0</v>
      </c>
      <c r="AX6" s="264" cm="1">
        <f t="array" ref="AX6">SUMPRODUCT((evolution_hta_par_typologie[[client]:[client]]=syndicat_etude)*(evolution_hta_par_typologie[[annee]:[annee]]=Exercice[[Exercice N]:[Exercice N]])*(evolution_hta_par_typologie[[annee_mes]:[annee_mes]]=AX$3)*(evolution_hta_par_typologie[[lineaire_hta_torsade]:[lineaire_hta_torsade]]))</f>
        <v>0</v>
      </c>
      <c r="AY6" s="264" cm="1">
        <f t="array" ref="AY6">SUMPRODUCT((evolution_hta_par_typologie[[client]:[client]]=syndicat_etude)*(evolution_hta_par_typologie[[annee]:[annee]]=Exercice[[Exercice N]:[Exercice N]])*(evolution_hta_par_typologie[[annee_mes]:[annee_mes]]=AY$3)*(evolution_hta_par_typologie[[lineaire_hta_torsade]:[lineaire_hta_torsade]]))</f>
        <v>0</v>
      </c>
      <c r="AZ6" s="264" cm="1">
        <f t="array" ref="AZ6">SUMPRODUCT((evolution_hta_par_typologie[[client]:[client]]=syndicat_etude)*(evolution_hta_par_typologie[[annee]:[annee]]=Exercice[[Exercice N]:[Exercice N]])*(evolution_hta_par_typologie[[annee_mes]:[annee_mes]]=AZ$3)*(evolution_hta_par_typologie[[lineaire_hta_torsade]:[lineaire_hta_torsade]]))</f>
        <v>0</v>
      </c>
      <c r="BA6" s="264" cm="1">
        <f t="array" ref="BA6">SUMPRODUCT((evolution_hta_par_typologie[[client]:[client]]=syndicat_etude)*(evolution_hta_par_typologie[[annee]:[annee]]=Exercice[[Exercice N]:[Exercice N]])*(evolution_hta_par_typologie[[annee_mes]:[annee_mes]]=BA$3)*(evolution_hta_par_typologie[[lineaire_hta_torsade]:[lineaire_hta_torsade]]))</f>
        <v>0</v>
      </c>
      <c r="BB6" s="264" cm="1">
        <f t="array" ref="BB6">SUMPRODUCT((evolution_hta_par_typologie[[client]:[client]]=syndicat_etude)*(evolution_hta_par_typologie[[annee]:[annee]]=Exercice[[Exercice N]:[Exercice N]])*(evolution_hta_par_typologie[[annee_mes]:[annee_mes]]=BB$3)*(evolution_hta_par_typologie[[lineaire_hta_torsade]:[lineaire_hta_torsade]]))</f>
        <v>0</v>
      </c>
      <c r="BC6" s="264" cm="1">
        <f t="array" ref="BC6">SUMPRODUCT((evolution_hta_par_typologie[[client]:[client]]=syndicat_etude)*(evolution_hta_par_typologie[[annee]:[annee]]=Exercice[[Exercice N]:[Exercice N]])*(evolution_hta_par_typologie[[annee_mes]:[annee_mes]]=BC$3)*(evolution_hta_par_typologie[[lineaire_hta_torsade]:[lineaire_hta_torsade]]))</f>
        <v>0</v>
      </c>
      <c r="BD6" s="264" cm="1">
        <f t="array" ref="BD6">SUMPRODUCT((evolution_hta_par_typologie[[client]:[client]]=syndicat_etude)*(evolution_hta_par_typologie[[annee]:[annee]]=Exercice[[Exercice N]:[Exercice N]])*(evolution_hta_par_typologie[[annee_mes]:[annee_mes]]=BD$3)*(evolution_hta_par_typologie[[lineaire_hta_torsade]:[lineaire_hta_torsade]]))</f>
        <v>0</v>
      </c>
      <c r="BE6" s="264" cm="1">
        <f t="array" ref="BE6">SUMPRODUCT((evolution_hta_par_typologie[[client]:[client]]=syndicat_etude)*(evolution_hta_par_typologie[[annee]:[annee]]=Exercice[[Exercice N]:[Exercice N]])*(evolution_hta_par_typologie[[annee_mes]:[annee_mes]]=BE$3)*(evolution_hta_par_typologie[[lineaire_hta_torsade]:[lineaire_hta_torsade]]))</f>
        <v>0.46</v>
      </c>
      <c r="BF6" s="264" cm="1">
        <f t="array" ref="BF6">SUMPRODUCT((evolution_hta_par_typologie[[client]:[client]]=syndicat_etude)*(evolution_hta_par_typologie[[annee]:[annee]]=Exercice[[Exercice N]:[Exercice N]])*(evolution_hta_par_typologie[[annee_mes]:[annee_mes]]=BF$3)*(evolution_hta_par_typologie[[lineaire_hta_torsade]:[lineaire_hta_torsade]]))</f>
        <v>0.32</v>
      </c>
      <c r="BG6" s="264" cm="1">
        <f t="array" ref="BG6">SUMPRODUCT((evolution_hta_par_typologie[[client]:[client]]=syndicat_etude)*(evolution_hta_par_typologie[[annee]:[annee]]=Exercice[[Exercice N]:[Exercice N]])*(evolution_hta_par_typologie[[annee_mes]:[annee_mes]]=BG$3)*(evolution_hta_par_typologie[[lineaire_hta_torsade]:[lineaire_hta_torsade]]))</f>
        <v>0</v>
      </c>
      <c r="BH6" s="264" cm="1">
        <f t="array" ref="BH6">SUMPRODUCT((evolution_hta_par_typologie[[client]:[client]]=syndicat_etude)*(evolution_hta_par_typologie[[annee]:[annee]]=Exercice[[Exercice N]:[Exercice N]])*(evolution_hta_par_typologie[[annee_mes]:[annee_mes]]=BH$3)*(evolution_hta_par_typologie[[lineaire_hta_torsade]:[lineaire_hta_torsade]]))</f>
        <v>0</v>
      </c>
      <c r="BI6" s="264" cm="1">
        <f t="array" ref="BI6">SUMPRODUCT((evolution_hta_par_typologie[[client]:[client]]=syndicat_etude)*(evolution_hta_par_typologie[[annee]:[annee]]=Exercice[[Exercice N]:[Exercice N]])*(evolution_hta_par_typologie[[annee_mes]:[annee_mes]]=BI$3)*(evolution_hta_par_typologie[[lineaire_hta_torsade]:[lineaire_hta_torsade]]))</f>
        <v>0</v>
      </c>
      <c r="BJ6" s="264" cm="1">
        <f t="array" ref="BJ6">SUMPRODUCT((evolution_hta_par_typologie[[client]:[client]]=syndicat_etude)*(evolution_hta_par_typologie[[annee]:[annee]]=Exercice[[Exercice N]:[Exercice N]])*(evolution_hta_par_typologie[[annee_mes]:[annee_mes]]=BJ$3)*(evolution_hta_par_typologie[[lineaire_hta_torsade]:[lineaire_hta_torsade]]))</f>
        <v>0</v>
      </c>
      <c r="BK6" s="264" cm="1">
        <f t="array" ref="BK6">SUMPRODUCT((evolution_hta_par_typologie[[client]:[client]]=syndicat_etude)*(evolution_hta_par_typologie[[annee]:[annee]]=Exercice[[Exercice N]:[Exercice N]])*(evolution_hta_par_typologie[[annee_mes]:[annee_mes]]=BK$3)*(evolution_hta_par_typologie[[lineaire_hta_torsade]:[lineaire_hta_torsade]]))</f>
        <v>0</v>
      </c>
      <c r="BL6" s="264" cm="1">
        <f t="array" ref="BL6">SUMPRODUCT((evolution_hta_par_typologie[[client]:[client]]=syndicat_etude)*(evolution_hta_par_typologie[[annee]:[annee]]=Exercice[[Exercice N]:[Exercice N]])*(evolution_hta_par_typologie[[annee_mes]:[annee_mes]]=BL$3)*(evolution_hta_par_typologie[[lineaire_hta_torsade]:[lineaire_hta_torsade]]))</f>
        <v>0</v>
      </c>
      <c r="BM6" s="264" cm="1">
        <f t="array" ref="BM6">SUMPRODUCT((evolution_hta_par_typologie[[client]:[client]]=syndicat_etude)*(evolution_hta_par_typologie[[annee]:[annee]]=Exercice[[Exercice N]:[Exercice N]])*(evolution_hta_par_typologie[[annee_mes]:[annee_mes]]=BM$3)*(evolution_hta_par_typologie[[lineaire_hta_torsade]:[lineaire_hta_torsade]]))</f>
        <v>0</v>
      </c>
      <c r="BN6" s="264" cm="1">
        <f t="array" ref="BN6">SUMPRODUCT((evolution_hta_par_typologie[[client]:[client]]=syndicat_etude)*(evolution_hta_par_typologie[[annee]:[annee]]=Exercice[[Exercice N]:[Exercice N]])*(evolution_hta_par_typologie[[annee_mes]:[annee_mes]]=BN$3)*(evolution_hta_par_typologie[[lineaire_hta_torsade]:[lineaire_hta_torsade]]))</f>
        <v>0</v>
      </c>
      <c r="BO6" s="264" cm="1">
        <f t="array" ref="BO6">SUMPRODUCT((evolution_hta_par_typologie[[client]:[client]]=syndicat_etude)*(evolution_hta_par_typologie[[annee]:[annee]]=Exercice[[Exercice N]:[Exercice N]])*(evolution_hta_par_typologie[[annee_mes]:[annee_mes]]=BO$3)*(evolution_hta_par_typologie[[lineaire_hta_torsade]:[lineaire_hta_torsade]]))</f>
        <v>0</v>
      </c>
      <c r="BP6" s="264" cm="1">
        <f t="array" ref="BP6">SUMPRODUCT((evolution_hta_par_typologie[[client]:[client]]=syndicat_etude)*(evolution_hta_par_typologie[[annee]:[annee]]=Exercice[[Exercice N]:[Exercice N]])*(evolution_hta_par_typologie[[annee_mes]:[annee_mes]]=BP$3)*(evolution_hta_par_typologie[[lineaire_hta_torsade]:[lineaire_hta_torsade]]))</f>
        <v>0</v>
      </c>
      <c r="BQ6" s="264" cm="1">
        <f t="array" ref="BQ6">SUMPRODUCT((evolution_hta_par_typologie[[client]:[client]]=syndicat_etude)*(evolution_hta_par_typologie[[annee]:[annee]]=Exercice[[Exercice N]:[Exercice N]])*(evolution_hta_par_typologie[[annee_mes]:[annee_mes]]=BQ$3)*(evolution_hta_par_typologie[[lineaire_hta_torsade]:[lineaire_hta_torsade]]))</f>
        <v>0</v>
      </c>
      <c r="BR6" s="264" cm="1">
        <f t="array" ref="BR6">SUMPRODUCT((evolution_hta_par_typologie[[client]:[client]]=syndicat_etude)*(evolution_hta_par_typologie[[annee]:[annee]]=Exercice[[Exercice N]:[Exercice N]])*(evolution_hta_par_typologie[[annee_mes]:[annee_mes]]=BR$3)*(evolution_hta_par_typologie[[lineaire_hta_torsade]:[lineaire_hta_torsade]]))</f>
        <v>0</v>
      </c>
      <c r="BS6" s="264" cm="1">
        <f t="array" ref="BS6">SUMPRODUCT((evolution_hta_par_typologie[[client]:[client]]=syndicat_etude)*(evolution_hta_par_typologie[[annee]:[annee]]=Exercice[[Exercice N]:[Exercice N]])*(evolution_hta_par_typologie[[annee_mes]:[annee_mes]]=BS$3)*(evolution_hta_par_typologie[[lineaire_hta_torsade]:[lineaire_hta_torsade]]))</f>
        <v>0</v>
      </c>
      <c r="BT6" s="264" cm="1">
        <f t="array" ref="BT6">SUMPRODUCT((evolution_hta_par_typologie[[client]:[client]]=syndicat_etude)*(evolution_hta_par_typologie[[annee]:[annee]]=Exercice[[Exercice N]:[Exercice N]])*(evolution_hta_par_typologie[[annee_mes]:[annee_mes]]=BT$3)*(evolution_hta_par_typologie[[lineaire_hta_torsade]:[lineaire_hta_torsade]]))</f>
        <v>0</v>
      </c>
      <c r="BU6" s="264" cm="1">
        <f t="array" ref="BU6">SUMPRODUCT((evolution_hta_par_typologie[[client]:[client]]=syndicat_etude)*(evolution_hta_par_typologie[[annee]:[annee]]=Exercice[[Exercice N]:[Exercice N]])*(evolution_hta_par_typologie[[annee_mes]:[annee_mes]]=BU$3)*(evolution_hta_par_typologie[[lineaire_hta_torsade]:[lineaire_hta_torsade]]))</f>
        <v>0</v>
      </c>
      <c r="BV6" s="264" cm="1">
        <f t="array" ref="BV6">SUMPRODUCT((evolution_hta_par_typologie[[client]:[client]]=syndicat_etude)*(evolution_hta_par_typologie[[annee]:[annee]]=Exercice[[Exercice N]:[Exercice N]])*(evolution_hta_par_typologie[[annee_mes]:[annee_mes]]=BV$3)*(evolution_hta_par_typologie[[lineaire_hta_torsade]:[lineaire_hta_torsade]]))</f>
        <v>0</v>
      </c>
      <c r="BW6" s="264" cm="1">
        <f t="array" ref="BW6">SUMPRODUCT((evolution_hta_par_typologie[[client]:[client]]=syndicat_etude)*(evolution_hta_par_typologie[[annee]:[annee]]=Exercice[[Exercice N]:[Exercice N]])*(evolution_hta_par_typologie[[annee_mes]:[annee_mes]]=BW$3)*(evolution_hta_par_typologie[[lineaire_hta_torsade]:[lineaire_hta_torsade]]))</f>
        <v>0</v>
      </c>
      <c r="BX6" s="264" cm="1">
        <f t="array" ref="BX6">SUMPRODUCT((evolution_hta_par_typologie[[client]:[client]]=syndicat_etude)*(evolution_hta_par_typologie[[annee]:[annee]]=Exercice[[Exercice N]:[Exercice N]])*(evolution_hta_par_typologie[[annee_mes]:[annee_mes]]=BX$3)*(evolution_hta_par_typologie[[lineaire_hta_torsade]:[lineaire_hta_torsade]]))</f>
        <v>0</v>
      </c>
      <c r="BY6" s="264" cm="1">
        <f t="array" ref="BY6">SUMPRODUCT((evolution_hta_par_typologie[[client]:[client]]=syndicat_etude)*(evolution_hta_par_typologie[[annee]:[annee]]=Exercice[[Exercice N]:[Exercice N]])*(evolution_hta_par_typologie[[annee_mes]:[annee_mes]]=BY$3)*(evolution_hta_par_typologie[[lineaire_hta_torsade]:[lineaire_hta_torsade]]))</f>
        <v>0</v>
      </c>
      <c r="BZ6" s="264" cm="1">
        <f t="array" ref="BZ6">SUMPRODUCT((evolution_hta_par_typologie[[client]:[client]]=syndicat_etude)*(evolution_hta_par_typologie[[annee]:[annee]]=Exercice[[Exercice N]:[Exercice N]])*(evolution_hta_par_typologie[[annee_mes]:[annee_mes]]=BZ$3)*(evolution_hta_par_typologie[[lineaire_hta_torsade]:[lineaire_hta_torsade]]))</f>
        <v>0</v>
      </c>
      <c r="CA6" s="264" cm="1">
        <f t="array" ref="CA6">SUMPRODUCT((evolution_hta_par_typologie[[client]:[client]]=syndicat_etude)*(evolution_hta_par_typologie[[annee]:[annee]]=Exercice[[Exercice N]:[Exercice N]])*(evolution_hta_par_typologie[[annee_mes]:[annee_mes]]=CA$3)*(evolution_hta_par_typologie[[lineaire_hta_torsade]:[lineaire_hta_torsade]]))</f>
        <v>0</v>
      </c>
      <c r="CB6" s="264" cm="1">
        <f t="array" ref="CB6">SUMPRODUCT((evolution_hta_par_typologie[[client]:[client]]=syndicat_etude)*(evolution_hta_par_typologie[[annee]:[annee]]=Exercice[[Exercice N]:[Exercice N]])*(evolution_hta_par_typologie[[annee_mes]:[annee_mes]]=CB$3)*(evolution_hta_par_typologie[[lineaire_hta_torsade]:[lineaire_hta_torsade]]))</f>
        <v>0</v>
      </c>
      <c r="CC6" s="426" cm="1">
        <f t="array" ref="CC6">SUMPRODUCT((evolution_hta_par_typologie[[client]:[client]]=syndicat_etude)*(evolution_hta_par_typologie[[annee]:[annee]]=Exercice[[Exercice N]:[Exercice N]])*(evolution_hta_par_typologie[[annee_mes]:[annee_mes]]=CC$3)*(evolution_hta_par_typologie[[lineaire_hta_torsade]:[lineaire_hta_torsade]]))</f>
        <v>0</v>
      </c>
      <c r="CD6" s="406"/>
      <c r="CE6" s="406"/>
      <c r="CF6" s="406"/>
    </row>
    <row r="7" spans="1:84" x14ac:dyDescent="0.25">
      <c r="B7" s="430" t="s">
        <v>115</v>
      </c>
      <c r="C7" s="427" cm="1">
        <f t="array" ref="C7">SUMPRODUCT((evolution_hta_par_typologie[[client]:[client]]=syndicat_etude)*(evolution_hta_par_typologie[[annee]:[annee]]=Exercice[[Exercice N]:[Exercice N]])*(evolution_hta_par_typologie[[annee_mes]:[annee_mes]]&lt;1946)*(evolution_hta_par_typologie[[lineaire_hta_souterrain]:[lineaire_hta_souterrain]]))</f>
        <v>0</v>
      </c>
      <c r="D7" s="427" cm="1">
        <f t="array" ref="D7">SUMPRODUCT((evolution_hta_par_typologie[[client]:[client]]=syndicat_etude)*(evolution_hta_par_typologie[[annee]:[annee]]=Exercice[[Exercice N]:[Exercice N]])*(evolution_hta_par_typologie[[annee_mes]:[annee_mes]]=D$3)*(evolution_hta_par_typologie[[lineaire_hta_souterrain]:[lineaire_hta_souterrain]]))</f>
        <v>0</v>
      </c>
      <c r="E7" s="427" cm="1">
        <f t="array" ref="E7">SUMPRODUCT((evolution_hta_par_typologie[[client]:[client]]=syndicat_etude)*(evolution_hta_par_typologie[[annee]:[annee]]=Exercice[[Exercice N]:[Exercice N]])*(evolution_hta_par_typologie[[annee_mes]:[annee_mes]]=E$3)*(evolution_hta_par_typologie[[lineaire_hta_souterrain]:[lineaire_hta_souterrain]]))</f>
        <v>0</v>
      </c>
      <c r="F7" s="427" cm="1">
        <f t="array" ref="F7">SUMPRODUCT((evolution_hta_par_typologie[[client]:[client]]=syndicat_etude)*(evolution_hta_par_typologie[[annee]:[annee]]=Exercice[[Exercice N]:[Exercice N]])*(evolution_hta_par_typologie[[annee_mes]:[annee_mes]]=F$3)*(evolution_hta_par_typologie[[lineaire_hta_souterrain]:[lineaire_hta_souterrain]]))</f>
        <v>0</v>
      </c>
      <c r="G7" s="427" cm="1">
        <f t="array" ref="G7">SUMPRODUCT((evolution_hta_par_typologie[[client]:[client]]=syndicat_etude)*(evolution_hta_par_typologie[[annee]:[annee]]=Exercice[[Exercice N]:[Exercice N]])*(evolution_hta_par_typologie[[annee_mes]:[annee_mes]]=G$3)*(evolution_hta_par_typologie[[lineaire_hta_souterrain]:[lineaire_hta_souterrain]]))</f>
        <v>0</v>
      </c>
      <c r="H7" s="427" cm="1">
        <f t="array" ref="H7">SUMPRODUCT((evolution_hta_par_typologie[[client]:[client]]=syndicat_etude)*(evolution_hta_par_typologie[[annee]:[annee]]=Exercice[[Exercice N]:[Exercice N]])*(evolution_hta_par_typologie[[annee_mes]:[annee_mes]]=H$3)*(evolution_hta_par_typologie[[lineaire_hta_souterrain]:[lineaire_hta_souterrain]]))</f>
        <v>0</v>
      </c>
      <c r="I7" s="427" cm="1">
        <f t="array" ref="I7">SUMPRODUCT((evolution_hta_par_typologie[[client]:[client]]=syndicat_etude)*(evolution_hta_par_typologie[[annee]:[annee]]=Exercice[[Exercice N]:[Exercice N]])*(evolution_hta_par_typologie[[annee_mes]:[annee_mes]]=I$3)*(evolution_hta_par_typologie[[lineaire_hta_souterrain]:[lineaire_hta_souterrain]]))</f>
        <v>0</v>
      </c>
      <c r="J7" s="427" cm="1">
        <f t="array" ref="J7">SUMPRODUCT((evolution_hta_par_typologie[[client]:[client]]=syndicat_etude)*(evolution_hta_par_typologie[[annee]:[annee]]=Exercice[[Exercice N]:[Exercice N]])*(evolution_hta_par_typologie[[annee_mes]:[annee_mes]]=J$3)*(evolution_hta_par_typologie[[lineaire_hta_souterrain]:[lineaire_hta_souterrain]]))</f>
        <v>0</v>
      </c>
      <c r="K7" s="427" cm="1">
        <f t="array" ref="K7">SUMPRODUCT((evolution_hta_par_typologie[[client]:[client]]=syndicat_etude)*(evolution_hta_par_typologie[[annee]:[annee]]=Exercice[[Exercice N]:[Exercice N]])*(evolution_hta_par_typologie[[annee_mes]:[annee_mes]]=K$3)*(evolution_hta_par_typologie[[lineaire_hta_souterrain]:[lineaire_hta_souterrain]]))</f>
        <v>0</v>
      </c>
      <c r="L7" s="427" cm="1">
        <f t="array" ref="L7">SUMPRODUCT((evolution_hta_par_typologie[[client]:[client]]=syndicat_etude)*(evolution_hta_par_typologie[[annee]:[annee]]=Exercice[[Exercice N]:[Exercice N]])*(evolution_hta_par_typologie[[annee_mes]:[annee_mes]]=L$3)*(evolution_hta_par_typologie[[lineaire_hta_souterrain]:[lineaire_hta_souterrain]]))</f>
        <v>0.01</v>
      </c>
      <c r="M7" s="427" cm="1">
        <f t="array" ref="M7">SUMPRODUCT((evolution_hta_par_typologie[[client]:[client]]=syndicat_etude)*(evolution_hta_par_typologie[[annee]:[annee]]=Exercice[[Exercice N]:[Exercice N]])*(evolution_hta_par_typologie[[annee_mes]:[annee_mes]]=M$3)*(evolution_hta_par_typologie[[lineaire_hta_souterrain]:[lineaire_hta_souterrain]]))</f>
        <v>0</v>
      </c>
      <c r="N7" s="427" cm="1">
        <f t="array" ref="N7">SUMPRODUCT((evolution_hta_par_typologie[[client]:[client]]=syndicat_etude)*(evolution_hta_par_typologie[[annee]:[annee]]=Exercice[[Exercice N]:[Exercice N]])*(evolution_hta_par_typologie[[annee_mes]:[annee_mes]]=N$3)*(evolution_hta_par_typologie[[lineaire_hta_souterrain]:[lineaire_hta_souterrain]]))</f>
        <v>0</v>
      </c>
      <c r="O7" s="427" cm="1">
        <f t="array" ref="O7">SUMPRODUCT((evolution_hta_par_typologie[[client]:[client]]=syndicat_etude)*(evolution_hta_par_typologie[[annee]:[annee]]=Exercice[[Exercice N]:[Exercice N]])*(evolution_hta_par_typologie[[annee_mes]:[annee_mes]]=O$3)*(evolution_hta_par_typologie[[lineaire_hta_souterrain]:[lineaire_hta_souterrain]]))</f>
        <v>0</v>
      </c>
      <c r="P7" s="427" cm="1">
        <f t="array" ref="P7">SUMPRODUCT((evolution_hta_par_typologie[[client]:[client]]=syndicat_etude)*(evolution_hta_par_typologie[[annee]:[annee]]=Exercice[[Exercice N]:[Exercice N]])*(evolution_hta_par_typologie[[annee_mes]:[annee_mes]]=P$3)*(evolution_hta_par_typologie[[lineaire_hta_souterrain]:[lineaire_hta_souterrain]]))</f>
        <v>0</v>
      </c>
      <c r="Q7" s="427" cm="1">
        <f t="array" ref="Q7">SUMPRODUCT((evolution_hta_par_typologie[[client]:[client]]=syndicat_etude)*(evolution_hta_par_typologie[[annee]:[annee]]=Exercice[[Exercice N]:[Exercice N]])*(evolution_hta_par_typologie[[annee_mes]:[annee_mes]]=Q$3)*(evolution_hta_par_typologie[[lineaire_hta_souterrain]:[lineaire_hta_souterrain]]))</f>
        <v>0</v>
      </c>
      <c r="R7" s="427" cm="1">
        <f t="array" ref="R7">SUMPRODUCT((evolution_hta_par_typologie[[client]:[client]]=syndicat_etude)*(evolution_hta_par_typologie[[annee]:[annee]]=Exercice[[Exercice N]:[Exercice N]])*(evolution_hta_par_typologie[[annee_mes]:[annee_mes]]=R$3)*(evolution_hta_par_typologie[[lineaire_hta_souterrain]:[lineaire_hta_souterrain]]))</f>
        <v>26.77</v>
      </c>
      <c r="S7" s="427" cm="1">
        <f t="array" ref="S7">SUMPRODUCT((evolution_hta_par_typologie[[client]:[client]]=syndicat_etude)*(evolution_hta_par_typologie[[annee]:[annee]]=Exercice[[Exercice N]:[Exercice N]])*(evolution_hta_par_typologie[[annee_mes]:[annee_mes]]=S$3)*(evolution_hta_par_typologie[[lineaire_hta_souterrain]:[lineaire_hta_souterrain]]))</f>
        <v>2.17</v>
      </c>
      <c r="T7" s="427" cm="1">
        <f t="array" ref="T7">SUMPRODUCT((evolution_hta_par_typologie[[client]:[client]]=syndicat_etude)*(evolution_hta_par_typologie[[annee]:[annee]]=Exercice[[Exercice N]:[Exercice N]])*(evolution_hta_par_typologie[[annee_mes]:[annee_mes]]=T$3)*(evolution_hta_par_typologie[[lineaire_hta_souterrain]:[lineaire_hta_souterrain]]))</f>
        <v>0</v>
      </c>
      <c r="U7" s="427" cm="1">
        <f t="array" ref="U7">SUMPRODUCT((evolution_hta_par_typologie[[client]:[client]]=syndicat_etude)*(evolution_hta_par_typologie[[annee]:[annee]]=Exercice[[Exercice N]:[Exercice N]])*(evolution_hta_par_typologie[[annee_mes]:[annee_mes]]=U$3)*(evolution_hta_par_typologie[[lineaire_hta_souterrain]:[lineaire_hta_souterrain]]))</f>
        <v>0</v>
      </c>
      <c r="V7" s="427" cm="1">
        <f t="array" ref="V7">SUMPRODUCT((evolution_hta_par_typologie[[client]:[client]]=syndicat_etude)*(evolution_hta_par_typologie[[annee]:[annee]]=Exercice[[Exercice N]:[Exercice N]])*(evolution_hta_par_typologie[[annee_mes]:[annee_mes]]=V$3)*(evolution_hta_par_typologie[[lineaire_hta_souterrain]:[lineaire_hta_souterrain]]))</f>
        <v>0.91</v>
      </c>
      <c r="W7" s="427" cm="1">
        <f t="array" ref="W7">SUMPRODUCT((evolution_hta_par_typologie[[client]:[client]]=syndicat_etude)*(evolution_hta_par_typologie[[annee]:[annee]]=Exercice[[Exercice N]:[Exercice N]])*(evolution_hta_par_typologie[[annee_mes]:[annee_mes]]=W$3)*(evolution_hta_par_typologie[[lineaire_hta_souterrain]:[lineaire_hta_souterrain]]))</f>
        <v>1.2</v>
      </c>
      <c r="X7" s="427" cm="1">
        <f t="array" ref="X7">SUMPRODUCT((evolution_hta_par_typologie[[client]:[client]]=syndicat_etude)*(evolution_hta_par_typologie[[annee]:[annee]]=Exercice[[Exercice N]:[Exercice N]])*(evolution_hta_par_typologie[[annee_mes]:[annee_mes]]=X$3)*(evolution_hta_par_typologie[[lineaire_hta_souterrain]:[lineaire_hta_souterrain]]))</f>
        <v>19.600000000000001</v>
      </c>
      <c r="Y7" s="427" cm="1">
        <f t="array" ref="Y7">SUMPRODUCT((evolution_hta_par_typologie[[client]:[client]]=syndicat_etude)*(evolution_hta_par_typologie[[annee]:[annee]]=Exercice[[Exercice N]:[Exercice N]])*(evolution_hta_par_typologie[[annee_mes]:[annee_mes]]=Y$3)*(evolution_hta_par_typologie[[lineaire_hta_souterrain]:[lineaire_hta_souterrain]]))</f>
        <v>1.51</v>
      </c>
      <c r="Z7" s="427" cm="1">
        <f t="array" ref="Z7">SUMPRODUCT((evolution_hta_par_typologie[[client]:[client]]=syndicat_etude)*(evolution_hta_par_typologie[[annee]:[annee]]=Exercice[[Exercice N]:[Exercice N]])*(evolution_hta_par_typologie[[annee_mes]:[annee_mes]]=Z$3)*(evolution_hta_par_typologie[[lineaire_hta_souterrain]:[lineaire_hta_souterrain]]))</f>
        <v>0.18</v>
      </c>
      <c r="AA7" s="427" cm="1">
        <f t="array" ref="AA7">SUMPRODUCT((evolution_hta_par_typologie[[client]:[client]]=syndicat_etude)*(evolution_hta_par_typologie[[annee]:[annee]]=Exercice[[Exercice N]:[Exercice N]])*(evolution_hta_par_typologie[[annee_mes]:[annee_mes]]=AA$3)*(evolution_hta_par_typologie[[lineaire_hta_souterrain]:[lineaire_hta_souterrain]]))</f>
        <v>0.97</v>
      </c>
      <c r="AB7" s="427" cm="1">
        <f t="array" ref="AB7">SUMPRODUCT((evolution_hta_par_typologie[[client]:[client]]=syndicat_etude)*(evolution_hta_par_typologie[[annee]:[annee]]=Exercice[[Exercice N]:[Exercice N]])*(evolution_hta_par_typologie[[annee_mes]:[annee_mes]]=AB$3)*(evolution_hta_par_typologie[[lineaire_hta_souterrain]:[lineaire_hta_souterrain]]))</f>
        <v>0.61</v>
      </c>
      <c r="AC7" s="427" cm="1">
        <f t="array" ref="AC7">SUMPRODUCT((evolution_hta_par_typologie[[client]:[client]]=syndicat_etude)*(evolution_hta_par_typologie[[annee]:[annee]]=Exercice[[Exercice N]:[Exercice N]])*(evolution_hta_par_typologie[[annee_mes]:[annee_mes]]=AC$3)*(evolution_hta_par_typologie[[lineaire_hta_souterrain]:[lineaire_hta_souterrain]]))</f>
        <v>0.67</v>
      </c>
      <c r="AD7" s="427" cm="1">
        <f t="array" ref="AD7">SUMPRODUCT((evolution_hta_par_typologie[[client]:[client]]=syndicat_etude)*(evolution_hta_par_typologie[[annee]:[annee]]=Exercice[[Exercice N]:[Exercice N]])*(evolution_hta_par_typologie[[annee_mes]:[annee_mes]]=AD$3)*(evolution_hta_par_typologie[[lineaire_hta_souterrain]:[lineaire_hta_souterrain]]))</f>
        <v>0.43</v>
      </c>
      <c r="AE7" s="427" cm="1">
        <f t="array" ref="AE7">SUMPRODUCT((evolution_hta_par_typologie[[client]:[client]]=syndicat_etude)*(evolution_hta_par_typologie[[annee]:[annee]]=Exercice[[Exercice N]:[Exercice N]])*(evolution_hta_par_typologie[[annee_mes]:[annee_mes]]=AE$3)*(evolution_hta_par_typologie[[lineaire_hta_souterrain]:[lineaire_hta_souterrain]]))</f>
        <v>0.94</v>
      </c>
      <c r="AF7" s="427" cm="1">
        <f t="array" ref="AF7">SUMPRODUCT((evolution_hta_par_typologie[[client]:[client]]=syndicat_etude)*(evolution_hta_par_typologie[[annee]:[annee]]=Exercice[[Exercice N]:[Exercice N]])*(evolution_hta_par_typologie[[annee_mes]:[annee_mes]]=AF$3)*(evolution_hta_par_typologie[[lineaire_hta_souterrain]:[lineaire_hta_souterrain]]))</f>
        <v>0.04</v>
      </c>
      <c r="AG7" s="427" cm="1">
        <f t="array" ref="AG7">SUMPRODUCT((evolution_hta_par_typologie[[client]:[client]]=syndicat_etude)*(evolution_hta_par_typologie[[annee]:[annee]]=Exercice[[Exercice N]:[Exercice N]])*(evolution_hta_par_typologie[[annee_mes]:[annee_mes]]=AG$3)*(evolution_hta_par_typologie[[lineaire_hta_souterrain]:[lineaire_hta_souterrain]]))</f>
        <v>2.5499999999999998</v>
      </c>
      <c r="AH7" s="427" cm="1">
        <f t="array" ref="AH7">SUMPRODUCT((evolution_hta_par_typologie[[client]:[client]]=syndicat_etude)*(evolution_hta_par_typologie[[annee]:[annee]]=Exercice[[Exercice N]:[Exercice N]])*(evolution_hta_par_typologie[[annee_mes]:[annee_mes]]=AH$3)*(evolution_hta_par_typologie[[lineaire_hta_souterrain]:[lineaire_hta_souterrain]]))</f>
        <v>0.56999999999999995</v>
      </c>
      <c r="AI7" s="427" cm="1">
        <f t="array" ref="AI7">SUMPRODUCT((evolution_hta_par_typologie[[client]:[client]]=syndicat_etude)*(evolution_hta_par_typologie[[annee]:[annee]]=Exercice[[Exercice N]:[Exercice N]])*(evolution_hta_par_typologie[[annee_mes]:[annee_mes]]=AI$3)*(evolution_hta_par_typologie[[lineaire_hta_souterrain]:[lineaire_hta_souterrain]]))</f>
        <v>4.5599999999999996</v>
      </c>
      <c r="AJ7" s="427" cm="1">
        <f t="array" ref="AJ7">SUMPRODUCT((evolution_hta_par_typologie[[client]:[client]]=syndicat_etude)*(evolution_hta_par_typologie[[annee]:[annee]]=Exercice[[Exercice N]:[Exercice N]])*(evolution_hta_par_typologie[[annee_mes]:[annee_mes]]=AJ$3)*(evolution_hta_par_typologie[[lineaire_hta_souterrain]:[lineaire_hta_souterrain]]))</f>
        <v>50.44</v>
      </c>
      <c r="AK7" s="427" cm="1">
        <f t="array" ref="AK7">SUMPRODUCT((evolution_hta_par_typologie[[client]:[client]]=syndicat_etude)*(evolution_hta_par_typologie[[annee]:[annee]]=Exercice[[Exercice N]:[Exercice N]])*(evolution_hta_par_typologie[[annee_mes]:[annee_mes]]=AK$3)*(evolution_hta_par_typologie[[lineaire_hta_souterrain]:[lineaire_hta_souterrain]]))</f>
        <v>3.08</v>
      </c>
      <c r="AL7" s="427" cm="1">
        <f t="array" ref="AL7">SUMPRODUCT((evolution_hta_par_typologie[[client]:[client]]=syndicat_etude)*(evolution_hta_par_typologie[[annee]:[annee]]=Exercice[[Exercice N]:[Exercice N]])*(evolution_hta_par_typologie[[annee_mes]:[annee_mes]]=AL$3)*(evolution_hta_par_typologie[[lineaire_hta_souterrain]:[lineaire_hta_souterrain]]))</f>
        <v>9.31</v>
      </c>
      <c r="AM7" s="427" cm="1">
        <f t="array" ref="AM7">SUMPRODUCT((evolution_hta_par_typologie[[client]:[client]]=syndicat_etude)*(evolution_hta_par_typologie[[annee]:[annee]]=Exercice[[Exercice N]:[Exercice N]])*(evolution_hta_par_typologie[[annee_mes]:[annee_mes]]=AM$3)*(evolution_hta_par_typologie[[lineaire_hta_souterrain]:[lineaire_hta_souterrain]]))</f>
        <v>15.44</v>
      </c>
      <c r="AN7" s="427" cm="1">
        <f t="array" ref="AN7">SUMPRODUCT((evolution_hta_par_typologie[[client]:[client]]=syndicat_etude)*(evolution_hta_par_typologie[[annee]:[annee]]=Exercice[[Exercice N]:[Exercice N]])*(evolution_hta_par_typologie[[annee_mes]:[annee_mes]]=AN$3)*(evolution_hta_par_typologie[[lineaire_hta_souterrain]:[lineaire_hta_souterrain]]))</f>
        <v>15.96</v>
      </c>
      <c r="AO7" s="427" cm="1">
        <f t="array" ref="AO7">SUMPRODUCT((evolution_hta_par_typologie[[client]:[client]]=syndicat_etude)*(evolution_hta_par_typologie[[annee]:[annee]]=Exercice[[Exercice N]:[Exercice N]])*(evolution_hta_par_typologie[[annee_mes]:[annee_mes]]=AO$3)*(evolution_hta_par_typologie[[lineaire_hta_souterrain]:[lineaire_hta_souterrain]]))</f>
        <v>12.73</v>
      </c>
      <c r="AP7" s="427" cm="1">
        <f t="array" ref="AP7">SUMPRODUCT((evolution_hta_par_typologie[[client]:[client]]=syndicat_etude)*(evolution_hta_par_typologie[[annee]:[annee]]=Exercice[[Exercice N]:[Exercice N]])*(evolution_hta_par_typologie[[annee_mes]:[annee_mes]]=AP$3)*(evolution_hta_par_typologie[[lineaire_hta_souterrain]:[lineaire_hta_souterrain]]))</f>
        <v>18.260000000000002</v>
      </c>
      <c r="AQ7" s="427" cm="1">
        <f t="array" ref="AQ7">SUMPRODUCT((evolution_hta_par_typologie[[client]:[client]]=syndicat_etude)*(evolution_hta_par_typologie[[annee]:[annee]]=Exercice[[Exercice N]:[Exercice N]])*(evolution_hta_par_typologie[[annee_mes]:[annee_mes]]=AQ$3)*(evolution_hta_par_typologie[[lineaire_hta_souterrain]:[lineaire_hta_souterrain]]))</f>
        <v>17.079999999999998</v>
      </c>
      <c r="AR7" s="427" cm="1">
        <f t="array" ref="AR7">SUMPRODUCT((evolution_hta_par_typologie[[client]:[client]]=syndicat_etude)*(evolution_hta_par_typologie[[annee]:[annee]]=Exercice[[Exercice N]:[Exercice N]])*(evolution_hta_par_typologie[[annee_mes]:[annee_mes]]=AR$3)*(evolution_hta_par_typologie[[lineaire_hta_souterrain]:[lineaire_hta_souterrain]]))</f>
        <v>17.329999999999998</v>
      </c>
      <c r="AS7" s="427" cm="1">
        <f t="array" ref="AS7">SUMPRODUCT((evolution_hta_par_typologie[[client]:[client]]=syndicat_etude)*(evolution_hta_par_typologie[[annee]:[annee]]=Exercice[[Exercice N]:[Exercice N]])*(evolution_hta_par_typologie[[annee_mes]:[annee_mes]]=AS$3)*(evolution_hta_par_typologie[[lineaire_hta_souterrain]:[lineaire_hta_souterrain]]))</f>
        <v>16.260000000000002</v>
      </c>
      <c r="AT7" s="427" cm="1">
        <f t="array" ref="AT7">SUMPRODUCT((evolution_hta_par_typologie[[client]:[client]]=syndicat_etude)*(evolution_hta_par_typologie[[annee]:[annee]]=Exercice[[Exercice N]:[Exercice N]])*(evolution_hta_par_typologie[[annee_mes]:[annee_mes]]=AT$3)*(evolution_hta_par_typologie[[lineaire_hta_souterrain]:[lineaire_hta_souterrain]]))</f>
        <v>24.41</v>
      </c>
      <c r="AU7" s="427" cm="1">
        <f t="array" ref="AU7">SUMPRODUCT((evolution_hta_par_typologie[[client]:[client]]=syndicat_etude)*(evolution_hta_par_typologie[[annee]:[annee]]=Exercice[[Exercice N]:[Exercice N]])*(evolution_hta_par_typologie[[annee_mes]:[annee_mes]]=AU$3)*(evolution_hta_par_typologie[[lineaire_hta_souterrain]:[lineaire_hta_souterrain]]))</f>
        <v>19.57</v>
      </c>
      <c r="AV7" s="427" cm="1">
        <f t="array" ref="AV7">SUMPRODUCT((evolution_hta_par_typologie[[client]:[client]]=syndicat_etude)*(evolution_hta_par_typologie[[annee]:[annee]]=Exercice[[Exercice N]:[Exercice N]])*(evolution_hta_par_typologie[[annee_mes]:[annee_mes]]=AV$3)*(evolution_hta_par_typologie[[lineaire_hta_souterrain]:[lineaire_hta_souterrain]]))</f>
        <v>15.84</v>
      </c>
      <c r="AW7" s="427" cm="1">
        <f t="array" ref="AW7">SUMPRODUCT((evolution_hta_par_typologie[[client]:[client]]=syndicat_etude)*(evolution_hta_par_typologie[[annee]:[annee]]=Exercice[[Exercice N]:[Exercice N]])*(evolution_hta_par_typologie[[annee_mes]:[annee_mes]]=AW$3)*(evolution_hta_par_typologie[[lineaire_hta_souterrain]:[lineaire_hta_souterrain]]))</f>
        <v>17.86</v>
      </c>
      <c r="AX7" s="427" cm="1">
        <f t="array" ref="AX7">SUMPRODUCT((evolution_hta_par_typologie[[client]:[client]]=syndicat_etude)*(evolution_hta_par_typologie[[annee]:[annee]]=Exercice[[Exercice N]:[Exercice N]])*(evolution_hta_par_typologie[[annee_mes]:[annee_mes]]=AX$3)*(evolution_hta_par_typologie[[lineaire_hta_souterrain]:[lineaire_hta_souterrain]]))</f>
        <v>30.34</v>
      </c>
      <c r="AY7" s="427" cm="1">
        <f t="array" ref="AY7">SUMPRODUCT((evolution_hta_par_typologie[[client]:[client]]=syndicat_etude)*(evolution_hta_par_typologie[[annee]:[annee]]=Exercice[[Exercice N]:[Exercice N]])*(evolution_hta_par_typologie[[annee_mes]:[annee_mes]]=AY$3)*(evolution_hta_par_typologie[[lineaire_hta_souterrain]:[lineaire_hta_souterrain]]))</f>
        <v>47.65</v>
      </c>
      <c r="AZ7" s="427" cm="1">
        <f t="array" ref="AZ7">SUMPRODUCT((evolution_hta_par_typologie[[client]:[client]]=syndicat_etude)*(evolution_hta_par_typologie[[annee]:[annee]]=Exercice[[Exercice N]:[Exercice N]])*(evolution_hta_par_typologie[[annee_mes]:[annee_mes]]=AZ$3)*(evolution_hta_par_typologie[[lineaire_hta_souterrain]:[lineaire_hta_souterrain]]))</f>
        <v>49.87</v>
      </c>
      <c r="BA7" s="427" cm="1">
        <f t="array" ref="BA7">SUMPRODUCT((evolution_hta_par_typologie[[client]:[client]]=syndicat_etude)*(evolution_hta_par_typologie[[annee]:[annee]]=Exercice[[Exercice N]:[Exercice N]])*(evolution_hta_par_typologie[[annee_mes]:[annee_mes]]=BA$3)*(evolution_hta_par_typologie[[lineaire_hta_souterrain]:[lineaire_hta_souterrain]]))</f>
        <v>40.119999999999997</v>
      </c>
      <c r="BB7" s="427" cm="1">
        <f t="array" ref="BB7">SUMPRODUCT((evolution_hta_par_typologie[[client]:[client]]=syndicat_etude)*(evolution_hta_par_typologie[[annee]:[annee]]=Exercice[[Exercice N]:[Exercice N]])*(evolution_hta_par_typologie[[annee_mes]:[annee_mes]]=BB$3)*(evolution_hta_par_typologie[[lineaire_hta_souterrain]:[lineaire_hta_souterrain]]))</f>
        <v>90.2</v>
      </c>
      <c r="BC7" s="427" cm="1">
        <f t="array" ref="BC7">SUMPRODUCT((evolution_hta_par_typologie[[client]:[client]]=syndicat_etude)*(evolution_hta_par_typologie[[annee]:[annee]]=Exercice[[Exercice N]:[Exercice N]])*(evolution_hta_par_typologie[[annee_mes]:[annee_mes]]=BC$3)*(evolution_hta_par_typologie[[lineaire_hta_souterrain]:[lineaire_hta_souterrain]]))</f>
        <v>61.63</v>
      </c>
      <c r="BD7" s="427" cm="1">
        <f t="array" ref="BD7">SUMPRODUCT((evolution_hta_par_typologie[[client]:[client]]=syndicat_etude)*(evolution_hta_par_typologie[[annee]:[annee]]=Exercice[[Exercice N]:[Exercice N]])*(evolution_hta_par_typologie[[annee_mes]:[annee_mes]]=BD$3)*(evolution_hta_par_typologie[[lineaire_hta_souterrain]:[lineaire_hta_souterrain]]))</f>
        <v>51.89</v>
      </c>
      <c r="BE7" s="427" cm="1">
        <f t="array" ref="BE7">SUMPRODUCT((evolution_hta_par_typologie[[client]:[client]]=syndicat_etude)*(evolution_hta_par_typologie[[annee]:[annee]]=Exercice[[Exercice N]:[Exercice N]])*(evolution_hta_par_typologie[[annee_mes]:[annee_mes]]=BE$3)*(evolution_hta_par_typologie[[lineaire_hta_souterrain]:[lineaire_hta_souterrain]]))</f>
        <v>92.36</v>
      </c>
      <c r="BF7" s="427" cm="1">
        <f t="array" ref="BF7">SUMPRODUCT((evolution_hta_par_typologie[[client]:[client]]=syndicat_etude)*(evolution_hta_par_typologie[[annee]:[annee]]=Exercice[[Exercice N]:[Exercice N]])*(evolution_hta_par_typologie[[annee_mes]:[annee_mes]]=BF$3)*(evolution_hta_par_typologie[[lineaire_hta_souterrain]:[lineaire_hta_souterrain]]))</f>
        <v>82.71</v>
      </c>
      <c r="BG7" s="427" cm="1">
        <f t="array" ref="BG7">SUMPRODUCT((evolution_hta_par_typologie[[client]:[client]]=syndicat_etude)*(evolution_hta_par_typologie[[annee]:[annee]]=Exercice[[Exercice N]:[Exercice N]])*(evolution_hta_par_typologie[[annee_mes]:[annee_mes]]=BG$3)*(evolution_hta_par_typologie[[lineaire_hta_souterrain]:[lineaire_hta_souterrain]]))</f>
        <v>79.709999999999994</v>
      </c>
      <c r="BH7" s="427" cm="1">
        <f t="array" ref="BH7">SUMPRODUCT((evolution_hta_par_typologie[[client]:[client]]=syndicat_etude)*(evolution_hta_par_typologie[[annee]:[annee]]=Exercice[[Exercice N]:[Exercice N]])*(evolution_hta_par_typologie[[annee_mes]:[annee_mes]]=BH$3)*(evolution_hta_par_typologie[[lineaire_hta_souterrain]:[lineaire_hta_souterrain]]))</f>
        <v>112.06</v>
      </c>
      <c r="BI7" s="427" cm="1">
        <f t="array" ref="BI7">SUMPRODUCT((evolution_hta_par_typologie[[client]:[client]]=syndicat_etude)*(evolution_hta_par_typologie[[annee]:[annee]]=Exercice[[Exercice N]:[Exercice N]])*(evolution_hta_par_typologie[[annee_mes]:[annee_mes]]=BI$3)*(evolution_hta_par_typologie[[lineaire_hta_souterrain]:[lineaire_hta_souterrain]]))</f>
        <v>31.51</v>
      </c>
      <c r="BJ7" s="427" cm="1">
        <f t="array" ref="BJ7">SUMPRODUCT((evolution_hta_par_typologie[[client]:[client]]=syndicat_etude)*(evolution_hta_par_typologie[[annee]:[annee]]=Exercice[[Exercice N]:[Exercice N]])*(evolution_hta_par_typologie[[annee_mes]:[annee_mes]]=BJ$3)*(evolution_hta_par_typologie[[lineaire_hta_souterrain]:[lineaire_hta_souterrain]]))</f>
        <v>38.46</v>
      </c>
      <c r="BK7" s="427" cm="1">
        <f t="array" ref="BK7">SUMPRODUCT((evolution_hta_par_typologie[[client]:[client]]=syndicat_etude)*(evolution_hta_par_typologie[[annee]:[annee]]=Exercice[[Exercice N]:[Exercice N]])*(evolution_hta_par_typologie[[annee_mes]:[annee_mes]]=BK$3)*(evolution_hta_par_typologie[[lineaire_hta_souterrain]:[lineaire_hta_souterrain]]))</f>
        <v>55.87</v>
      </c>
      <c r="BL7" s="427" cm="1">
        <f t="array" ref="BL7">SUMPRODUCT((evolution_hta_par_typologie[[client]:[client]]=syndicat_etude)*(evolution_hta_par_typologie[[annee]:[annee]]=Exercice[[Exercice N]:[Exercice N]])*(evolution_hta_par_typologie[[annee_mes]:[annee_mes]]=BL$3)*(evolution_hta_par_typologie[[lineaire_hta_souterrain]:[lineaire_hta_souterrain]]))</f>
        <v>22.86</v>
      </c>
      <c r="BM7" s="427" cm="1">
        <f t="array" ref="BM7">SUMPRODUCT((evolution_hta_par_typologie[[client]:[client]]=syndicat_etude)*(evolution_hta_par_typologie[[annee]:[annee]]=Exercice[[Exercice N]:[Exercice N]])*(evolution_hta_par_typologie[[annee_mes]:[annee_mes]]=BM$3)*(evolution_hta_par_typologie[[lineaire_hta_souterrain]:[lineaire_hta_souterrain]]))</f>
        <v>42.26</v>
      </c>
      <c r="BN7" s="427" cm="1">
        <f t="array" ref="BN7">SUMPRODUCT((evolution_hta_par_typologie[[client]:[client]]=syndicat_etude)*(evolution_hta_par_typologie[[annee]:[annee]]=Exercice[[Exercice N]:[Exercice N]])*(evolution_hta_par_typologie[[annee_mes]:[annee_mes]]=BN$3)*(evolution_hta_par_typologie[[lineaire_hta_souterrain]:[lineaire_hta_souterrain]]))</f>
        <v>78.39</v>
      </c>
      <c r="BO7" s="427" cm="1">
        <f t="array" ref="BO7">SUMPRODUCT((evolution_hta_par_typologie[[client]:[client]]=syndicat_etude)*(evolution_hta_par_typologie[[annee]:[annee]]=Exercice[[Exercice N]:[Exercice N]])*(evolution_hta_par_typologie[[annee_mes]:[annee_mes]]=BO$3)*(evolution_hta_par_typologie[[lineaire_hta_souterrain]:[lineaire_hta_souterrain]]))</f>
        <v>92.06</v>
      </c>
      <c r="BP7" s="427" cm="1">
        <f t="array" ref="BP7">SUMPRODUCT((evolution_hta_par_typologie[[client]:[client]]=syndicat_etude)*(evolution_hta_par_typologie[[annee]:[annee]]=Exercice[[Exercice N]:[Exercice N]])*(evolution_hta_par_typologie[[annee_mes]:[annee_mes]]=BP$3)*(evolution_hta_par_typologie[[lineaire_hta_souterrain]:[lineaire_hta_souterrain]]))</f>
        <v>106.5</v>
      </c>
      <c r="BQ7" s="427" cm="1">
        <f t="array" ref="BQ7">SUMPRODUCT((evolution_hta_par_typologie[[client]:[client]]=syndicat_etude)*(evolution_hta_par_typologie[[annee]:[annee]]=Exercice[[Exercice N]:[Exercice N]])*(evolution_hta_par_typologie[[annee_mes]:[annee_mes]]=BQ$3)*(evolution_hta_par_typologie[[lineaire_hta_souterrain]:[lineaire_hta_souterrain]]))</f>
        <v>90.02</v>
      </c>
      <c r="BR7" s="427" cm="1">
        <f t="array" ref="BR7">SUMPRODUCT((evolution_hta_par_typologie[[client]:[client]]=syndicat_etude)*(evolution_hta_par_typologie[[annee]:[annee]]=Exercice[[Exercice N]:[Exercice N]])*(evolution_hta_par_typologie[[annee_mes]:[annee_mes]]=BR$3)*(evolution_hta_par_typologie[[lineaire_hta_souterrain]:[lineaire_hta_souterrain]]))</f>
        <v>180.73</v>
      </c>
      <c r="BS7" s="427" cm="1">
        <f t="array" ref="BS7">SUMPRODUCT((evolution_hta_par_typologie[[client]:[client]]=syndicat_etude)*(evolution_hta_par_typologie[[annee]:[annee]]=Exercice[[Exercice N]:[Exercice N]])*(evolution_hta_par_typologie[[annee_mes]:[annee_mes]]=BS$3)*(evolution_hta_par_typologie[[lineaire_hta_souterrain]:[lineaire_hta_souterrain]]))</f>
        <v>38.22</v>
      </c>
      <c r="BT7" s="427" cm="1">
        <f t="array" ref="BT7">SUMPRODUCT((evolution_hta_par_typologie[[client]:[client]]=syndicat_etude)*(evolution_hta_par_typologie[[annee]:[annee]]=Exercice[[Exercice N]:[Exercice N]])*(evolution_hta_par_typologie[[annee_mes]:[annee_mes]]=BT$3)*(evolution_hta_par_typologie[[lineaire_hta_souterrain]:[lineaire_hta_souterrain]]))</f>
        <v>84.13</v>
      </c>
      <c r="BU7" s="427" cm="1">
        <f t="array" ref="BU7">SUMPRODUCT((evolution_hta_par_typologie[[client]:[client]]=syndicat_etude)*(evolution_hta_par_typologie[[annee]:[annee]]=Exercice[[Exercice N]:[Exercice N]])*(evolution_hta_par_typologie[[annee_mes]:[annee_mes]]=BU$3)*(evolution_hta_par_typologie[[lineaire_hta_souterrain]:[lineaire_hta_souterrain]]))</f>
        <v>109.74</v>
      </c>
      <c r="BV7" s="427" cm="1">
        <f t="array" ref="BV7">SUMPRODUCT((evolution_hta_par_typologie[[client]:[client]]=syndicat_etude)*(evolution_hta_par_typologie[[annee]:[annee]]=Exercice[[Exercice N]:[Exercice N]])*(evolution_hta_par_typologie[[annee_mes]:[annee_mes]]=BV$3)*(evolution_hta_par_typologie[[lineaire_hta_souterrain]:[lineaire_hta_souterrain]]))</f>
        <v>73.849999999999994</v>
      </c>
      <c r="BW7" s="427" cm="1">
        <f t="array" ref="BW7">SUMPRODUCT((evolution_hta_par_typologie[[client]:[client]]=syndicat_etude)*(evolution_hta_par_typologie[[annee]:[annee]]=Exercice[[Exercice N]:[Exercice N]])*(evolution_hta_par_typologie[[annee_mes]:[annee_mes]]=BW$3)*(evolution_hta_par_typologie[[lineaire_hta_souterrain]:[lineaire_hta_souterrain]]))</f>
        <v>91.45</v>
      </c>
      <c r="BX7" s="427" cm="1">
        <f t="array" ref="BX7">SUMPRODUCT((evolution_hta_par_typologie[[client]:[client]]=syndicat_etude)*(evolution_hta_par_typologie[[annee]:[annee]]=Exercice[[Exercice N]:[Exercice N]])*(evolution_hta_par_typologie[[annee_mes]:[annee_mes]]=BX$3)*(evolution_hta_par_typologie[[lineaire_hta_souterrain]:[lineaire_hta_souterrain]]))</f>
        <v>187.25</v>
      </c>
      <c r="BY7" s="427" cm="1">
        <f t="array" ref="BY7">SUMPRODUCT((evolution_hta_par_typologie[[client]:[client]]=syndicat_etude)*(evolution_hta_par_typologie[[annee]:[annee]]=Exercice[[Exercice N]:[Exercice N]])*(evolution_hta_par_typologie[[annee_mes]:[annee_mes]]=BY$3)*(evolution_hta_par_typologie[[lineaire_hta_souterrain]:[lineaire_hta_souterrain]]))</f>
        <v>34.380000000000003</v>
      </c>
      <c r="BZ7" s="427" cm="1">
        <f t="array" ref="BZ7">SUMPRODUCT((evolution_hta_par_typologie[[client]:[client]]=syndicat_etude)*(evolution_hta_par_typologie[[annee]:[annee]]=Exercice[[Exercice N]:[Exercice N]])*(evolution_hta_par_typologie[[annee_mes]:[annee_mes]]=BZ$3)*(evolution_hta_par_typologie[[lineaire_hta_souterrain]:[lineaire_hta_souterrain]]))</f>
        <v>36.08</v>
      </c>
      <c r="CA7" s="427" cm="1">
        <f t="array" ref="CA7">SUMPRODUCT((evolution_hta_par_typologie[[client]:[client]]=syndicat_etude)*(evolution_hta_par_typologie[[annee]:[annee]]=Exercice[[Exercice N]:[Exercice N]])*(evolution_hta_par_typologie[[annee_mes]:[annee_mes]]=CA$3)*(evolution_hta_par_typologie[[lineaire_hta_souterrain]:[lineaire_hta_souterrain]]))</f>
        <v>155.13999999999999</v>
      </c>
      <c r="CB7" s="427" cm="1">
        <f t="array" ref="CB7">SUMPRODUCT((evolution_hta_par_typologie[[client]:[client]]=syndicat_etude)*(evolution_hta_par_typologie[[annee]:[annee]]=Exercice[[Exercice N]:[Exercice N]])*(evolution_hta_par_typologie[[annee_mes]:[annee_mes]]=CB$3)*(evolution_hta_par_typologie[[lineaire_hta_souterrain]:[lineaire_hta_souterrain]]))</f>
        <v>38.56</v>
      </c>
      <c r="CC7" s="428" cm="1">
        <f t="array" ref="CC7">SUMPRODUCT((evolution_hta_par_typologie[[client]:[client]]=syndicat_etude)*(evolution_hta_par_typologie[[annee]:[annee]]=Exercice[[Exercice N]:[Exercice N]])*(evolution_hta_par_typologie[[annee_mes]:[annee_mes]]=CC$3)*(evolution_hta_par_typologie[[lineaire_hta_souterrain]:[lineaire_hta_souterrain]]))</f>
        <v>32.01</v>
      </c>
      <c r="CD7" s="406"/>
      <c r="CE7" s="406"/>
      <c r="CF7" s="406"/>
    </row>
    <row r="8" spans="1:84" x14ac:dyDescent="0.25">
      <c r="B8" s="23"/>
      <c r="C8" s="23"/>
      <c r="D8" s="23"/>
      <c r="E8" s="23"/>
      <c r="F8" s="21"/>
      <c r="G8" s="23"/>
      <c r="H8" s="21"/>
      <c r="I8" s="23"/>
      <c r="J8" s="21"/>
      <c r="K8" s="23"/>
      <c r="L8" s="21"/>
      <c r="M8" s="23"/>
      <c r="N8" s="21"/>
      <c r="O8" s="23"/>
      <c r="P8" s="21"/>
      <c r="Q8" s="23"/>
      <c r="R8" s="21"/>
      <c r="S8" s="23"/>
      <c r="T8" s="21"/>
      <c r="U8" s="23"/>
      <c r="V8" s="21"/>
      <c r="W8" s="23"/>
      <c r="X8" s="21"/>
      <c r="Y8" s="23"/>
      <c r="Z8" s="21"/>
      <c r="AA8" s="23"/>
      <c r="AB8" s="21"/>
      <c r="AC8" s="23"/>
      <c r="AD8" s="21"/>
      <c r="AE8" s="23"/>
      <c r="AF8" s="21"/>
      <c r="AG8" s="23"/>
      <c r="AH8" s="21"/>
      <c r="AI8" s="23"/>
      <c r="AJ8" s="21"/>
      <c r="AK8" s="23"/>
      <c r="AL8" s="21"/>
      <c r="AM8" s="23"/>
      <c r="AN8" s="21"/>
      <c r="AO8" s="23"/>
      <c r="AP8" s="21"/>
      <c r="AQ8" s="23"/>
      <c r="AR8" s="21"/>
      <c r="AS8" s="23"/>
      <c r="AT8" s="21"/>
      <c r="AU8" s="23"/>
      <c r="AV8" s="21"/>
      <c r="AW8" s="23"/>
      <c r="AX8" s="21"/>
      <c r="AY8" s="23"/>
      <c r="AZ8" s="21"/>
      <c r="BA8" s="23"/>
      <c r="BB8" s="21"/>
      <c r="BC8" s="23"/>
      <c r="BD8" s="21"/>
      <c r="BE8" s="23"/>
      <c r="BF8" s="21"/>
      <c r="BG8" s="23"/>
      <c r="BH8" s="21"/>
      <c r="BI8" s="23"/>
      <c r="BJ8" s="21"/>
      <c r="BK8" s="23"/>
      <c r="BL8" s="21"/>
      <c r="BM8" s="23"/>
      <c r="BN8" s="21"/>
      <c r="BO8" s="23"/>
      <c r="BP8" s="21"/>
      <c r="BQ8" s="23"/>
      <c r="BR8" s="21"/>
      <c r="BS8" s="23"/>
      <c r="BT8" s="21"/>
      <c r="BU8" s="23"/>
      <c r="BV8" s="21"/>
      <c r="BW8" s="23"/>
      <c r="BX8" s="21"/>
      <c r="BY8" s="21"/>
    </row>
    <row r="9" spans="1:84" x14ac:dyDescent="0.25">
      <c r="B9" s="23"/>
      <c r="C9" s="23"/>
      <c r="D9" s="23"/>
      <c r="E9" s="23"/>
      <c r="F9" s="21"/>
      <c r="G9" s="23"/>
      <c r="H9" s="21"/>
      <c r="I9" s="23"/>
      <c r="J9" s="21"/>
      <c r="K9" s="23"/>
      <c r="L9" s="21"/>
      <c r="M9" s="23"/>
      <c r="N9" s="21"/>
      <c r="O9" s="23"/>
      <c r="P9" s="21"/>
      <c r="Q9" s="23"/>
      <c r="R9" s="21"/>
      <c r="S9" s="23"/>
      <c r="T9" s="21"/>
      <c r="U9" s="23"/>
      <c r="V9" s="21"/>
      <c r="W9" s="23"/>
      <c r="X9" s="21"/>
      <c r="Y9" s="23"/>
      <c r="Z9" s="21"/>
      <c r="AA9" s="23"/>
      <c r="AB9" s="21"/>
      <c r="AC9" s="23"/>
      <c r="AD9" s="21"/>
      <c r="AE9" s="23"/>
      <c r="AF9" s="21"/>
      <c r="AG9" s="23"/>
      <c r="AH9" s="21"/>
      <c r="AI9" s="23"/>
      <c r="AJ9" s="21"/>
      <c r="AK9" s="23"/>
      <c r="AL9" s="21"/>
      <c r="AM9" s="23"/>
      <c r="AN9" s="21"/>
      <c r="AO9" s="23"/>
      <c r="AP9" s="21"/>
      <c r="AQ9" s="23"/>
      <c r="AR9" s="21"/>
      <c r="AS9" s="23"/>
      <c r="AT9" s="21"/>
      <c r="AU9" s="23"/>
      <c r="AV9" s="21"/>
      <c r="AW9" s="23"/>
      <c r="AX9" s="21"/>
      <c r="AY9" s="23"/>
      <c r="AZ9" s="21"/>
      <c r="BA9" s="23"/>
      <c r="BB9" s="21"/>
      <c r="BC9" s="23"/>
      <c r="BD9" s="21"/>
      <c r="BE9" s="23"/>
      <c r="BF9" s="21"/>
      <c r="BG9" s="23"/>
      <c r="BH9" s="21"/>
      <c r="BI9" s="23"/>
      <c r="BJ9" s="21"/>
      <c r="BK9" s="23"/>
      <c r="BL9" s="21"/>
      <c r="BM9" s="23"/>
      <c r="BN9" s="21"/>
      <c r="BO9" s="23"/>
      <c r="BP9" s="21"/>
      <c r="BQ9" s="23"/>
      <c r="BR9" s="21"/>
      <c r="BS9" s="23"/>
      <c r="BT9" s="21"/>
      <c r="BU9" s="23"/>
      <c r="BV9" s="21"/>
      <c r="BW9" s="23"/>
      <c r="BX9" s="21"/>
      <c r="BY9" s="21"/>
    </row>
    <row r="10" spans="1:84" x14ac:dyDescent="0.25">
      <c r="B10" s="23"/>
      <c r="C10" s="23"/>
      <c r="D10" s="23"/>
      <c r="E10" s="23"/>
      <c r="F10" s="21"/>
      <c r="G10" s="23"/>
      <c r="H10" s="21"/>
      <c r="I10" s="23"/>
      <c r="J10" s="21"/>
      <c r="K10" s="23"/>
      <c r="L10" s="21"/>
      <c r="M10" s="23"/>
      <c r="N10" s="21"/>
      <c r="O10" s="23"/>
      <c r="P10" s="21"/>
      <c r="Q10" s="23"/>
      <c r="R10" s="21"/>
      <c r="S10" s="23"/>
      <c r="T10" s="21"/>
      <c r="U10" s="23"/>
      <c r="V10" s="21"/>
      <c r="W10" s="23"/>
      <c r="X10" s="21"/>
      <c r="Y10" s="23"/>
      <c r="Z10" s="21"/>
      <c r="AA10" s="23"/>
      <c r="AB10" s="21"/>
      <c r="AC10" s="23"/>
      <c r="AD10" s="21"/>
      <c r="AE10" s="23"/>
      <c r="AF10" s="21"/>
      <c r="AG10" s="23"/>
      <c r="AH10" s="21"/>
      <c r="AI10" s="23"/>
      <c r="AJ10" s="21"/>
      <c r="AK10" s="23"/>
      <c r="AL10" s="21"/>
      <c r="AM10" s="23"/>
      <c r="AN10" s="21"/>
      <c r="AO10" s="23"/>
      <c r="AP10" s="21"/>
      <c r="AQ10" s="23"/>
      <c r="AR10" s="21"/>
      <c r="AS10" s="23"/>
      <c r="AT10" s="21"/>
      <c r="AU10" s="23"/>
      <c r="AV10" s="21"/>
      <c r="AW10" s="23"/>
      <c r="AX10" s="21"/>
      <c r="AY10" s="23"/>
      <c r="AZ10" s="21"/>
      <c r="BA10" s="23"/>
      <c r="BB10" s="21"/>
      <c r="BC10" s="23"/>
      <c r="BD10" s="21"/>
      <c r="BE10" s="23"/>
      <c r="BF10" s="21"/>
      <c r="BG10" s="23"/>
      <c r="BH10" s="21"/>
      <c r="BI10" s="23"/>
      <c r="BJ10" s="21"/>
      <c r="BK10" s="23"/>
      <c r="BL10" s="21"/>
      <c r="BM10" s="23"/>
      <c r="BN10" s="21"/>
      <c r="BO10" s="23"/>
      <c r="BP10" s="21"/>
      <c r="BQ10" s="23"/>
      <c r="BR10" s="21"/>
      <c r="BS10" s="23"/>
      <c r="BT10" s="21"/>
      <c r="BU10" s="23"/>
      <c r="BV10" s="21"/>
      <c r="BW10" s="23"/>
      <c r="BX10" s="21"/>
      <c r="BY10" s="21"/>
    </row>
    <row r="11" spans="1:84" x14ac:dyDescent="0.25">
      <c r="B11" s="23"/>
      <c r="C11" s="23"/>
      <c r="D11" s="23"/>
      <c r="E11" s="23"/>
      <c r="F11" s="21"/>
      <c r="G11" s="23"/>
      <c r="H11" s="21"/>
      <c r="I11" s="23"/>
      <c r="J11" s="21"/>
      <c r="K11" s="23"/>
      <c r="L11" s="21"/>
      <c r="M11" s="23"/>
      <c r="N11" s="21"/>
      <c r="O11" s="23"/>
      <c r="P11" s="21"/>
      <c r="Q11" s="23"/>
      <c r="R11" s="21"/>
      <c r="S11" s="23"/>
      <c r="T11" s="21"/>
      <c r="U11" s="23"/>
      <c r="V11" s="21"/>
      <c r="W11" s="23"/>
      <c r="X11" s="21"/>
      <c r="Y11" s="23"/>
      <c r="Z11" s="21"/>
      <c r="AA11" s="23"/>
      <c r="AB11" s="21"/>
      <c r="AC11" s="23"/>
      <c r="AD11" s="21"/>
      <c r="AE11" s="23"/>
      <c r="AF11" s="21"/>
      <c r="AG11" s="23"/>
      <c r="AH11" s="21"/>
      <c r="AI11" s="23"/>
      <c r="AJ11" s="21"/>
      <c r="AK11" s="23"/>
      <c r="AL11" s="21"/>
      <c r="AM11" s="23"/>
      <c r="AN11" s="21"/>
      <c r="AO11" s="23"/>
      <c r="AP11" s="21"/>
      <c r="AQ11" s="23"/>
      <c r="AR11" s="21"/>
      <c r="AS11" s="23"/>
      <c r="AT11" s="21"/>
      <c r="AU11" s="23"/>
      <c r="AV11" s="21"/>
      <c r="AW11" s="23"/>
      <c r="AX11" s="21"/>
      <c r="AY11" s="23"/>
      <c r="AZ11" s="21"/>
      <c r="BA11" s="23"/>
      <c r="BB11" s="21"/>
      <c r="BC11" s="23"/>
      <c r="BD11" s="21"/>
      <c r="BE11" s="23"/>
      <c r="BF11" s="21"/>
      <c r="BG11" s="23"/>
      <c r="BH11" s="21"/>
      <c r="BI11" s="23"/>
      <c r="BJ11" s="21"/>
      <c r="BK11" s="23"/>
      <c r="BL11" s="21"/>
      <c r="BM11" s="23"/>
      <c r="BN11" s="21"/>
      <c r="BO11" s="23"/>
      <c r="BP11" s="21"/>
      <c r="BQ11" s="23"/>
      <c r="BR11" s="21"/>
      <c r="BS11" s="23"/>
      <c r="BT11" s="21"/>
      <c r="BU11" s="23"/>
      <c r="BV11" s="21"/>
      <c r="BW11" s="23"/>
      <c r="BX11" s="21"/>
      <c r="BY11" s="21"/>
    </row>
    <row r="12" spans="1:84" x14ac:dyDescent="0.25">
      <c r="B12" s="23"/>
      <c r="C12" s="23"/>
      <c r="D12" s="23"/>
      <c r="E12" s="23"/>
      <c r="F12" s="21"/>
      <c r="G12" s="23"/>
      <c r="H12" s="21"/>
      <c r="I12" s="23"/>
      <c r="J12" s="21"/>
      <c r="K12" s="23"/>
      <c r="L12" s="21"/>
      <c r="M12" s="23"/>
      <c r="N12" s="21"/>
      <c r="O12" s="23"/>
      <c r="P12" s="21"/>
      <c r="Q12" s="23"/>
      <c r="R12" s="21"/>
      <c r="S12" s="23"/>
      <c r="T12" s="21"/>
      <c r="U12" s="23"/>
      <c r="V12" s="21"/>
      <c r="W12" s="23"/>
      <c r="X12" s="21"/>
      <c r="Y12" s="23"/>
      <c r="Z12" s="21"/>
      <c r="AA12" s="23"/>
      <c r="AB12" s="21"/>
      <c r="AC12" s="23"/>
      <c r="AD12" s="21"/>
      <c r="AE12" s="23"/>
      <c r="AF12" s="21"/>
      <c r="AG12" s="23"/>
      <c r="AH12" s="21"/>
      <c r="AI12" s="23"/>
      <c r="AJ12" s="21"/>
      <c r="AK12" s="23"/>
      <c r="AL12" s="21"/>
      <c r="AM12" s="23"/>
      <c r="AN12" s="21"/>
      <c r="AO12" s="23"/>
      <c r="AP12" s="21"/>
      <c r="AQ12" s="23"/>
      <c r="AR12" s="21"/>
      <c r="AS12" s="23"/>
      <c r="AT12" s="21"/>
      <c r="AU12" s="23"/>
      <c r="AV12" s="21"/>
      <c r="AW12" s="23"/>
      <c r="AX12" s="21"/>
      <c r="AY12" s="23"/>
      <c r="AZ12" s="21"/>
      <c r="BA12" s="23"/>
      <c r="BB12" s="21"/>
      <c r="BC12" s="23"/>
      <c r="BD12" s="21"/>
      <c r="BE12" s="23"/>
      <c r="BF12" s="21"/>
      <c r="BG12" s="23"/>
      <c r="BH12" s="21"/>
      <c r="BI12" s="23"/>
      <c r="BJ12" s="21"/>
      <c r="BK12" s="23"/>
      <c r="BL12" s="21"/>
      <c r="BM12" s="23"/>
      <c r="BN12" s="21"/>
      <c r="BO12" s="23"/>
      <c r="BP12" s="21"/>
      <c r="BQ12" s="23"/>
      <c r="BR12" s="21"/>
      <c r="BS12" s="23"/>
      <c r="BT12" s="21"/>
      <c r="BU12" s="23"/>
      <c r="BV12" s="21"/>
      <c r="BW12" s="23"/>
      <c r="BX12" s="21"/>
      <c r="BY12" s="21"/>
    </row>
    <row r="13" spans="1:84" x14ac:dyDescent="0.25">
      <c r="B13" s="23"/>
      <c r="C13" s="23"/>
      <c r="D13" s="23"/>
      <c r="E13" s="23"/>
      <c r="F13" s="21"/>
      <c r="G13" s="23"/>
      <c r="H13" s="21"/>
      <c r="I13" s="23"/>
      <c r="J13" s="21"/>
      <c r="K13" s="23"/>
      <c r="L13" s="21"/>
      <c r="M13" s="23"/>
      <c r="N13" s="21"/>
      <c r="O13" s="23"/>
      <c r="P13" s="21"/>
      <c r="Q13" s="23"/>
      <c r="R13" s="21"/>
      <c r="S13" s="23"/>
      <c r="T13" s="21"/>
      <c r="U13" s="23"/>
      <c r="V13" s="21"/>
      <c r="W13" s="23"/>
      <c r="X13" s="21"/>
      <c r="Y13" s="23"/>
      <c r="Z13" s="21"/>
      <c r="AA13" s="23"/>
      <c r="AB13" s="21"/>
      <c r="AC13" s="23"/>
      <c r="AD13" s="21"/>
      <c r="AE13" s="23"/>
      <c r="AF13" s="21"/>
      <c r="AG13" s="23"/>
      <c r="AH13" s="21"/>
      <c r="AI13" s="23"/>
      <c r="AJ13" s="21"/>
      <c r="AK13" s="23"/>
      <c r="AL13" s="21"/>
      <c r="AM13" s="23"/>
      <c r="AN13" s="21"/>
      <c r="AO13" s="23"/>
      <c r="AP13" s="21"/>
      <c r="AQ13" s="23"/>
      <c r="AR13" s="21"/>
      <c r="AS13" s="23"/>
      <c r="AT13" s="21"/>
      <c r="AU13" s="23"/>
      <c r="AV13" s="21"/>
      <c r="AW13" s="23"/>
      <c r="AX13" s="21"/>
      <c r="AY13" s="23"/>
      <c r="AZ13" s="21"/>
      <c r="BA13" s="23"/>
      <c r="BB13" s="21"/>
      <c r="BC13" s="23"/>
      <c r="BD13" s="21"/>
      <c r="BE13" s="23"/>
      <c r="BF13" s="21"/>
      <c r="BG13" s="23"/>
      <c r="BH13" s="21"/>
      <c r="BI13" s="23"/>
      <c r="BJ13" s="21"/>
      <c r="BK13" s="23"/>
      <c r="BL13" s="21"/>
      <c r="BM13" s="23"/>
      <c r="BN13" s="21"/>
      <c r="BO13" s="23"/>
      <c r="BP13" s="21"/>
      <c r="BQ13" s="23"/>
      <c r="BR13" s="21"/>
      <c r="BS13" s="23"/>
      <c r="BT13" s="21"/>
      <c r="BU13" s="23"/>
      <c r="BV13" s="21"/>
      <c r="BW13" s="23"/>
      <c r="BX13" s="21"/>
      <c r="BY13" s="21"/>
    </row>
    <row r="14" spans="1:84" x14ac:dyDescent="0.25">
      <c r="B14" s="23"/>
      <c r="C14" s="23"/>
      <c r="D14" s="23"/>
      <c r="E14" s="23"/>
      <c r="F14" s="21"/>
      <c r="G14" s="23"/>
      <c r="H14" s="21"/>
      <c r="I14" s="23"/>
      <c r="J14" s="21"/>
      <c r="K14" s="23"/>
      <c r="L14" s="21"/>
      <c r="M14" s="23"/>
      <c r="N14" s="21"/>
      <c r="O14" s="23"/>
      <c r="P14" s="21"/>
      <c r="Q14" s="23"/>
      <c r="R14" s="21"/>
      <c r="S14" s="23"/>
      <c r="T14" s="21"/>
      <c r="U14" s="23"/>
      <c r="V14" s="21"/>
      <c r="W14" s="23"/>
      <c r="X14" s="21"/>
      <c r="Y14" s="23"/>
      <c r="Z14" s="21"/>
      <c r="AA14" s="23"/>
      <c r="AB14" s="21"/>
      <c r="AC14" s="23"/>
      <c r="AD14" s="21"/>
      <c r="AE14" s="23"/>
      <c r="AF14" s="21"/>
      <c r="AG14" s="23"/>
      <c r="AH14" s="21"/>
      <c r="AI14" s="23"/>
      <c r="AJ14" s="21"/>
      <c r="AK14" s="23"/>
      <c r="AL14" s="21"/>
      <c r="AM14" s="23"/>
      <c r="AN14" s="21"/>
      <c r="AO14" s="23"/>
      <c r="AP14" s="21"/>
      <c r="AQ14" s="23"/>
      <c r="AR14" s="21"/>
      <c r="AS14" s="23"/>
      <c r="AT14" s="21"/>
      <c r="AU14" s="23"/>
      <c r="AV14" s="21"/>
      <c r="AW14" s="23"/>
      <c r="AX14" s="21"/>
      <c r="AY14" s="23"/>
      <c r="AZ14" s="21"/>
      <c r="BA14" s="23"/>
      <c r="BB14" s="21"/>
      <c r="BC14" s="23"/>
      <c r="BD14" s="21"/>
      <c r="BE14" s="23"/>
      <c r="BF14" s="21"/>
      <c r="BG14" s="23"/>
      <c r="BH14" s="21"/>
      <c r="BI14" s="23"/>
      <c r="BJ14" s="21"/>
      <c r="BK14" s="23"/>
      <c r="BL14" s="21"/>
      <c r="BM14" s="23"/>
      <c r="BN14" s="21"/>
      <c r="BO14" s="23"/>
      <c r="BP14" s="21"/>
      <c r="BQ14" s="23"/>
      <c r="BR14" s="21"/>
      <c r="BS14" s="23"/>
      <c r="BT14" s="21"/>
      <c r="BU14" s="23"/>
      <c r="BV14" s="21"/>
      <c r="BW14" s="23"/>
      <c r="BX14" s="21"/>
      <c r="BY14" s="21"/>
    </row>
    <row r="15" spans="1:84" x14ac:dyDescent="0.25">
      <c r="B15" s="23"/>
      <c r="C15" s="23"/>
      <c r="D15" s="23"/>
      <c r="E15" s="23"/>
      <c r="F15" s="21"/>
      <c r="G15" s="23"/>
      <c r="H15" s="21"/>
      <c r="I15" s="23"/>
      <c r="J15" s="21"/>
      <c r="K15" s="23"/>
      <c r="L15" s="21"/>
      <c r="M15" s="23"/>
      <c r="N15" s="21"/>
      <c r="O15" s="23"/>
      <c r="P15" s="21"/>
      <c r="Q15" s="23"/>
      <c r="R15" s="21"/>
      <c r="S15" s="23"/>
      <c r="T15" s="21"/>
      <c r="U15" s="23"/>
      <c r="V15" s="21"/>
      <c r="W15" s="23"/>
      <c r="X15" s="21"/>
      <c r="Y15" s="23"/>
      <c r="Z15" s="21"/>
      <c r="AA15" s="23"/>
      <c r="AB15" s="21"/>
      <c r="AC15" s="23"/>
      <c r="AD15" s="21"/>
      <c r="AE15" s="23"/>
      <c r="AF15" s="21"/>
      <c r="AG15" s="23"/>
      <c r="AH15" s="21"/>
      <c r="AI15" s="23"/>
      <c r="AJ15" s="21"/>
      <c r="AK15" s="23"/>
      <c r="AL15" s="21"/>
      <c r="AM15" s="23"/>
      <c r="AN15" s="21"/>
      <c r="AO15" s="23"/>
      <c r="AP15" s="21"/>
      <c r="AQ15" s="23"/>
      <c r="AR15" s="21"/>
      <c r="AS15" s="23"/>
      <c r="AT15" s="21"/>
      <c r="AU15" s="23"/>
      <c r="AV15" s="21"/>
      <c r="AW15" s="23"/>
      <c r="AX15" s="21"/>
      <c r="AY15" s="23"/>
      <c r="AZ15" s="21"/>
      <c r="BA15" s="23"/>
      <c r="BB15" s="21"/>
      <c r="BC15" s="23"/>
      <c r="BD15" s="21"/>
      <c r="BE15" s="23"/>
      <c r="BF15" s="21"/>
      <c r="BG15" s="23"/>
      <c r="BH15" s="21"/>
      <c r="BI15" s="23"/>
      <c r="BJ15" s="21"/>
      <c r="BK15" s="23"/>
      <c r="BL15" s="21"/>
      <c r="BM15" s="23"/>
      <c r="BN15" s="21"/>
      <c r="BO15" s="23"/>
      <c r="BP15" s="21"/>
      <c r="BQ15" s="23"/>
      <c r="BR15" s="21"/>
      <c r="BS15" s="23"/>
      <c r="BT15" s="21"/>
      <c r="BU15" s="23"/>
      <c r="BV15" s="21"/>
      <c r="BW15" s="23"/>
      <c r="BX15" s="21"/>
      <c r="BY15" s="21"/>
    </row>
    <row r="16" spans="1:84" x14ac:dyDescent="0.25">
      <c r="B16" s="23"/>
      <c r="C16" s="23"/>
      <c r="D16" s="23"/>
      <c r="E16" s="23"/>
      <c r="F16" s="21"/>
      <c r="G16" s="23"/>
      <c r="H16" s="21"/>
      <c r="I16" s="23"/>
      <c r="J16" s="21"/>
      <c r="K16" s="23"/>
      <c r="L16" s="21"/>
      <c r="M16" s="23"/>
      <c r="N16" s="21"/>
      <c r="O16" s="23"/>
      <c r="P16" s="21"/>
      <c r="Q16" s="23"/>
      <c r="R16" s="21"/>
      <c r="S16" s="23"/>
      <c r="T16" s="21"/>
      <c r="U16" s="23"/>
      <c r="V16" s="21"/>
      <c r="W16" s="23"/>
      <c r="X16" s="21"/>
      <c r="Y16" s="23"/>
      <c r="Z16" s="21"/>
      <c r="AA16" s="23"/>
      <c r="AB16" s="21"/>
      <c r="AC16" s="23"/>
      <c r="AD16" s="21"/>
      <c r="AE16" s="23"/>
      <c r="AF16" s="21"/>
      <c r="AG16" s="23"/>
      <c r="AH16" s="21"/>
      <c r="AI16" s="23"/>
      <c r="AJ16" s="21"/>
      <c r="AK16" s="23"/>
      <c r="AL16" s="21"/>
      <c r="AM16" s="23"/>
      <c r="AN16" s="21"/>
      <c r="AO16" s="23"/>
      <c r="AP16" s="21"/>
      <c r="AQ16" s="23"/>
      <c r="AR16" s="21"/>
      <c r="AS16" s="23"/>
      <c r="AT16" s="21"/>
      <c r="AU16" s="23"/>
      <c r="AV16" s="21"/>
      <c r="AW16" s="23"/>
      <c r="AX16" s="21"/>
      <c r="AY16" s="23"/>
      <c r="AZ16" s="21"/>
      <c r="BA16" s="23"/>
      <c r="BB16" s="21"/>
      <c r="BC16" s="23"/>
      <c r="BD16" s="21"/>
      <c r="BE16" s="23"/>
      <c r="BF16" s="21"/>
      <c r="BG16" s="23"/>
      <c r="BH16" s="21"/>
      <c r="BI16" s="23"/>
      <c r="BJ16" s="21"/>
      <c r="BK16" s="23"/>
      <c r="BL16" s="21"/>
      <c r="BM16" s="23"/>
      <c r="BN16" s="21"/>
      <c r="BO16" s="23"/>
      <c r="BP16" s="21"/>
      <c r="BQ16" s="23"/>
      <c r="BR16" s="21"/>
      <c r="BS16" s="23"/>
      <c r="BT16" s="21"/>
      <c r="BU16" s="23"/>
      <c r="BV16" s="21"/>
      <c r="BW16" s="23"/>
      <c r="BX16" s="21"/>
      <c r="BY16" s="21"/>
    </row>
    <row r="17" spans="2:84" x14ac:dyDescent="0.25">
      <c r="B17" s="23"/>
      <c r="C17" s="23"/>
      <c r="D17" s="23"/>
      <c r="E17" s="23"/>
      <c r="F17" s="21"/>
      <c r="G17" s="23"/>
      <c r="H17" s="21"/>
      <c r="I17" s="23"/>
      <c r="J17" s="21"/>
      <c r="K17" s="23"/>
      <c r="L17" s="21"/>
      <c r="M17" s="23"/>
      <c r="N17" s="21"/>
      <c r="O17" s="23"/>
      <c r="P17" s="21"/>
      <c r="Q17" s="23"/>
      <c r="R17" s="21"/>
      <c r="S17" s="23"/>
      <c r="T17" s="21"/>
      <c r="U17" s="23"/>
      <c r="V17" s="21"/>
      <c r="W17" s="23"/>
      <c r="X17" s="21"/>
      <c r="Y17" s="23"/>
      <c r="Z17" s="21"/>
      <c r="AA17" s="23"/>
      <c r="AB17" s="21"/>
      <c r="AC17" s="23"/>
      <c r="AD17" s="21"/>
      <c r="AE17" s="23"/>
      <c r="AF17" s="21"/>
      <c r="AG17" s="23"/>
      <c r="AH17" s="21"/>
      <c r="AI17" s="23"/>
      <c r="AJ17" s="21"/>
      <c r="AK17" s="23"/>
      <c r="AL17" s="21"/>
      <c r="AM17" s="23"/>
      <c r="AN17" s="21"/>
      <c r="AO17" s="23"/>
      <c r="AP17" s="21"/>
      <c r="AQ17" s="23"/>
      <c r="AR17" s="21"/>
      <c r="AS17" s="23"/>
      <c r="AT17" s="21"/>
      <c r="AU17" s="23"/>
      <c r="AV17" s="21"/>
      <c r="AW17" s="23"/>
      <c r="AX17" s="21"/>
      <c r="AY17" s="23"/>
      <c r="AZ17" s="21"/>
      <c r="BA17" s="23"/>
      <c r="BB17" s="21"/>
      <c r="BC17" s="23"/>
      <c r="BD17" s="21"/>
      <c r="BE17" s="23"/>
      <c r="BF17" s="21"/>
      <c r="BG17" s="23"/>
      <c r="BH17" s="21"/>
      <c r="BI17" s="23"/>
      <c r="BJ17" s="21"/>
      <c r="BK17" s="23"/>
      <c r="BL17" s="21"/>
      <c r="BM17" s="23"/>
      <c r="BN17" s="21"/>
      <c r="BO17" s="23"/>
      <c r="BP17" s="21"/>
      <c r="BQ17" s="23"/>
      <c r="BR17" s="21"/>
      <c r="BS17" s="23"/>
      <c r="BT17" s="21"/>
      <c r="BU17" s="23"/>
      <c r="BV17" s="21"/>
      <c r="BW17" s="23"/>
      <c r="BX17" s="21"/>
      <c r="BY17" s="21"/>
    </row>
    <row r="18" spans="2:84" x14ac:dyDescent="0.25">
      <c r="B18" s="23"/>
      <c r="C18" s="23"/>
      <c r="D18" s="23"/>
      <c r="E18" s="23"/>
      <c r="F18" s="21"/>
      <c r="G18" s="23"/>
      <c r="H18" s="21"/>
      <c r="I18" s="23"/>
      <c r="J18" s="21"/>
      <c r="K18" s="23"/>
      <c r="L18" s="21"/>
      <c r="M18" s="23"/>
      <c r="N18" s="21"/>
      <c r="O18" s="23"/>
      <c r="P18" s="21"/>
      <c r="Q18" s="23"/>
      <c r="R18" s="21"/>
      <c r="S18" s="23"/>
      <c r="T18" s="21"/>
      <c r="U18" s="23"/>
      <c r="V18" s="21"/>
      <c r="W18" s="23"/>
      <c r="X18" s="21"/>
      <c r="Y18" s="23"/>
      <c r="Z18" s="21"/>
      <c r="AA18" s="23"/>
      <c r="AB18" s="21"/>
      <c r="AC18" s="23"/>
      <c r="AD18" s="21"/>
      <c r="AE18" s="23"/>
      <c r="AF18" s="21"/>
      <c r="AG18" s="23"/>
      <c r="AH18" s="21"/>
      <c r="AI18" s="23"/>
      <c r="AJ18" s="21"/>
      <c r="AK18" s="23"/>
      <c r="AL18" s="21"/>
      <c r="AM18" s="23"/>
      <c r="AN18" s="21"/>
      <c r="AO18" s="23"/>
      <c r="AP18" s="21"/>
      <c r="AQ18" s="23"/>
      <c r="AR18" s="21"/>
      <c r="AS18" s="23"/>
      <c r="AT18" s="21"/>
      <c r="AU18" s="23"/>
      <c r="AV18" s="21"/>
      <c r="AW18" s="23"/>
      <c r="AX18" s="21"/>
      <c r="AY18" s="23"/>
      <c r="AZ18" s="21"/>
      <c r="BA18" s="23"/>
      <c r="BB18" s="21"/>
      <c r="BC18" s="23"/>
      <c r="BD18" s="21"/>
      <c r="BE18" s="23"/>
      <c r="BF18" s="21"/>
      <c r="BG18" s="23"/>
      <c r="BH18" s="21"/>
      <c r="BI18" s="23"/>
      <c r="BJ18" s="21"/>
      <c r="BK18" s="23"/>
      <c r="BL18" s="21"/>
      <c r="BM18" s="23"/>
      <c r="BN18" s="21"/>
      <c r="BO18" s="23"/>
      <c r="BP18" s="21"/>
      <c r="BQ18" s="23"/>
      <c r="BR18" s="21"/>
      <c r="BS18" s="23"/>
      <c r="BT18" s="21"/>
      <c r="BU18" s="23"/>
      <c r="BV18" s="21"/>
      <c r="BW18" s="23"/>
      <c r="BX18" s="21"/>
      <c r="BY18" s="21"/>
    </row>
    <row r="19" spans="2:84" x14ac:dyDescent="0.25">
      <c r="B19" s="23"/>
      <c r="C19" s="23"/>
      <c r="D19" s="23"/>
      <c r="E19" s="23"/>
      <c r="F19" s="21"/>
      <c r="G19" s="23"/>
      <c r="H19" s="21"/>
      <c r="I19" s="23"/>
      <c r="J19" s="21"/>
      <c r="K19" s="23"/>
      <c r="L19" s="21"/>
      <c r="M19" s="23"/>
      <c r="N19" s="21"/>
      <c r="O19" s="23"/>
      <c r="P19" s="21"/>
      <c r="Q19" s="23"/>
      <c r="R19" s="21"/>
      <c r="S19" s="23"/>
      <c r="T19" s="21"/>
      <c r="U19" s="23"/>
      <c r="V19" s="21"/>
      <c r="W19" s="23"/>
      <c r="X19" s="21"/>
      <c r="Y19" s="23"/>
      <c r="Z19" s="21"/>
      <c r="AA19" s="23"/>
      <c r="AB19" s="21"/>
      <c r="AC19" s="23"/>
      <c r="AD19" s="21"/>
      <c r="AE19" s="23"/>
      <c r="AF19" s="21"/>
      <c r="AG19" s="23"/>
      <c r="AH19" s="21"/>
      <c r="AI19" s="23"/>
      <c r="AJ19" s="21"/>
      <c r="AK19" s="23"/>
      <c r="AL19" s="21"/>
      <c r="AM19" s="23"/>
      <c r="AN19" s="21"/>
      <c r="AO19" s="23"/>
      <c r="AP19" s="21"/>
      <c r="AQ19" s="23"/>
      <c r="AR19" s="21"/>
      <c r="AS19" s="23"/>
      <c r="AT19" s="21"/>
      <c r="AU19" s="23"/>
      <c r="AV19" s="21"/>
      <c r="AW19" s="23"/>
      <c r="AX19" s="21"/>
      <c r="AY19" s="23"/>
      <c r="AZ19" s="21"/>
      <c r="BA19" s="23"/>
      <c r="BB19" s="21"/>
      <c r="BC19" s="23"/>
      <c r="BD19" s="21"/>
      <c r="BE19" s="23"/>
      <c r="BF19" s="21"/>
      <c r="BG19" s="23"/>
      <c r="BH19" s="21"/>
      <c r="BI19" s="23"/>
      <c r="BJ19" s="21"/>
      <c r="BK19" s="23"/>
      <c r="BL19" s="21"/>
      <c r="BM19" s="23"/>
      <c r="BN19" s="21"/>
      <c r="BO19" s="23"/>
      <c r="BP19" s="21"/>
      <c r="BQ19" s="23"/>
      <c r="BR19" s="21"/>
      <c r="BS19" s="23"/>
      <c r="BT19" s="21"/>
      <c r="BU19" s="23"/>
      <c r="BV19" s="21"/>
      <c r="BW19" s="23"/>
      <c r="BX19" s="21"/>
      <c r="BY19" s="21"/>
    </row>
    <row r="20" spans="2:84" x14ac:dyDescent="0.25">
      <c r="B20" s="23"/>
      <c r="C20" s="23"/>
      <c r="D20" s="23"/>
      <c r="E20" s="23"/>
      <c r="F20" s="21"/>
      <c r="G20" s="23"/>
      <c r="H20" s="21"/>
      <c r="I20" s="23"/>
      <c r="J20" s="21"/>
      <c r="K20" s="23"/>
      <c r="L20" s="21"/>
      <c r="M20" s="23"/>
      <c r="N20" s="21"/>
      <c r="O20" s="23"/>
      <c r="P20" s="21"/>
      <c r="Q20" s="23"/>
      <c r="R20" s="21"/>
      <c r="S20" s="23"/>
      <c r="T20" s="21"/>
      <c r="U20" s="23"/>
      <c r="V20" s="21"/>
      <c r="W20" s="23"/>
      <c r="X20" s="21"/>
      <c r="Y20" s="23"/>
      <c r="Z20" s="21"/>
      <c r="AA20" s="23"/>
      <c r="AB20" s="21"/>
      <c r="AC20" s="23"/>
      <c r="AD20" s="21"/>
      <c r="AE20" s="23"/>
      <c r="AF20" s="21"/>
      <c r="AG20" s="23"/>
      <c r="AH20" s="21"/>
      <c r="AI20" s="23"/>
      <c r="AJ20" s="21"/>
      <c r="AK20" s="23"/>
      <c r="AL20" s="21"/>
      <c r="AM20" s="23"/>
      <c r="AN20" s="21"/>
      <c r="AO20" s="23"/>
      <c r="AP20" s="21"/>
      <c r="AQ20" s="23"/>
      <c r="AR20" s="21"/>
      <c r="AS20" s="23"/>
      <c r="AT20" s="21"/>
      <c r="AU20" s="23"/>
      <c r="AV20" s="21"/>
      <c r="AW20" s="23"/>
      <c r="AX20" s="21"/>
      <c r="AY20" s="23"/>
      <c r="AZ20" s="21"/>
      <c r="BA20" s="23"/>
      <c r="BB20" s="21"/>
      <c r="BC20" s="23"/>
      <c r="BD20" s="21"/>
      <c r="BE20" s="23"/>
      <c r="BF20" s="21"/>
      <c r="BG20" s="23"/>
      <c r="BH20" s="21"/>
      <c r="BI20" s="23"/>
      <c r="BJ20" s="21"/>
      <c r="BK20" s="23"/>
      <c r="BL20" s="21"/>
      <c r="BM20" s="23"/>
      <c r="BN20" s="21"/>
      <c r="BO20" s="23"/>
      <c r="BP20" s="21"/>
      <c r="BQ20" s="23"/>
      <c r="BR20" s="21"/>
      <c r="BS20" s="23"/>
      <c r="BT20" s="21"/>
      <c r="BU20" s="23"/>
      <c r="BV20" s="21"/>
      <c r="BW20" s="23"/>
      <c r="BX20" s="21"/>
      <c r="BY20" s="21"/>
    </row>
    <row r="21" spans="2:84" x14ac:dyDescent="0.25">
      <c r="B21" s="23"/>
      <c r="C21" s="23"/>
      <c r="D21" s="23"/>
      <c r="E21" s="23"/>
      <c r="F21" s="21"/>
      <c r="G21" s="23"/>
      <c r="H21" s="21"/>
      <c r="I21" s="23"/>
      <c r="J21" s="21"/>
      <c r="K21" s="23"/>
      <c r="L21" s="21"/>
      <c r="M21" s="23"/>
      <c r="N21" s="21"/>
      <c r="O21" s="23"/>
      <c r="P21" s="21"/>
      <c r="Q21" s="23"/>
      <c r="R21" s="21"/>
      <c r="S21" s="23"/>
      <c r="T21" s="21"/>
      <c r="U21" s="23"/>
      <c r="V21" s="21"/>
      <c r="W21" s="23"/>
      <c r="X21" s="21"/>
      <c r="Y21" s="23"/>
      <c r="Z21" s="21"/>
      <c r="AA21" s="23"/>
      <c r="AB21" s="21"/>
      <c r="AC21" s="23"/>
      <c r="AD21" s="21"/>
      <c r="AE21" s="23"/>
      <c r="AF21" s="21"/>
      <c r="AG21" s="23"/>
      <c r="AH21" s="21"/>
      <c r="AI21" s="23"/>
      <c r="AJ21" s="21"/>
      <c r="AK21" s="23"/>
      <c r="AL21" s="21"/>
      <c r="AM21" s="23"/>
      <c r="AN21" s="21"/>
      <c r="AO21" s="23"/>
      <c r="AP21" s="21"/>
      <c r="AQ21" s="23"/>
      <c r="AR21" s="21"/>
      <c r="AS21" s="23"/>
      <c r="AT21" s="21"/>
      <c r="AU21" s="23"/>
      <c r="AV21" s="21"/>
      <c r="AW21" s="23"/>
      <c r="AX21" s="21"/>
      <c r="AY21" s="23"/>
      <c r="AZ21" s="21"/>
      <c r="BA21" s="23"/>
      <c r="BB21" s="21"/>
      <c r="BC21" s="23"/>
      <c r="BD21" s="21"/>
      <c r="BE21" s="23"/>
      <c r="BF21" s="21"/>
      <c r="BG21" s="23"/>
      <c r="BH21" s="21"/>
      <c r="BI21" s="23"/>
      <c r="BJ21" s="21"/>
      <c r="BK21" s="23"/>
      <c r="BL21" s="21"/>
      <c r="BM21" s="23"/>
      <c r="BN21" s="21"/>
      <c r="BO21" s="23"/>
      <c r="BP21" s="21"/>
      <c r="BQ21" s="23"/>
      <c r="BR21" s="21"/>
      <c r="BS21" s="23"/>
      <c r="BT21" s="21"/>
      <c r="BU21" s="23"/>
      <c r="BV21" s="21"/>
      <c r="BW21" s="23"/>
      <c r="BX21" s="21"/>
      <c r="BY21" s="21"/>
    </row>
    <row r="22" spans="2:84" x14ac:dyDescent="0.25">
      <c r="B22" s="23"/>
      <c r="C22" s="23"/>
      <c r="D22" s="23"/>
      <c r="E22" s="23"/>
      <c r="F22" s="21"/>
      <c r="G22" s="23"/>
      <c r="H22" s="21"/>
      <c r="I22" s="23"/>
      <c r="J22" s="21"/>
      <c r="K22" s="23"/>
      <c r="L22" s="21"/>
      <c r="M22" s="23"/>
      <c r="N22" s="21"/>
      <c r="O22" s="23"/>
      <c r="P22" s="21"/>
      <c r="Q22" s="23"/>
      <c r="R22" s="21"/>
      <c r="S22" s="23"/>
      <c r="T22" s="21"/>
      <c r="U22" s="23"/>
      <c r="V22" s="21"/>
      <c r="W22" s="23"/>
      <c r="X22" s="21"/>
      <c r="Y22" s="23"/>
      <c r="Z22" s="21"/>
      <c r="AA22" s="23"/>
      <c r="AB22" s="21"/>
      <c r="AC22" s="23"/>
      <c r="AD22" s="21"/>
      <c r="AE22" s="23"/>
      <c r="AF22" s="21"/>
      <c r="AG22" s="23"/>
      <c r="AH22" s="21"/>
      <c r="AI22" s="23"/>
      <c r="AJ22" s="21"/>
      <c r="AK22" s="23"/>
      <c r="AL22" s="21"/>
      <c r="AM22" s="23"/>
      <c r="AN22" s="21"/>
      <c r="AO22" s="23"/>
      <c r="AP22" s="21"/>
      <c r="AQ22" s="23"/>
      <c r="AR22" s="21"/>
      <c r="AS22" s="23"/>
      <c r="AT22" s="21"/>
      <c r="AU22" s="23"/>
      <c r="AV22" s="21"/>
      <c r="AW22" s="23"/>
      <c r="AX22" s="21"/>
      <c r="AY22" s="23"/>
      <c r="AZ22" s="21"/>
      <c r="BA22" s="23"/>
      <c r="BB22" s="21"/>
      <c r="BC22" s="23"/>
      <c r="BD22" s="21"/>
      <c r="BE22" s="23"/>
      <c r="BF22" s="21"/>
      <c r="BG22" s="23"/>
      <c r="BH22" s="21"/>
      <c r="BI22" s="23"/>
      <c r="BJ22" s="21"/>
      <c r="BK22" s="23"/>
      <c r="BL22" s="21"/>
      <c r="BM22" s="23"/>
      <c r="BN22" s="21"/>
      <c r="BO22" s="23"/>
      <c r="BP22" s="21"/>
      <c r="BQ22" s="23"/>
      <c r="BR22" s="21"/>
      <c r="BS22" s="23"/>
      <c r="BT22" s="21"/>
      <c r="BU22" s="23"/>
      <c r="BV22" s="21"/>
      <c r="BW22" s="23"/>
      <c r="BX22" s="21"/>
      <c r="BY22" s="21"/>
    </row>
    <row r="23" spans="2:84" x14ac:dyDescent="0.25">
      <c r="B23" s="23"/>
      <c r="C23" s="23"/>
      <c r="D23" s="23"/>
      <c r="E23" s="23"/>
      <c r="F23" s="21"/>
      <c r="G23" s="23"/>
      <c r="H23" s="21"/>
      <c r="I23" s="23"/>
      <c r="J23" s="21"/>
      <c r="K23" s="23"/>
      <c r="L23" s="21"/>
      <c r="M23" s="23"/>
      <c r="N23" s="21"/>
      <c r="O23" s="23"/>
      <c r="P23" s="21"/>
      <c r="Q23" s="23"/>
      <c r="R23" s="21"/>
      <c r="S23" s="23"/>
      <c r="T23" s="21"/>
      <c r="U23" s="23"/>
      <c r="V23" s="21"/>
      <c r="W23" s="23"/>
      <c r="X23" s="21"/>
      <c r="Y23" s="23"/>
      <c r="Z23" s="21"/>
      <c r="AA23" s="23"/>
      <c r="AB23" s="21"/>
      <c r="AC23" s="23"/>
      <c r="AD23" s="21"/>
      <c r="AE23" s="23"/>
      <c r="AF23" s="21"/>
      <c r="AG23" s="23"/>
      <c r="AH23" s="21"/>
      <c r="AI23" s="23"/>
      <c r="AJ23" s="21"/>
      <c r="AK23" s="23"/>
      <c r="AL23" s="21"/>
      <c r="AM23" s="23"/>
      <c r="AN23" s="21"/>
      <c r="AO23" s="23"/>
      <c r="AP23" s="21"/>
      <c r="AQ23" s="23"/>
      <c r="AR23" s="21"/>
      <c r="AS23" s="23"/>
      <c r="AT23" s="21"/>
      <c r="AU23" s="23"/>
      <c r="AV23" s="21"/>
      <c r="AW23" s="23"/>
      <c r="AX23" s="21"/>
      <c r="AY23" s="23"/>
      <c r="AZ23" s="21"/>
      <c r="BA23" s="23"/>
      <c r="BB23" s="21"/>
      <c r="BC23" s="23"/>
      <c r="BD23" s="21"/>
      <c r="BE23" s="23"/>
      <c r="BF23" s="21"/>
      <c r="BG23" s="23"/>
      <c r="BH23" s="21"/>
      <c r="BI23" s="23"/>
      <c r="BJ23" s="21"/>
      <c r="BK23" s="23"/>
      <c r="BL23" s="21"/>
      <c r="BM23" s="23"/>
      <c r="BN23" s="21"/>
      <c r="BO23" s="23"/>
      <c r="BP23" s="21"/>
      <c r="BQ23" s="23"/>
      <c r="BR23" s="21"/>
      <c r="BS23" s="23"/>
      <c r="BT23" s="21"/>
      <c r="BU23" s="23"/>
      <c r="BV23" s="21"/>
      <c r="BW23" s="23"/>
      <c r="BX23" s="21"/>
      <c r="BY23" s="21"/>
    </row>
    <row r="24" spans="2:84" x14ac:dyDescent="0.25">
      <c r="B24" s="23"/>
      <c r="C24" s="23"/>
      <c r="D24" s="23"/>
      <c r="E24" s="23"/>
      <c r="F24" s="21"/>
      <c r="G24" s="23"/>
      <c r="H24" s="21"/>
      <c r="I24" s="23"/>
      <c r="J24" s="21"/>
      <c r="K24" s="23"/>
      <c r="L24" s="21"/>
      <c r="M24" s="23"/>
      <c r="N24" s="21"/>
      <c r="O24" s="23"/>
      <c r="P24" s="21"/>
      <c r="Q24" s="23"/>
      <c r="R24" s="21"/>
      <c r="S24" s="23"/>
      <c r="T24" s="21"/>
      <c r="U24" s="23"/>
      <c r="V24" s="21"/>
      <c r="W24" s="23"/>
      <c r="X24" s="21"/>
      <c r="Y24" s="23"/>
      <c r="Z24" s="21"/>
      <c r="AA24" s="23"/>
      <c r="AB24" s="21"/>
      <c r="AC24" s="23"/>
      <c r="AD24" s="21"/>
      <c r="AE24" s="23"/>
      <c r="AF24" s="21"/>
      <c r="AG24" s="23"/>
      <c r="AH24" s="21"/>
      <c r="AI24" s="23"/>
      <c r="AJ24" s="21"/>
      <c r="AK24" s="23"/>
      <c r="AL24" s="21"/>
      <c r="AM24" s="23"/>
      <c r="AN24" s="21"/>
      <c r="AO24" s="23"/>
      <c r="AP24" s="21"/>
      <c r="AQ24" s="23"/>
      <c r="AR24" s="21"/>
      <c r="AS24" s="23"/>
      <c r="AT24" s="21"/>
      <c r="AU24" s="23"/>
      <c r="AV24" s="21"/>
      <c r="AW24" s="23"/>
      <c r="AX24" s="21"/>
      <c r="AY24" s="23"/>
      <c r="AZ24" s="21"/>
      <c r="BA24" s="23"/>
      <c r="BB24" s="21"/>
      <c r="BC24" s="23"/>
      <c r="BD24" s="21"/>
      <c r="BE24" s="23"/>
      <c r="BF24" s="21"/>
      <c r="BG24" s="23"/>
      <c r="BH24" s="21"/>
      <c r="BI24" s="23"/>
      <c r="BJ24" s="21"/>
      <c r="BK24" s="23"/>
      <c r="BL24" s="21"/>
      <c r="BM24" s="23"/>
      <c r="BN24" s="21"/>
      <c r="BO24" s="23"/>
      <c r="BP24" s="21"/>
      <c r="BQ24" s="23"/>
      <c r="BR24" s="21"/>
      <c r="BS24" s="23"/>
      <c r="BT24" s="21"/>
      <c r="BU24" s="23"/>
      <c r="BV24" s="21"/>
      <c r="BW24" s="23"/>
      <c r="BX24" s="21"/>
      <c r="BY24" s="21"/>
    </row>
    <row r="25" spans="2:84" x14ac:dyDescent="0.25">
      <c r="B25" s="23"/>
      <c r="C25" s="23"/>
      <c r="D25" s="23"/>
      <c r="E25" s="23"/>
      <c r="F25" s="21"/>
      <c r="G25" s="23"/>
      <c r="H25" s="21"/>
      <c r="I25" s="23"/>
      <c r="J25" s="21"/>
      <c r="K25" s="23"/>
      <c r="L25" s="21"/>
      <c r="M25" s="23"/>
      <c r="N25" s="21"/>
      <c r="O25" s="23"/>
      <c r="P25" s="21"/>
      <c r="Q25" s="23"/>
      <c r="R25" s="21"/>
      <c r="S25" s="23"/>
      <c r="T25" s="21"/>
      <c r="U25" s="23"/>
      <c r="V25" s="21"/>
      <c r="W25" s="23"/>
      <c r="X25" s="21"/>
      <c r="Y25" s="23"/>
      <c r="Z25" s="21"/>
      <c r="AA25" s="23"/>
      <c r="AB25" s="21"/>
      <c r="AC25" s="23"/>
      <c r="AD25" s="21"/>
      <c r="AE25" s="23"/>
      <c r="AF25" s="21"/>
      <c r="AG25" s="23"/>
      <c r="AH25" s="21"/>
      <c r="AI25" s="23"/>
      <c r="AJ25" s="21"/>
      <c r="AK25" s="23"/>
      <c r="AL25" s="21"/>
      <c r="AM25" s="23"/>
      <c r="AN25" s="21"/>
      <c r="AO25" s="23"/>
      <c r="AP25" s="21"/>
      <c r="AQ25" s="23"/>
      <c r="AR25" s="21"/>
      <c r="AS25" s="23"/>
      <c r="AT25" s="21"/>
      <c r="AU25" s="23"/>
      <c r="AV25" s="21"/>
      <c r="AW25" s="23"/>
      <c r="AX25" s="21"/>
      <c r="AY25" s="23"/>
      <c r="AZ25" s="21"/>
      <c r="BA25" s="23"/>
      <c r="BB25" s="21"/>
      <c r="BC25" s="23"/>
      <c r="BD25" s="21"/>
      <c r="BE25" s="23"/>
      <c r="BF25" s="21"/>
      <c r="BG25" s="23"/>
      <c r="BH25" s="21"/>
      <c r="BI25" s="23"/>
      <c r="BJ25" s="21"/>
      <c r="BK25" s="23"/>
      <c r="BL25" s="21"/>
      <c r="BM25" s="23"/>
      <c r="BN25" s="21"/>
      <c r="BO25" s="23"/>
      <c r="BP25" s="21"/>
      <c r="BQ25" s="23"/>
      <c r="BR25" s="21"/>
      <c r="BS25" s="23"/>
      <c r="BT25" s="21"/>
      <c r="BU25" s="23"/>
      <c r="BV25" s="21"/>
      <c r="BW25" s="23"/>
      <c r="BX25" s="21"/>
      <c r="BY25" s="21"/>
    </row>
    <row r="26" spans="2:84" x14ac:dyDescent="0.25">
      <c r="B26" s="23"/>
      <c r="C26" s="23"/>
      <c r="D26" s="23"/>
      <c r="E26" s="23"/>
      <c r="F26" s="21"/>
      <c r="G26" s="23"/>
      <c r="H26" s="21"/>
      <c r="I26" s="23"/>
      <c r="J26" s="21"/>
      <c r="K26" s="23"/>
      <c r="L26" s="21"/>
      <c r="M26" s="23"/>
      <c r="N26" s="21"/>
      <c r="O26" s="23"/>
      <c r="P26" s="21"/>
      <c r="Q26" s="23"/>
      <c r="R26" s="21"/>
      <c r="S26" s="23"/>
      <c r="T26" s="21"/>
      <c r="U26" s="23"/>
      <c r="V26" s="21"/>
      <c r="W26" s="23"/>
      <c r="X26" s="21"/>
      <c r="Y26" s="23"/>
      <c r="Z26" s="21"/>
      <c r="AA26" s="23"/>
      <c r="AB26" s="21"/>
      <c r="AC26" s="23"/>
      <c r="AD26" s="21"/>
      <c r="AE26" s="23"/>
      <c r="AF26" s="21"/>
      <c r="AG26" s="23"/>
      <c r="AH26" s="21"/>
      <c r="AI26" s="23"/>
      <c r="AJ26" s="21"/>
      <c r="AK26" s="23"/>
      <c r="AL26" s="21"/>
      <c r="AM26" s="23"/>
      <c r="AN26" s="21"/>
      <c r="AO26" s="23"/>
      <c r="AP26" s="21"/>
      <c r="AQ26" s="23"/>
      <c r="AR26" s="21"/>
      <c r="AS26" s="23"/>
      <c r="AT26" s="21"/>
      <c r="AU26" s="23"/>
      <c r="AV26" s="21"/>
      <c r="AW26" s="23"/>
      <c r="AX26" s="21"/>
      <c r="AY26" s="23"/>
      <c r="AZ26" s="21"/>
      <c r="BA26" s="23"/>
      <c r="BB26" s="21"/>
      <c r="BC26" s="23"/>
      <c r="BD26" s="21"/>
      <c r="BE26" s="23"/>
      <c r="BF26" s="21"/>
      <c r="BG26" s="23"/>
      <c r="BH26" s="21"/>
      <c r="BI26" s="23"/>
      <c r="BJ26" s="21"/>
      <c r="BK26" s="23"/>
      <c r="BL26" s="21"/>
      <c r="BM26" s="23"/>
      <c r="BN26" s="21"/>
      <c r="BO26" s="23"/>
      <c r="BP26" s="21"/>
      <c r="BQ26" s="23"/>
      <c r="BR26" s="21"/>
      <c r="BS26" s="23"/>
      <c r="BT26" s="21"/>
      <c r="BU26" s="23"/>
      <c r="BV26" s="21"/>
      <c r="BW26" s="23"/>
      <c r="BX26" s="21"/>
      <c r="BY26" s="21"/>
    </row>
    <row r="27" spans="2:84" x14ac:dyDescent="0.25">
      <c r="B27" s="23"/>
      <c r="C27" s="23"/>
      <c r="D27" s="23"/>
      <c r="E27" s="23"/>
      <c r="F27" s="21"/>
      <c r="G27" s="23"/>
      <c r="H27" s="21"/>
      <c r="I27" s="23"/>
      <c r="J27" s="21"/>
      <c r="K27" s="23"/>
      <c r="L27" s="21"/>
      <c r="M27" s="23"/>
      <c r="N27" s="21"/>
      <c r="O27" s="23"/>
      <c r="P27" s="21"/>
      <c r="Q27" s="23"/>
      <c r="R27" s="21"/>
      <c r="S27" s="23"/>
      <c r="T27" s="21"/>
      <c r="U27" s="23"/>
      <c r="V27" s="21"/>
      <c r="W27" s="23"/>
      <c r="X27" s="21"/>
      <c r="Y27" s="23"/>
      <c r="Z27" s="21"/>
      <c r="AA27" s="23"/>
      <c r="AB27" s="21"/>
      <c r="AC27" s="23"/>
      <c r="AD27" s="21"/>
      <c r="AE27" s="23"/>
      <c r="AF27" s="21"/>
      <c r="AG27" s="23"/>
      <c r="AH27" s="21"/>
      <c r="AI27" s="23"/>
      <c r="AJ27" s="21"/>
      <c r="AK27" s="23"/>
      <c r="AL27" s="21"/>
      <c r="AM27" s="23"/>
      <c r="AN27" s="21"/>
      <c r="AO27" s="23"/>
      <c r="AP27" s="21"/>
      <c r="AQ27" s="23"/>
      <c r="AR27" s="21"/>
      <c r="AS27" s="23"/>
      <c r="AT27" s="21"/>
      <c r="AU27" s="23"/>
      <c r="AV27" s="21"/>
      <c r="AW27" s="23"/>
      <c r="AX27" s="21"/>
      <c r="AY27" s="23"/>
      <c r="AZ27" s="21"/>
      <c r="BA27" s="23"/>
      <c r="BB27" s="21"/>
      <c r="BC27" s="23"/>
      <c r="BD27" s="21"/>
      <c r="BE27" s="23"/>
      <c r="BF27" s="21"/>
      <c r="BG27" s="23"/>
      <c r="BH27" s="21"/>
      <c r="BI27" s="23"/>
      <c r="BJ27" s="21"/>
      <c r="BK27" s="23"/>
      <c r="BL27" s="21"/>
      <c r="BM27" s="23"/>
      <c r="BN27" s="21"/>
      <c r="BO27" s="23"/>
      <c r="BP27" s="21"/>
      <c r="BQ27" s="23"/>
      <c r="BR27" s="21"/>
      <c r="BS27" s="23"/>
      <c r="BT27" s="21"/>
      <c r="BU27" s="23"/>
      <c r="BV27" s="21"/>
      <c r="BW27" s="23"/>
      <c r="BX27" s="21"/>
      <c r="BY27" s="21"/>
    </row>
    <row r="28" spans="2:84" x14ac:dyDescent="0.25">
      <c r="B28" s="23"/>
      <c r="C28" s="23"/>
      <c r="D28" s="23"/>
      <c r="E28" s="23"/>
      <c r="F28" s="21"/>
      <c r="G28" s="23"/>
      <c r="H28" s="21"/>
      <c r="I28" s="23"/>
      <c r="J28" s="21"/>
      <c r="K28" s="23"/>
      <c r="L28" s="21"/>
      <c r="M28" s="23"/>
      <c r="N28" s="21"/>
      <c r="O28" s="23"/>
      <c r="P28" s="21"/>
      <c r="Q28" s="23"/>
      <c r="R28" s="21"/>
      <c r="S28" s="23"/>
      <c r="T28" s="21"/>
      <c r="U28" s="23"/>
      <c r="V28" s="21"/>
      <c r="W28" s="23"/>
      <c r="X28" s="21"/>
      <c r="Y28" s="23"/>
      <c r="Z28" s="21"/>
      <c r="AA28" s="23"/>
      <c r="AB28" s="21"/>
      <c r="AC28" s="23"/>
      <c r="AD28" s="21"/>
      <c r="AE28" s="23"/>
      <c r="AF28" s="21"/>
      <c r="AG28" s="23"/>
      <c r="AH28" s="21"/>
      <c r="AI28" s="23"/>
      <c r="AJ28" s="21"/>
      <c r="AK28" s="23"/>
      <c r="AL28" s="21"/>
      <c r="AM28" s="23"/>
      <c r="AN28" s="21"/>
      <c r="AO28" s="23"/>
      <c r="AP28" s="21"/>
      <c r="AQ28" s="23"/>
      <c r="AR28" s="21"/>
      <c r="AS28" s="23"/>
      <c r="AT28" s="21"/>
      <c r="AU28" s="23"/>
      <c r="AV28" s="21"/>
      <c r="AW28" s="23"/>
      <c r="AX28" s="21"/>
      <c r="AY28" s="23"/>
      <c r="AZ28" s="21"/>
      <c r="BA28" s="23"/>
      <c r="BB28" s="21"/>
      <c r="BC28" s="23"/>
      <c r="BD28" s="21"/>
      <c r="BE28" s="23"/>
      <c r="BF28" s="21"/>
      <c r="BG28" s="23"/>
      <c r="BH28" s="21"/>
      <c r="BI28" s="23"/>
      <c r="BJ28" s="21"/>
      <c r="BK28" s="23"/>
      <c r="BL28" s="21"/>
      <c r="BM28" s="23"/>
      <c r="BN28" s="21"/>
      <c r="BO28" s="23"/>
      <c r="BP28" s="21"/>
      <c r="BQ28" s="23"/>
      <c r="BR28" s="21"/>
      <c r="BS28" s="23"/>
      <c r="BT28" s="21"/>
      <c r="BU28" s="23"/>
      <c r="BV28" s="21"/>
      <c r="BW28" s="23"/>
      <c r="BX28" s="21"/>
      <c r="BY28" s="21"/>
    </row>
    <row r="29" spans="2:84" ht="30" customHeight="1" x14ac:dyDescent="0.25">
      <c r="B29" s="423" t="s">
        <v>1181</v>
      </c>
      <c r="C29" s="424" t="s">
        <v>1179</v>
      </c>
      <c r="D29" s="424">
        <v>1946</v>
      </c>
      <c r="E29" s="424">
        <v>1947</v>
      </c>
      <c r="F29" s="424">
        <v>1948</v>
      </c>
      <c r="G29" s="424">
        <v>1949</v>
      </c>
      <c r="H29" s="424">
        <v>1950</v>
      </c>
      <c r="I29" s="424">
        <v>1951</v>
      </c>
      <c r="J29" s="424">
        <v>1952</v>
      </c>
      <c r="K29" s="424">
        <v>1953</v>
      </c>
      <c r="L29" s="424">
        <v>1954</v>
      </c>
      <c r="M29" s="424">
        <v>1955</v>
      </c>
      <c r="N29" s="424">
        <v>1956</v>
      </c>
      <c r="O29" s="424">
        <v>1957</v>
      </c>
      <c r="P29" s="424">
        <v>1958</v>
      </c>
      <c r="Q29" s="424">
        <v>1959</v>
      </c>
      <c r="R29" s="424">
        <v>1960</v>
      </c>
      <c r="S29" s="424">
        <v>1961</v>
      </c>
      <c r="T29" s="424">
        <v>1962</v>
      </c>
      <c r="U29" s="424">
        <v>1963</v>
      </c>
      <c r="V29" s="424">
        <v>1964</v>
      </c>
      <c r="W29" s="424">
        <v>1965</v>
      </c>
      <c r="X29" s="424">
        <v>1966</v>
      </c>
      <c r="Y29" s="424">
        <v>1967</v>
      </c>
      <c r="Z29" s="424">
        <v>1968</v>
      </c>
      <c r="AA29" s="424">
        <v>1969</v>
      </c>
      <c r="AB29" s="424">
        <v>1970</v>
      </c>
      <c r="AC29" s="424">
        <v>1971</v>
      </c>
      <c r="AD29" s="424">
        <v>1972</v>
      </c>
      <c r="AE29" s="424">
        <v>1973</v>
      </c>
      <c r="AF29" s="424">
        <v>1974</v>
      </c>
      <c r="AG29" s="424">
        <v>1975</v>
      </c>
      <c r="AH29" s="424">
        <v>1976</v>
      </c>
      <c r="AI29" s="424">
        <v>1977</v>
      </c>
      <c r="AJ29" s="424">
        <v>1978</v>
      </c>
      <c r="AK29" s="424">
        <v>1979</v>
      </c>
      <c r="AL29" s="424">
        <v>1980</v>
      </c>
      <c r="AM29" s="424">
        <v>1981</v>
      </c>
      <c r="AN29" s="424">
        <v>1982</v>
      </c>
      <c r="AO29" s="424">
        <v>1983</v>
      </c>
      <c r="AP29" s="424">
        <v>1984</v>
      </c>
      <c r="AQ29" s="424">
        <v>1985</v>
      </c>
      <c r="AR29" s="424">
        <v>1986</v>
      </c>
      <c r="AS29" s="424">
        <v>1987</v>
      </c>
      <c r="AT29" s="424">
        <v>1988</v>
      </c>
      <c r="AU29" s="424">
        <v>1989</v>
      </c>
      <c r="AV29" s="424">
        <v>1990</v>
      </c>
      <c r="AW29" s="424">
        <v>1991</v>
      </c>
      <c r="AX29" s="424">
        <v>1992</v>
      </c>
      <c r="AY29" s="424">
        <v>1993</v>
      </c>
      <c r="AZ29" s="424">
        <v>1994</v>
      </c>
      <c r="BA29" s="424">
        <v>1995</v>
      </c>
      <c r="BB29" s="424">
        <v>1996</v>
      </c>
      <c r="BC29" s="424">
        <v>1997</v>
      </c>
      <c r="BD29" s="424">
        <v>1998</v>
      </c>
      <c r="BE29" s="424">
        <v>1999</v>
      </c>
      <c r="BF29" s="424">
        <v>2000</v>
      </c>
      <c r="BG29" s="424">
        <v>2001</v>
      </c>
      <c r="BH29" s="424">
        <v>2002</v>
      </c>
      <c r="BI29" s="424">
        <v>2003</v>
      </c>
      <c r="BJ29" s="424">
        <v>2004</v>
      </c>
      <c r="BK29" s="424">
        <v>2005</v>
      </c>
      <c r="BL29" s="424">
        <v>2006</v>
      </c>
      <c r="BM29" s="424">
        <v>2007</v>
      </c>
      <c r="BN29" s="424">
        <v>2008</v>
      </c>
      <c r="BO29" s="424">
        <v>2009</v>
      </c>
      <c r="BP29" s="424">
        <v>2010</v>
      </c>
      <c r="BQ29" s="424">
        <v>2011</v>
      </c>
      <c r="BR29" s="424">
        <v>2012</v>
      </c>
      <c r="BS29" s="424">
        <v>2013</v>
      </c>
      <c r="BT29" s="424">
        <v>2014</v>
      </c>
      <c r="BU29" s="424">
        <v>2015</v>
      </c>
      <c r="BV29" s="424">
        <v>2016</v>
      </c>
      <c r="BW29" s="424">
        <v>2017</v>
      </c>
      <c r="BX29" s="424">
        <v>2018</v>
      </c>
      <c r="BY29" s="424">
        <v>2019</v>
      </c>
      <c r="BZ29" s="424">
        <v>2020</v>
      </c>
      <c r="CA29" s="424">
        <v>2021</v>
      </c>
      <c r="CB29" s="424">
        <v>2022</v>
      </c>
      <c r="CC29" s="425">
        <v>2023</v>
      </c>
      <c r="CD29" s="399"/>
      <c r="CE29" s="399"/>
      <c r="CF29" s="399"/>
    </row>
    <row r="30" spans="2:84" x14ac:dyDescent="0.25">
      <c r="B30" s="429" t="s">
        <v>1182</v>
      </c>
      <c r="C30" s="264" cm="1">
        <f t="array" ref="C30">SUMPRODUCT((evolution_hta_par_materiaux[[client]:[client]]=syndicat_etude)*(evolution_hta_par_materiaux[[annee]:[annee]]=Exercice[[Exercice N]:[Exercice N]])*(evolution_hta_par_materiaux[[annee_mes]:[annee_mes]]&lt;1946)*(evolution_hta_par_materiaux[[lineaire_hta_acier_alu]:[lineaire_hta_acier_alu]]))</f>
        <v>0</v>
      </c>
      <c r="D30" s="264" cm="1">
        <f t="array" ref="D30">SUMPRODUCT((evolution_hta_par_materiaux[[client]:[client]]=syndicat_etude)*(evolution_hta_par_materiaux[[annee]:[annee]]=Exercice[[Exercice N]:[Exercice N]])*(evolution_hta_par_materiaux[[annee_mes]:[annee_mes]]=D$29)*(evolution_hta_par_materiaux[[lineaire_hta_acier_alu]:[lineaire_hta_acier_alu]]))</f>
        <v>0</v>
      </c>
      <c r="E30" s="264" cm="1">
        <f t="array" ref="E30">SUMPRODUCT((evolution_hta_par_materiaux[[client]:[client]]=syndicat_etude)*(evolution_hta_par_materiaux[[annee]:[annee]]=Exercice[[Exercice N]:[Exercice N]])*(evolution_hta_par_materiaux[[annee_mes]:[annee_mes]]=E$29)*(evolution_hta_par_materiaux[[lineaire_hta_acier_alu]:[lineaire_hta_acier_alu]]))</f>
        <v>0</v>
      </c>
      <c r="F30" s="264" cm="1">
        <f t="array" ref="F30">SUMPRODUCT((evolution_hta_par_materiaux[[client]:[client]]=syndicat_etude)*(evolution_hta_par_materiaux[[annee]:[annee]]=Exercice[[Exercice N]:[Exercice N]])*(evolution_hta_par_materiaux[[annee_mes]:[annee_mes]]=F$29)*(evolution_hta_par_materiaux[[lineaire_hta_acier_alu]:[lineaire_hta_acier_alu]]))</f>
        <v>0</v>
      </c>
      <c r="G30" s="264" cm="1">
        <f t="array" ref="G30">SUMPRODUCT((evolution_hta_par_materiaux[[client]:[client]]=syndicat_etude)*(evolution_hta_par_materiaux[[annee]:[annee]]=Exercice[[Exercice N]:[Exercice N]])*(evolution_hta_par_materiaux[[annee_mes]:[annee_mes]]=G$29)*(evolution_hta_par_materiaux[[lineaire_hta_acier_alu]:[lineaire_hta_acier_alu]]))</f>
        <v>0</v>
      </c>
      <c r="H30" s="264" cm="1">
        <f t="array" ref="H30">SUMPRODUCT((evolution_hta_par_materiaux[[client]:[client]]=syndicat_etude)*(evolution_hta_par_materiaux[[annee]:[annee]]=Exercice[[Exercice N]:[Exercice N]])*(evolution_hta_par_materiaux[[annee_mes]:[annee_mes]]=H$29)*(evolution_hta_par_materiaux[[lineaire_hta_acier_alu]:[lineaire_hta_acier_alu]]))</f>
        <v>0</v>
      </c>
      <c r="I30" s="264" cm="1">
        <f t="array" ref="I30">SUMPRODUCT((evolution_hta_par_materiaux[[client]:[client]]=syndicat_etude)*(evolution_hta_par_materiaux[[annee]:[annee]]=Exercice[[Exercice N]:[Exercice N]])*(evolution_hta_par_materiaux[[annee_mes]:[annee_mes]]=I$29)*(evolution_hta_par_materiaux[[lineaire_hta_acier_alu]:[lineaire_hta_acier_alu]]))</f>
        <v>0</v>
      </c>
      <c r="J30" s="264" cm="1">
        <f t="array" ref="J30">SUMPRODUCT((evolution_hta_par_materiaux[[client]:[client]]=syndicat_etude)*(evolution_hta_par_materiaux[[annee]:[annee]]=Exercice[[Exercice N]:[Exercice N]])*(evolution_hta_par_materiaux[[annee_mes]:[annee_mes]]=J$29)*(evolution_hta_par_materiaux[[lineaire_hta_acier_alu]:[lineaire_hta_acier_alu]]))</f>
        <v>0</v>
      </c>
      <c r="K30" s="264" cm="1">
        <f t="array" ref="K30">SUMPRODUCT((evolution_hta_par_materiaux[[client]:[client]]=syndicat_etude)*(evolution_hta_par_materiaux[[annee]:[annee]]=Exercice[[Exercice N]:[Exercice N]])*(evolution_hta_par_materiaux[[annee_mes]:[annee_mes]]=K$29)*(evolution_hta_par_materiaux[[lineaire_hta_acier_alu]:[lineaire_hta_acier_alu]]))</f>
        <v>0</v>
      </c>
      <c r="L30" s="264" cm="1">
        <f t="array" ref="L30">SUMPRODUCT((evolution_hta_par_materiaux[[client]:[client]]=syndicat_etude)*(evolution_hta_par_materiaux[[annee]:[annee]]=Exercice[[Exercice N]:[Exercice N]])*(evolution_hta_par_materiaux[[annee_mes]:[annee_mes]]=L$29)*(evolution_hta_par_materiaux[[lineaire_hta_acier_alu]:[lineaire_hta_acier_alu]]))</f>
        <v>0</v>
      </c>
      <c r="M30" s="264" cm="1">
        <f t="array" ref="M30">SUMPRODUCT((evolution_hta_par_materiaux[[client]:[client]]=syndicat_etude)*(evolution_hta_par_materiaux[[annee]:[annee]]=Exercice[[Exercice N]:[Exercice N]])*(evolution_hta_par_materiaux[[annee_mes]:[annee_mes]]=M$29)*(evolution_hta_par_materiaux[[lineaire_hta_acier_alu]:[lineaire_hta_acier_alu]]))</f>
        <v>0</v>
      </c>
      <c r="N30" s="264" cm="1">
        <f t="array" ref="N30">SUMPRODUCT((evolution_hta_par_materiaux[[client]:[client]]=syndicat_etude)*(evolution_hta_par_materiaux[[annee]:[annee]]=Exercice[[Exercice N]:[Exercice N]])*(evolution_hta_par_materiaux[[annee_mes]:[annee_mes]]=N$29)*(evolution_hta_par_materiaux[[lineaire_hta_acier_alu]:[lineaire_hta_acier_alu]]))</f>
        <v>0</v>
      </c>
      <c r="O30" s="264" cm="1">
        <f t="array" ref="O30">SUMPRODUCT((evolution_hta_par_materiaux[[client]:[client]]=syndicat_etude)*(evolution_hta_par_materiaux[[annee]:[annee]]=Exercice[[Exercice N]:[Exercice N]])*(evolution_hta_par_materiaux[[annee_mes]:[annee_mes]]=O$29)*(evolution_hta_par_materiaux[[lineaire_hta_acier_alu]:[lineaire_hta_acier_alu]]))</f>
        <v>9.5299999999999994</v>
      </c>
      <c r="P30" s="264" cm="1">
        <f t="array" ref="P30">SUMPRODUCT((evolution_hta_par_materiaux[[client]:[client]]=syndicat_etude)*(evolution_hta_par_materiaux[[annee]:[annee]]=Exercice[[Exercice N]:[Exercice N]])*(evolution_hta_par_materiaux[[annee_mes]:[annee_mes]]=P$29)*(evolution_hta_par_materiaux[[lineaire_hta_acier_alu]:[lineaire_hta_acier_alu]]))</f>
        <v>0</v>
      </c>
      <c r="Q30" s="264" cm="1">
        <f t="array" ref="Q30">SUMPRODUCT((evolution_hta_par_materiaux[[client]:[client]]=syndicat_etude)*(evolution_hta_par_materiaux[[annee]:[annee]]=Exercice[[Exercice N]:[Exercice N]])*(evolution_hta_par_materiaux[[annee_mes]:[annee_mes]]=Q$29)*(evolution_hta_par_materiaux[[lineaire_hta_acier_alu]:[lineaire_hta_acier_alu]]))</f>
        <v>0</v>
      </c>
      <c r="R30" s="264" cm="1">
        <f t="array" ref="R30">SUMPRODUCT((evolution_hta_par_materiaux[[client]:[client]]=syndicat_etude)*(evolution_hta_par_materiaux[[annee]:[annee]]=Exercice[[Exercice N]:[Exercice N]])*(evolution_hta_par_materiaux[[annee_mes]:[annee_mes]]=R$29)*(evolution_hta_par_materiaux[[lineaire_hta_acier_alu]:[lineaire_hta_acier_alu]]))</f>
        <v>6.95</v>
      </c>
      <c r="S30" s="264" cm="1">
        <f t="array" ref="S30">SUMPRODUCT((evolution_hta_par_materiaux[[client]:[client]]=syndicat_etude)*(evolution_hta_par_materiaux[[annee]:[annee]]=Exercice[[Exercice N]:[Exercice N]])*(evolution_hta_par_materiaux[[annee_mes]:[annee_mes]]=S$29)*(evolution_hta_par_materiaux[[lineaire_hta_acier_alu]:[lineaire_hta_acier_alu]]))</f>
        <v>3.01</v>
      </c>
      <c r="T30" s="264" cm="1">
        <f t="array" ref="T30">SUMPRODUCT((evolution_hta_par_materiaux[[client]:[client]]=syndicat_etude)*(evolution_hta_par_materiaux[[annee]:[annee]]=Exercice[[Exercice N]:[Exercice N]])*(evolution_hta_par_materiaux[[annee_mes]:[annee_mes]]=T$29)*(evolution_hta_par_materiaux[[lineaire_hta_acier_alu]:[lineaire_hta_acier_alu]]))</f>
        <v>10.87</v>
      </c>
      <c r="U30" s="264" cm="1">
        <f t="array" ref="U30">SUMPRODUCT((evolution_hta_par_materiaux[[client]:[client]]=syndicat_etude)*(evolution_hta_par_materiaux[[annee]:[annee]]=Exercice[[Exercice N]:[Exercice N]])*(evolution_hta_par_materiaux[[annee_mes]:[annee_mes]]=U$29)*(evolution_hta_par_materiaux[[lineaire_hta_acier_alu]:[lineaire_hta_acier_alu]]))</f>
        <v>0</v>
      </c>
      <c r="V30" s="264" cm="1">
        <f t="array" ref="V30">SUMPRODUCT((evolution_hta_par_materiaux[[client]:[client]]=syndicat_etude)*(evolution_hta_par_materiaux[[annee]:[annee]]=Exercice[[Exercice N]:[Exercice N]])*(evolution_hta_par_materiaux[[annee_mes]:[annee_mes]]=V$29)*(evolution_hta_par_materiaux[[lineaire_hta_acier_alu]:[lineaire_hta_acier_alu]]))</f>
        <v>0.16</v>
      </c>
      <c r="W30" s="264" cm="1">
        <f t="array" ref="W30">SUMPRODUCT((evolution_hta_par_materiaux[[client]:[client]]=syndicat_etude)*(evolution_hta_par_materiaux[[annee]:[annee]]=Exercice[[Exercice N]:[Exercice N]])*(evolution_hta_par_materiaux[[annee_mes]:[annee_mes]]=W$29)*(evolution_hta_par_materiaux[[lineaire_hta_acier_alu]:[lineaire_hta_acier_alu]]))</f>
        <v>0</v>
      </c>
      <c r="X30" s="264" cm="1">
        <f t="array" ref="X30">SUMPRODUCT((evolution_hta_par_materiaux[[client]:[client]]=syndicat_etude)*(evolution_hta_par_materiaux[[annee]:[annee]]=Exercice[[Exercice N]:[Exercice N]])*(evolution_hta_par_materiaux[[annee_mes]:[annee_mes]]=X$29)*(evolution_hta_par_materiaux[[lineaire_hta_acier_alu]:[lineaire_hta_acier_alu]]))</f>
        <v>8.57</v>
      </c>
      <c r="Y30" s="264" cm="1">
        <f t="array" ref="Y30">SUMPRODUCT((evolution_hta_par_materiaux[[client]:[client]]=syndicat_etude)*(evolution_hta_par_materiaux[[annee]:[annee]]=Exercice[[Exercice N]:[Exercice N]])*(evolution_hta_par_materiaux[[annee_mes]:[annee_mes]]=Y$29)*(evolution_hta_par_materiaux[[lineaire_hta_acier_alu]:[lineaire_hta_acier_alu]]))</f>
        <v>9.1999999999999993</v>
      </c>
      <c r="Z30" s="264" cm="1">
        <f t="array" ref="Z30">SUMPRODUCT((evolution_hta_par_materiaux[[client]:[client]]=syndicat_etude)*(evolution_hta_par_materiaux[[annee]:[annee]]=Exercice[[Exercice N]:[Exercice N]])*(evolution_hta_par_materiaux[[annee_mes]:[annee_mes]]=Z$29)*(evolution_hta_par_materiaux[[lineaire_hta_acier_alu]:[lineaire_hta_acier_alu]]))</f>
        <v>5.69</v>
      </c>
      <c r="AA30" s="264" cm="1">
        <f t="array" ref="AA30">SUMPRODUCT((evolution_hta_par_materiaux[[client]:[client]]=syndicat_etude)*(evolution_hta_par_materiaux[[annee]:[annee]]=Exercice[[Exercice N]:[Exercice N]])*(evolution_hta_par_materiaux[[annee_mes]:[annee_mes]]=AA$29)*(evolution_hta_par_materiaux[[lineaire_hta_acier_alu]:[lineaire_hta_acier_alu]]))</f>
        <v>5.88</v>
      </c>
      <c r="AB30" s="264" cm="1">
        <f t="array" ref="AB30">SUMPRODUCT((evolution_hta_par_materiaux[[client]:[client]]=syndicat_etude)*(evolution_hta_par_materiaux[[annee]:[annee]]=Exercice[[Exercice N]:[Exercice N]])*(evolution_hta_par_materiaux[[annee_mes]:[annee_mes]]=AB$29)*(evolution_hta_par_materiaux[[lineaire_hta_acier_alu]:[lineaire_hta_acier_alu]]))</f>
        <v>0</v>
      </c>
      <c r="AC30" s="264" cm="1">
        <f t="array" ref="AC30">SUMPRODUCT((evolution_hta_par_materiaux[[client]:[client]]=syndicat_etude)*(evolution_hta_par_materiaux[[annee]:[annee]]=Exercice[[Exercice N]:[Exercice N]])*(evolution_hta_par_materiaux[[annee_mes]:[annee_mes]]=AC$29)*(evolution_hta_par_materiaux[[lineaire_hta_acier_alu]:[lineaire_hta_acier_alu]]))</f>
        <v>0</v>
      </c>
      <c r="AD30" s="264" cm="1">
        <f t="array" ref="AD30">SUMPRODUCT((evolution_hta_par_materiaux[[client]:[client]]=syndicat_etude)*(evolution_hta_par_materiaux[[annee]:[annee]]=Exercice[[Exercice N]:[Exercice N]])*(evolution_hta_par_materiaux[[annee_mes]:[annee_mes]]=AD$29)*(evolution_hta_par_materiaux[[lineaire_hta_acier_alu]:[lineaire_hta_acier_alu]]))</f>
        <v>0</v>
      </c>
      <c r="AE30" s="264" cm="1">
        <f t="array" ref="AE30">SUMPRODUCT((evolution_hta_par_materiaux[[client]:[client]]=syndicat_etude)*(evolution_hta_par_materiaux[[annee]:[annee]]=Exercice[[Exercice N]:[Exercice N]])*(evolution_hta_par_materiaux[[annee_mes]:[annee_mes]]=AE$29)*(evolution_hta_par_materiaux[[lineaire_hta_acier_alu]:[lineaire_hta_acier_alu]]))</f>
        <v>0.73</v>
      </c>
      <c r="AF30" s="264" cm="1">
        <f t="array" ref="AF30">SUMPRODUCT((evolution_hta_par_materiaux[[client]:[client]]=syndicat_etude)*(evolution_hta_par_materiaux[[annee]:[annee]]=Exercice[[Exercice N]:[Exercice N]])*(evolution_hta_par_materiaux[[annee_mes]:[annee_mes]]=AF$29)*(evolution_hta_par_materiaux[[lineaire_hta_acier_alu]:[lineaire_hta_acier_alu]]))</f>
        <v>0</v>
      </c>
      <c r="AG30" s="264" cm="1">
        <f t="array" ref="AG30">SUMPRODUCT((evolution_hta_par_materiaux[[client]:[client]]=syndicat_etude)*(evolution_hta_par_materiaux[[annee]:[annee]]=Exercice[[Exercice N]:[Exercice N]])*(evolution_hta_par_materiaux[[annee_mes]:[annee_mes]]=AG$29)*(evolution_hta_par_materiaux[[lineaire_hta_acier_alu]:[lineaire_hta_acier_alu]]))</f>
        <v>0.57999999999999996</v>
      </c>
      <c r="AH30" s="264" cm="1">
        <f t="array" ref="AH30">SUMPRODUCT((evolution_hta_par_materiaux[[client]:[client]]=syndicat_etude)*(evolution_hta_par_materiaux[[annee]:[annee]]=Exercice[[Exercice N]:[Exercice N]])*(evolution_hta_par_materiaux[[annee_mes]:[annee_mes]]=AH$29)*(evolution_hta_par_materiaux[[lineaire_hta_acier_alu]:[lineaire_hta_acier_alu]]))</f>
        <v>0</v>
      </c>
      <c r="AI30" s="264" cm="1">
        <f t="array" ref="AI30">SUMPRODUCT((evolution_hta_par_materiaux[[client]:[client]]=syndicat_etude)*(evolution_hta_par_materiaux[[annee]:[annee]]=Exercice[[Exercice N]:[Exercice N]])*(evolution_hta_par_materiaux[[annee_mes]:[annee_mes]]=AI$29)*(evolution_hta_par_materiaux[[lineaire_hta_acier_alu]:[lineaire_hta_acier_alu]]))</f>
        <v>0</v>
      </c>
      <c r="AJ30" s="264" cm="1">
        <f t="array" ref="AJ30">SUMPRODUCT((evolution_hta_par_materiaux[[client]:[client]]=syndicat_etude)*(evolution_hta_par_materiaux[[annee]:[annee]]=Exercice[[Exercice N]:[Exercice N]])*(evolution_hta_par_materiaux[[annee_mes]:[annee_mes]]=AJ$29)*(evolution_hta_par_materiaux[[lineaire_hta_acier_alu]:[lineaire_hta_acier_alu]]))</f>
        <v>0</v>
      </c>
      <c r="AK30" s="264" cm="1">
        <f t="array" ref="AK30">SUMPRODUCT((evolution_hta_par_materiaux[[client]:[client]]=syndicat_etude)*(evolution_hta_par_materiaux[[annee]:[annee]]=Exercice[[Exercice N]:[Exercice N]])*(evolution_hta_par_materiaux[[annee_mes]:[annee_mes]]=AK$29)*(evolution_hta_par_materiaux[[lineaire_hta_acier_alu]:[lineaire_hta_acier_alu]]))</f>
        <v>0</v>
      </c>
      <c r="AL30" s="264" cm="1">
        <f t="array" ref="AL30">SUMPRODUCT((evolution_hta_par_materiaux[[client]:[client]]=syndicat_etude)*(evolution_hta_par_materiaux[[annee]:[annee]]=Exercice[[Exercice N]:[Exercice N]])*(evolution_hta_par_materiaux[[annee_mes]:[annee_mes]]=AL$29)*(evolution_hta_par_materiaux[[lineaire_hta_acier_alu]:[lineaire_hta_acier_alu]]))</f>
        <v>0</v>
      </c>
      <c r="AM30" s="264" cm="1">
        <f t="array" ref="AM30">SUMPRODUCT((evolution_hta_par_materiaux[[client]:[client]]=syndicat_etude)*(evolution_hta_par_materiaux[[annee]:[annee]]=Exercice[[Exercice N]:[Exercice N]])*(evolution_hta_par_materiaux[[annee_mes]:[annee_mes]]=AM$29)*(evolution_hta_par_materiaux[[lineaire_hta_acier_alu]:[lineaire_hta_acier_alu]]))</f>
        <v>1.77</v>
      </c>
      <c r="AN30" s="264" cm="1">
        <f t="array" ref="AN30">SUMPRODUCT((evolution_hta_par_materiaux[[client]:[client]]=syndicat_etude)*(evolution_hta_par_materiaux[[annee]:[annee]]=Exercice[[Exercice N]:[Exercice N]])*(evolution_hta_par_materiaux[[annee_mes]:[annee_mes]]=AN$29)*(evolution_hta_par_materiaux[[lineaire_hta_acier_alu]:[lineaire_hta_acier_alu]]))</f>
        <v>0.43</v>
      </c>
      <c r="AO30" s="264" cm="1">
        <f t="array" ref="AO30">SUMPRODUCT((evolution_hta_par_materiaux[[client]:[client]]=syndicat_etude)*(evolution_hta_par_materiaux[[annee]:[annee]]=Exercice[[Exercice N]:[Exercice N]])*(evolution_hta_par_materiaux[[annee_mes]:[annee_mes]]=AO$29)*(evolution_hta_par_materiaux[[lineaire_hta_acier_alu]:[lineaire_hta_acier_alu]]))</f>
        <v>0</v>
      </c>
      <c r="AP30" s="264" cm="1">
        <f t="array" ref="AP30">SUMPRODUCT((evolution_hta_par_materiaux[[client]:[client]]=syndicat_etude)*(evolution_hta_par_materiaux[[annee]:[annee]]=Exercice[[Exercice N]:[Exercice N]])*(evolution_hta_par_materiaux[[annee_mes]:[annee_mes]]=AP$29)*(evolution_hta_par_materiaux[[lineaire_hta_acier_alu]:[lineaire_hta_acier_alu]]))</f>
        <v>0.86</v>
      </c>
      <c r="AQ30" s="264" cm="1">
        <f t="array" ref="AQ30">SUMPRODUCT((evolution_hta_par_materiaux[[client]:[client]]=syndicat_etude)*(evolution_hta_par_materiaux[[annee]:[annee]]=Exercice[[Exercice N]:[Exercice N]])*(evolution_hta_par_materiaux[[annee_mes]:[annee_mes]]=AQ$29)*(evolution_hta_par_materiaux[[lineaire_hta_acier_alu]:[lineaire_hta_acier_alu]]))</f>
        <v>0.34</v>
      </c>
      <c r="AR30" s="264" cm="1">
        <f t="array" ref="AR30">SUMPRODUCT((evolution_hta_par_materiaux[[client]:[client]]=syndicat_etude)*(evolution_hta_par_materiaux[[annee]:[annee]]=Exercice[[Exercice N]:[Exercice N]])*(evolution_hta_par_materiaux[[annee_mes]:[annee_mes]]=AR$29)*(evolution_hta_par_materiaux[[lineaire_hta_acier_alu]:[lineaire_hta_acier_alu]]))</f>
        <v>3.26</v>
      </c>
      <c r="AS30" s="264" cm="1">
        <f t="array" ref="AS30">SUMPRODUCT((evolution_hta_par_materiaux[[client]:[client]]=syndicat_etude)*(evolution_hta_par_materiaux[[annee]:[annee]]=Exercice[[Exercice N]:[Exercice N]])*(evolution_hta_par_materiaux[[annee_mes]:[annee_mes]]=AS$29)*(evolution_hta_par_materiaux[[lineaire_hta_acier_alu]:[lineaire_hta_acier_alu]]))</f>
        <v>0</v>
      </c>
      <c r="AT30" s="264" cm="1">
        <f t="array" ref="AT30">SUMPRODUCT((evolution_hta_par_materiaux[[client]:[client]]=syndicat_etude)*(evolution_hta_par_materiaux[[annee]:[annee]]=Exercice[[Exercice N]:[Exercice N]])*(evolution_hta_par_materiaux[[annee_mes]:[annee_mes]]=AT$29)*(evolution_hta_par_materiaux[[lineaire_hta_acier_alu]:[lineaire_hta_acier_alu]]))</f>
        <v>0.65</v>
      </c>
      <c r="AU30" s="264" cm="1">
        <f t="array" ref="AU30">SUMPRODUCT((evolution_hta_par_materiaux[[client]:[client]]=syndicat_etude)*(evolution_hta_par_materiaux[[annee]:[annee]]=Exercice[[Exercice N]:[Exercice N]])*(evolution_hta_par_materiaux[[annee_mes]:[annee_mes]]=AU$29)*(evolution_hta_par_materiaux[[lineaire_hta_acier_alu]:[lineaire_hta_acier_alu]]))</f>
        <v>2.81</v>
      </c>
      <c r="AV30" s="264" cm="1">
        <f t="array" ref="AV30">SUMPRODUCT((evolution_hta_par_materiaux[[client]:[client]]=syndicat_etude)*(evolution_hta_par_materiaux[[annee]:[annee]]=Exercice[[Exercice N]:[Exercice N]])*(evolution_hta_par_materiaux[[annee_mes]:[annee_mes]]=AV$29)*(evolution_hta_par_materiaux[[lineaire_hta_acier_alu]:[lineaire_hta_acier_alu]]))</f>
        <v>0.55000000000000004</v>
      </c>
      <c r="AW30" s="264" cm="1">
        <f t="array" ref="AW30">SUMPRODUCT((evolution_hta_par_materiaux[[client]:[client]]=syndicat_etude)*(evolution_hta_par_materiaux[[annee]:[annee]]=Exercice[[Exercice N]:[Exercice N]])*(evolution_hta_par_materiaux[[annee_mes]:[annee_mes]]=AW$29)*(evolution_hta_par_materiaux[[lineaire_hta_acier_alu]:[lineaire_hta_acier_alu]]))</f>
        <v>0</v>
      </c>
      <c r="AX30" s="264" cm="1">
        <f t="array" ref="AX30">SUMPRODUCT((evolution_hta_par_materiaux[[client]:[client]]=syndicat_etude)*(evolution_hta_par_materiaux[[annee]:[annee]]=Exercice[[Exercice N]:[Exercice N]])*(evolution_hta_par_materiaux[[annee_mes]:[annee_mes]]=AX$29)*(evolution_hta_par_materiaux[[lineaire_hta_acier_alu]:[lineaire_hta_acier_alu]]))</f>
        <v>2.56</v>
      </c>
      <c r="AY30" s="264" cm="1">
        <f t="array" ref="AY30">SUMPRODUCT((evolution_hta_par_materiaux[[client]:[client]]=syndicat_etude)*(evolution_hta_par_materiaux[[annee]:[annee]]=Exercice[[Exercice N]:[Exercice N]])*(evolution_hta_par_materiaux[[annee_mes]:[annee_mes]]=AY$29)*(evolution_hta_par_materiaux[[lineaire_hta_acier_alu]:[lineaire_hta_acier_alu]]))</f>
        <v>1.1499999999999999</v>
      </c>
      <c r="AZ30" s="264" cm="1">
        <f t="array" ref="AZ30">SUMPRODUCT((evolution_hta_par_materiaux[[client]:[client]]=syndicat_etude)*(evolution_hta_par_materiaux[[annee]:[annee]]=Exercice[[Exercice N]:[Exercice N]])*(evolution_hta_par_materiaux[[annee_mes]:[annee_mes]]=AZ$29)*(evolution_hta_par_materiaux[[lineaire_hta_acier_alu]:[lineaire_hta_acier_alu]]))</f>
        <v>0</v>
      </c>
      <c r="BA30" s="264" cm="1">
        <f t="array" ref="BA30">SUMPRODUCT((evolution_hta_par_materiaux[[client]:[client]]=syndicat_etude)*(evolution_hta_par_materiaux[[annee]:[annee]]=Exercice[[Exercice N]:[Exercice N]])*(evolution_hta_par_materiaux[[annee_mes]:[annee_mes]]=BA$29)*(evolution_hta_par_materiaux[[lineaire_hta_acier_alu]:[lineaire_hta_acier_alu]]))</f>
        <v>0</v>
      </c>
      <c r="BB30" s="264" cm="1">
        <f t="array" ref="BB30">SUMPRODUCT((evolution_hta_par_materiaux[[client]:[client]]=syndicat_etude)*(evolution_hta_par_materiaux[[annee]:[annee]]=Exercice[[Exercice N]:[Exercice N]])*(evolution_hta_par_materiaux[[annee_mes]:[annee_mes]]=BB$29)*(evolution_hta_par_materiaux[[lineaire_hta_acier_alu]:[lineaire_hta_acier_alu]]))</f>
        <v>0</v>
      </c>
      <c r="BC30" s="264" cm="1">
        <f t="array" ref="BC30">SUMPRODUCT((evolution_hta_par_materiaux[[client]:[client]]=syndicat_etude)*(evolution_hta_par_materiaux[[annee]:[annee]]=Exercice[[Exercice N]:[Exercice N]])*(evolution_hta_par_materiaux[[annee_mes]:[annee_mes]]=BC$29)*(evolution_hta_par_materiaux[[lineaire_hta_acier_alu]:[lineaire_hta_acier_alu]]))</f>
        <v>0.43</v>
      </c>
      <c r="BD30" s="264" cm="1">
        <f t="array" ref="BD30">SUMPRODUCT((evolution_hta_par_materiaux[[client]:[client]]=syndicat_etude)*(evolution_hta_par_materiaux[[annee]:[annee]]=Exercice[[Exercice N]:[Exercice N]])*(evolution_hta_par_materiaux[[annee_mes]:[annee_mes]]=BD$29)*(evolution_hta_par_materiaux[[lineaire_hta_acier_alu]:[lineaire_hta_acier_alu]]))</f>
        <v>0</v>
      </c>
      <c r="BE30" s="264" cm="1">
        <f t="array" ref="BE30">SUMPRODUCT((evolution_hta_par_materiaux[[client]:[client]]=syndicat_etude)*(evolution_hta_par_materiaux[[annee]:[annee]]=Exercice[[Exercice N]:[Exercice N]])*(evolution_hta_par_materiaux[[annee_mes]:[annee_mes]]=BE$29)*(evolution_hta_par_materiaux[[lineaire_hta_acier_alu]:[lineaire_hta_acier_alu]]))</f>
        <v>0.82</v>
      </c>
      <c r="BF30" s="264" cm="1">
        <f t="array" ref="BF30">SUMPRODUCT((evolution_hta_par_materiaux[[client]:[client]]=syndicat_etude)*(evolution_hta_par_materiaux[[annee]:[annee]]=Exercice[[Exercice N]:[Exercice N]])*(evolution_hta_par_materiaux[[annee_mes]:[annee_mes]]=BF$29)*(evolution_hta_par_materiaux[[lineaire_hta_acier_alu]:[lineaire_hta_acier_alu]]))</f>
        <v>0.61</v>
      </c>
      <c r="BG30" s="264" cm="1">
        <f t="array" ref="BG30">SUMPRODUCT((evolution_hta_par_materiaux[[client]:[client]]=syndicat_etude)*(evolution_hta_par_materiaux[[annee]:[annee]]=Exercice[[Exercice N]:[Exercice N]])*(evolution_hta_par_materiaux[[annee_mes]:[annee_mes]]=BG$29)*(evolution_hta_par_materiaux[[lineaire_hta_acier_alu]:[lineaire_hta_acier_alu]]))</f>
        <v>0</v>
      </c>
      <c r="BH30" s="264" cm="1">
        <f t="array" ref="BH30">SUMPRODUCT((evolution_hta_par_materiaux[[client]:[client]]=syndicat_etude)*(evolution_hta_par_materiaux[[annee]:[annee]]=Exercice[[Exercice N]:[Exercice N]])*(evolution_hta_par_materiaux[[annee_mes]:[annee_mes]]=BH$29)*(evolution_hta_par_materiaux[[lineaire_hta_acier_alu]:[lineaire_hta_acier_alu]]))</f>
        <v>0</v>
      </c>
      <c r="BI30" s="264" cm="1">
        <f t="array" ref="BI30">SUMPRODUCT((evolution_hta_par_materiaux[[client]:[client]]=syndicat_etude)*(evolution_hta_par_materiaux[[annee]:[annee]]=Exercice[[Exercice N]:[Exercice N]])*(evolution_hta_par_materiaux[[annee_mes]:[annee_mes]]=BI$29)*(evolution_hta_par_materiaux[[lineaire_hta_acier_alu]:[lineaire_hta_acier_alu]]))</f>
        <v>0</v>
      </c>
      <c r="BJ30" s="264" cm="1">
        <f t="array" ref="BJ30">SUMPRODUCT((evolution_hta_par_materiaux[[client]:[client]]=syndicat_etude)*(evolution_hta_par_materiaux[[annee]:[annee]]=Exercice[[Exercice N]:[Exercice N]])*(evolution_hta_par_materiaux[[annee_mes]:[annee_mes]]=BJ$29)*(evolution_hta_par_materiaux[[lineaire_hta_acier_alu]:[lineaire_hta_acier_alu]]))</f>
        <v>0</v>
      </c>
      <c r="BK30" s="264" cm="1">
        <f t="array" ref="BK30">SUMPRODUCT((evolution_hta_par_materiaux[[client]:[client]]=syndicat_etude)*(evolution_hta_par_materiaux[[annee]:[annee]]=Exercice[[Exercice N]:[Exercice N]])*(evolution_hta_par_materiaux[[annee_mes]:[annee_mes]]=BK$29)*(evolution_hta_par_materiaux[[lineaire_hta_acier_alu]:[lineaire_hta_acier_alu]]))</f>
        <v>0</v>
      </c>
      <c r="BL30" s="264" cm="1">
        <f t="array" ref="BL30">SUMPRODUCT((evolution_hta_par_materiaux[[client]:[client]]=syndicat_etude)*(evolution_hta_par_materiaux[[annee]:[annee]]=Exercice[[Exercice N]:[Exercice N]])*(evolution_hta_par_materiaux[[annee_mes]:[annee_mes]]=BL$29)*(evolution_hta_par_materiaux[[lineaire_hta_acier_alu]:[lineaire_hta_acier_alu]]))</f>
        <v>0</v>
      </c>
      <c r="BM30" s="264" cm="1">
        <f t="array" ref="BM30">SUMPRODUCT((evolution_hta_par_materiaux[[client]:[client]]=syndicat_etude)*(evolution_hta_par_materiaux[[annee]:[annee]]=Exercice[[Exercice N]:[Exercice N]])*(evolution_hta_par_materiaux[[annee_mes]:[annee_mes]]=BM$29)*(evolution_hta_par_materiaux[[lineaire_hta_acier_alu]:[lineaire_hta_acier_alu]]))</f>
        <v>0</v>
      </c>
      <c r="BN30" s="264" cm="1">
        <f t="array" ref="BN30">SUMPRODUCT((evolution_hta_par_materiaux[[client]:[client]]=syndicat_etude)*(evolution_hta_par_materiaux[[annee]:[annee]]=Exercice[[Exercice N]:[Exercice N]])*(evolution_hta_par_materiaux[[annee_mes]:[annee_mes]]=BN$29)*(evolution_hta_par_materiaux[[lineaire_hta_acier_alu]:[lineaire_hta_acier_alu]]))</f>
        <v>0</v>
      </c>
      <c r="BO30" s="264" cm="1">
        <f t="array" ref="BO30">SUMPRODUCT((evolution_hta_par_materiaux[[client]:[client]]=syndicat_etude)*(evolution_hta_par_materiaux[[annee]:[annee]]=Exercice[[Exercice N]:[Exercice N]])*(evolution_hta_par_materiaux[[annee_mes]:[annee_mes]]=BO$29)*(evolution_hta_par_materiaux[[lineaire_hta_acier_alu]:[lineaire_hta_acier_alu]]))</f>
        <v>0</v>
      </c>
      <c r="BP30" s="264" cm="1">
        <f t="array" ref="BP30">SUMPRODUCT((evolution_hta_par_materiaux[[client]:[client]]=syndicat_etude)*(evolution_hta_par_materiaux[[annee]:[annee]]=Exercice[[Exercice N]:[Exercice N]])*(evolution_hta_par_materiaux[[annee_mes]:[annee_mes]]=BP$29)*(evolution_hta_par_materiaux[[lineaire_hta_acier_alu]:[lineaire_hta_acier_alu]]))</f>
        <v>0</v>
      </c>
      <c r="BQ30" s="264" cm="1">
        <f t="array" ref="BQ30">SUMPRODUCT((evolution_hta_par_materiaux[[client]:[client]]=syndicat_etude)*(evolution_hta_par_materiaux[[annee]:[annee]]=Exercice[[Exercice N]:[Exercice N]])*(evolution_hta_par_materiaux[[annee_mes]:[annee_mes]]=BQ$29)*(evolution_hta_par_materiaux[[lineaire_hta_acier_alu]:[lineaire_hta_acier_alu]]))</f>
        <v>0</v>
      </c>
      <c r="BR30" s="264" cm="1">
        <f t="array" ref="BR30">SUMPRODUCT((evolution_hta_par_materiaux[[client]:[client]]=syndicat_etude)*(evolution_hta_par_materiaux[[annee]:[annee]]=Exercice[[Exercice N]:[Exercice N]])*(evolution_hta_par_materiaux[[annee_mes]:[annee_mes]]=BR$29)*(evolution_hta_par_materiaux[[lineaire_hta_acier_alu]:[lineaire_hta_acier_alu]]))</f>
        <v>0</v>
      </c>
      <c r="BS30" s="264" cm="1">
        <f t="array" ref="BS30">SUMPRODUCT((evolution_hta_par_materiaux[[client]:[client]]=syndicat_etude)*(evolution_hta_par_materiaux[[annee]:[annee]]=Exercice[[Exercice N]:[Exercice N]])*(evolution_hta_par_materiaux[[annee_mes]:[annee_mes]]=BS$29)*(evolution_hta_par_materiaux[[lineaire_hta_acier_alu]:[lineaire_hta_acier_alu]]))</f>
        <v>0</v>
      </c>
      <c r="BT30" s="264" cm="1">
        <f t="array" ref="BT30">SUMPRODUCT((evolution_hta_par_materiaux[[client]:[client]]=syndicat_etude)*(evolution_hta_par_materiaux[[annee]:[annee]]=Exercice[[Exercice N]:[Exercice N]])*(evolution_hta_par_materiaux[[annee_mes]:[annee_mes]]=BT$29)*(evolution_hta_par_materiaux[[lineaire_hta_acier_alu]:[lineaire_hta_acier_alu]]))</f>
        <v>0</v>
      </c>
      <c r="BU30" s="264" cm="1">
        <f t="array" ref="BU30">SUMPRODUCT((evolution_hta_par_materiaux[[client]:[client]]=syndicat_etude)*(evolution_hta_par_materiaux[[annee]:[annee]]=Exercice[[Exercice N]:[Exercice N]])*(evolution_hta_par_materiaux[[annee_mes]:[annee_mes]]=BU$29)*(evolution_hta_par_materiaux[[lineaire_hta_acier_alu]:[lineaire_hta_acier_alu]]))</f>
        <v>0</v>
      </c>
      <c r="BV30" s="264" cm="1">
        <f t="array" ref="BV30">SUMPRODUCT((evolution_hta_par_materiaux[[client]:[client]]=syndicat_etude)*(evolution_hta_par_materiaux[[annee]:[annee]]=Exercice[[Exercice N]:[Exercice N]])*(evolution_hta_par_materiaux[[annee_mes]:[annee_mes]]=BV$29)*(evolution_hta_par_materiaux[[lineaire_hta_acier_alu]:[lineaire_hta_acier_alu]]))</f>
        <v>0</v>
      </c>
      <c r="BW30" s="264" cm="1">
        <f t="array" ref="BW30">SUMPRODUCT((evolution_hta_par_materiaux[[client]:[client]]=syndicat_etude)*(evolution_hta_par_materiaux[[annee]:[annee]]=Exercice[[Exercice N]:[Exercice N]])*(evolution_hta_par_materiaux[[annee_mes]:[annee_mes]]=BW$29)*(evolution_hta_par_materiaux[[lineaire_hta_acier_alu]:[lineaire_hta_acier_alu]]))</f>
        <v>0</v>
      </c>
      <c r="BX30" s="264" cm="1">
        <f t="array" ref="BX30">SUMPRODUCT((evolution_hta_par_materiaux[[client]:[client]]=syndicat_etude)*(evolution_hta_par_materiaux[[annee]:[annee]]=Exercice[[Exercice N]:[Exercice N]])*(evolution_hta_par_materiaux[[annee_mes]:[annee_mes]]=BX$29)*(evolution_hta_par_materiaux[[lineaire_hta_acier_alu]:[lineaire_hta_acier_alu]]))</f>
        <v>0</v>
      </c>
      <c r="BY30" s="264" cm="1">
        <f t="array" ref="BY30">SUMPRODUCT((evolution_hta_par_materiaux[[client]:[client]]=syndicat_etude)*(evolution_hta_par_materiaux[[annee]:[annee]]=Exercice[[Exercice N]:[Exercice N]])*(evolution_hta_par_materiaux[[annee_mes]:[annee_mes]]=BY$29)*(evolution_hta_par_materiaux[[lineaire_hta_acier_alu]:[lineaire_hta_acier_alu]]))</f>
        <v>0</v>
      </c>
      <c r="BZ30" s="264" cm="1">
        <f t="array" ref="BZ30">SUMPRODUCT((evolution_hta_par_materiaux[[client]:[client]]=syndicat_etude)*(evolution_hta_par_materiaux[[annee]:[annee]]=Exercice[[Exercice N]:[Exercice N]])*(evolution_hta_par_materiaux[[annee_mes]:[annee_mes]]=BZ$29)*(evolution_hta_par_materiaux[[lineaire_hta_acier_alu]:[lineaire_hta_acier_alu]]))</f>
        <v>0</v>
      </c>
      <c r="CA30" s="264" cm="1">
        <f t="array" ref="CA30">SUMPRODUCT((evolution_hta_par_materiaux[[client]:[client]]=syndicat_etude)*(evolution_hta_par_materiaux[[annee]:[annee]]=Exercice[[Exercice N]:[Exercice N]])*(evolution_hta_par_materiaux[[annee_mes]:[annee_mes]]=CA$29)*(evolution_hta_par_materiaux[[lineaire_hta_acier_alu]:[lineaire_hta_acier_alu]]))</f>
        <v>0</v>
      </c>
      <c r="CB30" s="264" cm="1">
        <f t="array" ref="CB30">SUMPRODUCT((evolution_hta_par_materiaux[[client]:[client]]=syndicat_etude)*(evolution_hta_par_materiaux[[annee]:[annee]]=Exercice[[Exercice N]:[Exercice N]])*(evolution_hta_par_materiaux[[annee_mes]:[annee_mes]]=CB$29)*(evolution_hta_par_materiaux[[lineaire_hta_acier_alu]:[lineaire_hta_acier_alu]]))</f>
        <v>0</v>
      </c>
      <c r="CC30" s="426" cm="1">
        <f t="array" ref="CC30">SUMPRODUCT((evolution_hta_par_materiaux[[client]:[client]]=syndicat_etude)*(evolution_hta_par_materiaux[[annee]:[annee]]=Exercice[[Exercice N]:[Exercice N]])*(evolution_hta_par_materiaux[[annee_mes]:[annee_mes]]=CC$29)*(evolution_hta_par_materiaux[[lineaire_hta_acier_alu]:[lineaire_hta_acier_alu]]))</f>
        <v>0</v>
      </c>
      <c r="CD30" s="406"/>
      <c r="CE30" s="406"/>
      <c r="CF30" s="406"/>
    </row>
    <row r="31" spans="2:84" x14ac:dyDescent="0.25">
      <c r="B31" s="429" t="s">
        <v>1183</v>
      </c>
      <c r="C31" s="264" cm="1">
        <f t="array" ref="C31">SUMPRODUCT((evolution_hta_par_materiaux[[client]:[client]]=syndicat_etude)*(evolution_hta_par_materiaux[[annee]:[annee]]=Exercice[[Exercice N]:[Exercice N]])*(evolution_hta_par_materiaux[[annee_mes]:[annee_mes]]&lt;1946)*(evolution_hta_par_materiaux[[lineaire_hta_alu]:[lineaire_hta_alu]]))</f>
        <v>0</v>
      </c>
      <c r="D31" s="264" cm="1">
        <f t="array" ref="D31">SUMPRODUCT((evolution_hta_par_materiaux[[client]:[client]]=syndicat_etude)*(evolution_hta_par_materiaux[[annee]:[annee]]=Exercice[[Exercice N]:[Exercice N]])*(evolution_hta_par_materiaux[[annee_mes]:[annee_mes]]=D$29)*(evolution_hta_par_materiaux[[lineaire_hta_alu]:[lineaire_hta_alu]]))</f>
        <v>0</v>
      </c>
      <c r="E31" s="264" cm="1">
        <f t="array" ref="E31">SUMPRODUCT((evolution_hta_par_materiaux[[client]:[client]]=syndicat_etude)*(evolution_hta_par_materiaux[[annee]:[annee]]=Exercice[[Exercice N]:[Exercice N]])*(evolution_hta_par_materiaux[[annee_mes]:[annee_mes]]=E$29)*(evolution_hta_par_materiaux[[lineaire_hta_alu]:[lineaire_hta_alu]]))</f>
        <v>0</v>
      </c>
      <c r="F31" s="264" cm="1">
        <f t="array" ref="F31">SUMPRODUCT((evolution_hta_par_materiaux[[client]:[client]]=syndicat_etude)*(evolution_hta_par_materiaux[[annee]:[annee]]=Exercice[[Exercice N]:[Exercice N]])*(evolution_hta_par_materiaux[[annee_mes]:[annee_mes]]=F$29)*(evolution_hta_par_materiaux[[lineaire_hta_alu]:[lineaire_hta_alu]]))</f>
        <v>0</v>
      </c>
      <c r="G31" s="264" cm="1">
        <f t="array" ref="G31">SUMPRODUCT((evolution_hta_par_materiaux[[client]:[client]]=syndicat_etude)*(evolution_hta_par_materiaux[[annee]:[annee]]=Exercice[[Exercice N]:[Exercice N]])*(evolution_hta_par_materiaux[[annee_mes]:[annee_mes]]=G$29)*(evolution_hta_par_materiaux[[lineaire_hta_alu]:[lineaire_hta_alu]]))</f>
        <v>0</v>
      </c>
      <c r="H31" s="264" cm="1">
        <f t="array" ref="H31">SUMPRODUCT((evolution_hta_par_materiaux[[client]:[client]]=syndicat_etude)*(evolution_hta_par_materiaux[[annee]:[annee]]=Exercice[[Exercice N]:[Exercice N]])*(evolution_hta_par_materiaux[[annee_mes]:[annee_mes]]=H$29)*(evolution_hta_par_materiaux[[lineaire_hta_alu]:[lineaire_hta_alu]]))</f>
        <v>0</v>
      </c>
      <c r="I31" s="264" cm="1">
        <f t="array" ref="I31">SUMPRODUCT((evolution_hta_par_materiaux[[client]:[client]]=syndicat_etude)*(evolution_hta_par_materiaux[[annee]:[annee]]=Exercice[[Exercice N]:[Exercice N]])*(evolution_hta_par_materiaux[[annee_mes]:[annee_mes]]=I$29)*(evolution_hta_par_materiaux[[lineaire_hta_alu]:[lineaire_hta_alu]]))</f>
        <v>0</v>
      </c>
      <c r="J31" s="264" cm="1">
        <f t="array" ref="J31">SUMPRODUCT((evolution_hta_par_materiaux[[client]:[client]]=syndicat_etude)*(evolution_hta_par_materiaux[[annee]:[annee]]=Exercice[[Exercice N]:[Exercice N]])*(evolution_hta_par_materiaux[[annee_mes]:[annee_mes]]=J$29)*(evolution_hta_par_materiaux[[lineaire_hta_alu]:[lineaire_hta_alu]]))</f>
        <v>0</v>
      </c>
      <c r="K31" s="264" cm="1">
        <f t="array" ref="K31">SUMPRODUCT((evolution_hta_par_materiaux[[client]:[client]]=syndicat_etude)*(evolution_hta_par_materiaux[[annee]:[annee]]=Exercice[[Exercice N]:[Exercice N]])*(evolution_hta_par_materiaux[[annee_mes]:[annee_mes]]=K$29)*(evolution_hta_par_materiaux[[lineaire_hta_alu]:[lineaire_hta_alu]]))</f>
        <v>0</v>
      </c>
      <c r="L31" s="264" cm="1">
        <f t="array" ref="L31">SUMPRODUCT((evolution_hta_par_materiaux[[client]:[client]]=syndicat_etude)*(evolution_hta_par_materiaux[[annee]:[annee]]=Exercice[[Exercice N]:[Exercice N]])*(evolution_hta_par_materiaux[[annee_mes]:[annee_mes]]=L$29)*(evolution_hta_par_materiaux[[lineaire_hta_alu]:[lineaire_hta_alu]]))</f>
        <v>0.01</v>
      </c>
      <c r="M31" s="264" cm="1">
        <f t="array" ref="M31">SUMPRODUCT((evolution_hta_par_materiaux[[client]:[client]]=syndicat_etude)*(evolution_hta_par_materiaux[[annee]:[annee]]=Exercice[[Exercice N]:[Exercice N]])*(evolution_hta_par_materiaux[[annee_mes]:[annee_mes]]=M$29)*(evolution_hta_par_materiaux[[lineaire_hta_alu]:[lineaire_hta_alu]]))</f>
        <v>0</v>
      </c>
      <c r="N31" s="264" cm="1">
        <f t="array" ref="N31">SUMPRODUCT((evolution_hta_par_materiaux[[client]:[client]]=syndicat_etude)*(evolution_hta_par_materiaux[[annee]:[annee]]=Exercice[[Exercice N]:[Exercice N]])*(evolution_hta_par_materiaux[[annee_mes]:[annee_mes]]=N$29)*(evolution_hta_par_materiaux[[lineaire_hta_alu]:[lineaire_hta_alu]]))</f>
        <v>0</v>
      </c>
      <c r="O31" s="264" cm="1">
        <f t="array" ref="O31">SUMPRODUCT((evolution_hta_par_materiaux[[client]:[client]]=syndicat_etude)*(evolution_hta_par_materiaux[[annee]:[annee]]=Exercice[[Exercice N]:[Exercice N]])*(evolution_hta_par_materiaux[[annee_mes]:[annee_mes]]=O$29)*(evolution_hta_par_materiaux[[lineaire_hta_alu]:[lineaire_hta_alu]]))</f>
        <v>0</v>
      </c>
      <c r="P31" s="264" cm="1">
        <f t="array" ref="P31">SUMPRODUCT((evolution_hta_par_materiaux[[client]:[client]]=syndicat_etude)*(evolution_hta_par_materiaux[[annee]:[annee]]=Exercice[[Exercice N]:[Exercice N]])*(evolution_hta_par_materiaux[[annee_mes]:[annee_mes]]=P$29)*(evolution_hta_par_materiaux[[lineaire_hta_alu]:[lineaire_hta_alu]]))</f>
        <v>0</v>
      </c>
      <c r="Q31" s="264" cm="1">
        <f t="array" ref="Q31">SUMPRODUCT((evolution_hta_par_materiaux[[client]:[client]]=syndicat_etude)*(evolution_hta_par_materiaux[[annee]:[annee]]=Exercice[[Exercice N]:[Exercice N]])*(evolution_hta_par_materiaux[[annee_mes]:[annee_mes]]=Q$29)*(evolution_hta_par_materiaux[[lineaire_hta_alu]:[lineaire_hta_alu]]))</f>
        <v>0</v>
      </c>
      <c r="R31" s="264" cm="1">
        <f t="array" ref="R31">SUMPRODUCT((evolution_hta_par_materiaux[[client]:[client]]=syndicat_etude)*(evolution_hta_par_materiaux[[annee]:[annee]]=Exercice[[Exercice N]:[Exercice N]])*(evolution_hta_par_materiaux[[annee_mes]:[annee_mes]]=R$29)*(evolution_hta_par_materiaux[[lineaire_hta_alu]:[lineaire_hta_alu]]))</f>
        <v>26.77</v>
      </c>
      <c r="S31" s="264" cm="1">
        <f t="array" ref="S31">SUMPRODUCT((evolution_hta_par_materiaux[[client]:[client]]=syndicat_etude)*(evolution_hta_par_materiaux[[annee]:[annee]]=Exercice[[Exercice N]:[Exercice N]])*(evolution_hta_par_materiaux[[annee_mes]:[annee_mes]]=S$29)*(evolution_hta_par_materiaux[[lineaire_hta_alu]:[lineaire_hta_alu]]))</f>
        <v>2.17</v>
      </c>
      <c r="T31" s="264" cm="1">
        <f t="array" ref="T31">SUMPRODUCT((evolution_hta_par_materiaux[[client]:[client]]=syndicat_etude)*(evolution_hta_par_materiaux[[annee]:[annee]]=Exercice[[Exercice N]:[Exercice N]])*(evolution_hta_par_materiaux[[annee_mes]:[annee_mes]]=T$29)*(evolution_hta_par_materiaux[[lineaire_hta_alu]:[lineaire_hta_alu]]))</f>
        <v>0</v>
      </c>
      <c r="U31" s="264" cm="1">
        <f t="array" ref="U31">SUMPRODUCT((evolution_hta_par_materiaux[[client]:[client]]=syndicat_etude)*(evolution_hta_par_materiaux[[annee]:[annee]]=Exercice[[Exercice N]:[Exercice N]])*(evolution_hta_par_materiaux[[annee_mes]:[annee_mes]]=U$29)*(evolution_hta_par_materiaux[[lineaire_hta_alu]:[lineaire_hta_alu]]))</f>
        <v>0</v>
      </c>
      <c r="V31" s="264" cm="1">
        <f t="array" ref="V31">SUMPRODUCT((evolution_hta_par_materiaux[[client]:[client]]=syndicat_etude)*(evolution_hta_par_materiaux[[annee]:[annee]]=Exercice[[Exercice N]:[Exercice N]])*(evolution_hta_par_materiaux[[annee_mes]:[annee_mes]]=V$29)*(evolution_hta_par_materiaux[[lineaire_hta_alu]:[lineaire_hta_alu]]))</f>
        <v>1.1599999999999999</v>
      </c>
      <c r="W31" s="264" cm="1">
        <f t="array" ref="W31">SUMPRODUCT((evolution_hta_par_materiaux[[client]:[client]]=syndicat_etude)*(evolution_hta_par_materiaux[[annee]:[annee]]=Exercice[[Exercice N]:[Exercice N]])*(evolution_hta_par_materiaux[[annee_mes]:[annee_mes]]=W$29)*(evolution_hta_par_materiaux[[lineaire_hta_alu]:[lineaire_hta_alu]]))</f>
        <v>1.2</v>
      </c>
      <c r="X31" s="264" cm="1">
        <f t="array" ref="X31">SUMPRODUCT((evolution_hta_par_materiaux[[client]:[client]]=syndicat_etude)*(evolution_hta_par_materiaux[[annee]:[annee]]=Exercice[[Exercice N]:[Exercice N]])*(evolution_hta_par_materiaux[[annee_mes]:[annee_mes]]=X$29)*(evolution_hta_par_materiaux[[lineaire_hta_alu]:[lineaire_hta_alu]]))</f>
        <v>19.600000000000001</v>
      </c>
      <c r="Y31" s="264" cm="1">
        <f t="array" ref="Y31">SUMPRODUCT((evolution_hta_par_materiaux[[client]:[client]]=syndicat_etude)*(evolution_hta_par_materiaux[[annee]:[annee]]=Exercice[[Exercice N]:[Exercice N]])*(evolution_hta_par_materiaux[[annee_mes]:[annee_mes]]=Y$29)*(evolution_hta_par_materiaux[[lineaire_hta_alu]:[lineaire_hta_alu]]))</f>
        <v>1.18</v>
      </c>
      <c r="Z31" s="264" cm="1">
        <f t="array" ref="Z31">SUMPRODUCT((evolution_hta_par_materiaux[[client]:[client]]=syndicat_etude)*(evolution_hta_par_materiaux[[annee]:[annee]]=Exercice[[Exercice N]:[Exercice N]])*(evolution_hta_par_materiaux[[annee_mes]:[annee_mes]]=Z$29)*(evolution_hta_par_materiaux[[lineaire_hta_alu]:[lineaire_hta_alu]]))</f>
        <v>0.18</v>
      </c>
      <c r="AA31" s="264" cm="1">
        <f t="array" ref="AA31">SUMPRODUCT((evolution_hta_par_materiaux[[client]:[client]]=syndicat_etude)*(evolution_hta_par_materiaux[[annee]:[annee]]=Exercice[[Exercice N]:[Exercice N]])*(evolution_hta_par_materiaux[[annee_mes]:[annee_mes]]=AA$29)*(evolution_hta_par_materiaux[[lineaire_hta_alu]:[lineaire_hta_alu]]))</f>
        <v>0.97</v>
      </c>
      <c r="AB31" s="264" cm="1">
        <f t="array" ref="AB31">SUMPRODUCT((evolution_hta_par_materiaux[[client]:[client]]=syndicat_etude)*(evolution_hta_par_materiaux[[annee]:[annee]]=Exercice[[Exercice N]:[Exercice N]])*(evolution_hta_par_materiaux[[annee_mes]:[annee_mes]]=AB$29)*(evolution_hta_par_materiaux[[lineaire_hta_alu]:[lineaire_hta_alu]]))</f>
        <v>0.61</v>
      </c>
      <c r="AC31" s="264" cm="1">
        <f t="array" ref="AC31">SUMPRODUCT((evolution_hta_par_materiaux[[client]:[client]]=syndicat_etude)*(evolution_hta_par_materiaux[[annee]:[annee]]=Exercice[[Exercice N]:[Exercice N]])*(evolution_hta_par_materiaux[[annee_mes]:[annee_mes]]=AC$29)*(evolution_hta_par_materiaux[[lineaire_hta_alu]:[lineaire_hta_alu]]))</f>
        <v>0.67</v>
      </c>
      <c r="AD31" s="264" cm="1">
        <f t="array" ref="AD31">SUMPRODUCT((evolution_hta_par_materiaux[[client]:[client]]=syndicat_etude)*(evolution_hta_par_materiaux[[annee]:[annee]]=Exercice[[Exercice N]:[Exercice N]])*(evolution_hta_par_materiaux[[annee_mes]:[annee_mes]]=AD$29)*(evolution_hta_par_materiaux[[lineaire_hta_alu]:[lineaire_hta_alu]]))</f>
        <v>0.43</v>
      </c>
      <c r="AE31" s="264" cm="1">
        <f t="array" ref="AE31">SUMPRODUCT((evolution_hta_par_materiaux[[client]:[client]]=syndicat_etude)*(evolution_hta_par_materiaux[[annee]:[annee]]=Exercice[[Exercice N]:[Exercice N]])*(evolution_hta_par_materiaux[[annee_mes]:[annee_mes]]=AE$29)*(evolution_hta_par_materiaux[[lineaire_hta_alu]:[lineaire_hta_alu]]))</f>
        <v>0.94</v>
      </c>
      <c r="AF31" s="264" cm="1">
        <f t="array" ref="AF31">SUMPRODUCT((evolution_hta_par_materiaux[[client]:[client]]=syndicat_etude)*(evolution_hta_par_materiaux[[annee]:[annee]]=Exercice[[Exercice N]:[Exercice N]])*(evolution_hta_par_materiaux[[annee_mes]:[annee_mes]]=AF$29)*(evolution_hta_par_materiaux[[lineaire_hta_alu]:[lineaire_hta_alu]]))</f>
        <v>0.04</v>
      </c>
      <c r="AG31" s="264" cm="1">
        <f t="array" ref="AG31">SUMPRODUCT((evolution_hta_par_materiaux[[client]:[client]]=syndicat_etude)*(evolution_hta_par_materiaux[[annee]:[annee]]=Exercice[[Exercice N]:[Exercice N]])*(evolution_hta_par_materiaux[[annee_mes]:[annee_mes]]=AG$29)*(evolution_hta_par_materiaux[[lineaire_hta_alu]:[lineaire_hta_alu]]))</f>
        <v>2.5499999999999998</v>
      </c>
      <c r="AH31" s="264" cm="1">
        <f t="array" ref="AH31">SUMPRODUCT((evolution_hta_par_materiaux[[client]:[client]]=syndicat_etude)*(evolution_hta_par_materiaux[[annee]:[annee]]=Exercice[[Exercice N]:[Exercice N]])*(evolution_hta_par_materiaux[[annee_mes]:[annee_mes]]=AH$29)*(evolution_hta_par_materiaux[[lineaire_hta_alu]:[lineaire_hta_alu]]))</f>
        <v>0.56999999999999995</v>
      </c>
      <c r="AI31" s="264" cm="1">
        <f t="array" ref="AI31">SUMPRODUCT((evolution_hta_par_materiaux[[client]:[client]]=syndicat_etude)*(evolution_hta_par_materiaux[[annee]:[annee]]=Exercice[[Exercice N]:[Exercice N]])*(evolution_hta_par_materiaux[[annee_mes]:[annee_mes]]=AI$29)*(evolution_hta_par_materiaux[[lineaire_hta_alu]:[lineaire_hta_alu]]))</f>
        <v>4.5599999999999996</v>
      </c>
      <c r="AJ31" s="264" cm="1">
        <f t="array" ref="AJ31">SUMPRODUCT((evolution_hta_par_materiaux[[client]:[client]]=syndicat_etude)*(evolution_hta_par_materiaux[[annee]:[annee]]=Exercice[[Exercice N]:[Exercice N]])*(evolution_hta_par_materiaux[[annee_mes]:[annee_mes]]=AJ$29)*(evolution_hta_par_materiaux[[lineaire_hta_alu]:[lineaire_hta_alu]]))</f>
        <v>51.74</v>
      </c>
      <c r="AK31" s="264" cm="1">
        <f t="array" ref="AK31">SUMPRODUCT((evolution_hta_par_materiaux[[client]:[client]]=syndicat_etude)*(evolution_hta_par_materiaux[[annee]:[annee]]=Exercice[[Exercice N]:[Exercice N]])*(evolution_hta_par_materiaux[[annee_mes]:[annee_mes]]=AK$29)*(evolution_hta_par_materiaux[[lineaire_hta_alu]:[lineaire_hta_alu]]))</f>
        <v>3.08</v>
      </c>
      <c r="AL31" s="264" cm="1">
        <f t="array" ref="AL31">SUMPRODUCT((evolution_hta_par_materiaux[[client]:[client]]=syndicat_etude)*(evolution_hta_par_materiaux[[annee]:[annee]]=Exercice[[Exercice N]:[Exercice N]])*(evolution_hta_par_materiaux[[annee_mes]:[annee_mes]]=AL$29)*(evolution_hta_par_materiaux[[lineaire_hta_alu]:[lineaire_hta_alu]]))</f>
        <v>9.31</v>
      </c>
      <c r="AM31" s="264" cm="1">
        <f t="array" ref="AM31">SUMPRODUCT((evolution_hta_par_materiaux[[client]:[client]]=syndicat_etude)*(evolution_hta_par_materiaux[[annee]:[annee]]=Exercice[[Exercice N]:[Exercice N]])*(evolution_hta_par_materiaux[[annee_mes]:[annee_mes]]=AM$29)*(evolution_hta_par_materiaux[[lineaire_hta_alu]:[lineaire_hta_alu]]))</f>
        <v>15.44</v>
      </c>
      <c r="AN31" s="264" cm="1">
        <f t="array" ref="AN31">SUMPRODUCT((evolution_hta_par_materiaux[[client]:[client]]=syndicat_etude)*(evolution_hta_par_materiaux[[annee]:[annee]]=Exercice[[Exercice N]:[Exercice N]])*(evolution_hta_par_materiaux[[annee_mes]:[annee_mes]]=AN$29)*(evolution_hta_par_materiaux[[lineaire_hta_alu]:[lineaire_hta_alu]]))</f>
        <v>15.62</v>
      </c>
      <c r="AO31" s="264" cm="1">
        <f t="array" ref="AO31">SUMPRODUCT((evolution_hta_par_materiaux[[client]:[client]]=syndicat_etude)*(evolution_hta_par_materiaux[[annee]:[annee]]=Exercice[[Exercice N]:[Exercice N]])*(evolution_hta_par_materiaux[[annee_mes]:[annee_mes]]=AO$29)*(evolution_hta_par_materiaux[[lineaire_hta_alu]:[lineaire_hta_alu]]))</f>
        <v>12.73</v>
      </c>
      <c r="AP31" s="264" cm="1">
        <f t="array" ref="AP31">SUMPRODUCT((evolution_hta_par_materiaux[[client]:[client]]=syndicat_etude)*(evolution_hta_par_materiaux[[annee]:[annee]]=Exercice[[Exercice N]:[Exercice N]])*(evolution_hta_par_materiaux[[annee_mes]:[annee_mes]]=AP$29)*(evolution_hta_par_materiaux[[lineaire_hta_alu]:[lineaire_hta_alu]]))</f>
        <v>18.260000000000002</v>
      </c>
      <c r="AQ31" s="264" cm="1">
        <f t="array" ref="AQ31">SUMPRODUCT((evolution_hta_par_materiaux[[client]:[client]]=syndicat_etude)*(evolution_hta_par_materiaux[[annee]:[annee]]=Exercice[[Exercice N]:[Exercice N]])*(evolution_hta_par_materiaux[[annee_mes]:[annee_mes]]=AQ$29)*(evolution_hta_par_materiaux[[lineaire_hta_alu]:[lineaire_hta_alu]]))</f>
        <v>17.079999999999998</v>
      </c>
      <c r="AR31" s="264" cm="1">
        <f t="array" ref="AR31">SUMPRODUCT((evolution_hta_par_materiaux[[client]:[client]]=syndicat_etude)*(evolution_hta_par_materiaux[[annee]:[annee]]=Exercice[[Exercice N]:[Exercice N]])*(evolution_hta_par_materiaux[[annee_mes]:[annee_mes]]=AR$29)*(evolution_hta_par_materiaux[[lineaire_hta_alu]:[lineaire_hta_alu]]))</f>
        <v>17.329999999999998</v>
      </c>
      <c r="AS31" s="264" cm="1">
        <f t="array" ref="AS31">SUMPRODUCT((evolution_hta_par_materiaux[[client]:[client]]=syndicat_etude)*(evolution_hta_par_materiaux[[annee]:[annee]]=Exercice[[Exercice N]:[Exercice N]])*(evolution_hta_par_materiaux[[annee_mes]:[annee_mes]]=AS$29)*(evolution_hta_par_materiaux[[lineaire_hta_alu]:[lineaire_hta_alu]]))</f>
        <v>17.53</v>
      </c>
      <c r="AT31" s="264" cm="1">
        <f t="array" ref="AT31">SUMPRODUCT((evolution_hta_par_materiaux[[client]:[client]]=syndicat_etude)*(evolution_hta_par_materiaux[[annee]:[annee]]=Exercice[[Exercice N]:[Exercice N]])*(evolution_hta_par_materiaux[[annee_mes]:[annee_mes]]=AT$29)*(evolution_hta_par_materiaux[[lineaire_hta_alu]:[lineaire_hta_alu]]))</f>
        <v>25.24</v>
      </c>
      <c r="AU31" s="264" cm="1">
        <f t="array" ref="AU31">SUMPRODUCT((evolution_hta_par_materiaux[[client]:[client]]=syndicat_etude)*(evolution_hta_par_materiaux[[annee]:[annee]]=Exercice[[Exercice N]:[Exercice N]])*(evolution_hta_par_materiaux[[annee_mes]:[annee_mes]]=AU$29)*(evolution_hta_par_materiaux[[lineaire_hta_alu]:[lineaire_hta_alu]]))</f>
        <v>20.53</v>
      </c>
      <c r="AV31" s="264" cm="1">
        <f t="array" ref="AV31">SUMPRODUCT((evolution_hta_par_materiaux[[client]:[client]]=syndicat_etude)*(evolution_hta_par_materiaux[[annee]:[annee]]=Exercice[[Exercice N]:[Exercice N]])*(evolution_hta_par_materiaux[[annee_mes]:[annee_mes]]=AV$29)*(evolution_hta_par_materiaux[[lineaire_hta_alu]:[lineaire_hta_alu]]))</f>
        <v>15.84</v>
      </c>
      <c r="AW31" s="264" cm="1">
        <f t="array" ref="AW31">SUMPRODUCT((evolution_hta_par_materiaux[[client]:[client]]=syndicat_etude)*(evolution_hta_par_materiaux[[annee]:[annee]]=Exercice[[Exercice N]:[Exercice N]])*(evolution_hta_par_materiaux[[annee_mes]:[annee_mes]]=AW$29)*(evolution_hta_par_materiaux[[lineaire_hta_alu]:[lineaire_hta_alu]]))</f>
        <v>17.86</v>
      </c>
      <c r="AX31" s="264" cm="1">
        <f t="array" ref="AX31">SUMPRODUCT((evolution_hta_par_materiaux[[client]:[client]]=syndicat_etude)*(evolution_hta_par_materiaux[[annee]:[annee]]=Exercice[[Exercice N]:[Exercice N]])*(evolution_hta_par_materiaux[[annee_mes]:[annee_mes]]=AX$29)*(evolution_hta_par_materiaux[[lineaire_hta_alu]:[lineaire_hta_alu]]))</f>
        <v>30.34</v>
      </c>
      <c r="AY31" s="264" cm="1">
        <f t="array" ref="AY31">SUMPRODUCT((evolution_hta_par_materiaux[[client]:[client]]=syndicat_etude)*(evolution_hta_par_materiaux[[annee]:[annee]]=Exercice[[Exercice N]:[Exercice N]])*(evolution_hta_par_materiaux[[annee_mes]:[annee_mes]]=AY$29)*(evolution_hta_par_materiaux[[lineaire_hta_alu]:[lineaire_hta_alu]]))</f>
        <v>47.65</v>
      </c>
      <c r="AZ31" s="264" cm="1">
        <f t="array" ref="AZ31">SUMPRODUCT((evolution_hta_par_materiaux[[client]:[client]]=syndicat_etude)*(evolution_hta_par_materiaux[[annee]:[annee]]=Exercice[[Exercice N]:[Exercice N]])*(evolution_hta_par_materiaux[[annee_mes]:[annee_mes]]=AZ$29)*(evolution_hta_par_materiaux[[lineaire_hta_alu]:[lineaire_hta_alu]]))</f>
        <v>49.87</v>
      </c>
      <c r="BA31" s="264" cm="1">
        <f t="array" ref="BA31">SUMPRODUCT((evolution_hta_par_materiaux[[client]:[client]]=syndicat_etude)*(evolution_hta_par_materiaux[[annee]:[annee]]=Exercice[[Exercice N]:[Exercice N]])*(evolution_hta_par_materiaux[[annee_mes]:[annee_mes]]=BA$29)*(evolution_hta_par_materiaux[[lineaire_hta_alu]:[lineaire_hta_alu]]))</f>
        <v>40.119999999999997</v>
      </c>
      <c r="BB31" s="264" cm="1">
        <f t="array" ref="BB31">SUMPRODUCT((evolution_hta_par_materiaux[[client]:[client]]=syndicat_etude)*(evolution_hta_par_materiaux[[annee]:[annee]]=Exercice[[Exercice N]:[Exercice N]])*(evolution_hta_par_materiaux[[annee_mes]:[annee_mes]]=BB$29)*(evolution_hta_par_materiaux[[lineaire_hta_alu]:[lineaire_hta_alu]]))</f>
        <v>90.2</v>
      </c>
      <c r="BC31" s="264" cm="1">
        <f t="array" ref="BC31">SUMPRODUCT((evolution_hta_par_materiaux[[client]:[client]]=syndicat_etude)*(evolution_hta_par_materiaux[[annee]:[annee]]=Exercice[[Exercice N]:[Exercice N]])*(evolution_hta_par_materiaux[[annee_mes]:[annee_mes]]=BC$29)*(evolution_hta_par_materiaux[[lineaire_hta_alu]:[lineaire_hta_alu]]))</f>
        <v>61.63</v>
      </c>
      <c r="BD31" s="264" cm="1">
        <f t="array" ref="BD31">SUMPRODUCT((evolution_hta_par_materiaux[[client]:[client]]=syndicat_etude)*(evolution_hta_par_materiaux[[annee]:[annee]]=Exercice[[Exercice N]:[Exercice N]])*(evolution_hta_par_materiaux[[annee_mes]:[annee_mes]]=BD$29)*(evolution_hta_par_materiaux[[lineaire_hta_alu]:[lineaire_hta_alu]]))</f>
        <v>51.89</v>
      </c>
      <c r="BE31" s="264" cm="1">
        <f t="array" ref="BE31">SUMPRODUCT((evolution_hta_par_materiaux[[client]:[client]]=syndicat_etude)*(evolution_hta_par_materiaux[[annee]:[annee]]=Exercice[[Exercice N]:[Exercice N]])*(evolution_hta_par_materiaux[[annee_mes]:[annee_mes]]=BE$29)*(evolution_hta_par_materiaux[[lineaire_hta_alu]:[lineaire_hta_alu]]))</f>
        <v>92.82</v>
      </c>
      <c r="BF31" s="264" cm="1">
        <f t="array" ref="BF31">SUMPRODUCT((evolution_hta_par_materiaux[[client]:[client]]=syndicat_etude)*(evolution_hta_par_materiaux[[annee]:[annee]]=Exercice[[Exercice N]:[Exercice N]])*(evolution_hta_par_materiaux[[annee_mes]:[annee_mes]]=BF$29)*(evolution_hta_par_materiaux[[lineaire_hta_alu]:[lineaire_hta_alu]]))</f>
        <v>83.03</v>
      </c>
      <c r="BG31" s="264" cm="1">
        <f t="array" ref="BG31">SUMPRODUCT((evolution_hta_par_materiaux[[client]:[client]]=syndicat_etude)*(evolution_hta_par_materiaux[[annee]:[annee]]=Exercice[[Exercice N]:[Exercice N]])*(evolution_hta_par_materiaux[[annee_mes]:[annee_mes]]=BG$29)*(evolution_hta_par_materiaux[[lineaire_hta_alu]:[lineaire_hta_alu]]))</f>
        <v>79.709999999999994</v>
      </c>
      <c r="BH31" s="264" cm="1">
        <f t="array" ref="BH31">SUMPRODUCT((evolution_hta_par_materiaux[[client]:[client]]=syndicat_etude)*(evolution_hta_par_materiaux[[annee]:[annee]]=Exercice[[Exercice N]:[Exercice N]])*(evolution_hta_par_materiaux[[annee_mes]:[annee_mes]]=BH$29)*(evolution_hta_par_materiaux[[lineaire_hta_alu]:[lineaire_hta_alu]]))</f>
        <v>112.06</v>
      </c>
      <c r="BI31" s="264" cm="1">
        <f t="array" ref="BI31">SUMPRODUCT((evolution_hta_par_materiaux[[client]:[client]]=syndicat_etude)*(evolution_hta_par_materiaux[[annee]:[annee]]=Exercice[[Exercice N]:[Exercice N]])*(evolution_hta_par_materiaux[[annee_mes]:[annee_mes]]=BI$29)*(evolution_hta_par_materiaux[[lineaire_hta_alu]:[lineaire_hta_alu]]))</f>
        <v>31.51</v>
      </c>
      <c r="BJ31" s="264" cm="1">
        <f t="array" ref="BJ31">SUMPRODUCT((evolution_hta_par_materiaux[[client]:[client]]=syndicat_etude)*(evolution_hta_par_materiaux[[annee]:[annee]]=Exercice[[Exercice N]:[Exercice N]])*(evolution_hta_par_materiaux[[annee_mes]:[annee_mes]]=BJ$29)*(evolution_hta_par_materiaux[[lineaire_hta_alu]:[lineaire_hta_alu]]))</f>
        <v>38.46</v>
      </c>
      <c r="BK31" s="264" cm="1">
        <f t="array" ref="BK31">SUMPRODUCT((evolution_hta_par_materiaux[[client]:[client]]=syndicat_etude)*(evolution_hta_par_materiaux[[annee]:[annee]]=Exercice[[Exercice N]:[Exercice N]])*(evolution_hta_par_materiaux[[annee_mes]:[annee_mes]]=BK$29)*(evolution_hta_par_materiaux[[lineaire_hta_alu]:[lineaire_hta_alu]]))</f>
        <v>20.64</v>
      </c>
      <c r="BL31" s="264" cm="1">
        <f t="array" ref="BL31">SUMPRODUCT((evolution_hta_par_materiaux[[client]:[client]]=syndicat_etude)*(evolution_hta_par_materiaux[[annee]:[annee]]=Exercice[[Exercice N]:[Exercice N]])*(evolution_hta_par_materiaux[[annee_mes]:[annee_mes]]=BL$29)*(evolution_hta_par_materiaux[[lineaire_hta_alu]:[lineaire_hta_alu]]))</f>
        <v>22.86</v>
      </c>
      <c r="BM31" s="264" cm="1">
        <f t="array" ref="BM31">SUMPRODUCT((evolution_hta_par_materiaux[[client]:[client]]=syndicat_etude)*(evolution_hta_par_materiaux[[annee]:[annee]]=Exercice[[Exercice N]:[Exercice N]])*(evolution_hta_par_materiaux[[annee_mes]:[annee_mes]]=BM$29)*(evolution_hta_par_materiaux[[lineaire_hta_alu]:[lineaire_hta_alu]]))</f>
        <v>42.26</v>
      </c>
      <c r="BN31" s="264" cm="1">
        <f t="array" ref="BN31">SUMPRODUCT((evolution_hta_par_materiaux[[client]:[client]]=syndicat_etude)*(evolution_hta_par_materiaux[[annee]:[annee]]=Exercice[[Exercice N]:[Exercice N]])*(evolution_hta_par_materiaux[[annee_mes]:[annee_mes]]=BN$29)*(evolution_hta_par_materiaux[[lineaire_hta_alu]:[lineaire_hta_alu]]))</f>
        <v>46.08</v>
      </c>
      <c r="BO31" s="264" cm="1">
        <f t="array" ref="BO31">SUMPRODUCT((evolution_hta_par_materiaux[[client]:[client]]=syndicat_etude)*(evolution_hta_par_materiaux[[annee]:[annee]]=Exercice[[Exercice N]:[Exercice N]])*(evolution_hta_par_materiaux[[annee_mes]:[annee_mes]]=BO$29)*(evolution_hta_par_materiaux[[lineaire_hta_alu]:[lineaire_hta_alu]]))</f>
        <v>88.55</v>
      </c>
      <c r="BP31" s="264" cm="1">
        <f t="array" ref="BP31">SUMPRODUCT((evolution_hta_par_materiaux[[client]:[client]]=syndicat_etude)*(evolution_hta_par_materiaux[[annee]:[annee]]=Exercice[[Exercice N]:[Exercice N]])*(evolution_hta_par_materiaux[[annee_mes]:[annee_mes]]=BP$29)*(evolution_hta_par_materiaux[[lineaire_hta_alu]:[lineaire_hta_alu]]))</f>
        <v>105.3</v>
      </c>
      <c r="BQ31" s="264" cm="1">
        <f t="array" ref="BQ31">SUMPRODUCT((evolution_hta_par_materiaux[[client]:[client]]=syndicat_etude)*(evolution_hta_par_materiaux[[annee]:[annee]]=Exercice[[Exercice N]:[Exercice N]])*(evolution_hta_par_materiaux[[annee_mes]:[annee_mes]]=BQ$29)*(evolution_hta_par_materiaux[[lineaire_hta_alu]:[lineaire_hta_alu]]))</f>
        <v>89.41</v>
      </c>
      <c r="BR31" s="264" cm="1">
        <f t="array" ref="BR31">SUMPRODUCT((evolution_hta_par_materiaux[[client]:[client]]=syndicat_etude)*(evolution_hta_par_materiaux[[annee]:[annee]]=Exercice[[Exercice N]:[Exercice N]])*(evolution_hta_par_materiaux[[annee_mes]:[annee_mes]]=BR$29)*(evolution_hta_par_materiaux[[lineaire_hta_alu]:[lineaire_hta_alu]]))</f>
        <v>172.63</v>
      </c>
      <c r="BS31" s="264" cm="1">
        <f t="array" ref="BS31">SUMPRODUCT((evolution_hta_par_materiaux[[client]:[client]]=syndicat_etude)*(evolution_hta_par_materiaux[[annee]:[annee]]=Exercice[[Exercice N]:[Exercice N]])*(evolution_hta_par_materiaux[[annee_mes]:[annee_mes]]=BS$29)*(evolution_hta_par_materiaux[[lineaire_hta_alu]:[lineaire_hta_alu]]))</f>
        <v>38.22</v>
      </c>
      <c r="BT31" s="264" cm="1">
        <f t="array" ref="BT31">SUMPRODUCT((evolution_hta_par_materiaux[[client]:[client]]=syndicat_etude)*(evolution_hta_par_materiaux[[annee]:[annee]]=Exercice[[Exercice N]:[Exercice N]])*(evolution_hta_par_materiaux[[annee_mes]:[annee_mes]]=BT$29)*(evolution_hta_par_materiaux[[lineaire_hta_alu]:[lineaire_hta_alu]]))</f>
        <v>79</v>
      </c>
      <c r="BU31" s="264" cm="1">
        <f t="array" ref="BU31">SUMPRODUCT((evolution_hta_par_materiaux[[client]:[client]]=syndicat_etude)*(evolution_hta_par_materiaux[[annee]:[annee]]=Exercice[[Exercice N]:[Exercice N]])*(evolution_hta_par_materiaux[[annee_mes]:[annee_mes]]=BU$29)*(evolution_hta_par_materiaux[[lineaire_hta_alu]:[lineaire_hta_alu]]))</f>
        <v>101.35</v>
      </c>
      <c r="BV31" s="264" cm="1">
        <f t="array" ref="BV31">SUMPRODUCT((evolution_hta_par_materiaux[[client]:[client]]=syndicat_etude)*(evolution_hta_par_materiaux[[annee]:[annee]]=Exercice[[Exercice N]:[Exercice N]])*(evolution_hta_par_materiaux[[annee_mes]:[annee_mes]]=BV$29)*(evolution_hta_par_materiaux[[lineaire_hta_alu]:[lineaire_hta_alu]]))</f>
        <v>72.069999999999993</v>
      </c>
      <c r="BW31" s="264" cm="1">
        <f t="array" ref="BW31">SUMPRODUCT((evolution_hta_par_materiaux[[client]:[client]]=syndicat_etude)*(evolution_hta_par_materiaux[[annee]:[annee]]=Exercice[[Exercice N]:[Exercice N]])*(evolution_hta_par_materiaux[[annee_mes]:[annee_mes]]=BW$29)*(evolution_hta_par_materiaux[[lineaire_hta_alu]:[lineaire_hta_alu]]))</f>
        <v>84.56</v>
      </c>
      <c r="BX31" s="264" cm="1">
        <f t="array" ref="BX31">SUMPRODUCT((evolution_hta_par_materiaux[[client]:[client]]=syndicat_etude)*(evolution_hta_par_materiaux[[annee]:[annee]]=Exercice[[Exercice N]:[Exercice N]])*(evolution_hta_par_materiaux[[annee_mes]:[annee_mes]]=BX$29)*(evolution_hta_par_materiaux[[lineaire_hta_alu]:[lineaire_hta_alu]]))</f>
        <v>178.35</v>
      </c>
      <c r="BY31" s="264" cm="1">
        <f t="array" ref="BY31">SUMPRODUCT((evolution_hta_par_materiaux[[client]:[client]]=syndicat_etude)*(evolution_hta_par_materiaux[[annee]:[annee]]=Exercice[[Exercice N]:[Exercice N]])*(evolution_hta_par_materiaux[[annee_mes]:[annee_mes]]=BY$29)*(evolution_hta_par_materiaux[[lineaire_hta_alu]:[lineaire_hta_alu]]))</f>
        <v>33.57</v>
      </c>
      <c r="BZ31" s="264" cm="1">
        <f t="array" ref="BZ31">SUMPRODUCT((evolution_hta_par_materiaux[[client]:[client]]=syndicat_etude)*(evolution_hta_par_materiaux[[annee]:[annee]]=Exercice[[Exercice N]:[Exercice N]])*(evolution_hta_par_materiaux[[annee_mes]:[annee_mes]]=BZ$29)*(evolution_hta_par_materiaux[[lineaire_hta_alu]:[lineaire_hta_alu]]))</f>
        <v>35.909999999999997</v>
      </c>
      <c r="CA31" s="264" cm="1">
        <f t="array" ref="CA31">SUMPRODUCT((evolution_hta_par_materiaux[[client]:[client]]=syndicat_etude)*(evolution_hta_par_materiaux[[annee]:[annee]]=Exercice[[Exercice N]:[Exercice N]])*(evolution_hta_par_materiaux[[annee_mes]:[annee_mes]]=CA$29)*(evolution_hta_par_materiaux[[lineaire_hta_alu]:[lineaire_hta_alu]]))</f>
        <v>143.49</v>
      </c>
      <c r="CB31" s="264" cm="1">
        <f t="array" ref="CB31">SUMPRODUCT((evolution_hta_par_materiaux[[client]:[client]]=syndicat_etude)*(evolution_hta_par_materiaux[[annee]:[annee]]=Exercice[[Exercice N]:[Exercice N]])*(evolution_hta_par_materiaux[[annee_mes]:[annee_mes]]=CB$29)*(evolution_hta_par_materiaux[[lineaire_hta_alu]:[lineaire_hta_alu]]))</f>
        <v>38.56</v>
      </c>
      <c r="CC31" s="426" cm="1">
        <f t="array" ref="CC31">SUMPRODUCT((evolution_hta_par_materiaux[[client]:[client]]=syndicat_etude)*(evolution_hta_par_materiaux[[annee]:[annee]]=Exercice[[Exercice N]:[Exercice N]])*(evolution_hta_par_materiaux[[annee_mes]:[annee_mes]]=CC$29)*(evolution_hta_par_materiaux[[lineaire_hta_alu]:[lineaire_hta_alu]]))</f>
        <v>27.87</v>
      </c>
      <c r="CD31" s="406"/>
      <c r="CE31" s="406"/>
      <c r="CF31" s="406"/>
    </row>
    <row r="32" spans="2:84" x14ac:dyDescent="0.25">
      <c r="B32" s="429" t="s">
        <v>1184</v>
      </c>
      <c r="C32" s="264" cm="1">
        <f t="array" ref="C32">SUMPRODUCT((evolution_hta_par_materiaux[[client]:[client]]=syndicat_etude)*(evolution_hta_par_materiaux[[annee]:[annee]]=Exercice[[Exercice N]:[Exercice N]])*(evolution_hta_par_materiaux[[annee_mes]:[annee_mes]]&lt;1946)*(evolution_hta_par_materiaux[[lineaire_hta_almelec]:[lineaire_hta_almelec]]))</f>
        <v>0</v>
      </c>
      <c r="D32" s="264" cm="1">
        <f t="array" ref="D32">SUMPRODUCT((evolution_hta_par_materiaux[[client]:[client]]=syndicat_etude)*(evolution_hta_par_materiaux[[annee]:[annee]]=Exercice[[Exercice N]:[Exercice N]])*(evolution_hta_par_materiaux[[annee_mes]:[annee_mes]]=D$29)*(evolution_hta_par_materiaux[[lineaire_hta_almelec]:[lineaire_hta_almelec]]))</f>
        <v>0</v>
      </c>
      <c r="E32" s="264" cm="1">
        <f t="array" ref="E32">SUMPRODUCT((evolution_hta_par_materiaux[[client]:[client]]=syndicat_etude)*(evolution_hta_par_materiaux[[annee]:[annee]]=Exercice[[Exercice N]:[Exercice N]])*(evolution_hta_par_materiaux[[annee_mes]:[annee_mes]]=E$29)*(evolution_hta_par_materiaux[[lineaire_hta_almelec]:[lineaire_hta_almelec]]))</f>
        <v>2.31</v>
      </c>
      <c r="F32" s="264" cm="1">
        <f t="array" ref="F32">SUMPRODUCT((evolution_hta_par_materiaux[[client]:[client]]=syndicat_etude)*(evolution_hta_par_materiaux[[annee]:[annee]]=Exercice[[Exercice N]:[Exercice N]])*(evolution_hta_par_materiaux[[annee_mes]:[annee_mes]]=F$29)*(evolution_hta_par_materiaux[[lineaire_hta_almelec]:[lineaire_hta_almelec]]))</f>
        <v>1.35</v>
      </c>
      <c r="G32" s="264" cm="1">
        <f t="array" ref="G32">SUMPRODUCT((evolution_hta_par_materiaux[[client]:[client]]=syndicat_etude)*(evolution_hta_par_materiaux[[annee]:[annee]]=Exercice[[Exercice N]:[Exercice N]])*(evolution_hta_par_materiaux[[annee_mes]:[annee_mes]]=G$29)*(evolution_hta_par_materiaux[[lineaire_hta_almelec]:[lineaire_hta_almelec]]))</f>
        <v>1.75</v>
      </c>
      <c r="H32" s="264" cm="1">
        <f t="array" ref="H32">SUMPRODUCT((evolution_hta_par_materiaux[[client]:[client]]=syndicat_etude)*(evolution_hta_par_materiaux[[annee]:[annee]]=Exercice[[Exercice N]:[Exercice N]])*(evolution_hta_par_materiaux[[annee_mes]:[annee_mes]]=H$29)*(evolution_hta_par_materiaux[[lineaire_hta_almelec]:[lineaire_hta_almelec]]))</f>
        <v>3.66</v>
      </c>
      <c r="I32" s="264" cm="1">
        <f t="array" ref="I32">SUMPRODUCT((evolution_hta_par_materiaux[[client]:[client]]=syndicat_etude)*(evolution_hta_par_materiaux[[annee]:[annee]]=Exercice[[Exercice N]:[Exercice N]])*(evolution_hta_par_materiaux[[annee_mes]:[annee_mes]]=I$29)*(evolution_hta_par_materiaux[[lineaire_hta_almelec]:[lineaire_hta_almelec]]))</f>
        <v>1.41</v>
      </c>
      <c r="J32" s="264" cm="1">
        <f t="array" ref="J32">SUMPRODUCT((evolution_hta_par_materiaux[[client]:[client]]=syndicat_etude)*(evolution_hta_par_materiaux[[annee]:[annee]]=Exercice[[Exercice N]:[Exercice N]])*(evolution_hta_par_materiaux[[annee_mes]:[annee_mes]]=J$29)*(evolution_hta_par_materiaux[[lineaire_hta_almelec]:[lineaire_hta_almelec]]))</f>
        <v>0.98</v>
      </c>
      <c r="K32" s="264" cm="1">
        <f t="array" ref="K32">SUMPRODUCT((evolution_hta_par_materiaux[[client]:[client]]=syndicat_etude)*(evolution_hta_par_materiaux[[annee]:[annee]]=Exercice[[Exercice N]:[Exercice N]])*(evolution_hta_par_materiaux[[annee_mes]:[annee_mes]]=K$29)*(evolution_hta_par_materiaux[[lineaire_hta_almelec]:[lineaire_hta_almelec]]))</f>
        <v>0.75</v>
      </c>
      <c r="L32" s="264" cm="1">
        <f t="array" ref="L32">SUMPRODUCT((evolution_hta_par_materiaux[[client]:[client]]=syndicat_etude)*(evolution_hta_par_materiaux[[annee]:[annee]]=Exercice[[Exercice N]:[Exercice N]])*(evolution_hta_par_materiaux[[annee_mes]:[annee_mes]]=L$29)*(evolution_hta_par_materiaux[[lineaire_hta_almelec]:[lineaire_hta_almelec]]))</f>
        <v>0.02</v>
      </c>
      <c r="M32" s="264" cm="1">
        <f t="array" ref="M32">SUMPRODUCT((evolution_hta_par_materiaux[[client]:[client]]=syndicat_etude)*(evolution_hta_par_materiaux[[annee]:[annee]]=Exercice[[Exercice N]:[Exercice N]])*(evolution_hta_par_materiaux[[annee_mes]:[annee_mes]]=M$29)*(evolution_hta_par_materiaux[[lineaire_hta_almelec]:[lineaire_hta_almelec]]))</f>
        <v>4.28</v>
      </c>
      <c r="N32" s="264" cm="1">
        <f t="array" ref="N32">SUMPRODUCT((evolution_hta_par_materiaux[[client]:[client]]=syndicat_etude)*(evolution_hta_par_materiaux[[annee]:[annee]]=Exercice[[Exercice N]:[Exercice N]])*(evolution_hta_par_materiaux[[annee_mes]:[annee_mes]]=N$29)*(evolution_hta_par_materiaux[[lineaire_hta_almelec]:[lineaire_hta_almelec]]))</f>
        <v>5.79</v>
      </c>
      <c r="O32" s="264" cm="1">
        <f t="array" ref="O32">SUMPRODUCT((evolution_hta_par_materiaux[[client]:[client]]=syndicat_etude)*(evolution_hta_par_materiaux[[annee]:[annee]]=Exercice[[Exercice N]:[Exercice N]])*(evolution_hta_par_materiaux[[annee_mes]:[annee_mes]]=O$29)*(evolution_hta_par_materiaux[[lineaire_hta_almelec]:[lineaire_hta_almelec]]))</f>
        <v>2.95</v>
      </c>
      <c r="P32" s="264" cm="1">
        <f t="array" ref="P32">SUMPRODUCT((evolution_hta_par_materiaux[[client]:[client]]=syndicat_etude)*(evolution_hta_par_materiaux[[annee]:[annee]]=Exercice[[Exercice N]:[Exercice N]])*(evolution_hta_par_materiaux[[annee_mes]:[annee_mes]]=P$29)*(evolution_hta_par_materiaux[[lineaire_hta_almelec]:[lineaire_hta_almelec]]))</f>
        <v>2.27</v>
      </c>
      <c r="Q32" s="264" cm="1">
        <f t="array" ref="Q32">SUMPRODUCT((evolution_hta_par_materiaux[[client]:[client]]=syndicat_etude)*(evolution_hta_par_materiaux[[annee]:[annee]]=Exercice[[Exercice N]:[Exercice N]])*(evolution_hta_par_materiaux[[annee_mes]:[annee_mes]]=Q$29)*(evolution_hta_par_materiaux[[lineaire_hta_almelec]:[lineaire_hta_almelec]]))</f>
        <v>6.39</v>
      </c>
      <c r="R32" s="264" cm="1">
        <f t="array" ref="R32">SUMPRODUCT((evolution_hta_par_materiaux[[client]:[client]]=syndicat_etude)*(evolution_hta_par_materiaux[[annee]:[annee]]=Exercice[[Exercice N]:[Exercice N]])*(evolution_hta_par_materiaux[[annee_mes]:[annee_mes]]=R$29)*(evolution_hta_par_materiaux[[lineaire_hta_almelec]:[lineaire_hta_almelec]]))</f>
        <v>12.61</v>
      </c>
      <c r="S32" s="264" cm="1">
        <f t="array" ref="S32">SUMPRODUCT((evolution_hta_par_materiaux[[client]:[client]]=syndicat_etude)*(evolution_hta_par_materiaux[[annee]:[annee]]=Exercice[[Exercice N]:[Exercice N]])*(evolution_hta_par_materiaux[[annee_mes]:[annee_mes]]=S$29)*(evolution_hta_par_materiaux[[lineaire_hta_almelec]:[lineaire_hta_almelec]]))</f>
        <v>10.34</v>
      </c>
      <c r="T32" s="264" cm="1">
        <f t="array" ref="T32">SUMPRODUCT((evolution_hta_par_materiaux[[client]:[client]]=syndicat_etude)*(evolution_hta_par_materiaux[[annee]:[annee]]=Exercice[[Exercice N]:[Exercice N]])*(evolution_hta_par_materiaux[[annee_mes]:[annee_mes]]=T$29)*(evolution_hta_par_materiaux[[lineaire_hta_almelec]:[lineaire_hta_almelec]]))</f>
        <v>26.23</v>
      </c>
      <c r="U32" s="264" cm="1">
        <f t="array" ref="U32">SUMPRODUCT((evolution_hta_par_materiaux[[client]:[client]]=syndicat_etude)*(evolution_hta_par_materiaux[[annee]:[annee]]=Exercice[[Exercice N]:[Exercice N]])*(evolution_hta_par_materiaux[[annee_mes]:[annee_mes]]=U$29)*(evolution_hta_par_materiaux[[lineaire_hta_almelec]:[lineaire_hta_almelec]]))</f>
        <v>40.82</v>
      </c>
      <c r="V32" s="264" cm="1">
        <f t="array" ref="V32">SUMPRODUCT((evolution_hta_par_materiaux[[client]:[client]]=syndicat_etude)*(evolution_hta_par_materiaux[[annee]:[annee]]=Exercice[[Exercice N]:[Exercice N]])*(evolution_hta_par_materiaux[[annee_mes]:[annee_mes]]=V$29)*(evolution_hta_par_materiaux[[lineaire_hta_almelec]:[lineaire_hta_almelec]]))</f>
        <v>51.76</v>
      </c>
      <c r="W32" s="264" cm="1">
        <f t="array" ref="W32">SUMPRODUCT((evolution_hta_par_materiaux[[client]:[client]]=syndicat_etude)*(evolution_hta_par_materiaux[[annee]:[annee]]=Exercice[[Exercice N]:[Exercice N]])*(evolution_hta_par_materiaux[[annee_mes]:[annee_mes]]=W$29)*(evolution_hta_par_materiaux[[lineaire_hta_almelec]:[lineaire_hta_almelec]]))</f>
        <v>67.84</v>
      </c>
      <c r="X32" s="264" cm="1">
        <f t="array" ref="X32">SUMPRODUCT((evolution_hta_par_materiaux[[client]:[client]]=syndicat_etude)*(evolution_hta_par_materiaux[[annee]:[annee]]=Exercice[[Exercice N]:[Exercice N]])*(evolution_hta_par_materiaux[[annee_mes]:[annee_mes]]=X$29)*(evolution_hta_par_materiaux[[lineaire_hta_almelec]:[lineaire_hta_almelec]]))</f>
        <v>66.86</v>
      </c>
      <c r="Y32" s="264" cm="1">
        <f t="array" ref="Y32">SUMPRODUCT((evolution_hta_par_materiaux[[client]:[client]]=syndicat_etude)*(evolution_hta_par_materiaux[[annee]:[annee]]=Exercice[[Exercice N]:[Exercice N]])*(evolution_hta_par_materiaux[[annee_mes]:[annee_mes]]=Y$29)*(evolution_hta_par_materiaux[[lineaire_hta_almelec]:[lineaire_hta_almelec]]))</f>
        <v>69.72</v>
      </c>
      <c r="Z32" s="264" cm="1">
        <f t="array" ref="Z32">SUMPRODUCT((evolution_hta_par_materiaux[[client]:[client]]=syndicat_etude)*(evolution_hta_par_materiaux[[annee]:[annee]]=Exercice[[Exercice N]:[Exercice N]])*(evolution_hta_par_materiaux[[annee_mes]:[annee_mes]]=Z$29)*(evolution_hta_par_materiaux[[lineaire_hta_almelec]:[lineaire_hta_almelec]]))</f>
        <v>42.09</v>
      </c>
      <c r="AA32" s="264" cm="1">
        <f t="array" ref="AA32">SUMPRODUCT((evolution_hta_par_materiaux[[client]:[client]]=syndicat_etude)*(evolution_hta_par_materiaux[[annee]:[annee]]=Exercice[[Exercice N]:[Exercice N]])*(evolution_hta_par_materiaux[[annee_mes]:[annee_mes]]=AA$29)*(evolution_hta_par_materiaux[[lineaire_hta_almelec]:[lineaire_hta_almelec]]))</f>
        <v>40.950000000000003</v>
      </c>
      <c r="AB32" s="264" cm="1">
        <f t="array" ref="AB32">SUMPRODUCT((evolution_hta_par_materiaux[[client]:[client]]=syndicat_etude)*(evolution_hta_par_materiaux[[annee]:[annee]]=Exercice[[Exercice N]:[Exercice N]])*(evolution_hta_par_materiaux[[annee_mes]:[annee_mes]]=AB$29)*(evolution_hta_par_materiaux[[lineaire_hta_almelec]:[lineaire_hta_almelec]]))</f>
        <v>56.5</v>
      </c>
      <c r="AC32" s="264" cm="1">
        <f t="array" ref="AC32">SUMPRODUCT((evolution_hta_par_materiaux[[client]:[client]]=syndicat_etude)*(evolution_hta_par_materiaux[[annee]:[annee]]=Exercice[[Exercice N]:[Exercice N]])*(evolution_hta_par_materiaux[[annee_mes]:[annee_mes]]=AC$29)*(evolution_hta_par_materiaux[[lineaire_hta_almelec]:[lineaire_hta_almelec]]))</f>
        <v>47.82</v>
      </c>
      <c r="AD32" s="264" cm="1">
        <f t="array" ref="AD32">SUMPRODUCT((evolution_hta_par_materiaux[[client]:[client]]=syndicat_etude)*(evolution_hta_par_materiaux[[annee]:[annee]]=Exercice[[Exercice N]:[Exercice N]])*(evolution_hta_par_materiaux[[annee_mes]:[annee_mes]]=AD$29)*(evolution_hta_par_materiaux[[lineaire_hta_almelec]:[lineaire_hta_almelec]]))</f>
        <v>42.39</v>
      </c>
      <c r="AE32" s="264" cm="1">
        <f t="array" ref="AE32">SUMPRODUCT((evolution_hta_par_materiaux[[client]:[client]]=syndicat_etude)*(evolution_hta_par_materiaux[[annee]:[annee]]=Exercice[[Exercice N]:[Exercice N]])*(evolution_hta_par_materiaux[[annee_mes]:[annee_mes]]=AE$29)*(evolution_hta_par_materiaux[[lineaire_hta_almelec]:[lineaire_hta_almelec]]))</f>
        <v>63.87</v>
      </c>
      <c r="AF32" s="264" cm="1">
        <f t="array" ref="AF32">SUMPRODUCT((evolution_hta_par_materiaux[[client]:[client]]=syndicat_etude)*(evolution_hta_par_materiaux[[annee]:[annee]]=Exercice[[Exercice N]:[Exercice N]])*(evolution_hta_par_materiaux[[annee_mes]:[annee_mes]]=AF$29)*(evolution_hta_par_materiaux[[lineaire_hta_almelec]:[lineaire_hta_almelec]]))</f>
        <v>50.3</v>
      </c>
      <c r="AG32" s="264" cm="1">
        <f t="array" ref="AG32">SUMPRODUCT((evolution_hta_par_materiaux[[client]:[client]]=syndicat_etude)*(evolution_hta_par_materiaux[[annee]:[annee]]=Exercice[[Exercice N]:[Exercice N]])*(evolution_hta_par_materiaux[[annee_mes]:[annee_mes]]=AG$29)*(evolution_hta_par_materiaux[[lineaire_hta_almelec]:[lineaire_hta_almelec]]))</f>
        <v>31.29</v>
      </c>
      <c r="AH32" s="264" cm="1">
        <f t="array" ref="AH32">SUMPRODUCT((evolution_hta_par_materiaux[[client]:[client]]=syndicat_etude)*(evolution_hta_par_materiaux[[annee]:[annee]]=Exercice[[Exercice N]:[Exercice N]])*(evolution_hta_par_materiaux[[annee_mes]:[annee_mes]]=AH$29)*(evolution_hta_par_materiaux[[lineaire_hta_almelec]:[lineaire_hta_almelec]]))</f>
        <v>34.65</v>
      </c>
      <c r="AI32" s="264" cm="1">
        <f t="array" ref="AI32">SUMPRODUCT((evolution_hta_par_materiaux[[client]:[client]]=syndicat_etude)*(evolution_hta_par_materiaux[[annee]:[annee]]=Exercice[[Exercice N]:[Exercice N]])*(evolution_hta_par_materiaux[[annee_mes]:[annee_mes]]=AI$29)*(evolution_hta_par_materiaux[[lineaire_hta_almelec]:[lineaire_hta_almelec]]))</f>
        <v>25.08</v>
      </c>
      <c r="AJ32" s="264" cm="1">
        <f t="array" ref="AJ32">SUMPRODUCT((evolution_hta_par_materiaux[[client]:[client]]=syndicat_etude)*(evolution_hta_par_materiaux[[annee]:[annee]]=Exercice[[Exercice N]:[Exercice N]])*(evolution_hta_par_materiaux[[annee_mes]:[annee_mes]]=AJ$29)*(evolution_hta_par_materiaux[[lineaire_hta_almelec]:[lineaire_hta_almelec]]))</f>
        <v>43.28</v>
      </c>
      <c r="AK32" s="264" cm="1">
        <f t="array" ref="AK32">SUMPRODUCT((evolution_hta_par_materiaux[[client]:[client]]=syndicat_etude)*(evolution_hta_par_materiaux[[annee]:[annee]]=Exercice[[Exercice N]:[Exercice N]])*(evolution_hta_par_materiaux[[annee_mes]:[annee_mes]]=AK$29)*(evolution_hta_par_materiaux[[lineaire_hta_almelec]:[lineaire_hta_almelec]]))</f>
        <v>51.36</v>
      </c>
      <c r="AL32" s="264" cm="1">
        <f t="array" ref="AL32">SUMPRODUCT((evolution_hta_par_materiaux[[client]:[client]]=syndicat_etude)*(evolution_hta_par_materiaux[[annee]:[annee]]=Exercice[[Exercice N]:[Exercice N]])*(evolution_hta_par_materiaux[[annee_mes]:[annee_mes]]=AL$29)*(evolution_hta_par_materiaux[[lineaire_hta_almelec]:[lineaire_hta_almelec]]))</f>
        <v>27.42</v>
      </c>
      <c r="AM32" s="264" cm="1">
        <f t="array" ref="AM32">SUMPRODUCT((evolution_hta_par_materiaux[[client]:[client]]=syndicat_etude)*(evolution_hta_par_materiaux[[annee]:[annee]]=Exercice[[Exercice N]:[Exercice N]])*(evolution_hta_par_materiaux[[annee_mes]:[annee_mes]]=AM$29)*(evolution_hta_par_materiaux[[lineaire_hta_almelec]:[lineaire_hta_almelec]]))</f>
        <v>16.7</v>
      </c>
      <c r="AN32" s="264" cm="1">
        <f t="array" ref="AN32">SUMPRODUCT((evolution_hta_par_materiaux[[client]:[client]]=syndicat_etude)*(evolution_hta_par_materiaux[[annee]:[annee]]=Exercice[[Exercice N]:[Exercice N]])*(evolution_hta_par_materiaux[[annee_mes]:[annee_mes]]=AN$29)*(evolution_hta_par_materiaux[[lineaire_hta_almelec]:[lineaire_hta_almelec]]))</f>
        <v>57.45</v>
      </c>
      <c r="AO32" s="264" cm="1">
        <f t="array" ref="AO32">SUMPRODUCT((evolution_hta_par_materiaux[[client]:[client]]=syndicat_etude)*(evolution_hta_par_materiaux[[annee]:[annee]]=Exercice[[Exercice N]:[Exercice N]])*(evolution_hta_par_materiaux[[annee_mes]:[annee_mes]]=AO$29)*(evolution_hta_par_materiaux[[lineaire_hta_almelec]:[lineaire_hta_almelec]]))</f>
        <v>50.6</v>
      </c>
      <c r="AP32" s="264" cm="1">
        <f t="array" ref="AP32">SUMPRODUCT((evolution_hta_par_materiaux[[client]:[client]]=syndicat_etude)*(evolution_hta_par_materiaux[[annee]:[annee]]=Exercice[[Exercice N]:[Exercice N]])*(evolution_hta_par_materiaux[[annee_mes]:[annee_mes]]=AP$29)*(evolution_hta_par_materiaux[[lineaire_hta_almelec]:[lineaire_hta_almelec]]))</f>
        <v>83.86</v>
      </c>
      <c r="AQ32" s="264" cm="1">
        <f t="array" ref="AQ32">SUMPRODUCT((evolution_hta_par_materiaux[[client]:[client]]=syndicat_etude)*(evolution_hta_par_materiaux[[annee]:[annee]]=Exercice[[Exercice N]:[Exercice N]])*(evolution_hta_par_materiaux[[annee_mes]:[annee_mes]]=AQ$29)*(evolution_hta_par_materiaux[[lineaire_hta_almelec]:[lineaire_hta_almelec]]))</f>
        <v>88.98</v>
      </c>
      <c r="AR32" s="264" cm="1">
        <f t="array" ref="AR32">SUMPRODUCT((evolution_hta_par_materiaux[[client]:[client]]=syndicat_etude)*(evolution_hta_par_materiaux[[annee]:[annee]]=Exercice[[Exercice N]:[Exercice N]])*(evolution_hta_par_materiaux[[annee_mes]:[annee_mes]]=AR$29)*(evolution_hta_par_materiaux[[lineaire_hta_almelec]:[lineaire_hta_almelec]]))</f>
        <v>57.15</v>
      </c>
      <c r="AS32" s="264" cm="1">
        <f t="array" ref="AS32">SUMPRODUCT((evolution_hta_par_materiaux[[client]:[client]]=syndicat_etude)*(evolution_hta_par_materiaux[[annee]:[annee]]=Exercice[[Exercice N]:[Exercice N]])*(evolution_hta_par_materiaux[[annee_mes]:[annee_mes]]=AS$29)*(evolution_hta_par_materiaux[[lineaire_hta_almelec]:[lineaire_hta_almelec]]))</f>
        <v>97.26</v>
      </c>
      <c r="AT32" s="264" cm="1">
        <f t="array" ref="AT32">SUMPRODUCT((evolution_hta_par_materiaux[[client]:[client]]=syndicat_etude)*(evolution_hta_par_materiaux[[annee]:[annee]]=Exercice[[Exercice N]:[Exercice N]])*(evolution_hta_par_materiaux[[annee_mes]:[annee_mes]]=AT$29)*(evolution_hta_par_materiaux[[lineaire_hta_almelec]:[lineaire_hta_almelec]]))</f>
        <v>166.32</v>
      </c>
      <c r="AU32" s="264" cm="1">
        <f t="array" ref="AU32">SUMPRODUCT((evolution_hta_par_materiaux[[client]:[client]]=syndicat_etude)*(evolution_hta_par_materiaux[[annee]:[annee]]=Exercice[[Exercice N]:[Exercice N]])*(evolution_hta_par_materiaux[[annee_mes]:[annee_mes]]=AU$29)*(evolution_hta_par_materiaux[[lineaire_hta_almelec]:[lineaire_hta_almelec]]))</f>
        <v>131.51</v>
      </c>
      <c r="AV32" s="264" cm="1">
        <f t="array" ref="AV32">SUMPRODUCT((evolution_hta_par_materiaux[[client]:[client]]=syndicat_etude)*(evolution_hta_par_materiaux[[annee]:[annee]]=Exercice[[Exercice N]:[Exercice N]])*(evolution_hta_par_materiaux[[annee_mes]:[annee_mes]]=AV$29)*(evolution_hta_par_materiaux[[lineaire_hta_almelec]:[lineaire_hta_almelec]]))</f>
        <v>93.4</v>
      </c>
      <c r="AW32" s="264" cm="1">
        <f t="array" ref="AW32">SUMPRODUCT((evolution_hta_par_materiaux[[client]:[client]]=syndicat_etude)*(evolution_hta_par_materiaux[[annee]:[annee]]=Exercice[[Exercice N]:[Exercice N]])*(evolution_hta_par_materiaux[[annee_mes]:[annee_mes]]=AW$29)*(evolution_hta_par_materiaux[[lineaire_hta_almelec]:[lineaire_hta_almelec]]))</f>
        <v>108.12</v>
      </c>
      <c r="AX32" s="264" cm="1">
        <f t="array" ref="AX32">SUMPRODUCT((evolution_hta_par_materiaux[[client]:[client]]=syndicat_etude)*(evolution_hta_par_materiaux[[annee]:[annee]]=Exercice[[Exercice N]:[Exercice N]])*(evolution_hta_par_materiaux[[annee_mes]:[annee_mes]]=AX$29)*(evolution_hta_par_materiaux[[lineaire_hta_almelec]:[lineaire_hta_almelec]]))</f>
        <v>98.14</v>
      </c>
      <c r="AY32" s="264" cm="1">
        <f t="array" ref="AY32">SUMPRODUCT((evolution_hta_par_materiaux[[client]:[client]]=syndicat_etude)*(evolution_hta_par_materiaux[[annee]:[annee]]=Exercice[[Exercice N]:[Exercice N]])*(evolution_hta_par_materiaux[[annee_mes]:[annee_mes]]=AY$29)*(evolution_hta_par_materiaux[[lineaire_hta_almelec]:[lineaire_hta_almelec]]))</f>
        <v>36.659999999999997</v>
      </c>
      <c r="AZ32" s="264" cm="1">
        <f t="array" ref="AZ32">SUMPRODUCT((evolution_hta_par_materiaux[[client]:[client]]=syndicat_etude)*(evolution_hta_par_materiaux[[annee]:[annee]]=Exercice[[Exercice N]:[Exercice N]])*(evolution_hta_par_materiaux[[annee_mes]:[annee_mes]]=AZ$29)*(evolution_hta_par_materiaux[[lineaire_hta_almelec]:[lineaire_hta_almelec]]))</f>
        <v>17.739999999999998</v>
      </c>
      <c r="BA32" s="264" cm="1">
        <f t="array" ref="BA32">SUMPRODUCT((evolution_hta_par_materiaux[[client]:[client]]=syndicat_etude)*(evolution_hta_par_materiaux[[annee]:[annee]]=Exercice[[Exercice N]:[Exercice N]])*(evolution_hta_par_materiaux[[annee_mes]:[annee_mes]]=BA$29)*(evolution_hta_par_materiaux[[lineaire_hta_almelec]:[lineaire_hta_almelec]]))</f>
        <v>15.78</v>
      </c>
      <c r="BB32" s="264" cm="1">
        <f t="array" ref="BB32">SUMPRODUCT((evolution_hta_par_materiaux[[client]:[client]]=syndicat_etude)*(evolution_hta_par_materiaux[[annee]:[annee]]=Exercice[[Exercice N]:[Exercice N]])*(evolution_hta_par_materiaux[[annee_mes]:[annee_mes]]=BB$29)*(evolution_hta_par_materiaux[[lineaire_hta_almelec]:[lineaire_hta_almelec]]))</f>
        <v>16.48</v>
      </c>
      <c r="BC32" s="264" cm="1">
        <f t="array" ref="BC32">SUMPRODUCT((evolution_hta_par_materiaux[[client]:[client]]=syndicat_etude)*(evolution_hta_par_materiaux[[annee]:[annee]]=Exercice[[Exercice N]:[Exercice N]])*(evolution_hta_par_materiaux[[annee_mes]:[annee_mes]]=BC$29)*(evolution_hta_par_materiaux[[lineaire_hta_almelec]:[lineaire_hta_almelec]]))</f>
        <v>5.95</v>
      </c>
      <c r="BD32" s="264" cm="1">
        <f t="array" ref="BD32">SUMPRODUCT((evolution_hta_par_materiaux[[client]:[client]]=syndicat_etude)*(evolution_hta_par_materiaux[[annee]:[annee]]=Exercice[[Exercice N]:[Exercice N]])*(evolution_hta_par_materiaux[[annee_mes]:[annee_mes]]=BD$29)*(evolution_hta_par_materiaux[[lineaire_hta_almelec]:[lineaire_hta_almelec]]))</f>
        <v>5.46</v>
      </c>
      <c r="BE32" s="264" cm="1">
        <f t="array" ref="BE32">SUMPRODUCT((evolution_hta_par_materiaux[[client]:[client]]=syndicat_etude)*(evolution_hta_par_materiaux[[annee]:[annee]]=Exercice[[Exercice N]:[Exercice N]])*(evolution_hta_par_materiaux[[annee_mes]:[annee_mes]]=BE$29)*(evolution_hta_par_materiaux[[lineaire_hta_almelec]:[lineaire_hta_almelec]]))</f>
        <v>6.13</v>
      </c>
      <c r="BF32" s="264" cm="1">
        <f t="array" ref="BF32">SUMPRODUCT((evolution_hta_par_materiaux[[client]:[client]]=syndicat_etude)*(evolution_hta_par_materiaux[[annee]:[annee]]=Exercice[[Exercice N]:[Exercice N]])*(evolution_hta_par_materiaux[[annee_mes]:[annee_mes]]=BF$29)*(evolution_hta_par_materiaux[[lineaire_hta_almelec]:[lineaire_hta_almelec]]))</f>
        <v>13.18</v>
      </c>
      <c r="BG32" s="264" cm="1">
        <f t="array" ref="BG32">SUMPRODUCT((evolution_hta_par_materiaux[[client]:[client]]=syndicat_etude)*(evolution_hta_par_materiaux[[annee]:[annee]]=Exercice[[Exercice N]:[Exercice N]])*(evolution_hta_par_materiaux[[annee_mes]:[annee_mes]]=BG$29)*(evolution_hta_par_materiaux[[lineaire_hta_almelec]:[lineaire_hta_almelec]]))</f>
        <v>2.65</v>
      </c>
      <c r="BH32" s="264" cm="1">
        <f t="array" ref="BH32">SUMPRODUCT((evolution_hta_par_materiaux[[client]:[client]]=syndicat_etude)*(evolution_hta_par_materiaux[[annee]:[annee]]=Exercice[[Exercice N]:[Exercice N]])*(evolution_hta_par_materiaux[[annee_mes]:[annee_mes]]=BH$29)*(evolution_hta_par_materiaux[[lineaire_hta_almelec]:[lineaire_hta_almelec]]))</f>
        <v>1.72</v>
      </c>
      <c r="BI32" s="264" cm="1">
        <f t="array" ref="BI32">SUMPRODUCT((evolution_hta_par_materiaux[[client]:[client]]=syndicat_etude)*(evolution_hta_par_materiaux[[annee]:[annee]]=Exercice[[Exercice N]:[Exercice N]])*(evolution_hta_par_materiaux[[annee_mes]:[annee_mes]]=BI$29)*(evolution_hta_par_materiaux[[lineaire_hta_almelec]:[lineaire_hta_almelec]]))</f>
        <v>1.02</v>
      </c>
      <c r="BJ32" s="264" cm="1">
        <f t="array" ref="BJ32">SUMPRODUCT((evolution_hta_par_materiaux[[client]:[client]]=syndicat_etude)*(evolution_hta_par_materiaux[[annee]:[annee]]=Exercice[[Exercice N]:[Exercice N]])*(evolution_hta_par_materiaux[[annee_mes]:[annee_mes]]=BJ$29)*(evolution_hta_par_materiaux[[lineaire_hta_almelec]:[lineaire_hta_almelec]]))</f>
        <v>1.2</v>
      </c>
      <c r="BK32" s="264" cm="1">
        <f t="array" ref="BK32">SUMPRODUCT((evolution_hta_par_materiaux[[client]:[client]]=syndicat_etude)*(evolution_hta_par_materiaux[[annee]:[annee]]=Exercice[[Exercice N]:[Exercice N]])*(evolution_hta_par_materiaux[[annee_mes]:[annee_mes]]=BK$29)*(evolution_hta_par_materiaux[[lineaire_hta_almelec]:[lineaire_hta_almelec]]))</f>
        <v>2.35</v>
      </c>
      <c r="BL32" s="264" cm="1">
        <f t="array" ref="BL32">SUMPRODUCT((evolution_hta_par_materiaux[[client]:[client]]=syndicat_etude)*(evolution_hta_par_materiaux[[annee]:[annee]]=Exercice[[Exercice N]:[Exercice N]])*(evolution_hta_par_materiaux[[annee_mes]:[annee_mes]]=BL$29)*(evolution_hta_par_materiaux[[lineaire_hta_almelec]:[lineaire_hta_almelec]]))</f>
        <v>1.54</v>
      </c>
      <c r="BM32" s="264" cm="1">
        <f t="array" ref="BM32">SUMPRODUCT((evolution_hta_par_materiaux[[client]:[client]]=syndicat_etude)*(evolution_hta_par_materiaux[[annee]:[annee]]=Exercice[[Exercice N]:[Exercice N]])*(evolution_hta_par_materiaux[[annee_mes]:[annee_mes]]=BM$29)*(evolution_hta_par_materiaux[[lineaire_hta_almelec]:[lineaire_hta_almelec]]))</f>
        <v>1.27</v>
      </c>
      <c r="BN32" s="264" cm="1">
        <f t="array" ref="BN32">SUMPRODUCT((evolution_hta_par_materiaux[[client]:[client]]=syndicat_etude)*(evolution_hta_par_materiaux[[annee]:[annee]]=Exercice[[Exercice N]:[Exercice N]])*(evolution_hta_par_materiaux[[annee_mes]:[annee_mes]]=BN$29)*(evolution_hta_par_materiaux[[lineaire_hta_almelec]:[lineaire_hta_almelec]]))</f>
        <v>1.78</v>
      </c>
      <c r="BO32" s="264" cm="1">
        <f t="array" ref="BO32">SUMPRODUCT((evolution_hta_par_materiaux[[client]:[client]]=syndicat_etude)*(evolution_hta_par_materiaux[[annee]:[annee]]=Exercice[[Exercice N]:[Exercice N]])*(evolution_hta_par_materiaux[[annee_mes]:[annee_mes]]=BO$29)*(evolution_hta_par_materiaux[[lineaire_hta_almelec]:[lineaire_hta_almelec]]))</f>
        <v>0.15</v>
      </c>
      <c r="BP32" s="264" cm="1">
        <f t="array" ref="BP32">SUMPRODUCT((evolution_hta_par_materiaux[[client]:[client]]=syndicat_etude)*(evolution_hta_par_materiaux[[annee]:[annee]]=Exercice[[Exercice N]:[Exercice N]])*(evolution_hta_par_materiaux[[annee_mes]:[annee_mes]]=BP$29)*(evolution_hta_par_materiaux[[lineaire_hta_almelec]:[lineaire_hta_almelec]]))</f>
        <v>0.87</v>
      </c>
      <c r="BQ32" s="264" cm="1">
        <f t="array" ref="BQ32">SUMPRODUCT((evolution_hta_par_materiaux[[client]:[client]]=syndicat_etude)*(evolution_hta_par_materiaux[[annee]:[annee]]=Exercice[[Exercice N]:[Exercice N]])*(evolution_hta_par_materiaux[[annee_mes]:[annee_mes]]=BQ$29)*(evolution_hta_par_materiaux[[lineaire_hta_almelec]:[lineaire_hta_almelec]]))</f>
        <v>0.27</v>
      </c>
      <c r="BR32" s="264" cm="1">
        <f t="array" ref="BR32">SUMPRODUCT((evolution_hta_par_materiaux[[client]:[client]]=syndicat_etude)*(evolution_hta_par_materiaux[[annee]:[annee]]=Exercice[[Exercice N]:[Exercice N]])*(evolution_hta_par_materiaux[[annee_mes]:[annee_mes]]=BR$29)*(evolution_hta_par_materiaux[[lineaire_hta_almelec]:[lineaire_hta_almelec]]))</f>
        <v>0.42</v>
      </c>
      <c r="BS32" s="264" cm="1">
        <f t="array" ref="BS32">SUMPRODUCT((evolution_hta_par_materiaux[[client]:[client]]=syndicat_etude)*(evolution_hta_par_materiaux[[annee]:[annee]]=Exercice[[Exercice N]:[Exercice N]])*(evolution_hta_par_materiaux[[annee_mes]:[annee_mes]]=BS$29)*(evolution_hta_par_materiaux[[lineaire_hta_almelec]:[lineaire_hta_almelec]]))</f>
        <v>0.73</v>
      </c>
      <c r="BT32" s="264" cm="1">
        <f t="array" ref="BT32">SUMPRODUCT((evolution_hta_par_materiaux[[client]:[client]]=syndicat_etude)*(evolution_hta_par_materiaux[[annee]:[annee]]=Exercice[[Exercice N]:[Exercice N]])*(evolution_hta_par_materiaux[[annee_mes]:[annee_mes]]=BT$29)*(evolution_hta_par_materiaux[[lineaire_hta_almelec]:[lineaire_hta_almelec]]))</f>
        <v>0.28000000000000003</v>
      </c>
      <c r="BU32" s="264" cm="1">
        <f t="array" ref="BU32">SUMPRODUCT((evolution_hta_par_materiaux[[client]:[client]]=syndicat_etude)*(evolution_hta_par_materiaux[[annee]:[annee]]=Exercice[[Exercice N]:[Exercice N]])*(evolution_hta_par_materiaux[[annee_mes]:[annee_mes]]=BU$29)*(evolution_hta_par_materiaux[[lineaire_hta_almelec]:[lineaire_hta_almelec]]))</f>
        <v>0.92</v>
      </c>
      <c r="BV32" s="264" cm="1">
        <f t="array" ref="BV32">SUMPRODUCT((evolution_hta_par_materiaux[[client]:[client]]=syndicat_etude)*(evolution_hta_par_materiaux[[annee]:[annee]]=Exercice[[Exercice N]:[Exercice N]])*(evolution_hta_par_materiaux[[annee_mes]:[annee_mes]]=BV$29)*(evolution_hta_par_materiaux[[lineaire_hta_almelec]:[lineaire_hta_almelec]]))</f>
        <v>0.35</v>
      </c>
      <c r="BW32" s="264" cm="1">
        <f t="array" ref="BW32">SUMPRODUCT((evolution_hta_par_materiaux[[client]:[client]]=syndicat_etude)*(evolution_hta_par_materiaux[[annee]:[annee]]=Exercice[[Exercice N]:[Exercice N]])*(evolution_hta_par_materiaux[[annee_mes]:[annee_mes]]=BW$29)*(evolution_hta_par_materiaux[[lineaire_hta_almelec]:[lineaire_hta_almelec]]))</f>
        <v>0.23</v>
      </c>
      <c r="BX32" s="264" cm="1">
        <f t="array" ref="BX32">SUMPRODUCT((evolution_hta_par_materiaux[[client]:[client]]=syndicat_etude)*(evolution_hta_par_materiaux[[annee]:[annee]]=Exercice[[Exercice N]:[Exercice N]])*(evolution_hta_par_materiaux[[annee_mes]:[annee_mes]]=BX$29)*(evolution_hta_par_materiaux[[lineaire_hta_almelec]:[lineaire_hta_almelec]]))</f>
        <v>2.19</v>
      </c>
      <c r="BY32" s="264" cm="1">
        <f t="array" ref="BY32">SUMPRODUCT((evolution_hta_par_materiaux[[client]:[client]]=syndicat_etude)*(evolution_hta_par_materiaux[[annee]:[annee]]=Exercice[[Exercice N]:[Exercice N]])*(evolution_hta_par_materiaux[[annee_mes]:[annee_mes]]=BY$29)*(evolution_hta_par_materiaux[[lineaire_hta_almelec]:[lineaire_hta_almelec]]))</f>
        <v>0.25</v>
      </c>
      <c r="BZ32" s="264" cm="1">
        <f t="array" ref="BZ32">SUMPRODUCT((evolution_hta_par_materiaux[[client]:[client]]=syndicat_etude)*(evolution_hta_par_materiaux[[annee]:[annee]]=Exercice[[Exercice N]:[Exercice N]])*(evolution_hta_par_materiaux[[annee_mes]:[annee_mes]]=BZ$29)*(evolution_hta_par_materiaux[[lineaire_hta_almelec]:[lineaire_hta_almelec]]))</f>
        <v>0</v>
      </c>
      <c r="CA32" s="264" cm="1">
        <f t="array" ref="CA32">SUMPRODUCT((evolution_hta_par_materiaux[[client]:[client]]=syndicat_etude)*(evolution_hta_par_materiaux[[annee]:[annee]]=Exercice[[Exercice N]:[Exercice N]])*(evolution_hta_par_materiaux[[annee_mes]:[annee_mes]]=CA$29)*(evolution_hta_par_materiaux[[lineaire_hta_almelec]:[lineaire_hta_almelec]]))</f>
        <v>0</v>
      </c>
      <c r="CB32" s="264" cm="1">
        <f t="array" ref="CB32">SUMPRODUCT((evolution_hta_par_materiaux[[client]:[client]]=syndicat_etude)*(evolution_hta_par_materiaux[[annee]:[annee]]=Exercice[[Exercice N]:[Exercice N]])*(evolution_hta_par_materiaux[[annee_mes]:[annee_mes]]=CB$29)*(evolution_hta_par_materiaux[[lineaire_hta_almelec]:[lineaire_hta_almelec]]))</f>
        <v>0.01</v>
      </c>
      <c r="CC32" s="426" cm="1">
        <f t="array" ref="CC32">SUMPRODUCT((evolution_hta_par_materiaux[[client]:[client]]=syndicat_etude)*(evolution_hta_par_materiaux[[annee]:[annee]]=Exercice[[Exercice N]:[Exercice N]])*(evolution_hta_par_materiaux[[annee_mes]:[annee_mes]]=CC$29)*(evolution_hta_par_materiaux[[lineaire_hta_almelec]:[lineaire_hta_almelec]]))</f>
        <v>0</v>
      </c>
      <c r="CD32" s="406"/>
      <c r="CE32" s="406"/>
      <c r="CF32" s="406"/>
    </row>
    <row r="33" spans="2:84" x14ac:dyDescent="0.25">
      <c r="B33" s="429" t="s">
        <v>1185</v>
      </c>
      <c r="C33" s="264" cm="1">
        <f t="array" ref="C33">SUMPRODUCT((evolution_hta_par_materiaux[[client]:[client]]=syndicat_etude)*(evolution_hta_par_materiaux[[annee]:[annee]]=Exercice[[Exercice N]:[Exercice N]])*(evolution_hta_par_materiaux[[annee_mes]:[annee_mes]]&lt;1946)*(evolution_hta_par_materiaux[[lineaire_hta_cuivre]:[lineaire_hta_cuivre]]))</f>
        <v>0</v>
      </c>
      <c r="D33" s="264" cm="1">
        <f t="array" ref="D33">SUMPRODUCT((evolution_hta_par_materiaux[[client]:[client]]=syndicat_etude)*(evolution_hta_par_materiaux[[annee]:[annee]]=Exercice[[Exercice N]:[Exercice N]])*(evolution_hta_par_materiaux[[annee_mes]:[annee_mes]]=D$29)*(evolution_hta_par_materiaux[[lineaire_hta_cuivre]:[lineaire_hta_cuivre]]))</f>
        <v>0.48</v>
      </c>
      <c r="E33" s="264" cm="1">
        <f t="array" ref="E33">SUMPRODUCT((evolution_hta_par_materiaux[[client]:[client]]=syndicat_etude)*(evolution_hta_par_materiaux[[annee]:[annee]]=Exercice[[Exercice N]:[Exercice N]])*(evolution_hta_par_materiaux[[annee_mes]:[annee_mes]]=E$29)*(evolution_hta_par_materiaux[[lineaire_hta_cuivre]:[lineaire_hta_cuivre]]))</f>
        <v>0</v>
      </c>
      <c r="F33" s="264" cm="1">
        <f t="array" ref="F33">SUMPRODUCT((evolution_hta_par_materiaux[[client]:[client]]=syndicat_etude)*(evolution_hta_par_materiaux[[annee]:[annee]]=Exercice[[Exercice N]:[Exercice N]])*(evolution_hta_par_materiaux[[annee_mes]:[annee_mes]]=F$29)*(evolution_hta_par_materiaux[[lineaire_hta_cuivre]:[lineaire_hta_cuivre]]))</f>
        <v>0.43</v>
      </c>
      <c r="G33" s="264" cm="1">
        <f t="array" ref="G33">SUMPRODUCT((evolution_hta_par_materiaux[[client]:[client]]=syndicat_etude)*(evolution_hta_par_materiaux[[annee]:[annee]]=Exercice[[Exercice N]:[Exercice N]])*(evolution_hta_par_materiaux[[annee_mes]:[annee_mes]]=G$29)*(evolution_hta_par_materiaux[[lineaire_hta_cuivre]:[lineaire_hta_cuivre]]))</f>
        <v>0</v>
      </c>
      <c r="H33" s="264" cm="1">
        <f t="array" ref="H33">SUMPRODUCT((evolution_hta_par_materiaux[[client]:[client]]=syndicat_etude)*(evolution_hta_par_materiaux[[annee]:[annee]]=Exercice[[Exercice N]:[Exercice N]])*(evolution_hta_par_materiaux[[annee_mes]:[annee_mes]]=H$29)*(evolution_hta_par_materiaux[[lineaire_hta_cuivre]:[lineaire_hta_cuivre]]))</f>
        <v>0.82</v>
      </c>
      <c r="I33" s="264" cm="1">
        <f t="array" ref="I33">SUMPRODUCT((evolution_hta_par_materiaux[[client]:[client]]=syndicat_etude)*(evolution_hta_par_materiaux[[annee]:[annee]]=Exercice[[Exercice N]:[Exercice N]])*(evolution_hta_par_materiaux[[annee_mes]:[annee_mes]]=I$29)*(evolution_hta_par_materiaux[[lineaire_hta_cuivre]:[lineaire_hta_cuivre]]))</f>
        <v>0.16</v>
      </c>
      <c r="J33" s="264" cm="1">
        <f t="array" ref="J33">SUMPRODUCT((evolution_hta_par_materiaux[[client]:[client]]=syndicat_etude)*(evolution_hta_par_materiaux[[annee]:[annee]]=Exercice[[Exercice N]:[Exercice N]])*(evolution_hta_par_materiaux[[annee_mes]:[annee_mes]]=J$29)*(evolution_hta_par_materiaux[[lineaire_hta_cuivre]:[lineaire_hta_cuivre]]))</f>
        <v>0</v>
      </c>
      <c r="K33" s="264" cm="1">
        <f t="array" ref="K33">SUMPRODUCT((evolution_hta_par_materiaux[[client]:[client]]=syndicat_etude)*(evolution_hta_par_materiaux[[annee]:[annee]]=Exercice[[Exercice N]:[Exercice N]])*(evolution_hta_par_materiaux[[annee_mes]:[annee_mes]]=K$29)*(evolution_hta_par_materiaux[[lineaire_hta_cuivre]:[lineaire_hta_cuivre]]))</f>
        <v>0</v>
      </c>
      <c r="L33" s="264" cm="1">
        <f t="array" ref="L33">SUMPRODUCT((evolution_hta_par_materiaux[[client]:[client]]=syndicat_etude)*(evolution_hta_par_materiaux[[annee]:[annee]]=Exercice[[Exercice N]:[Exercice N]])*(evolution_hta_par_materiaux[[annee_mes]:[annee_mes]]=L$29)*(evolution_hta_par_materiaux[[lineaire_hta_cuivre]:[lineaire_hta_cuivre]]))</f>
        <v>0.25</v>
      </c>
      <c r="M33" s="264" cm="1">
        <f t="array" ref="M33">SUMPRODUCT((evolution_hta_par_materiaux[[client]:[client]]=syndicat_etude)*(evolution_hta_par_materiaux[[annee]:[annee]]=Exercice[[Exercice N]:[Exercice N]])*(evolution_hta_par_materiaux[[annee_mes]:[annee_mes]]=M$29)*(evolution_hta_par_materiaux[[lineaire_hta_cuivre]:[lineaire_hta_cuivre]]))</f>
        <v>0</v>
      </c>
      <c r="N33" s="264" cm="1">
        <f t="array" ref="N33">SUMPRODUCT((evolution_hta_par_materiaux[[client]:[client]]=syndicat_etude)*(evolution_hta_par_materiaux[[annee]:[annee]]=Exercice[[Exercice N]:[Exercice N]])*(evolution_hta_par_materiaux[[annee_mes]:[annee_mes]]=N$29)*(evolution_hta_par_materiaux[[lineaire_hta_cuivre]:[lineaire_hta_cuivre]]))</f>
        <v>1.21</v>
      </c>
      <c r="O33" s="264" cm="1">
        <f t="array" ref="O33">SUMPRODUCT((evolution_hta_par_materiaux[[client]:[client]]=syndicat_etude)*(evolution_hta_par_materiaux[[annee]:[annee]]=Exercice[[Exercice N]:[Exercice N]])*(evolution_hta_par_materiaux[[annee_mes]:[annee_mes]]=O$29)*(evolution_hta_par_materiaux[[lineaire_hta_cuivre]:[lineaire_hta_cuivre]]))</f>
        <v>1.85</v>
      </c>
      <c r="P33" s="264" cm="1">
        <f t="array" ref="P33">SUMPRODUCT((evolution_hta_par_materiaux[[client]:[client]]=syndicat_etude)*(evolution_hta_par_materiaux[[annee]:[annee]]=Exercice[[Exercice N]:[Exercice N]])*(evolution_hta_par_materiaux[[annee_mes]:[annee_mes]]=P$29)*(evolution_hta_par_materiaux[[lineaire_hta_cuivre]:[lineaire_hta_cuivre]]))</f>
        <v>1.1200000000000001</v>
      </c>
      <c r="Q33" s="264" cm="1">
        <f t="array" ref="Q33">SUMPRODUCT((evolution_hta_par_materiaux[[client]:[client]]=syndicat_etude)*(evolution_hta_par_materiaux[[annee]:[annee]]=Exercice[[Exercice N]:[Exercice N]])*(evolution_hta_par_materiaux[[annee_mes]:[annee_mes]]=Q$29)*(evolution_hta_par_materiaux[[lineaire_hta_cuivre]:[lineaire_hta_cuivre]]))</f>
        <v>1.96</v>
      </c>
      <c r="R33" s="264" cm="1">
        <f t="array" ref="R33">SUMPRODUCT((evolution_hta_par_materiaux[[client]:[client]]=syndicat_etude)*(evolution_hta_par_materiaux[[annee]:[annee]]=Exercice[[Exercice N]:[Exercice N]])*(evolution_hta_par_materiaux[[annee_mes]:[annee_mes]]=R$29)*(evolution_hta_par_materiaux[[lineaire_hta_cuivre]:[lineaire_hta_cuivre]]))</f>
        <v>0.32</v>
      </c>
      <c r="S33" s="264" cm="1">
        <f t="array" ref="S33">SUMPRODUCT((evolution_hta_par_materiaux[[client]:[client]]=syndicat_etude)*(evolution_hta_par_materiaux[[annee]:[annee]]=Exercice[[Exercice N]:[Exercice N]])*(evolution_hta_par_materiaux[[annee_mes]:[annee_mes]]=S$29)*(evolution_hta_par_materiaux[[lineaire_hta_cuivre]:[lineaire_hta_cuivre]]))</f>
        <v>4.58</v>
      </c>
      <c r="T33" s="264" cm="1">
        <f t="array" ref="T33">SUMPRODUCT((evolution_hta_par_materiaux[[client]:[client]]=syndicat_etude)*(evolution_hta_par_materiaux[[annee]:[annee]]=Exercice[[Exercice N]:[Exercice N]])*(evolution_hta_par_materiaux[[annee_mes]:[annee_mes]]=T$29)*(evolution_hta_par_materiaux[[lineaire_hta_cuivre]:[lineaire_hta_cuivre]]))</f>
        <v>0.08</v>
      </c>
      <c r="U33" s="264" cm="1">
        <f t="array" ref="U33">SUMPRODUCT((evolution_hta_par_materiaux[[client]:[client]]=syndicat_etude)*(evolution_hta_par_materiaux[[annee]:[annee]]=Exercice[[Exercice N]:[Exercice N]])*(evolution_hta_par_materiaux[[annee_mes]:[annee_mes]]=U$29)*(evolution_hta_par_materiaux[[lineaire_hta_cuivre]:[lineaire_hta_cuivre]]))</f>
        <v>0.57999999999999996</v>
      </c>
      <c r="V33" s="264" cm="1">
        <f t="array" ref="V33">SUMPRODUCT((evolution_hta_par_materiaux[[client]:[client]]=syndicat_etude)*(evolution_hta_par_materiaux[[annee]:[annee]]=Exercice[[Exercice N]:[Exercice N]])*(evolution_hta_par_materiaux[[annee_mes]:[annee_mes]]=V$29)*(evolution_hta_par_materiaux[[lineaire_hta_cuivre]:[lineaire_hta_cuivre]]))</f>
        <v>0.72</v>
      </c>
      <c r="W33" s="264" cm="1">
        <f t="array" ref="W33">SUMPRODUCT((evolution_hta_par_materiaux[[client]:[client]]=syndicat_etude)*(evolution_hta_par_materiaux[[annee]:[annee]]=Exercice[[Exercice N]:[Exercice N]])*(evolution_hta_par_materiaux[[annee_mes]:[annee_mes]]=W$29)*(evolution_hta_par_materiaux[[lineaire_hta_cuivre]:[lineaire_hta_cuivre]]))</f>
        <v>0.55000000000000004</v>
      </c>
      <c r="X33" s="264" cm="1">
        <f t="array" ref="X33">SUMPRODUCT((evolution_hta_par_materiaux[[client]:[client]]=syndicat_etude)*(evolution_hta_par_materiaux[[annee]:[annee]]=Exercice[[Exercice N]:[Exercice N]])*(evolution_hta_par_materiaux[[annee_mes]:[annee_mes]]=X$29)*(evolution_hta_par_materiaux[[lineaire_hta_cuivre]:[lineaire_hta_cuivre]]))</f>
        <v>2.5099999999999998</v>
      </c>
      <c r="Y33" s="264" cm="1">
        <f t="array" ref="Y33">SUMPRODUCT((evolution_hta_par_materiaux[[client]:[client]]=syndicat_etude)*(evolution_hta_par_materiaux[[annee]:[annee]]=Exercice[[Exercice N]:[Exercice N]])*(evolution_hta_par_materiaux[[annee_mes]:[annee_mes]]=Y$29)*(evolution_hta_par_materiaux[[lineaire_hta_cuivre]:[lineaire_hta_cuivre]]))</f>
        <v>0.8</v>
      </c>
      <c r="Z33" s="264" cm="1">
        <f t="array" ref="Z33">SUMPRODUCT((evolution_hta_par_materiaux[[client]:[client]]=syndicat_etude)*(evolution_hta_par_materiaux[[annee]:[annee]]=Exercice[[Exercice N]:[Exercice N]])*(evolution_hta_par_materiaux[[annee_mes]:[annee_mes]]=Z$29)*(evolution_hta_par_materiaux[[lineaire_hta_cuivre]:[lineaire_hta_cuivre]]))</f>
        <v>7.0000000000000007E-2</v>
      </c>
      <c r="AA33" s="264" cm="1">
        <f t="array" ref="AA33">SUMPRODUCT((evolution_hta_par_materiaux[[client]:[client]]=syndicat_etude)*(evolution_hta_par_materiaux[[annee]:[annee]]=Exercice[[Exercice N]:[Exercice N]])*(evolution_hta_par_materiaux[[annee_mes]:[annee_mes]]=AA$29)*(evolution_hta_par_materiaux[[lineaire_hta_cuivre]:[lineaire_hta_cuivre]]))</f>
        <v>0</v>
      </c>
      <c r="AB33" s="264" cm="1">
        <f t="array" ref="AB33">SUMPRODUCT((evolution_hta_par_materiaux[[client]:[client]]=syndicat_etude)*(evolution_hta_par_materiaux[[annee]:[annee]]=Exercice[[Exercice N]:[Exercice N]])*(evolution_hta_par_materiaux[[annee_mes]:[annee_mes]]=AB$29)*(evolution_hta_par_materiaux[[lineaire_hta_cuivre]:[lineaire_hta_cuivre]]))</f>
        <v>4.08</v>
      </c>
      <c r="AC33" s="264" cm="1">
        <f t="array" ref="AC33">SUMPRODUCT((evolution_hta_par_materiaux[[client]:[client]]=syndicat_etude)*(evolution_hta_par_materiaux[[annee]:[annee]]=Exercice[[Exercice N]:[Exercice N]])*(evolution_hta_par_materiaux[[annee_mes]:[annee_mes]]=AC$29)*(evolution_hta_par_materiaux[[lineaire_hta_cuivre]:[lineaire_hta_cuivre]]))</f>
        <v>0.1</v>
      </c>
      <c r="AD33" s="264" cm="1">
        <f t="array" ref="AD33">SUMPRODUCT((evolution_hta_par_materiaux[[client]:[client]]=syndicat_etude)*(evolution_hta_par_materiaux[[annee]:[annee]]=Exercice[[Exercice N]:[Exercice N]])*(evolution_hta_par_materiaux[[annee_mes]:[annee_mes]]=AD$29)*(evolution_hta_par_materiaux[[lineaire_hta_cuivre]:[lineaire_hta_cuivre]]))</f>
        <v>0.03</v>
      </c>
      <c r="AE33" s="264" cm="1">
        <f t="array" ref="AE33">SUMPRODUCT((evolution_hta_par_materiaux[[client]:[client]]=syndicat_etude)*(evolution_hta_par_materiaux[[annee]:[annee]]=Exercice[[Exercice N]:[Exercice N]])*(evolution_hta_par_materiaux[[annee_mes]:[annee_mes]]=AE$29)*(evolution_hta_par_materiaux[[lineaire_hta_cuivre]:[lineaire_hta_cuivre]]))</f>
        <v>0.36</v>
      </c>
      <c r="AF33" s="264" cm="1">
        <f t="array" ref="AF33">SUMPRODUCT((evolution_hta_par_materiaux[[client]:[client]]=syndicat_etude)*(evolution_hta_par_materiaux[[annee]:[annee]]=Exercice[[Exercice N]:[Exercice N]])*(evolution_hta_par_materiaux[[annee_mes]:[annee_mes]]=AF$29)*(evolution_hta_par_materiaux[[lineaire_hta_cuivre]:[lineaire_hta_cuivre]]))</f>
        <v>0.82</v>
      </c>
      <c r="AG33" s="264" cm="1">
        <f t="array" ref="AG33">SUMPRODUCT((evolution_hta_par_materiaux[[client]:[client]]=syndicat_etude)*(evolution_hta_par_materiaux[[annee]:[annee]]=Exercice[[Exercice N]:[Exercice N]])*(evolution_hta_par_materiaux[[annee_mes]:[annee_mes]]=AG$29)*(evolution_hta_par_materiaux[[lineaire_hta_cuivre]:[lineaire_hta_cuivre]]))</f>
        <v>0.23</v>
      </c>
      <c r="AH33" s="264" cm="1">
        <f t="array" ref="AH33">SUMPRODUCT((evolution_hta_par_materiaux[[client]:[client]]=syndicat_etude)*(evolution_hta_par_materiaux[[annee]:[annee]]=Exercice[[Exercice N]:[Exercice N]])*(evolution_hta_par_materiaux[[annee_mes]:[annee_mes]]=AH$29)*(evolution_hta_par_materiaux[[lineaire_hta_cuivre]:[lineaire_hta_cuivre]]))</f>
        <v>0</v>
      </c>
      <c r="AI33" s="264" cm="1">
        <f t="array" ref="AI33">SUMPRODUCT((evolution_hta_par_materiaux[[client]:[client]]=syndicat_etude)*(evolution_hta_par_materiaux[[annee]:[annee]]=Exercice[[Exercice N]:[Exercice N]])*(evolution_hta_par_materiaux[[annee_mes]:[annee_mes]]=AI$29)*(evolution_hta_par_materiaux[[lineaire_hta_cuivre]:[lineaire_hta_cuivre]]))</f>
        <v>0.05</v>
      </c>
      <c r="AJ33" s="264" cm="1">
        <f t="array" ref="AJ33">SUMPRODUCT((evolution_hta_par_materiaux[[client]:[client]]=syndicat_etude)*(evolution_hta_par_materiaux[[annee]:[annee]]=Exercice[[Exercice N]:[Exercice N]])*(evolution_hta_par_materiaux[[annee_mes]:[annee_mes]]=AJ$29)*(evolution_hta_par_materiaux[[lineaire_hta_cuivre]:[lineaire_hta_cuivre]]))</f>
        <v>0</v>
      </c>
      <c r="AK33" s="264" cm="1">
        <f t="array" ref="AK33">SUMPRODUCT((evolution_hta_par_materiaux[[client]:[client]]=syndicat_etude)*(evolution_hta_par_materiaux[[annee]:[annee]]=Exercice[[Exercice N]:[Exercice N]])*(evolution_hta_par_materiaux[[annee_mes]:[annee_mes]]=AK$29)*(evolution_hta_par_materiaux[[lineaire_hta_cuivre]:[lineaire_hta_cuivre]]))</f>
        <v>1.1399999999999999</v>
      </c>
      <c r="AL33" s="264" cm="1">
        <f t="array" ref="AL33">SUMPRODUCT((evolution_hta_par_materiaux[[client]:[client]]=syndicat_etude)*(evolution_hta_par_materiaux[[annee]:[annee]]=Exercice[[Exercice N]:[Exercice N]])*(evolution_hta_par_materiaux[[annee_mes]:[annee_mes]]=AL$29)*(evolution_hta_par_materiaux[[lineaire_hta_cuivre]:[lineaire_hta_cuivre]]))</f>
        <v>1.68</v>
      </c>
      <c r="AM33" s="264" cm="1">
        <f t="array" ref="AM33">SUMPRODUCT((evolution_hta_par_materiaux[[client]:[client]]=syndicat_etude)*(evolution_hta_par_materiaux[[annee]:[annee]]=Exercice[[Exercice N]:[Exercice N]])*(evolution_hta_par_materiaux[[annee_mes]:[annee_mes]]=AM$29)*(evolution_hta_par_materiaux[[lineaire_hta_cuivre]:[lineaire_hta_cuivre]]))</f>
        <v>0.82</v>
      </c>
      <c r="AN33" s="264" cm="1">
        <f t="array" ref="AN33">SUMPRODUCT((evolution_hta_par_materiaux[[client]:[client]]=syndicat_etude)*(evolution_hta_par_materiaux[[annee]:[annee]]=Exercice[[Exercice N]:[Exercice N]])*(evolution_hta_par_materiaux[[annee_mes]:[annee_mes]]=AN$29)*(evolution_hta_par_materiaux[[lineaire_hta_cuivre]:[lineaire_hta_cuivre]]))</f>
        <v>2.09</v>
      </c>
      <c r="AO33" s="264" cm="1">
        <f t="array" ref="AO33">SUMPRODUCT((evolution_hta_par_materiaux[[client]:[client]]=syndicat_etude)*(evolution_hta_par_materiaux[[annee]:[annee]]=Exercice[[Exercice N]:[Exercice N]])*(evolution_hta_par_materiaux[[annee_mes]:[annee_mes]]=AO$29)*(evolution_hta_par_materiaux[[lineaire_hta_cuivre]:[lineaire_hta_cuivre]]))</f>
        <v>2</v>
      </c>
      <c r="AP33" s="264" cm="1">
        <f t="array" ref="AP33">SUMPRODUCT((evolution_hta_par_materiaux[[client]:[client]]=syndicat_etude)*(evolution_hta_par_materiaux[[annee]:[annee]]=Exercice[[Exercice N]:[Exercice N]])*(evolution_hta_par_materiaux[[annee_mes]:[annee_mes]]=AP$29)*(evolution_hta_par_materiaux[[lineaire_hta_cuivre]:[lineaire_hta_cuivre]]))</f>
        <v>0</v>
      </c>
      <c r="AQ33" s="264" cm="1">
        <f t="array" ref="AQ33">SUMPRODUCT((evolution_hta_par_materiaux[[client]:[client]]=syndicat_etude)*(evolution_hta_par_materiaux[[annee]:[annee]]=Exercice[[Exercice N]:[Exercice N]])*(evolution_hta_par_materiaux[[annee_mes]:[annee_mes]]=AQ$29)*(evolution_hta_par_materiaux[[lineaire_hta_cuivre]:[lineaire_hta_cuivre]]))</f>
        <v>0.12</v>
      </c>
      <c r="AR33" s="264" cm="1">
        <f t="array" ref="AR33">SUMPRODUCT((evolution_hta_par_materiaux[[client]:[client]]=syndicat_etude)*(evolution_hta_par_materiaux[[annee]:[annee]]=Exercice[[Exercice N]:[Exercice N]])*(evolution_hta_par_materiaux[[annee_mes]:[annee_mes]]=AR$29)*(evolution_hta_par_materiaux[[lineaire_hta_cuivre]:[lineaire_hta_cuivre]]))</f>
        <v>0.14000000000000001</v>
      </c>
      <c r="AS33" s="264" cm="1">
        <f t="array" ref="AS33">SUMPRODUCT((evolution_hta_par_materiaux[[client]:[client]]=syndicat_etude)*(evolution_hta_par_materiaux[[annee]:[annee]]=Exercice[[Exercice N]:[Exercice N]])*(evolution_hta_par_materiaux[[annee_mes]:[annee_mes]]=AS$29)*(evolution_hta_par_materiaux[[lineaire_hta_cuivre]:[lineaire_hta_cuivre]]))</f>
        <v>0.97</v>
      </c>
      <c r="AT33" s="264" cm="1">
        <f t="array" ref="AT33">SUMPRODUCT((evolution_hta_par_materiaux[[client]:[client]]=syndicat_etude)*(evolution_hta_par_materiaux[[annee]:[annee]]=Exercice[[Exercice N]:[Exercice N]])*(evolution_hta_par_materiaux[[annee_mes]:[annee_mes]]=AT$29)*(evolution_hta_par_materiaux[[lineaire_hta_cuivre]:[lineaire_hta_cuivre]]))</f>
        <v>1.92</v>
      </c>
      <c r="AU33" s="264" cm="1">
        <f t="array" ref="AU33">SUMPRODUCT((evolution_hta_par_materiaux[[client]:[client]]=syndicat_etude)*(evolution_hta_par_materiaux[[annee]:[annee]]=Exercice[[Exercice N]:[Exercice N]])*(evolution_hta_par_materiaux[[annee_mes]:[annee_mes]]=AU$29)*(evolution_hta_par_materiaux[[lineaire_hta_cuivre]:[lineaire_hta_cuivre]]))</f>
        <v>0.14000000000000001</v>
      </c>
      <c r="AV33" s="264" cm="1">
        <f t="array" ref="AV33">SUMPRODUCT((evolution_hta_par_materiaux[[client]:[client]]=syndicat_etude)*(evolution_hta_par_materiaux[[annee]:[annee]]=Exercice[[Exercice N]:[Exercice N]])*(evolution_hta_par_materiaux[[annee_mes]:[annee_mes]]=AV$29)*(evolution_hta_par_materiaux[[lineaire_hta_cuivre]:[lineaire_hta_cuivre]]))</f>
        <v>3.87</v>
      </c>
      <c r="AW33" s="264" cm="1">
        <f t="array" ref="AW33">SUMPRODUCT((evolution_hta_par_materiaux[[client]:[client]]=syndicat_etude)*(evolution_hta_par_materiaux[[annee]:[annee]]=Exercice[[Exercice N]:[Exercice N]])*(evolution_hta_par_materiaux[[annee_mes]:[annee_mes]]=AW$29)*(evolution_hta_par_materiaux[[lineaire_hta_cuivre]:[lineaire_hta_cuivre]]))</f>
        <v>0.24</v>
      </c>
      <c r="AX33" s="264" cm="1">
        <f t="array" ref="AX33">SUMPRODUCT((evolution_hta_par_materiaux[[client]:[client]]=syndicat_etude)*(evolution_hta_par_materiaux[[annee]:[annee]]=Exercice[[Exercice N]:[Exercice N]])*(evolution_hta_par_materiaux[[annee_mes]:[annee_mes]]=AX$29)*(evolution_hta_par_materiaux[[lineaire_hta_cuivre]:[lineaire_hta_cuivre]]))</f>
        <v>3.45</v>
      </c>
      <c r="AY33" s="264" cm="1">
        <f t="array" ref="AY33">SUMPRODUCT((evolution_hta_par_materiaux[[client]:[client]]=syndicat_etude)*(evolution_hta_par_materiaux[[annee]:[annee]]=Exercice[[Exercice N]:[Exercice N]])*(evolution_hta_par_materiaux[[annee_mes]:[annee_mes]]=AY$29)*(evolution_hta_par_materiaux[[lineaire_hta_cuivre]:[lineaire_hta_cuivre]]))</f>
        <v>0.22</v>
      </c>
      <c r="AZ33" s="264" cm="1">
        <f t="array" ref="AZ33">SUMPRODUCT((evolution_hta_par_materiaux[[client]:[client]]=syndicat_etude)*(evolution_hta_par_materiaux[[annee]:[annee]]=Exercice[[Exercice N]:[Exercice N]])*(evolution_hta_par_materiaux[[annee_mes]:[annee_mes]]=AZ$29)*(evolution_hta_par_materiaux[[lineaire_hta_cuivre]:[lineaire_hta_cuivre]]))</f>
        <v>0</v>
      </c>
      <c r="BA33" s="264" cm="1">
        <f t="array" ref="BA33">SUMPRODUCT((evolution_hta_par_materiaux[[client]:[client]]=syndicat_etude)*(evolution_hta_par_materiaux[[annee]:[annee]]=Exercice[[Exercice N]:[Exercice N]])*(evolution_hta_par_materiaux[[annee_mes]:[annee_mes]]=BA$29)*(evolution_hta_par_materiaux[[lineaire_hta_cuivre]:[lineaire_hta_cuivre]]))</f>
        <v>0</v>
      </c>
      <c r="BB33" s="264" cm="1">
        <f t="array" ref="BB33">SUMPRODUCT((evolution_hta_par_materiaux[[client]:[client]]=syndicat_etude)*(evolution_hta_par_materiaux[[annee]:[annee]]=Exercice[[Exercice N]:[Exercice N]])*(evolution_hta_par_materiaux[[annee_mes]:[annee_mes]]=BB$29)*(evolution_hta_par_materiaux[[lineaire_hta_cuivre]:[lineaire_hta_cuivre]]))</f>
        <v>0</v>
      </c>
      <c r="BC33" s="264" cm="1">
        <f t="array" ref="BC33">SUMPRODUCT((evolution_hta_par_materiaux[[client]:[client]]=syndicat_etude)*(evolution_hta_par_materiaux[[annee]:[annee]]=Exercice[[Exercice N]:[Exercice N]])*(evolution_hta_par_materiaux[[annee_mes]:[annee_mes]]=BC$29)*(evolution_hta_par_materiaux[[lineaire_hta_cuivre]:[lineaire_hta_cuivre]]))</f>
        <v>0</v>
      </c>
      <c r="BD33" s="264" cm="1">
        <f t="array" ref="BD33">SUMPRODUCT((evolution_hta_par_materiaux[[client]:[client]]=syndicat_etude)*(evolution_hta_par_materiaux[[annee]:[annee]]=Exercice[[Exercice N]:[Exercice N]])*(evolution_hta_par_materiaux[[annee_mes]:[annee_mes]]=BD$29)*(evolution_hta_par_materiaux[[lineaire_hta_cuivre]:[lineaire_hta_cuivre]]))</f>
        <v>1.73</v>
      </c>
      <c r="BE33" s="264" cm="1">
        <f t="array" ref="BE33">SUMPRODUCT((evolution_hta_par_materiaux[[client]:[client]]=syndicat_etude)*(evolution_hta_par_materiaux[[annee]:[annee]]=Exercice[[Exercice N]:[Exercice N]])*(evolution_hta_par_materiaux[[annee_mes]:[annee_mes]]=BE$29)*(evolution_hta_par_materiaux[[lineaire_hta_cuivre]:[lineaire_hta_cuivre]]))</f>
        <v>0.57999999999999996</v>
      </c>
      <c r="BF33" s="264" cm="1">
        <f t="array" ref="BF33">SUMPRODUCT((evolution_hta_par_materiaux[[client]:[client]]=syndicat_etude)*(evolution_hta_par_materiaux[[annee]:[annee]]=Exercice[[Exercice N]:[Exercice N]])*(evolution_hta_par_materiaux[[annee_mes]:[annee_mes]]=BF$29)*(evolution_hta_par_materiaux[[lineaire_hta_cuivre]:[lineaire_hta_cuivre]]))</f>
        <v>0</v>
      </c>
      <c r="BG33" s="264" cm="1">
        <f t="array" ref="BG33">SUMPRODUCT((evolution_hta_par_materiaux[[client]:[client]]=syndicat_etude)*(evolution_hta_par_materiaux[[annee]:[annee]]=Exercice[[Exercice N]:[Exercice N]])*(evolution_hta_par_materiaux[[annee_mes]:[annee_mes]]=BG$29)*(evolution_hta_par_materiaux[[lineaire_hta_cuivre]:[lineaire_hta_cuivre]]))</f>
        <v>0</v>
      </c>
      <c r="BH33" s="264" cm="1">
        <f t="array" ref="BH33">SUMPRODUCT((evolution_hta_par_materiaux[[client]:[client]]=syndicat_etude)*(evolution_hta_par_materiaux[[annee]:[annee]]=Exercice[[Exercice N]:[Exercice N]])*(evolution_hta_par_materiaux[[annee_mes]:[annee_mes]]=BH$29)*(evolution_hta_par_materiaux[[lineaire_hta_cuivre]:[lineaire_hta_cuivre]]))</f>
        <v>0</v>
      </c>
      <c r="BI33" s="264" cm="1">
        <f t="array" ref="BI33">SUMPRODUCT((evolution_hta_par_materiaux[[client]:[client]]=syndicat_etude)*(evolution_hta_par_materiaux[[annee]:[annee]]=Exercice[[Exercice N]:[Exercice N]])*(evolution_hta_par_materiaux[[annee_mes]:[annee_mes]]=BI$29)*(evolution_hta_par_materiaux[[lineaire_hta_cuivre]:[lineaire_hta_cuivre]]))</f>
        <v>0</v>
      </c>
      <c r="BJ33" s="264" cm="1">
        <f t="array" ref="BJ33">SUMPRODUCT((evolution_hta_par_materiaux[[client]:[client]]=syndicat_etude)*(evolution_hta_par_materiaux[[annee]:[annee]]=Exercice[[Exercice N]:[Exercice N]])*(evolution_hta_par_materiaux[[annee_mes]:[annee_mes]]=BJ$29)*(evolution_hta_par_materiaux[[lineaire_hta_cuivre]:[lineaire_hta_cuivre]]))</f>
        <v>0</v>
      </c>
      <c r="BK33" s="264" cm="1">
        <f t="array" ref="BK33">SUMPRODUCT((evolution_hta_par_materiaux[[client]:[client]]=syndicat_etude)*(evolution_hta_par_materiaux[[annee]:[annee]]=Exercice[[Exercice N]:[Exercice N]])*(evolution_hta_par_materiaux[[annee_mes]:[annee_mes]]=BK$29)*(evolution_hta_par_materiaux[[lineaire_hta_cuivre]:[lineaire_hta_cuivre]]))</f>
        <v>35.229999999999997</v>
      </c>
      <c r="BL33" s="264" cm="1">
        <f t="array" ref="BL33">SUMPRODUCT((evolution_hta_par_materiaux[[client]:[client]]=syndicat_etude)*(evolution_hta_par_materiaux[[annee]:[annee]]=Exercice[[Exercice N]:[Exercice N]])*(evolution_hta_par_materiaux[[annee_mes]:[annee_mes]]=BL$29)*(evolution_hta_par_materiaux[[lineaire_hta_cuivre]:[lineaire_hta_cuivre]]))</f>
        <v>0</v>
      </c>
      <c r="BM33" s="264" cm="1">
        <f t="array" ref="BM33">SUMPRODUCT((evolution_hta_par_materiaux[[client]:[client]]=syndicat_etude)*(evolution_hta_par_materiaux[[annee]:[annee]]=Exercice[[Exercice N]:[Exercice N]])*(evolution_hta_par_materiaux[[annee_mes]:[annee_mes]]=BM$29)*(evolution_hta_par_materiaux[[lineaire_hta_cuivre]:[lineaire_hta_cuivre]]))</f>
        <v>0</v>
      </c>
      <c r="BN33" s="264" cm="1">
        <f t="array" ref="BN33">SUMPRODUCT((evolution_hta_par_materiaux[[client]:[client]]=syndicat_etude)*(evolution_hta_par_materiaux[[annee]:[annee]]=Exercice[[Exercice N]:[Exercice N]])*(evolution_hta_par_materiaux[[annee_mes]:[annee_mes]]=BN$29)*(evolution_hta_par_materiaux[[lineaire_hta_cuivre]:[lineaire_hta_cuivre]]))</f>
        <v>32.31</v>
      </c>
      <c r="BO33" s="264" cm="1">
        <f t="array" ref="BO33">SUMPRODUCT((evolution_hta_par_materiaux[[client]:[client]]=syndicat_etude)*(evolution_hta_par_materiaux[[annee]:[annee]]=Exercice[[Exercice N]:[Exercice N]])*(evolution_hta_par_materiaux[[annee_mes]:[annee_mes]]=BO$29)*(evolution_hta_par_materiaux[[lineaire_hta_cuivre]:[lineaire_hta_cuivre]]))</f>
        <v>3.51</v>
      </c>
      <c r="BP33" s="264" cm="1">
        <f t="array" ref="BP33">SUMPRODUCT((evolution_hta_par_materiaux[[client]:[client]]=syndicat_etude)*(evolution_hta_par_materiaux[[annee]:[annee]]=Exercice[[Exercice N]:[Exercice N]])*(evolution_hta_par_materiaux[[annee_mes]:[annee_mes]]=BP$29)*(evolution_hta_par_materiaux[[lineaire_hta_cuivre]:[lineaire_hta_cuivre]]))</f>
        <v>1.2</v>
      </c>
      <c r="BQ33" s="264" cm="1">
        <f t="array" ref="BQ33">SUMPRODUCT((evolution_hta_par_materiaux[[client]:[client]]=syndicat_etude)*(evolution_hta_par_materiaux[[annee]:[annee]]=Exercice[[Exercice N]:[Exercice N]])*(evolution_hta_par_materiaux[[annee_mes]:[annee_mes]]=BQ$29)*(evolution_hta_par_materiaux[[lineaire_hta_cuivre]:[lineaire_hta_cuivre]]))</f>
        <v>0.61</v>
      </c>
      <c r="BR33" s="264" cm="1">
        <f t="array" ref="BR33">SUMPRODUCT((evolution_hta_par_materiaux[[client]:[client]]=syndicat_etude)*(evolution_hta_par_materiaux[[annee]:[annee]]=Exercice[[Exercice N]:[Exercice N]])*(evolution_hta_par_materiaux[[annee_mes]:[annee_mes]]=BR$29)*(evolution_hta_par_materiaux[[lineaire_hta_cuivre]:[lineaire_hta_cuivre]]))</f>
        <v>8.1</v>
      </c>
      <c r="BS33" s="264" cm="1">
        <f t="array" ref="BS33">SUMPRODUCT((evolution_hta_par_materiaux[[client]:[client]]=syndicat_etude)*(evolution_hta_par_materiaux[[annee]:[annee]]=Exercice[[Exercice N]:[Exercice N]])*(evolution_hta_par_materiaux[[annee_mes]:[annee_mes]]=BS$29)*(evolution_hta_par_materiaux[[lineaire_hta_cuivre]:[lineaire_hta_cuivre]]))</f>
        <v>0</v>
      </c>
      <c r="BT33" s="264" cm="1">
        <f t="array" ref="BT33">SUMPRODUCT((evolution_hta_par_materiaux[[client]:[client]]=syndicat_etude)*(evolution_hta_par_materiaux[[annee]:[annee]]=Exercice[[Exercice N]:[Exercice N]])*(evolution_hta_par_materiaux[[annee_mes]:[annee_mes]]=BT$29)*(evolution_hta_par_materiaux[[lineaire_hta_cuivre]:[lineaire_hta_cuivre]]))</f>
        <v>5.13</v>
      </c>
      <c r="BU33" s="264" cm="1">
        <f t="array" ref="BU33">SUMPRODUCT((evolution_hta_par_materiaux[[client]:[client]]=syndicat_etude)*(evolution_hta_par_materiaux[[annee]:[annee]]=Exercice[[Exercice N]:[Exercice N]])*(evolution_hta_par_materiaux[[annee_mes]:[annee_mes]]=BU$29)*(evolution_hta_par_materiaux[[lineaire_hta_cuivre]:[lineaire_hta_cuivre]]))</f>
        <v>8.39</v>
      </c>
      <c r="BV33" s="264" cm="1">
        <f t="array" ref="BV33">SUMPRODUCT((evolution_hta_par_materiaux[[client]:[client]]=syndicat_etude)*(evolution_hta_par_materiaux[[annee]:[annee]]=Exercice[[Exercice N]:[Exercice N]])*(evolution_hta_par_materiaux[[annee_mes]:[annee_mes]]=BV$29)*(evolution_hta_par_materiaux[[lineaire_hta_cuivre]:[lineaire_hta_cuivre]]))</f>
        <v>1.78</v>
      </c>
      <c r="BW33" s="264" cm="1">
        <f t="array" ref="BW33">SUMPRODUCT((evolution_hta_par_materiaux[[client]:[client]]=syndicat_etude)*(evolution_hta_par_materiaux[[annee]:[annee]]=Exercice[[Exercice N]:[Exercice N]])*(evolution_hta_par_materiaux[[annee_mes]:[annee_mes]]=BW$29)*(evolution_hta_par_materiaux[[lineaire_hta_cuivre]:[lineaire_hta_cuivre]]))</f>
        <v>6.89</v>
      </c>
      <c r="BX33" s="264" cm="1">
        <f t="array" ref="BX33">SUMPRODUCT((evolution_hta_par_materiaux[[client]:[client]]=syndicat_etude)*(evolution_hta_par_materiaux[[annee]:[annee]]=Exercice[[Exercice N]:[Exercice N]])*(evolution_hta_par_materiaux[[annee_mes]:[annee_mes]]=BX$29)*(evolution_hta_par_materiaux[[lineaire_hta_cuivre]:[lineaire_hta_cuivre]]))</f>
        <v>8.9</v>
      </c>
      <c r="BY33" s="264" cm="1">
        <f t="array" ref="BY33">SUMPRODUCT((evolution_hta_par_materiaux[[client]:[client]]=syndicat_etude)*(evolution_hta_par_materiaux[[annee]:[annee]]=Exercice[[Exercice N]:[Exercice N]])*(evolution_hta_par_materiaux[[annee_mes]:[annee_mes]]=BY$29)*(evolution_hta_par_materiaux[[lineaire_hta_cuivre]:[lineaire_hta_cuivre]]))</f>
        <v>0.81</v>
      </c>
      <c r="BZ33" s="264" cm="1">
        <f t="array" ref="BZ33">SUMPRODUCT((evolution_hta_par_materiaux[[client]:[client]]=syndicat_etude)*(evolution_hta_par_materiaux[[annee]:[annee]]=Exercice[[Exercice N]:[Exercice N]])*(evolution_hta_par_materiaux[[annee_mes]:[annee_mes]]=BZ$29)*(evolution_hta_par_materiaux[[lineaire_hta_cuivre]:[lineaire_hta_cuivre]]))</f>
        <v>0.16</v>
      </c>
      <c r="CA33" s="264" cm="1">
        <f t="array" ref="CA33">SUMPRODUCT((evolution_hta_par_materiaux[[client]:[client]]=syndicat_etude)*(evolution_hta_par_materiaux[[annee]:[annee]]=Exercice[[Exercice N]:[Exercice N]])*(evolution_hta_par_materiaux[[annee_mes]:[annee_mes]]=CA$29)*(evolution_hta_par_materiaux[[lineaire_hta_cuivre]:[lineaire_hta_cuivre]]))</f>
        <v>11.64</v>
      </c>
      <c r="CB33" s="264" cm="1">
        <f t="array" ref="CB33">SUMPRODUCT((evolution_hta_par_materiaux[[client]:[client]]=syndicat_etude)*(evolution_hta_par_materiaux[[annee]:[annee]]=Exercice[[Exercice N]:[Exercice N]])*(evolution_hta_par_materiaux[[annee_mes]:[annee_mes]]=CB$29)*(evolution_hta_par_materiaux[[lineaire_hta_cuivre]:[lineaire_hta_cuivre]]))</f>
        <v>0</v>
      </c>
      <c r="CC33" s="426" cm="1">
        <f t="array" ref="CC33">SUMPRODUCT((evolution_hta_par_materiaux[[client]:[client]]=syndicat_etude)*(evolution_hta_par_materiaux[[annee]:[annee]]=Exercice[[Exercice N]:[Exercice N]])*(evolution_hta_par_materiaux[[annee_mes]:[annee_mes]]=CC$29)*(evolution_hta_par_materiaux[[lineaire_hta_cuivre]:[lineaire_hta_cuivre]]))</f>
        <v>4.1399999999999997</v>
      </c>
      <c r="CD33" s="406"/>
      <c r="CE33" s="406"/>
      <c r="CF33" s="406"/>
    </row>
    <row r="34" spans="2:84" x14ac:dyDescent="0.25">
      <c r="B34" s="430" t="s">
        <v>1186</v>
      </c>
      <c r="C34" s="427" cm="1">
        <f t="array" ref="C34">SUMPRODUCT((evolution_hta_par_materiaux[[client]:[client]]=syndicat_etude)*(evolution_hta_par_materiaux[[annee]:[annee]]=Exercice[[Exercice N]:[Exercice N]])*(evolution_hta_par_materiaux[[annee_mes]:[annee_mes]]&lt;19462)*(evolution_hta_par_materiaux[[lineaire_hta_almelec_acier]:[lineaire_hta_almelec_acier]]))</f>
        <v>0</v>
      </c>
      <c r="D34" s="427" cm="1">
        <f t="array" ref="D34">SUMPRODUCT((evolution_hta_par_materiaux[[client]:[client]]=syndicat_etude)*(evolution_hta_par_materiaux[[annee]:[annee]]=Exercice[[Exercice N]:[Exercice N]])*(evolution_hta_par_materiaux[[annee_mes]:[annee_mes]]=D$29)*(evolution_hta_par_materiaux[[lineaire_hta_almelec_acier]:[lineaire_hta_almelec_acier]]))</f>
        <v>0</v>
      </c>
      <c r="E34" s="427" cm="1">
        <f t="array" ref="E34">SUMPRODUCT((evolution_hta_par_materiaux[[client]:[client]]=syndicat_etude)*(evolution_hta_par_materiaux[[annee]:[annee]]=Exercice[[Exercice N]:[Exercice N]])*(evolution_hta_par_materiaux[[annee_mes]:[annee_mes]]=E$29)*(evolution_hta_par_materiaux[[lineaire_hta_almelec_acier]:[lineaire_hta_almelec_acier]]))</f>
        <v>0</v>
      </c>
      <c r="F34" s="427" cm="1">
        <f t="array" ref="F34">SUMPRODUCT((evolution_hta_par_materiaux[[client]:[client]]=syndicat_etude)*(evolution_hta_par_materiaux[[annee]:[annee]]=Exercice[[Exercice N]:[Exercice N]])*(evolution_hta_par_materiaux[[annee_mes]:[annee_mes]]=F$29)*(evolution_hta_par_materiaux[[lineaire_hta_almelec_acier]:[lineaire_hta_almelec_acier]]))</f>
        <v>0</v>
      </c>
      <c r="G34" s="427" cm="1">
        <f t="array" ref="G34">SUMPRODUCT((evolution_hta_par_materiaux[[client]:[client]]=syndicat_etude)*(evolution_hta_par_materiaux[[annee]:[annee]]=Exercice[[Exercice N]:[Exercice N]])*(evolution_hta_par_materiaux[[annee_mes]:[annee_mes]]=G$29)*(evolution_hta_par_materiaux[[lineaire_hta_almelec_acier]:[lineaire_hta_almelec_acier]]))</f>
        <v>0</v>
      </c>
      <c r="H34" s="427" cm="1">
        <f t="array" ref="H34">SUMPRODUCT((evolution_hta_par_materiaux[[client]:[client]]=syndicat_etude)*(evolution_hta_par_materiaux[[annee]:[annee]]=Exercice[[Exercice N]:[Exercice N]])*(evolution_hta_par_materiaux[[annee_mes]:[annee_mes]]=H$29)*(evolution_hta_par_materiaux[[lineaire_hta_almelec_acier]:[lineaire_hta_almelec_acier]]))</f>
        <v>0</v>
      </c>
      <c r="I34" s="427" cm="1">
        <f t="array" ref="I34">SUMPRODUCT((evolution_hta_par_materiaux[[client]:[client]]=syndicat_etude)*(evolution_hta_par_materiaux[[annee]:[annee]]=Exercice[[Exercice N]:[Exercice N]])*(evolution_hta_par_materiaux[[annee_mes]:[annee_mes]]=I$29)*(evolution_hta_par_materiaux[[lineaire_hta_almelec_acier]:[lineaire_hta_almelec_acier]]))</f>
        <v>0</v>
      </c>
      <c r="J34" s="427" cm="1">
        <f t="array" ref="J34">SUMPRODUCT((evolution_hta_par_materiaux[[client]:[client]]=syndicat_etude)*(evolution_hta_par_materiaux[[annee]:[annee]]=Exercice[[Exercice N]:[Exercice N]])*(evolution_hta_par_materiaux[[annee_mes]:[annee_mes]]=J$29)*(evolution_hta_par_materiaux[[lineaire_hta_almelec_acier]:[lineaire_hta_almelec_acier]]))</f>
        <v>0</v>
      </c>
      <c r="K34" s="427" cm="1">
        <f t="array" ref="K34">SUMPRODUCT((evolution_hta_par_materiaux[[client]:[client]]=syndicat_etude)*(evolution_hta_par_materiaux[[annee]:[annee]]=Exercice[[Exercice N]:[Exercice N]])*(evolution_hta_par_materiaux[[annee_mes]:[annee_mes]]=K$29)*(evolution_hta_par_materiaux[[lineaire_hta_almelec_acier]:[lineaire_hta_almelec_acier]]))</f>
        <v>0</v>
      </c>
      <c r="L34" s="427" cm="1">
        <f t="array" ref="L34">SUMPRODUCT((evolution_hta_par_materiaux[[client]:[client]]=syndicat_etude)*(evolution_hta_par_materiaux[[annee]:[annee]]=Exercice[[Exercice N]:[Exercice N]])*(evolution_hta_par_materiaux[[annee_mes]:[annee_mes]]=L$29)*(evolution_hta_par_materiaux[[lineaire_hta_almelec_acier]:[lineaire_hta_almelec_acier]]))</f>
        <v>0</v>
      </c>
      <c r="M34" s="427" cm="1">
        <f t="array" ref="M34">SUMPRODUCT((evolution_hta_par_materiaux[[client]:[client]]=syndicat_etude)*(evolution_hta_par_materiaux[[annee]:[annee]]=Exercice[[Exercice N]:[Exercice N]])*(evolution_hta_par_materiaux[[annee_mes]:[annee_mes]]=M$29)*(evolution_hta_par_materiaux[[lineaire_hta_almelec_acier]:[lineaire_hta_almelec_acier]]))</f>
        <v>0</v>
      </c>
      <c r="N34" s="427" cm="1">
        <f t="array" ref="N34">SUMPRODUCT((evolution_hta_par_materiaux[[client]:[client]]=syndicat_etude)*(evolution_hta_par_materiaux[[annee]:[annee]]=Exercice[[Exercice N]:[Exercice N]])*(evolution_hta_par_materiaux[[annee_mes]:[annee_mes]]=N$29)*(evolution_hta_par_materiaux[[lineaire_hta_almelec_acier]:[lineaire_hta_almelec_acier]]))</f>
        <v>0</v>
      </c>
      <c r="O34" s="427" cm="1">
        <f t="array" ref="O34">SUMPRODUCT((evolution_hta_par_materiaux[[client]:[client]]=syndicat_etude)*(evolution_hta_par_materiaux[[annee]:[annee]]=Exercice[[Exercice N]:[Exercice N]])*(evolution_hta_par_materiaux[[annee_mes]:[annee_mes]]=O$29)*(evolution_hta_par_materiaux[[lineaire_hta_almelec_acier]:[lineaire_hta_almelec_acier]]))</f>
        <v>0</v>
      </c>
      <c r="P34" s="427" cm="1">
        <f t="array" ref="P34">SUMPRODUCT((evolution_hta_par_materiaux[[client]:[client]]=syndicat_etude)*(evolution_hta_par_materiaux[[annee]:[annee]]=Exercice[[Exercice N]:[Exercice N]])*(evolution_hta_par_materiaux[[annee_mes]:[annee_mes]]=P$29)*(evolution_hta_par_materiaux[[lineaire_hta_almelec_acier]:[lineaire_hta_almelec_acier]]))</f>
        <v>0</v>
      </c>
      <c r="Q34" s="427" cm="1">
        <f t="array" ref="Q34">SUMPRODUCT((evolution_hta_par_materiaux[[client]:[client]]=syndicat_etude)*(evolution_hta_par_materiaux[[annee]:[annee]]=Exercice[[Exercice N]:[Exercice N]])*(evolution_hta_par_materiaux[[annee_mes]:[annee_mes]]=Q$29)*(evolution_hta_par_materiaux[[lineaire_hta_almelec_acier]:[lineaire_hta_almelec_acier]]))</f>
        <v>0</v>
      </c>
      <c r="R34" s="427" cm="1">
        <f t="array" ref="R34">SUMPRODUCT((evolution_hta_par_materiaux[[client]:[client]]=syndicat_etude)*(evolution_hta_par_materiaux[[annee]:[annee]]=Exercice[[Exercice N]:[Exercice N]])*(evolution_hta_par_materiaux[[annee_mes]:[annee_mes]]=R$29)*(evolution_hta_par_materiaux[[lineaire_hta_almelec_acier]:[lineaire_hta_almelec_acier]]))</f>
        <v>0</v>
      </c>
      <c r="S34" s="427" cm="1">
        <f t="array" ref="S34">SUMPRODUCT((evolution_hta_par_materiaux[[client]:[client]]=syndicat_etude)*(evolution_hta_par_materiaux[[annee]:[annee]]=Exercice[[Exercice N]:[Exercice N]])*(evolution_hta_par_materiaux[[annee_mes]:[annee_mes]]=S$29)*(evolution_hta_par_materiaux[[lineaire_hta_almelec_acier]:[lineaire_hta_almelec_acier]]))</f>
        <v>0</v>
      </c>
      <c r="T34" s="427" cm="1">
        <f t="array" ref="T34">SUMPRODUCT((evolution_hta_par_materiaux[[client]:[client]]=syndicat_etude)*(evolution_hta_par_materiaux[[annee]:[annee]]=Exercice[[Exercice N]:[Exercice N]])*(evolution_hta_par_materiaux[[annee_mes]:[annee_mes]]=T$29)*(evolution_hta_par_materiaux[[lineaire_hta_almelec_acier]:[lineaire_hta_almelec_acier]]))</f>
        <v>0</v>
      </c>
      <c r="U34" s="427" cm="1">
        <f t="array" ref="U34">SUMPRODUCT((evolution_hta_par_materiaux[[client]:[client]]=syndicat_etude)*(evolution_hta_par_materiaux[[annee]:[annee]]=Exercice[[Exercice N]:[Exercice N]])*(evolution_hta_par_materiaux[[annee_mes]:[annee_mes]]=U$29)*(evolution_hta_par_materiaux[[lineaire_hta_almelec_acier]:[lineaire_hta_almelec_acier]]))</f>
        <v>0</v>
      </c>
      <c r="V34" s="427" cm="1">
        <f t="array" ref="V34">SUMPRODUCT((evolution_hta_par_materiaux[[client]:[client]]=syndicat_etude)*(evolution_hta_par_materiaux[[annee]:[annee]]=Exercice[[Exercice N]:[Exercice N]])*(evolution_hta_par_materiaux[[annee_mes]:[annee_mes]]=V$29)*(evolution_hta_par_materiaux[[lineaire_hta_almelec_acier]:[lineaire_hta_almelec_acier]]))</f>
        <v>0</v>
      </c>
      <c r="W34" s="427" cm="1">
        <f t="array" ref="W34">SUMPRODUCT((evolution_hta_par_materiaux[[client]:[client]]=syndicat_etude)*(evolution_hta_par_materiaux[[annee]:[annee]]=Exercice[[Exercice N]:[Exercice N]])*(evolution_hta_par_materiaux[[annee_mes]:[annee_mes]]=W$29)*(evolution_hta_par_materiaux[[lineaire_hta_almelec_acier]:[lineaire_hta_almelec_acier]]))</f>
        <v>0</v>
      </c>
      <c r="X34" s="427" cm="1">
        <f t="array" ref="X34">SUMPRODUCT((evolution_hta_par_materiaux[[client]:[client]]=syndicat_etude)*(evolution_hta_par_materiaux[[annee]:[annee]]=Exercice[[Exercice N]:[Exercice N]])*(evolution_hta_par_materiaux[[annee_mes]:[annee_mes]]=X$29)*(evolution_hta_par_materiaux[[lineaire_hta_almelec_acier]:[lineaire_hta_almelec_acier]]))</f>
        <v>0</v>
      </c>
      <c r="Y34" s="427" cm="1">
        <f t="array" ref="Y34">SUMPRODUCT((evolution_hta_par_materiaux[[client]:[client]]=syndicat_etude)*(evolution_hta_par_materiaux[[annee]:[annee]]=Exercice[[Exercice N]:[Exercice N]])*(evolution_hta_par_materiaux[[annee_mes]:[annee_mes]]=Y$29)*(evolution_hta_par_materiaux[[lineaire_hta_almelec_acier]:[lineaire_hta_almelec_acier]]))</f>
        <v>0</v>
      </c>
      <c r="Z34" s="427" cm="1">
        <f t="array" ref="Z34">SUMPRODUCT((evolution_hta_par_materiaux[[client]:[client]]=syndicat_etude)*(evolution_hta_par_materiaux[[annee]:[annee]]=Exercice[[Exercice N]:[Exercice N]])*(evolution_hta_par_materiaux[[annee_mes]:[annee_mes]]=Z$29)*(evolution_hta_par_materiaux[[lineaire_hta_almelec_acier]:[lineaire_hta_almelec_acier]]))</f>
        <v>0</v>
      </c>
      <c r="AA34" s="427" cm="1">
        <f t="array" ref="AA34">SUMPRODUCT((evolution_hta_par_materiaux[[client]:[client]]=syndicat_etude)*(evolution_hta_par_materiaux[[annee]:[annee]]=Exercice[[Exercice N]:[Exercice N]])*(evolution_hta_par_materiaux[[annee_mes]:[annee_mes]]=AA$29)*(evolution_hta_par_materiaux[[lineaire_hta_almelec_acier]:[lineaire_hta_almelec_acier]]))</f>
        <v>0</v>
      </c>
      <c r="AB34" s="427" cm="1">
        <f t="array" ref="AB34">SUMPRODUCT((evolution_hta_par_materiaux[[client]:[client]]=syndicat_etude)*(evolution_hta_par_materiaux[[annee]:[annee]]=Exercice[[Exercice N]:[Exercice N]])*(evolution_hta_par_materiaux[[annee_mes]:[annee_mes]]=AB$29)*(evolution_hta_par_materiaux[[lineaire_hta_almelec_acier]:[lineaire_hta_almelec_acier]]))</f>
        <v>0</v>
      </c>
      <c r="AC34" s="427" cm="1">
        <f t="array" ref="AC34">SUMPRODUCT((evolution_hta_par_materiaux[[client]:[client]]=syndicat_etude)*(evolution_hta_par_materiaux[[annee]:[annee]]=Exercice[[Exercice N]:[Exercice N]])*(evolution_hta_par_materiaux[[annee_mes]:[annee_mes]]=AC$29)*(evolution_hta_par_materiaux[[lineaire_hta_almelec_acier]:[lineaire_hta_almelec_acier]]))</f>
        <v>0</v>
      </c>
      <c r="AD34" s="427" cm="1">
        <f t="array" ref="AD34">SUMPRODUCT((evolution_hta_par_materiaux[[client]:[client]]=syndicat_etude)*(evolution_hta_par_materiaux[[annee]:[annee]]=Exercice[[Exercice N]:[Exercice N]])*(evolution_hta_par_materiaux[[annee_mes]:[annee_mes]]=AD$29)*(evolution_hta_par_materiaux[[lineaire_hta_almelec_acier]:[lineaire_hta_almelec_acier]]))</f>
        <v>0</v>
      </c>
      <c r="AE34" s="427" cm="1">
        <f t="array" ref="AE34">SUMPRODUCT((evolution_hta_par_materiaux[[client]:[client]]=syndicat_etude)*(evolution_hta_par_materiaux[[annee]:[annee]]=Exercice[[Exercice N]:[Exercice N]])*(evolution_hta_par_materiaux[[annee_mes]:[annee_mes]]=AE$29)*(evolution_hta_par_materiaux[[lineaire_hta_almelec_acier]:[lineaire_hta_almelec_acier]]))</f>
        <v>0</v>
      </c>
      <c r="AF34" s="427" cm="1">
        <f t="array" ref="AF34">SUMPRODUCT((evolution_hta_par_materiaux[[client]:[client]]=syndicat_etude)*(evolution_hta_par_materiaux[[annee]:[annee]]=Exercice[[Exercice N]:[Exercice N]])*(evolution_hta_par_materiaux[[annee_mes]:[annee_mes]]=AF$29)*(evolution_hta_par_materiaux[[lineaire_hta_almelec_acier]:[lineaire_hta_almelec_acier]]))</f>
        <v>0</v>
      </c>
      <c r="AG34" s="427" cm="1">
        <f t="array" ref="AG34">SUMPRODUCT((evolution_hta_par_materiaux[[client]:[client]]=syndicat_etude)*(evolution_hta_par_materiaux[[annee]:[annee]]=Exercice[[Exercice N]:[Exercice N]])*(evolution_hta_par_materiaux[[annee_mes]:[annee_mes]]=AG$29)*(evolution_hta_par_materiaux[[lineaire_hta_almelec_acier]:[lineaire_hta_almelec_acier]]))</f>
        <v>0</v>
      </c>
      <c r="AH34" s="427" cm="1">
        <f t="array" ref="AH34">SUMPRODUCT((evolution_hta_par_materiaux[[client]:[client]]=syndicat_etude)*(evolution_hta_par_materiaux[[annee]:[annee]]=Exercice[[Exercice N]:[Exercice N]])*(evolution_hta_par_materiaux[[annee_mes]:[annee_mes]]=AH$29)*(evolution_hta_par_materiaux[[lineaire_hta_almelec_acier]:[lineaire_hta_almelec_acier]]))</f>
        <v>0</v>
      </c>
      <c r="AI34" s="427" cm="1">
        <f t="array" ref="AI34">SUMPRODUCT((evolution_hta_par_materiaux[[client]:[client]]=syndicat_etude)*(evolution_hta_par_materiaux[[annee]:[annee]]=Exercice[[Exercice N]:[Exercice N]])*(evolution_hta_par_materiaux[[annee_mes]:[annee_mes]]=AI$29)*(evolution_hta_par_materiaux[[lineaire_hta_almelec_acier]:[lineaire_hta_almelec_acier]]))</f>
        <v>0</v>
      </c>
      <c r="AJ34" s="427" cm="1">
        <f t="array" ref="AJ34">SUMPRODUCT((evolution_hta_par_materiaux[[client]:[client]]=syndicat_etude)*(evolution_hta_par_materiaux[[annee]:[annee]]=Exercice[[Exercice N]:[Exercice N]])*(evolution_hta_par_materiaux[[annee_mes]:[annee_mes]]=AJ$29)*(evolution_hta_par_materiaux[[lineaire_hta_almelec_acier]:[lineaire_hta_almelec_acier]]))</f>
        <v>0</v>
      </c>
      <c r="AK34" s="427" cm="1">
        <f t="array" ref="AK34">SUMPRODUCT((evolution_hta_par_materiaux[[client]:[client]]=syndicat_etude)*(evolution_hta_par_materiaux[[annee]:[annee]]=Exercice[[Exercice N]:[Exercice N]])*(evolution_hta_par_materiaux[[annee_mes]:[annee_mes]]=AK$29)*(evolution_hta_par_materiaux[[lineaire_hta_almelec_acier]:[lineaire_hta_almelec_acier]]))</f>
        <v>0</v>
      </c>
      <c r="AL34" s="427" cm="1">
        <f t="array" ref="AL34">SUMPRODUCT((evolution_hta_par_materiaux[[client]:[client]]=syndicat_etude)*(evolution_hta_par_materiaux[[annee]:[annee]]=Exercice[[Exercice N]:[Exercice N]])*(evolution_hta_par_materiaux[[annee_mes]:[annee_mes]]=AL$29)*(evolution_hta_par_materiaux[[lineaire_hta_almelec_acier]:[lineaire_hta_almelec_acier]]))</f>
        <v>0</v>
      </c>
      <c r="AM34" s="427" cm="1">
        <f t="array" ref="AM34">SUMPRODUCT((evolution_hta_par_materiaux[[client]:[client]]=syndicat_etude)*(evolution_hta_par_materiaux[[annee]:[annee]]=Exercice[[Exercice N]:[Exercice N]])*(evolution_hta_par_materiaux[[annee_mes]:[annee_mes]]=AM$29)*(evolution_hta_par_materiaux[[lineaire_hta_almelec_acier]:[lineaire_hta_almelec_acier]]))</f>
        <v>0</v>
      </c>
      <c r="AN34" s="427" cm="1">
        <f t="array" ref="AN34">SUMPRODUCT((evolution_hta_par_materiaux[[client]:[client]]=syndicat_etude)*(evolution_hta_par_materiaux[[annee]:[annee]]=Exercice[[Exercice N]:[Exercice N]])*(evolution_hta_par_materiaux[[annee_mes]:[annee_mes]]=AN$29)*(evolution_hta_par_materiaux[[lineaire_hta_almelec_acier]:[lineaire_hta_almelec_acier]]))</f>
        <v>0</v>
      </c>
      <c r="AO34" s="427" cm="1">
        <f t="array" ref="AO34">SUMPRODUCT((evolution_hta_par_materiaux[[client]:[client]]=syndicat_etude)*(evolution_hta_par_materiaux[[annee]:[annee]]=Exercice[[Exercice N]:[Exercice N]])*(evolution_hta_par_materiaux[[annee_mes]:[annee_mes]]=AO$29)*(evolution_hta_par_materiaux[[lineaire_hta_almelec_acier]:[lineaire_hta_almelec_acier]]))</f>
        <v>0</v>
      </c>
      <c r="AP34" s="427" cm="1">
        <f t="array" ref="AP34">SUMPRODUCT((evolution_hta_par_materiaux[[client]:[client]]=syndicat_etude)*(evolution_hta_par_materiaux[[annee]:[annee]]=Exercice[[Exercice N]:[Exercice N]])*(evolution_hta_par_materiaux[[annee_mes]:[annee_mes]]=AP$29)*(evolution_hta_par_materiaux[[lineaire_hta_almelec_acier]:[lineaire_hta_almelec_acier]]))</f>
        <v>0</v>
      </c>
      <c r="AQ34" s="427" cm="1">
        <f t="array" ref="AQ34">SUMPRODUCT((evolution_hta_par_materiaux[[client]:[client]]=syndicat_etude)*(evolution_hta_par_materiaux[[annee]:[annee]]=Exercice[[Exercice N]:[Exercice N]])*(evolution_hta_par_materiaux[[annee_mes]:[annee_mes]]=AQ$29)*(evolution_hta_par_materiaux[[lineaire_hta_almelec_acier]:[lineaire_hta_almelec_acier]]))</f>
        <v>0</v>
      </c>
      <c r="AR34" s="427" cm="1">
        <f t="array" ref="AR34">SUMPRODUCT((evolution_hta_par_materiaux[[client]:[client]]=syndicat_etude)*(evolution_hta_par_materiaux[[annee]:[annee]]=Exercice[[Exercice N]:[Exercice N]])*(evolution_hta_par_materiaux[[annee_mes]:[annee_mes]]=AR$29)*(evolution_hta_par_materiaux[[lineaire_hta_almelec_acier]:[lineaire_hta_almelec_acier]]))</f>
        <v>0</v>
      </c>
      <c r="AS34" s="427" cm="1">
        <f t="array" ref="AS34">SUMPRODUCT((evolution_hta_par_materiaux[[client]:[client]]=syndicat_etude)*(evolution_hta_par_materiaux[[annee]:[annee]]=Exercice[[Exercice N]:[Exercice N]])*(evolution_hta_par_materiaux[[annee_mes]:[annee_mes]]=AS$29)*(evolution_hta_par_materiaux[[lineaire_hta_almelec_acier]:[lineaire_hta_almelec_acier]]))</f>
        <v>0</v>
      </c>
      <c r="AT34" s="427" cm="1">
        <f t="array" ref="AT34">SUMPRODUCT((evolution_hta_par_materiaux[[client]:[client]]=syndicat_etude)*(evolution_hta_par_materiaux[[annee]:[annee]]=Exercice[[Exercice N]:[Exercice N]])*(evolution_hta_par_materiaux[[annee_mes]:[annee_mes]]=AT$29)*(evolution_hta_par_materiaux[[lineaire_hta_almelec_acier]:[lineaire_hta_almelec_acier]]))</f>
        <v>0</v>
      </c>
      <c r="AU34" s="427" cm="1">
        <f t="array" ref="AU34">SUMPRODUCT((evolution_hta_par_materiaux[[client]:[client]]=syndicat_etude)*(evolution_hta_par_materiaux[[annee]:[annee]]=Exercice[[Exercice N]:[Exercice N]])*(evolution_hta_par_materiaux[[annee_mes]:[annee_mes]]=AU$29)*(evolution_hta_par_materiaux[[lineaire_hta_almelec_acier]:[lineaire_hta_almelec_acier]]))</f>
        <v>0</v>
      </c>
      <c r="AV34" s="427" cm="1">
        <f t="array" ref="AV34">SUMPRODUCT((evolution_hta_par_materiaux[[client]:[client]]=syndicat_etude)*(evolution_hta_par_materiaux[[annee]:[annee]]=Exercice[[Exercice N]:[Exercice N]])*(evolution_hta_par_materiaux[[annee_mes]:[annee_mes]]=AV$29)*(evolution_hta_par_materiaux[[lineaire_hta_almelec_acier]:[lineaire_hta_almelec_acier]]))</f>
        <v>0</v>
      </c>
      <c r="AW34" s="427" cm="1">
        <f t="array" ref="AW34">SUMPRODUCT((evolution_hta_par_materiaux[[client]:[client]]=syndicat_etude)*(evolution_hta_par_materiaux[[annee]:[annee]]=Exercice[[Exercice N]:[Exercice N]])*(evolution_hta_par_materiaux[[annee_mes]:[annee_mes]]=AW$29)*(evolution_hta_par_materiaux[[lineaire_hta_almelec_acier]:[lineaire_hta_almelec_acier]]))</f>
        <v>0</v>
      </c>
      <c r="AX34" s="427" cm="1">
        <f t="array" ref="AX34">SUMPRODUCT((evolution_hta_par_materiaux[[client]:[client]]=syndicat_etude)*(evolution_hta_par_materiaux[[annee]:[annee]]=Exercice[[Exercice N]:[Exercice N]])*(evolution_hta_par_materiaux[[annee_mes]:[annee_mes]]=AX$29)*(evolution_hta_par_materiaux[[lineaire_hta_almelec_acier]:[lineaire_hta_almelec_acier]]))</f>
        <v>0</v>
      </c>
      <c r="AY34" s="427" cm="1">
        <f t="array" ref="AY34">SUMPRODUCT((evolution_hta_par_materiaux[[client]:[client]]=syndicat_etude)*(evolution_hta_par_materiaux[[annee]:[annee]]=Exercice[[Exercice N]:[Exercice N]])*(evolution_hta_par_materiaux[[annee_mes]:[annee_mes]]=AY$29)*(evolution_hta_par_materiaux[[lineaire_hta_almelec_acier]:[lineaire_hta_almelec_acier]]))</f>
        <v>0</v>
      </c>
      <c r="AZ34" s="427" cm="1">
        <f t="array" ref="AZ34">SUMPRODUCT((evolution_hta_par_materiaux[[client]:[client]]=syndicat_etude)*(evolution_hta_par_materiaux[[annee]:[annee]]=Exercice[[Exercice N]:[Exercice N]])*(evolution_hta_par_materiaux[[annee_mes]:[annee_mes]]=AZ$29)*(evolution_hta_par_materiaux[[lineaire_hta_almelec_acier]:[lineaire_hta_almelec_acier]]))</f>
        <v>0</v>
      </c>
      <c r="BA34" s="427" cm="1">
        <f t="array" ref="BA34">SUMPRODUCT((evolution_hta_par_materiaux[[client]:[client]]=syndicat_etude)*(evolution_hta_par_materiaux[[annee]:[annee]]=Exercice[[Exercice N]:[Exercice N]])*(evolution_hta_par_materiaux[[annee_mes]:[annee_mes]]=BA$29)*(evolution_hta_par_materiaux[[lineaire_hta_almelec_acier]:[lineaire_hta_almelec_acier]]))</f>
        <v>0</v>
      </c>
      <c r="BB34" s="427" cm="1">
        <f t="array" ref="BB34">SUMPRODUCT((evolution_hta_par_materiaux[[client]:[client]]=syndicat_etude)*(evolution_hta_par_materiaux[[annee]:[annee]]=Exercice[[Exercice N]:[Exercice N]])*(evolution_hta_par_materiaux[[annee_mes]:[annee_mes]]=BB$29)*(evolution_hta_par_materiaux[[lineaire_hta_almelec_acier]:[lineaire_hta_almelec_acier]]))</f>
        <v>0</v>
      </c>
      <c r="BC34" s="427" cm="1">
        <f t="array" ref="BC34">SUMPRODUCT((evolution_hta_par_materiaux[[client]:[client]]=syndicat_etude)*(evolution_hta_par_materiaux[[annee]:[annee]]=Exercice[[Exercice N]:[Exercice N]])*(evolution_hta_par_materiaux[[annee_mes]:[annee_mes]]=BC$29)*(evolution_hta_par_materiaux[[lineaire_hta_almelec_acier]:[lineaire_hta_almelec_acier]]))</f>
        <v>0</v>
      </c>
      <c r="BD34" s="427" cm="1">
        <f t="array" ref="BD34">SUMPRODUCT((evolution_hta_par_materiaux[[client]:[client]]=syndicat_etude)*(evolution_hta_par_materiaux[[annee]:[annee]]=Exercice[[Exercice N]:[Exercice N]])*(evolution_hta_par_materiaux[[annee_mes]:[annee_mes]]=BD$29)*(evolution_hta_par_materiaux[[lineaire_hta_almelec_acier]:[lineaire_hta_almelec_acier]]))</f>
        <v>0</v>
      </c>
      <c r="BE34" s="427" cm="1">
        <f t="array" ref="BE34">SUMPRODUCT((evolution_hta_par_materiaux[[client]:[client]]=syndicat_etude)*(evolution_hta_par_materiaux[[annee]:[annee]]=Exercice[[Exercice N]:[Exercice N]])*(evolution_hta_par_materiaux[[annee_mes]:[annee_mes]]=BE$29)*(evolution_hta_par_materiaux[[lineaire_hta_almelec_acier]:[lineaire_hta_almelec_acier]]))</f>
        <v>0</v>
      </c>
      <c r="BF34" s="427" cm="1">
        <f t="array" ref="BF34">SUMPRODUCT((evolution_hta_par_materiaux[[client]:[client]]=syndicat_etude)*(evolution_hta_par_materiaux[[annee]:[annee]]=Exercice[[Exercice N]:[Exercice N]])*(evolution_hta_par_materiaux[[annee_mes]:[annee_mes]]=BF$29)*(evolution_hta_par_materiaux[[lineaire_hta_almelec_acier]:[lineaire_hta_almelec_acier]]))</f>
        <v>0</v>
      </c>
      <c r="BG34" s="427" cm="1">
        <f t="array" ref="BG34">SUMPRODUCT((evolution_hta_par_materiaux[[client]:[client]]=syndicat_etude)*(evolution_hta_par_materiaux[[annee]:[annee]]=Exercice[[Exercice N]:[Exercice N]])*(evolution_hta_par_materiaux[[annee_mes]:[annee_mes]]=BG$29)*(evolution_hta_par_materiaux[[lineaire_hta_almelec_acier]:[lineaire_hta_almelec_acier]]))</f>
        <v>0</v>
      </c>
      <c r="BH34" s="427" cm="1">
        <f t="array" ref="BH34">SUMPRODUCT((evolution_hta_par_materiaux[[client]:[client]]=syndicat_etude)*(evolution_hta_par_materiaux[[annee]:[annee]]=Exercice[[Exercice N]:[Exercice N]])*(evolution_hta_par_materiaux[[annee_mes]:[annee_mes]]=BH$29)*(evolution_hta_par_materiaux[[lineaire_hta_almelec_acier]:[lineaire_hta_almelec_acier]]))</f>
        <v>0</v>
      </c>
      <c r="BI34" s="427" cm="1">
        <f t="array" ref="BI34">SUMPRODUCT((evolution_hta_par_materiaux[[client]:[client]]=syndicat_etude)*(evolution_hta_par_materiaux[[annee]:[annee]]=Exercice[[Exercice N]:[Exercice N]])*(evolution_hta_par_materiaux[[annee_mes]:[annee_mes]]=BI$29)*(evolution_hta_par_materiaux[[lineaire_hta_almelec_acier]:[lineaire_hta_almelec_acier]]))</f>
        <v>0</v>
      </c>
      <c r="BJ34" s="427" cm="1">
        <f t="array" ref="BJ34">SUMPRODUCT((evolution_hta_par_materiaux[[client]:[client]]=syndicat_etude)*(evolution_hta_par_materiaux[[annee]:[annee]]=Exercice[[Exercice N]:[Exercice N]])*(evolution_hta_par_materiaux[[annee_mes]:[annee_mes]]=BJ$29)*(evolution_hta_par_materiaux[[lineaire_hta_almelec_acier]:[lineaire_hta_almelec_acier]]))</f>
        <v>0</v>
      </c>
      <c r="BK34" s="427" cm="1">
        <f t="array" ref="BK34">SUMPRODUCT((evolution_hta_par_materiaux[[client]:[client]]=syndicat_etude)*(evolution_hta_par_materiaux[[annee]:[annee]]=Exercice[[Exercice N]:[Exercice N]])*(evolution_hta_par_materiaux[[annee_mes]:[annee_mes]]=BK$29)*(evolution_hta_par_materiaux[[lineaire_hta_almelec_acier]:[lineaire_hta_almelec_acier]]))</f>
        <v>0</v>
      </c>
      <c r="BL34" s="427" cm="1">
        <f t="array" ref="BL34">SUMPRODUCT((evolution_hta_par_materiaux[[client]:[client]]=syndicat_etude)*(evolution_hta_par_materiaux[[annee]:[annee]]=Exercice[[Exercice N]:[Exercice N]])*(evolution_hta_par_materiaux[[annee_mes]:[annee_mes]]=BL$29)*(evolution_hta_par_materiaux[[lineaire_hta_almelec_acier]:[lineaire_hta_almelec_acier]]))</f>
        <v>0</v>
      </c>
      <c r="BM34" s="427" cm="1">
        <f t="array" ref="BM34">SUMPRODUCT((evolution_hta_par_materiaux[[client]:[client]]=syndicat_etude)*(evolution_hta_par_materiaux[[annee]:[annee]]=Exercice[[Exercice N]:[Exercice N]])*(evolution_hta_par_materiaux[[annee_mes]:[annee_mes]]=BM$29)*(evolution_hta_par_materiaux[[lineaire_hta_almelec_acier]:[lineaire_hta_almelec_acier]]))</f>
        <v>0</v>
      </c>
      <c r="BN34" s="427" cm="1">
        <f t="array" ref="BN34">SUMPRODUCT((evolution_hta_par_materiaux[[client]:[client]]=syndicat_etude)*(evolution_hta_par_materiaux[[annee]:[annee]]=Exercice[[Exercice N]:[Exercice N]])*(evolution_hta_par_materiaux[[annee_mes]:[annee_mes]]=BN$29)*(evolution_hta_par_materiaux[[lineaire_hta_almelec_acier]:[lineaire_hta_almelec_acier]]))</f>
        <v>0</v>
      </c>
      <c r="BO34" s="427" cm="1">
        <f t="array" ref="BO34">SUMPRODUCT((evolution_hta_par_materiaux[[client]:[client]]=syndicat_etude)*(evolution_hta_par_materiaux[[annee]:[annee]]=Exercice[[Exercice N]:[Exercice N]])*(evolution_hta_par_materiaux[[annee_mes]:[annee_mes]]=BO$29)*(evolution_hta_par_materiaux[[lineaire_hta_almelec_acier]:[lineaire_hta_almelec_acier]]))</f>
        <v>0</v>
      </c>
      <c r="BP34" s="427" cm="1">
        <f t="array" ref="BP34">SUMPRODUCT((evolution_hta_par_materiaux[[client]:[client]]=syndicat_etude)*(evolution_hta_par_materiaux[[annee]:[annee]]=Exercice[[Exercice N]:[Exercice N]])*(evolution_hta_par_materiaux[[annee_mes]:[annee_mes]]=BP$29)*(evolution_hta_par_materiaux[[lineaire_hta_almelec_acier]:[lineaire_hta_almelec_acier]]))</f>
        <v>0</v>
      </c>
      <c r="BQ34" s="427" cm="1">
        <f t="array" ref="BQ34">SUMPRODUCT((evolution_hta_par_materiaux[[client]:[client]]=syndicat_etude)*(evolution_hta_par_materiaux[[annee]:[annee]]=Exercice[[Exercice N]:[Exercice N]])*(evolution_hta_par_materiaux[[annee_mes]:[annee_mes]]=BQ$29)*(evolution_hta_par_materiaux[[lineaire_hta_almelec_acier]:[lineaire_hta_almelec_acier]]))</f>
        <v>0</v>
      </c>
      <c r="BR34" s="427" cm="1">
        <f t="array" ref="BR34">SUMPRODUCT((evolution_hta_par_materiaux[[client]:[client]]=syndicat_etude)*(evolution_hta_par_materiaux[[annee]:[annee]]=Exercice[[Exercice N]:[Exercice N]])*(evolution_hta_par_materiaux[[annee_mes]:[annee_mes]]=BR$29)*(evolution_hta_par_materiaux[[lineaire_hta_almelec_acier]:[lineaire_hta_almelec_acier]]))</f>
        <v>0</v>
      </c>
      <c r="BS34" s="427" cm="1">
        <f t="array" ref="BS34">SUMPRODUCT((evolution_hta_par_materiaux[[client]:[client]]=syndicat_etude)*(evolution_hta_par_materiaux[[annee]:[annee]]=Exercice[[Exercice N]:[Exercice N]])*(evolution_hta_par_materiaux[[annee_mes]:[annee_mes]]=BS$29)*(evolution_hta_par_materiaux[[lineaire_hta_almelec_acier]:[lineaire_hta_almelec_acier]]))</f>
        <v>0</v>
      </c>
      <c r="BT34" s="427" cm="1">
        <f t="array" ref="BT34">SUMPRODUCT((evolution_hta_par_materiaux[[client]:[client]]=syndicat_etude)*(evolution_hta_par_materiaux[[annee]:[annee]]=Exercice[[Exercice N]:[Exercice N]])*(evolution_hta_par_materiaux[[annee_mes]:[annee_mes]]=BT$29)*(evolution_hta_par_materiaux[[lineaire_hta_almelec_acier]:[lineaire_hta_almelec_acier]]))</f>
        <v>0</v>
      </c>
      <c r="BU34" s="427" cm="1">
        <f t="array" ref="BU34">SUMPRODUCT((evolution_hta_par_materiaux[[client]:[client]]=syndicat_etude)*(evolution_hta_par_materiaux[[annee]:[annee]]=Exercice[[Exercice N]:[Exercice N]])*(evolution_hta_par_materiaux[[annee_mes]:[annee_mes]]=BU$29)*(evolution_hta_par_materiaux[[lineaire_hta_almelec_acier]:[lineaire_hta_almelec_acier]]))</f>
        <v>0</v>
      </c>
      <c r="BV34" s="427" cm="1">
        <f t="array" ref="BV34">SUMPRODUCT((evolution_hta_par_materiaux[[client]:[client]]=syndicat_etude)*(evolution_hta_par_materiaux[[annee]:[annee]]=Exercice[[Exercice N]:[Exercice N]])*(evolution_hta_par_materiaux[[annee_mes]:[annee_mes]]=BV$29)*(evolution_hta_par_materiaux[[lineaire_hta_almelec_acier]:[lineaire_hta_almelec_acier]]))</f>
        <v>0</v>
      </c>
      <c r="BW34" s="427" cm="1">
        <f t="array" ref="BW34">SUMPRODUCT((evolution_hta_par_materiaux[[client]:[client]]=syndicat_etude)*(evolution_hta_par_materiaux[[annee]:[annee]]=Exercice[[Exercice N]:[Exercice N]])*(evolution_hta_par_materiaux[[annee_mes]:[annee_mes]]=BW$29)*(evolution_hta_par_materiaux[[lineaire_hta_almelec_acier]:[lineaire_hta_almelec_acier]]))</f>
        <v>0</v>
      </c>
      <c r="BX34" s="427" cm="1">
        <f t="array" ref="BX34">SUMPRODUCT((evolution_hta_par_materiaux[[client]:[client]]=syndicat_etude)*(evolution_hta_par_materiaux[[annee]:[annee]]=Exercice[[Exercice N]:[Exercice N]])*(evolution_hta_par_materiaux[[annee_mes]:[annee_mes]]=BX$29)*(evolution_hta_par_materiaux[[lineaire_hta_almelec_acier]:[lineaire_hta_almelec_acier]]))</f>
        <v>0</v>
      </c>
      <c r="BY34" s="427" cm="1">
        <f t="array" ref="BY34">SUMPRODUCT((evolution_hta_par_materiaux[[client]:[client]]=syndicat_etude)*(evolution_hta_par_materiaux[[annee]:[annee]]=Exercice[[Exercice N]:[Exercice N]])*(evolution_hta_par_materiaux[[annee_mes]:[annee_mes]]=BY$29)*(evolution_hta_par_materiaux[[lineaire_hta_almelec_acier]:[lineaire_hta_almelec_acier]]))</f>
        <v>0</v>
      </c>
      <c r="BZ34" s="427" cm="1">
        <f t="array" ref="BZ34">SUMPRODUCT((evolution_hta_par_materiaux[[client]:[client]]=syndicat_etude)*(evolution_hta_par_materiaux[[annee]:[annee]]=Exercice[[Exercice N]:[Exercice N]])*(evolution_hta_par_materiaux[[annee_mes]:[annee_mes]]=BZ$29)*(evolution_hta_par_materiaux[[lineaire_hta_almelec_acier]:[lineaire_hta_almelec_acier]]))</f>
        <v>0</v>
      </c>
      <c r="CA34" s="427" cm="1">
        <f t="array" ref="CA34">SUMPRODUCT((evolution_hta_par_materiaux[[client]:[client]]=syndicat_etude)*(evolution_hta_par_materiaux[[annee]:[annee]]=Exercice[[Exercice N]:[Exercice N]])*(evolution_hta_par_materiaux[[annee_mes]:[annee_mes]]=CA$29)*(evolution_hta_par_materiaux[[lineaire_hta_almelec_acier]:[lineaire_hta_almelec_acier]]))</f>
        <v>0</v>
      </c>
      <c r="CB34" s="427" cm="1">
        <f t="array" ref="CB34">SUMPRODUCT((evolution_hta_par_materiaux[[client]:[client]]=syndicat_etude)*(evolution_hta_par_materiaux[[annee]:[annee]]=Exercice[[Exercice N]:[Exercice N]])*(evolution_hta_par_materiaux[[annee_mes]:[annee_mes]]=CB$29)*(evolution_hta_par_materiaux[[lineaire_hta_almelec_acier]:[lineaire_hta_almelec_acier]]))</f>
        <v>0</v>
      </c>
      <c r="CC34" s="428" cm="1">
        <f t="array" ref="CC34">SUMPRODUCT((evolution_hta_par_materiaux[[client]:[client]]=syndicat_etude)*(evolution_hta_par_materiaux[[annee]:[annee]]=Exercice[[Exercice N]:[Exercice N]])*(evolution_hta_par_materiaux[[annee_mes]:[annee_mes]]=CC$29)*(evolution_hta_par_materiaux[[lineaire_hta_almelec_acier]:[lineaire_hta_almelec_acier]]))</f>
        <v>0</v>
      </c>
      <c r="CD34" s="406"/>
      <c r="CE34" s="406"/>
      <c r="CF34" s="406"/>
    </row>
    <row r="53" spans="2:84" ht="30" customHeight="1" x14ac:dyDescent="0.25">
      <c r="B53" s="423" t="s">
        <v>1187</v>
      </c>
      <c r="C53" s="424" t="s">
        <v>1179</v>
      </c>
      <c r="D53" s="424">
        <v>1946</v>
      </c>
      <c r="E53" s="424">
        <v>1947</v>
      </c>
      <c r="F53" s="424">
        <v>1948</v>
      </c>
      <c r="G53" s="424">
        <v>1949</v>
      </c>
      <c r="H53" s="424">
        <v>1950</v>
      </c>
      <c r="I53" s="424">
        <v>1951</v>
      </c>
      <c r="J53" s="424">
        <v>1952</v>
      </c>
      <c r="K53" s="424">
        <v>1953</v>
      </c>
      <c r="L53" s="424">
        <v>1954</v>
      </c>
      <c r="M53" s="424">
        <v>1955</v>
      </c>
      <c r="N53" s="424">
        <v>1956</v>
      </c>
      <c r="O53" s="424">
        <v>1957</v>
      </c>
      <c r="P53" s="424">
        <v>1958</v>
      </c>
      <c r="Q53" s="424">
        <v>1959</v>
      </c>
      <c r="R53" s="424">
        <v>1960</v>
      </c>
      <c r="S53" s="424">
        <v>1961</v>
      </c>
      <c r="T53" s="424">
        <v>1962</v>
      </c>
      <c r="U53" s="424">
        <v>1963</v>
      </c>
      <c r="V53" s="424">
        <v>1964</v>
      </c>
      <c r="W53" s="424">
        <v>1965</v>
      </c>
      <c r="X53" s="424">
        <v>1966</v>
      </c>
      <c r="Y53" s="424">
        <v>1967</v>
      </c>
      <c r="Z53" s="424">
        <v>1968</v>
      </c>
      <c r="AA53" s="424">
        <v>1969</v>
      </c>
      <c r="AB53" s="424">
        <v>1970</v>
      </c>
      <c r="AC53" s="424">
        <v>1971</v>
      </c>
      <c r="AD53" s="424">
        <v>1972</v>
      </c>
      <c r="AE53" s="424">
        <v>1973</v>
      </c>
      <c r="AF53" s="424">
        <v>1974</v>
      </c>
      <c r="AG53" s="424">
        <v>1975</v>
      </c>
      <c r="AH53" s="424">
        <v>1976</v>
      </c>
      <c r="AI53" s="424">
        <v>1977</v>
      </c>
      <c r="AJ53" s="424">
        <v>1978</v>
      </c>
      <c r="AK53" s="424">
        <v>1979</v>
      </c>
      <c r="AL53" s="424">
        <v>1980</v>
      </c>
      <c r="AM53" s="424">
        <v>1981</v>
      </c>
      <c r="AN53" s="424">
        <v>1982</v>
      </c>
      <c r="AO53" s="424">
        <v>1983</v>
      </c>
      <c r="AP53" s="424">
        <v>1984</v>
      </c>
      <c r="AQ53" s="424">
        <v>1985</v>
      </c>
      <c r="AR53" s="424">
        <v>1986</v>
      </c>
      <c r="AS53" s="424">
        <v>1987</v>
      </c>
      <c r="AT53" s="424">
        <v>1988</v>
      </c>
      <c r="AU53" s="424">
        <v>1989</v>
      </c>
      <c r="AV53" s="424">
        <v>1990</v>
      </c>
      <c r="AW53" s="424">
        <v>1991</v>
      </c>
      <c r="AX53" s="424">
        <v>1992</v>
      </c>
      <c r="AY53" s="424">
        <v>1993</v>
      </c>
      <c r="AZ53" s="424">
        <v>1994</v>
      </c>
      <c r="BA53" s="424">
        <v>1995</v>
      </c>
      <c r="BB53" s="424">
        <v>1996</v>
      </c>
      <c r="BC53" s="424">
        <v>1997</v>
      </c>
      <c r="BD53" s="424">
        <v>1998</v>
      </c>
      <c r="BE53" s="424">
        <v>1999</v>
      </c>
      <c r="BF53" s="424">
        <v>2000</v>
      </c>
      <c r="BG53" s="424">
        <v>2001</v>
      </c>
      <c r="BH53" s="424">
        <v>2002</v>
      </c>
      <c r="BI53" s="424">
        <v>2003</v>
      </c>
      <c r="BJ53" s="424">
        <v>2004</v>
      </c>
      <c r="BK53" s="424">
        <v>2005</v>
      </c>
      <c r="BL53" s="424">
        <v>2006</v>
      </c>
      <c r="BM53" s="424">
        <v>2007</v>
      </c>
      <c r="BN53" s="424">
        <v>2008</v>
      </c>
      <c r="BO53" s="424">
        <v>2009</v>
      </c>
      <c r="BP53" s="424">
        <v>2010</v>
      </c>
      <c r="BQ53" s="424">
        <v>2011</v>
      </c>
      <c r="BR53" s="424">
        <v>2012</v>
      </c>
      <c r="BS53" s="424">
        <v>2013</v>
      </c>
      <c r="BT53" s="424">
        <v>2014</v>
      </c>
      <c r="BU53" s="424">
        <v>2015</v>
      </c>
      <c r="BV53" s="424">
        <v>2016</v>
      </c>
      <c r="BW53" s="424">
        <v>2017</v>
      </c>
      <c r="BX53" s="424">
        <v>2018</v>
      </c>
      <c r="BY53" s="424">
        <v>2019</v>
      </c>
      <c r="BZ53" s="424">
        <v>2020</v>
      </c>
      <c r="CA53" s="424">
        <v>2021</v>
      </c>
      <c r="CB53" s="424">
        <v>2022</v>
      </c>
      <c r="CC53" s="425">
        <v>2023</v>
      </c>
      <c r="CD53" s="399"/>
      <c r="CE53" s="399"/>
      <c r="CF53" s="399"/>
    </row>
    <row r="54" spans="2:84" x14ac:dyDescent="0.25">
      <c r="B54" s="429" t="s">
        <v>1188</v>
      </c>
      <c r="C54" s="264" cm="1">
        <f t="array" ref="C54">SUMPRODUCT((evolution_bt_par_typologie[[client]:[client]]=syndicat_etude)*(evolution_bt_par_typologie[[annee]:[annee]]=Exercice[[Exercice N]:[Exercice N]])*(evolution_bt_par_typologie[[annee_mes]:[annee_mes]]&lt;1946)*(evolution_bt_par_typologie[[lineaire_bt_nu_HFS]:[lineaire_bt_nu_HFS]]))</f>
        <v>0</v>
      </c>
      <c r="D54" s="264" cm="1">
        <f t="array" ref="D54">SUMPRODUCT((evolution_bt_par_typologie[[client]:[client]]=syndicat_etude)*(evolution_bt_par_typologie[[annee]:[annee]]=Exercice[[Exercice N]:[Exercice N]])*(evolution_bt_par_typologie[[annee_mes]:[annee_mes]]=D$53)*(evolution_bt_par_typologie[[lineaire_bt_nu_HFS]:[lineaire_bt_nu_HFS]]))</f>
        <v>44.11</v>
      </c>
      <c r="E54" s="264" cm="1">
        <f t="array" ref="E54">SUMPRODUCT((evolution_bt_par_typologie[[client]:[client]]=syndicat_etude)*(evolution_bt_par_typologie[[annee]:[annee]]=Exercice[[Exercice N]:[Exercice N]])*(evolution_bt_par_typologie[[annee_mes]:[annee_mes]]=E$53)*(evolution_bt_par_typologie[[lineaire_bt_nu_HFS]:[lineaire_bt_nu_HFS]]))</f>
        <v>0.15</v>
      </c>
      <c r="F54" s="264" cm="1">
        <f t="array" ref="F54">SUMPRODUCT((evolution_bt_par_typologie[[client]:[client]]=syndicat_etude)*(evolution_bt_par_typologie[[annee]:[annee]]=Exercice[[Exercice N]:[Exercice N]])*(evolution_bt_par_typologie[[annee_mes]:[annee_mes]]=F$53)*(evolution_bt_par_typologie[[lineaire_bt_nu_HFS]:[lineaire_bt_nu_HFS]]))</f>
        <v>0</v>
      </c>
      <c r="G54" s="264" cm="1">
        <f t="array" ref="G54">SUMPRODUCT((evolution_bt_par_typologie[[client]:[client]]=syndicat_etude)*(evolution_bt_par_typologie[[annee]:[annee]]=Exercice[[Exercice N]:[Exercice N]])*(evolution_bt_par_typologie[[annee_mes]:[annee_mes]]=G$53)*(evolution_bt_par_typologie[[lineaire_bt_nu_HFS]:[lineaire_bt_nu_HFS]]))</f>
        <v>0</v>
      </c>
      <c r="H54" s="264" cm="1">
        <f t="array" ref="H54">SUMPRODUCT((evolution_bt_par_typologie[[client]:[client]]=syndicat_etude)*(evolution_bt_par_typologie[[annee]:[annee]]=Exercice[[Exercice N]:[Exercice N]])*(evolution_bt_par_typologie[[annee_mes]:[annee_mes]]=H$53)*(evolution_bt_par_typologie[[lineaire_bt_nu_HFS]:[lineaire_bt_nu_HFS]]))</f>
        <v>0</v>
      </c>
      <c r="I54" s="264" cm="1">
        <f t="array" ref="I54">SUMPRODUCT((evolution_bt_par_typologie[[client]:[client]]=syndicat_etude)*(evolution_bt_par_typologie[[annee]:[annee]]=Exercice[[Exercice N]:[Exercice N]])*(evolution_bt_par_typologie[[annee_mes]:[annee_mes]]=I$53)*(evolution_bt_par_typologie[[lineaire_bt_nu_HFS]:[lineaire_bt_nu_HFS]]))</f>
        <v>0</v>
      </c>
      <c r="J54" s="264" cm="1">
        <f t="array" ref="J54">SUMPRODUCT((evolution_bt_par_typologie[[client]:[client]]=syndicat_etude)*(evolution_bt_par_typologie[[annee]:[annee]]=Exercice[[Exercice N]:[Exercice N]])*(evolution_bt_par_typologie[[annee_mes]:[annee_mes]]=J$53)*(evolution_bt_par_typologie[[lineaire_bt_nu_HFS]:[lineaire_bt_nu_HFS]]))</f>
        <v>0</v>
      </c>
      <c r="K54" s="264" cm="1">
        <f t="array" ref="K54">SUMPRODUCT((evolution_bt_par_typologie[[client]:[client]]=syndicat_etude)*(evolution_bt_par_typologie[[annee]:[annee]]=Exercice[[Exercice N]:[Exercice N]])*(evolution_bt_par_typologie[[annee_mes]:[annee_mes]]=K$53)*(evolution_bt_par_typologie[[lineaire_bt_nu_HFS]:[lineaire_bt_nu_HFS]]))</f>
        <v>0.04</v>
      </c>
      <c r="L54" s="264" cm="1">
        <f t="array" ref="L54">SUMPRODUCT((evolution_bt_par_typologie[[client]:[client]]=syndicat_etude)*(evolution_bt_par_typologie[[annee]:[annee]]=Exercice[[Exercice N]:[Exercice N]])*(evolution_bt_par_typologie[[annee_mes]:[annee_mes]]=L$53)*(evolution_bt_par_typologie[[lineaire_bt_nu_HFS]:[lineaire_bt_nu_HFS]]))</f>
        <v>0</v>
      </c>
      <c r="M54" s="264" cm="1">
        <f t="array" ref="M54">SUMPRODUCT((evolution_bt_par_typologie[[client]:[client]]=syndicat_etude)*(evolution_bt_par_typologie[[annee]:[annee]]=Exercice[[Exercice N]:[Exercice N]])*(evolution_bt_par_typologie[[annee_mes]:[annee_mes]]=M$53)*(evolution_bt_par_typologie[[lineaire_bt_nu_HFS]:[lineaire_bt_nu_HFS]]))</f>
        <v>0</v>
      </c>
      <c r="N54" s="264" cm="1">
        <f t="array" ref="N54">SUMPRODUCT((evolution_bt_par_typologie[[client]:[client]]=syndicat_etude)*(evolution_bt_par_typologie[[annee]:[annee]]=Exercice[[Exercice N]:[Exercice N]])*(evolution_bt_par_typologie[[annee_mes]:[annee_mes]]=N$53)*(evolution_bt_par_typologie[[lineaire_bt_nu_HFS]:[lineaire_bt_nu_HFS]]))</f>
        <v>0</v>
      </c>
      <c r="O54" s="264" cm="1">
        <f t="array" ref="O54">SUMPRODUCT((evolution_bt_par_typologie[[client]:[client]]=syndicat_etude)*(evolution_bt_par_typologie[[annee]:[annee]]=Exercice[[Exercice N]:[Exercice N]])*(evolution_bt_par_typologie[[annee_mes]:[annee_mes]]=O$53)*(evolution_bt_par_typologie[[lineaire_bt_nu_HFS]:[lineaire_bt_nu_HFS]]))</f>
        <v>0</v>
      </c>
      <c r="P54" s="264" cm="1">
        <f t="array" ref="P54">SUMPRODUCT((evolution_bt_par_typologie[[client]:[client]]=syndicat_etude)*(evolution_bt_par_typologie[[annee]:[annee]]=Exercice[[Exercice N]:[Exercice N]])*(evolution_bt_par_typologie[[annee_mes]:[annee_mes]]=P$53)*(evolution_bt_par_typologie[[lineaire_bt_nu_HFS]:[lineaire_bt_nu_HFS]]))</f>
        <v>0</v>
      </c>
      <c r="Q54" s="264" cm="1">
        <f t="array" ref="Q54">SUMPRODUCT((evolution_bt_par_typologie[[client]:[client]]=syndicat_etude)*(evolution_bt_par_typologie[[annee]:[annee]]=Exercice[[Exercice N]:[Exercice N]])*(evolution_bt_par_typologie[[annee_mes]:[annee_mes]]=Q$53)*(evolution_bt_par_typologie[[lineaire_bt_nu_HFS]:[lineaire_bt_nu_HFS]]))</f>
        <v>0.21</v>
      </c>
      <c r="R54" s="264" cm="1">
        <f t="array" ref="R54">SUMPRODUCT((evolution_bt_par_typologie[[client]:[client]]=syndicat_etude)*(evolution_bt_par_typologie[[annee]:[annee]]=Exercice[[Exercice N]:[Exercice N]])*(evolution_bt_par_typologie[[annee_mes]:[annee_mes]]=R$53)*(evolution_bt_par_typologie[[lineaire_bt_nu_HFS]:[lineaire_bt_nu_HFS]]))</f>
        <v>0</v>
      </c>
      <c r="S54" s="264" cm="1">
        <f t="array" ref="S54">SUMPRODUCT((evolution_bt_par_typologie[[client]:[client]]=syndicat_etude)*(evolution_bt_par_typologie[[annee]:[annee]]=Exercice[[Exercice N]:[Exercice N]])*(evolution_bt_par_typologie[[annee_mes]:[annee_mes]]=S$53)*(evolution_bt_par_typologie[[lineaire_bt_nu_HFS]:[lineaire_bt_nu_HFS]]))</f>
        <v>0</v>
      </c>
      <c r="T54" s="264" cm="1">
        <f t="array" ref="T54">SUMPRODUCT((evolution_bt_par_typologie[[client]:[client]]=syndicat_etude)*(evolution_bt_par_typologie[[annee]:[annee]]=Exercice[[Exercice N]:[Exercice N]])*(evolution_bt_par_typologie[[annee_mes]:[annee_mes]]=T$53)*(evolution_bt_par_typologie[[lineaire_bt_nu_HFS]:[lineaire_bt_nu_HFS]]))</f>
        <v>0</v>
      </c>
      <c r="U54" s="264" cm="1">
        <f t="array" ref="U54">SUMPRODUCT((evolution_bt_par_typologie[[client]:[client]]=syndicat_etude)*(evolution_bt_par_typologie[[annee]:[annee]]=Exercice[[Exercice N]:[Exercice N]])*(evolution_bt_par_typologie[[annee_mes]:[annee_mes]]=U$53)*(evolution_bt_par_typologie[[lineaire_bt_nu_HFS]:[lineaire_bt_nu_HFS]]))</f>
        <v>0</v>
      </c>
      <c r="V54" s="264" cm="1">
        <f t="array" ref="V54">SUMPRODUCT((evolution_bt_par_typologie[[client]:[client]]=syndicat_etude)*(evolution_bt_par_typologie[[annee]:[annee]]=Exercice[[Exercice N]:[Exercice N]])*(evolution_bt_par_typologie[[annee_mes]:[annee_mes]]=V$53)*(evolution_bt_par_typologie[[lineaire_bt_nu_HFS]:[lineaire_bt_nu_HFS]]))</f>
        <v>0</v>
      </c>
      <c r="W54" s="264" cm="1">
        <f t="array" ref="W54">SUMPRODUCT((evolution_bt_par_typologie[[client]:[client]]=syndicat_etude)*(evolution_bt_par_typologie[[annee]:[annee]]=Exercice[[Exercice N]:[Exercice N]])*(evolution_bt_par_typologie[[annee_mes]:[annee_mes]]=W$53)*(evolution_bt_par_typologie[[lineaire_bt_nu_HFS]:[lineaire_bt_nu_HFS]]))</f>
        <v>0</v>
      </c>
      <c r="X54" s="264" cm="1">
        <f t="array" ref="X54">SUMPRODUCT((evolution_bt_par_typologie[[client]:[client]]=syndicat_etude)*(evolution_bt_par_typologie[[annee]:[annee]]=Exercice[[Exercice N]:[Exercice N]])*(evolution_bt_par_typologie[[annee_mes]:[annee_mes]]=X$53)*(evolution_bt_par_typologie[[lineaire_bt_nu_HFS]:[lineaire_bt_nu_HFS]]))</f>
        <v>0</v>
      </c>
      <c r="Y54" s="264" cm="1">
        <f t="array" ref="Y54">SUMPRODUCT((evolution_bt_par_typologie[[client]:[client]]=syndicat_etude)*(evolution_bt_par_typologie[[annee]:[annee]]=Exercice[[Exercice N]:[Exercice N]])*(evolution_bt_par_typologie[[annee_mes]:[annee_mes]]=Y$53)*(evolution_bt_par_typologie[[lineaire_bt_nu_HFS]:[lineaire_bt_nu_HFS]]))</f>
        <v>0.02</v>
      </c>
      <c r="Z54" s="264" cm="1">
        <f t="array" ref="Z54">SUMPRODUCT((evolution_bt_par_typologie[[client]:[client]]=syndicat_etude)*(evolution_bt_par_typologie[[annee]:[annee]]=Exercice[[Exercice N]:[Exercice N]])*(evolution_bt_par_typologie[[annee_mes]:[annee_mes]]=Z$53)*(evolution_bt_par_typologie[[lineaire_bt_nu_HFS]:[lineaire_bt_nu_HFS]]))</f>
        <v>0</v>
      </c>
      <c r="AA54" s="264" cm="1">
        <f t="array" ref="AA54">SUMPRODUCT((evolution_bt_par_typologie[[client]:[client]]=syndicat_etude)*(evolution_bt_par_typologie[[annee]:[annee]]=Exercice[[Exercice N]:[Exercice N]])*(evolution_bt_par_typologie[[annee_mes]:[annee_mes]]=AA$53)*(evolution_bt_par_typologie[[lineaire_bt_nu_HFS]:[lineaire_bt_nu_HFS]]))</f>
        <v>0</v>
      </c>
      <c r="AB54" s="264" cm="1">
        <f t="array" ref="AB54">SUMPRODUCT((evolution_bt_par_typologie[[client]:[client]]=syndicat_etude)*(evolution_bt_par_typologie[[annee]:[annee]]=Exercice[[Exercice N]:[Exercice N]])*(evolution_bt_par_typologie[[annee_mes]:[annee_mes]]=AB$53)*(evolution_bt_par_typologie[[lineaire_bt_nu_HFS]:[lineaire_bt_nu_HFS]]))</f>
        <v>0</v>
      </c>
      <c r="AC54" s="264" cm="1">
        <f t="array" ref="AC54">SUMPRODUCT((evolution_bt_par_typologie[[client]:[client]]=syndicat_etude)*(evolution_bt_par_typologie[[annee]:[annee]]=Exercice[[Exercice N]:[Exercice N]])*(evolution_bt_par_typologie[[annee_mes]:[annee_mes]]=AC$53)*(evolution_bt_par_typologie[[lineaire_bt_nu_HFS]:[lineaire_bt_nu_HFS]]))</f>
        <v>0.3</v>
      </c>
      <c r="AD54" s="264" cm="1">
        <f t="array" ref="AD54">SUMPRODUCT((evolution_bt_par_typologie[[client]:[client]]=syndicat_etude)*(evolution_bt_par_typologie[[annee]:[annee]]=Exercice[[Exercice N]:[Exercice N]])*(evolution_bt_par_typologie[[annee_mes]:[annee_mes]]=AD$53)*(evolution_bt_par_typologie[[lineaire_bt_nu_HFS]:[lineaire_bt_nu_HFS]]))</f>
        <v>0</v>
      </c>
      <c r="AE54" s="264" cm="1">
        <f t="array" ref="AE54">SUMPRODUCT((evolution_bt_par_typologie[[client]:[client]]=syndicat_etude)*(evolution_bt_par_typologie[[annee]:[annee]]=Exercice[[Exercice N]:[Exercice N]])*(evolution_bt_par_typologie[[annee_mes]:[annee_mes]]=AE$53)*(evolution_bt_par_typologie[[lineaire_bt_nu_HFS]:[lineaire_bt_nu_HFS]]))</f>
        <v>0</v>
      </c>
      <c r="AF54" s="264" cm="1">
        <f t="array" ref="AF54">SUMPRODUCT((evolution_bt_par_typologie[[client]:[client]]=syndicat_etude)*(evolution_bt_par_typologie[[annee]:[annee]]=Exercice[[Exercice N]:[Exercice N]])*(evolution_bt_par_typologie[[annee_mes]:[annee_mes]]=AF$53)*(evolution_bt_par_typologie[[lineaire_bt_nu_HFS]:[lineaire_bt_nu_HFS]]))</f>
        <v>0</v>
      </c>
      <c r="AG54" s="264" cm="1">
        <f t="array" ref="AG54">SUMPRODUCT((evolution_bt_par_typologie[[client]:[client]]=syndicat_etude)*(evolution_bt_par_typologie[[annee]:[annee]]=Exercice[[Exercice N]:[Exercice N]])*(evolution_bt_par_typologie[[annee_mes]:[annee_mes]]=AG$53)*(evolution_bt_par_typologie[[lineaire_bt_nu_HFS]:[lineaire_bt_nu_HFS]]))</f>
        <v>0</v>
      </c>
      <c r="AH54" s="264" cm="1">
        <f t="array" ref="AH54">SUMPRODUCT((evolution_bt_par_typologie[[client]:[client]]=syndicat_etude)*(evolution_bt_par_typologie[[annee]:[annee]]=Exercice[[Exercice N]:[Exercice N]])*(evolution_bt_par_typologie[[annee_mes]:[annee_mes]]=AH$53)*(evolution_bt_par_typologie[[lineaire_bt_nu_HFS]:[lineaire_bt_nu_HFS]]))</f>
        <v>0</v>
      </c>
      <c r="AI54" s="264" cm="1">
        <f t="array" ref="AI54">SUMPRODUCT((evolution_bt_par_typologie[[client]:[client]]=syndicat_etude)*(evolution_bt_par_typologie[[annee]:[annee]]=Exercice[[Exercice N]:[Exercice N]])*(evolution_bt_par_typologie[[annee_mes]:[annee_mes]]=AI$53)*(evolution_bt_par_typologie[[lineaire_bt_nu_HFS]:[lineaire_bt_nu_HFS]]))</f>
        <v>0</v>
      </c>
      <c r="AJ54" s="264" cm="1">
        <f t="array" ref="AJ54">SUMPRODUCT((evolution_bt_par_typologie[[client]:[client]]=syndicat_etude)*(evolution_bt_par_typologie[[annee]:[annee]]=Exercice[[Exercice N]:[Exercice N]])*(evolution_bt_par_typologie[[annee_mes]:[annee_mes]]=AJ$53)*(evolution_bt_par_typologie[[lineaire_bt_nu_HFS]:[lineaire_bt_nu_HFS]]))</f>
        <v>0</v>
      </c>
      <c r="AK54" s="264" cm="1">
        <f t="array" ref="AK54">SUMPRODUCT((evolution_bt_par_typologie[[client]:[client]]=syndicat_etude)*(evolution_bt_par_typologie[[annee]:[annee]]=Exercice[[Exercice N]:[Exercice N]])*(evolution_bt_par_typologie[[annee_mes]:[annee_mes]]=AK$53)*(evolution_bt_par_typologie[[lineaire_bt_nu_HFS]:[lineaire_bt_nu_HFS]]))</f>
        <v>0</v>
      </c>
      <c r="AL54" s="264" cm="1">
        <f t="array" ref="AL54">SUMPRODUCT((evolution_bt_par_typologie[[client]:[client]]=syndicat_etude)*(evolution_bt_par_typologie[[annee]:[annee]]=Exercice[[Exercice N]:[Exercice N]])*(evolution_bt_par_typologie[[annee_mes]:[annee_mes]]=AL$53)*(evolution_bt_par_typologie[[lineaire_bt_nu_HFS]:[lineaire_bt_nu_HFS]]))</f>
        <v>0</v>
      </c>
      <c r="AM54" s="264" cm="1">
        <f t="array" ref="AM54">SUMPRODUCT((evolution_bt_par_typologie[[client]:[client]]=syndicat_etude)*(evolution_bt_par_typologie[[annee]:[annee]]=Exercice[[Exercice N]:[Exercice N]])*(evolution_bt_par_typologie[[annee_mes]:[annee_mes]]=AM$53)*(evolution_bt_par_typologie[[lineaire_bt_nu_HFS]:[lineaire_bt_nu_HFS]]))</f>
        <v>0</v>
      </c>
      <c r="AN54" s="264" cm="1">
        <f t="array" ref="AN54">SUMPRODUCT((evolution_bt_par_typologie[[client]:[client]]=syndicat_etude)*(evolution_bt_par_typologie[[annee]:[annee]]=Exercice[[Exercice N]:[Exercice N]])*(evolution_bt_par_typologie[[annee_mes]:[annee_mes]]=AN$53)*(evolution_bt_par_typologie[[lineaire_bt_nu_HFS]:[lineaire_bt_nu_HFS]]))</f>
        <v>0.03</v>
      </c>
      <c r="AO54" s="264" cm="1">
        <f t="array" ref="AO54">SUMPRODUCT((evolution_bt_par_typologie[[client]:[client]]=syndicat_etude)*(evolution_bt_par_typologie[[annee]:[annee]]=Exercice[[Exercice N]:[Exercice N]])*(evolution_bt_par_typologie[[annee_mes]:[annee_mes]]=AO$53)*(evolution_bt_par_typologie[[lineaire_bt_nu_HFS]:[lineaire_bt_nu_HFS]]))</f>
        <v>0.08</v>
      </c>
      <c r="AP54" s="264" cm="1">
        <f t="array" ref="AP54">SUMPRODUCT((evolution_bt_par_typologie[[client]:[client]]=syndicat_etude)*(evolution_bt_par_typologie[[annee]:[annee]]=Exercice[[Exercice N]:[Exercice N]])*(evolution_bt_par_typologie[[annee_mes]:[annee_mes]]=AP$53)*(evolution_bt_par_typologie[[lineaire_bt_nu_HFS]:[lineaire_bt_nu_HFS]]))</f>
        <v>0</v>
      </c>
      <c r="AQ54" s="264" cm="1">
        <f t="array" ref="AQ54">SUMPRODUCT((evolution_bt_par_typologie[[client]:[client]]=syndicat_etude)*(evolution_bt_par_typologie[[annee]:[annee]]=Exercice[[Exercice N]:[Exercice N]])*(evolution_bt_par_typologie[[annee_mes]:[annee_mes]]=AQ$53)*(evolution_bt_par_typologie[[lineaire_bt_nu_HFS]:[lineaire_bt_nu_HFS]]))</f>
        <v>4.7</v>
      </c>
      <c r="AR54" s="264" cm="1">
        <f t="array" ref="AR54">SUMPRODUCT((evolution_bt_par_typologie[[client]:[client]]=syndicat_etude)*(evolution_bt_par_typologie[[annee]:[annee]]=Exercice[[Exercice N]:[Exercice N]])*(evolution_bt_par_typologie[[annee_mes]:[annee_mes]]=AR$53)*(evolution_bt_par_typologie[[lineaire_bt_nu_HFS]:[lineaire_bt_nu_HFS]]))</f>
        <v>26.03</v>
      </c>
      <c r="AS54" s="264" cm="1">
        <f t="array" ref="AS54">SUMPRODUCT((evolution_bt_par_typologie[[client]:[client]]=syndicat_etude)*(evolution_bt_par_typologie[[annee]:[annee]]=Exercice[[Exercice N]:[Exercice N]])*(evolution_bt_par_typologie[[annee_mes]:[annee_mes]]=AS$53)*(evolution_bt_par_typologie[[lineaire_bt_nu_HFS]:[lineaire_bt_nu_HFS]]))</f>
        <v>6.01</v>
      </c>
      <c r="AT54" s="264" cm="1">
        <f t="array" ref="AT54">SUMPRODUCT((evolution_bt_par_typologie[[client]:[client]]=syndicat_etude)*(evolution_bt_par_typologie[[annee]:[annee]]=Exercice[[Exercice N]:[Exercice N]])*(evolution_bt_par_typologie[[annee_mes]:[annee_mes]]=AT$53)*(evolution_bt_par_typologie[[lineaire_bt_nu_HFS]:[lineaire_bt_nu_HFS]]))</f>
        <v>0</v>
      </c>
      <c r="AU54" s="264" cm="1">
        <f t="array" ref="AU54">SUMPRODUCT((evolution_bt_par_typologie[[client]:[client]]=syndicat_etude)*(evolution_bt_par_typologie[[annee]:[annee]]=Exercice[[Exercice N]:[Exercice N]])*(evolution_bt_par_typologie[[annee_mes]:[annee_mes]]=AU$53)*(evolution_bt_par_typologie[[lineaire_bt_nu_HFS]:[lineaire_bt_nu_HFS]]))</f>
        <v>25.43</v>
      </c>
      <c r="AV54" s="264" cm="1">
        <f t="array" ref="AV54">SUMPRODUCT((evolution_bt_par_typologie[[client]:[client]]=syndicat_etude)*(evolution_bt_par_typologie[[annee]:[annee]]=Exercice[[Exercice N]:[Exercice N]])*(evolution_bt_par_typologie[[annee_mes]:[annee_mes]]=AV$53)*(evolution_bt_par_typologie[[lineaire_bt_nu_HFS]:[lineaire_bt_nu_HFS]]))</f>
        <v>9.15</v>
      </c>
      <c r="AW54" s="264" cm="1">
        <f t="array" ref="AW54">SUMPRODUCT((evolution_bt_par_typologie[[client]:[client]]=syndicat_etude)*(evolution_bt_par_typologie[[annee]:[annee]]=Exercice[[Exercice N]:[Exercice N]])*(evolution_bt_par_typologie[[annee_mes]:[annee_mes]]=AW$53)*(evolution_bt_par_typologie[[lineaire_bt_nu_HFS]:[lineaire_bt_nu_HFS]]))</f>
        <v>26.25</v>
      </c>
      <c r="AX54" s="264" cm="1">
        <f t="array" ref="AX54">SUMPRODUCT((evolution_bt_par_typologie[[client]:[client]]=syndicat_etude)*(evolution_bt_par_typologie[[annee]:[annee]]=Exercice[[Exercice N]:[Exercice N]])*(evolution_bt_par_typologie[[annee_mes]:[annee_mes]]=AX$53)*(evolution_bt_par_typologie[[lineaire_bt_nu_HFS]:[lineaire_bt_nu_HFS]]))</f>
        <v>36.799999999999997</v>
      </c>
      <c r="AY54" s="264" cm="1">
        <f t="array" ref="AY54">SUMPRODUCT((evolution_bt_par_typologie[[client]:[client]]=syndicat_etude)*(evolution_bt_par_typologie[[annee]:[annee]]=Exercice[[Exercice N]:[Exercice N]])*(evolution_bt_par_typologie[[annee_mes]:[annee_mes]]=AY$53)*(evolution_bt_par_typologie[[lineaire_bt_nu_HFS]:[lineaire_bt_nu_HFS]]))</f>
        <v>11.31</v>
      </c>
      <c r="AZ54" s="264" cm="1">
        <f t="array" ref="AZ54">SUMPRODUCT((evolution_bt_par_typologie[[client]:[client]]=syndicat_etude)*(evolution_bt_par_typologie[[annee]:[annee]]=Exercice[[Exercice N]:[Exercice N]])*(evolution_bt_par_typologie[[annee_mes]:[annee_mes]]=AZ$53)*(evolution_bt_par_typologie[[lineaire_bt_nu_HFS]:[lineaire_bt_nu_HFS]]))</f>
        <v>2.08</v>
      </c>
      <c r="BA54" s="264" cm="1">
        <f t="array" ref="BA54">SUMPRODUCT((evolution_bt_par_typologie[[client]:[client]]=syndicat_etude)*(evolution_bt_par_typologie[[annee]:[annee]]=Exercice[[Exercice N]:[Exercice N]])*(evolution_bt_par_typologie[[annee_mes]:[annee_mes]]=BA$53)*(evolution_bt_par_typologie[[lineaire_bt_nu_HFS]:[lineaire_bt_nu_HFS]]))</f>
        <v>1.49</v>
      </c>
      <c r="BB54" s="264" cm="1">
        <f t="array" ref="BB54">SUMPRODUCT((evolution_bt_par_typologie[[client]:[client]]=syndicat_etude)*(evolution_bt_par_typologie[[annee]:[annee]]=Exercice[[Exercice N]:[Exercice N]])*(evolution_bt_par_typologie[[annee_mes]:[annee_mes]]=BB$53)*(evolution_bt_par_typologie[[lineaire_bt_nu_HFS]:[lineaire_bt_nu_HFS]]))</f>
        <v>0</v>
      </c>
      <c r="BC54" s="264" cm="1">
        <f t="array" ref="BC54">SUMPRODUCT((evolution_bt_par_typologie[[client]:[client]]=syndicat_etude)*(evolution_bt_par_typologie[[annee]:[annee]]=Exercice[[Exercice N]:[Exercice N]])*(evolution_bt_par_typologie[[annee_mes]:[annee_mes]]=BC$53)*(evolution_bt_par_typologie[[lineaire_bt_nu_HFS]:[lineaire_bt_nu_HFS]]))</f>
        <v>0</v>
      </c>
      <c r="BD54" s="264" cm="1">
        <f t="array" ref="BD54">SUMPRODUCT((evolution_bt_par_typologie[[client]:[client]]=syndicat_etude)*(evolution_bt_par_typologie[[annee]:[annee]]=Exercice[[Exercice N]:[Exercice N]])*(evolution_bt_par_typologie[[annee_mes]:[annee_mes]]=BD$53)*(evolution_bt_par_typologie[[lineaire_bt_nu_HFS]:[lineaire_bt_nu_HFS]]))</f>
        <v>0</v>
      </c>
      <c r="BE54" s="264" cm="1">
        <f t="array" ref="BE54">SUMPRODUCT((evolution_bt_par_typologie[[client]:[client]]=syndicat_etude)*(evolution_bt_par_typologie[[annee]:[annee]]=Exercice[[Exercice N]:[Exercice N]])*(evolution_bt_par_typologie[[annee_mes]:[annee_mes]]=BE$53)*(evolution_bt_par_typologie[[lineaire_bt_nu_HFS]:[lineaire_bt_nu_HFS]]))</f>
        <v>0</v>
      </c>
      <c r="BF54" s="264" cm="1">
        <f t="array" ref="BF54">SUMPRODUCT((evolution_bt_par_typologie[[client]:[client]]=syndicat_etude)*(evolution_bt_par_typologie[[annee]:[annee]]=Exercice[[Exercice N]:[Exercice N]])*(evolution_bt_par_typologie[[annee_mes]:[annee_mes]]=BF$53)*(evolution_bt_par_typologie[[lineaire_bt_nu_HFS]:[lineaire_bt_nu_HFS]]))</f>
        <v>0</v>
      </c>
      <c r="BG54" s="264" cm="1">
        <f t="array" ref="BG54">SUMPRODUCT((evolution_bt_par_typologie[[client]:[client]]=syndicat_etude)*(evolution_bt_par_typologie[[annee]:[annee]]=Exercice[[Exercice N]:[Exercice N]])*(evolution_bt_par_typologie[[annee_mes]:[annee_mes]]=BG$53)*(evolution_bt_par_typologie[[lineaire_bt_nu_HFS]:[lineaire_bt_nu_HFS]]))</f>
        <v>0</v>
      </c>
      <c r="BH54" s="264" cm="1">
        <f t="array" ref="BH54">SUMPRODUCT((evolution_bt_par_typologie[[client]:[client]]=syndicat_etude)*(evolution_bt_par_typologie[[annee]:[annee]]=Exercice[[Exercice N]:[Exercice N]])*(evolution_bt_par_typologie[[annee_mes]:[annee_mes]]=BH$53)*(evolution_bt_par_typologie[[lineaire_bt_nu_HFS]:[lineaire_bt_nu_HFS]]))</f>
        <v>0</v>
      </c>
      <c r="BI54" s="264" cm="1">
        <f t="array" ref="BI54">SUMPRODUCT((evolution_bt_par_typologie[[client]:[client]]=syndicat_etude)*(evolution_bt_par_typologie[[annee]:[annee]]=Exercice[[Exercice N]:[Exercice N]])*(evolution_bt_par_typologie[[annee_mes]:[annee_mes]]=BI$53)*(evolution_bt_par_typologie[[lineaire_bt_nu_HFS]:[lineaire_bt_nu_HFS]]))</f>
        <v>0</v>
      </c>
      <c r="BJ54" s="264" cm="1">
        <f t="array" ref="BJ54">SUMPRODUCT((evolution_bt_par_typologie[[client]:[client]]=syndicat_etude)*(evolution_bt_par_typologie[[annee]:[annee]]=Exercice[[Exercice N]:[Exercice N]])*(evolution_bt_par_typologie[[annee_mes]:[annee_mes]]=BJ$53)*(evolution_bt_par_typologie[[lineaire_bt_nu_HFS]:[lineaire_bt_nu_HFS]]))</f>
        <v>0</v>
      </c>
      <c r="BK54" s="264" cm="1">
        <f t="array" ref="BK54">SUMPRODUCT((evolution_bt_par_typologie[[client]:[client]]=syndicat_etude)*(evolution_bt_par_typologie[[annee]:[annee]]=Exercice[[Exercice N]:[Exercice N]])*(evolution_bt_par_typologie[[annee_mes]:[annee_mes]]=BK$53)*(evolution_bt_par_typologie[[lineaire_bt_nu_HFS]:[lineaire_bt_nu_HFS]]))</f>
        <v>0</v>
      </c>
      <c r="BL54" s="264" cm="1">
        <f t="array" ref="BL54">SUMPRODUCT((evolution_bt_par_typologie[[client]:[client]]=syndicat_etude)*(evolution_bt_par_typologie[[annee]:[annee]]=Exercice[[Exercice N]:[Exercice N]])*(evolution_bt_par_typologie[[annee_mes]:[annee_mes]]=BL$53)*(evolution_bt_par_typologie[[lineaire_bt_nu_HFS]:[lineaire_bt_nu_HFS]]))</f>
        <v>0</v>
      </c>
      <c r="BM54" s="264" cm="1">
        <f t="array" ref="BM54">SUMPRODUCT((evolution_bt_par_typologie[[client]:[client]]=syndicat_etude)*(evolution_bt_par_typologie[[annee]:[annee]]=Exercice[[Exercice N]:[Exercice N]])*(evolution_bt_par_typologie[[annee_mes]:[annee_mes]]=BM$53)*(evolution_bt_par_typologie[[lineaire_bt_nu_HFS]:[lineaire_bt_nu_HFS]]))</f>
        <v>0</v>
      </c>
      <c r="BN54" s="264" cm="1">
        <f t="array" ref="BN54">SUMPRODUCT((evolution_bt_par_typologie[[client]:[client]]=syndicat_etude)*(evolution_bt_par_typologie[[annee]:[annee]]=Exercice[[Exercice N]:[Exercice N]])*(evolution_bt_par_typologie[[annee_mes]:[annee_mes]]=BN$53)*(evolution_bt_par_typologie[[lineaire_bt_nu_HFS]:[lineaire_bt_nu_HFS]]))</f>
        <v>0</v>
      </c>
      <c r="BO54" s="264" cm="1">
        <f t="array" ref="BO54">SUMPRODUCT((evolution_bt_par_typologie[[client]:[client]]=syndicat_etude)*(evolution_bt_par_typologie[[annee]:[annee]]=Exercice[[Exercice N]:[Exercice N]])*(evolution_bt_par_typologie[[annee_mes]:[annee_mes]]=BO$53)*(evolution_bt_par_typologie[[lineaire_bt_nu_HFS]:[lineaire_bt_nu_HFS]]))</f>
        <v>0</v>
      </c>
      <c r="BP54" s="264" cm="1">
        <f t="array" ref="BP54">SUMPRODUCT((evolution_bt_par_typologie[[client]:[client]]=syndicat_etude)*(evolution_bt_par_typologie[[annee]:[annee]]=Exercice[[Exercice N]:[Exercice N]])*(evolution_bt_par_typologie[[annee_mes]:[annee_mes]]=BP$53)*(evolution_bt_par_typologie[[lineaire_bt_nu_HFS]:[lineaire_bt_nu_HFS]]))</f>
        <v>0</v>
      </c>
      <c r="BQ54" s="264" cm="1">
        <f t="array" ref="BQ54">SUMPRODUCT((evolution_bt_par_typologie[[client]:[client]]=syndicat_etude)*(evolution_bt_par_typologie[[annee]:[annee]]=Exercice[[Exercice N]:[Exercice N]])*(evolution_bt_par_typologie[[annee_mes]:[annee_mes]]=BQ$53)*(evolution_bt_par_typologie[[lineaire_bt_nu_HFS]:[lineaire_bt_nu_HFS]]))</f>
        <v>0</v>
      </c>
      <c r="BR54" s="264" cm="1">
        <f t="array" ref="BR54">SUMPRODUCT((evolution_bt_par_typologie[[client]:[client]]=syndicat_etude)*(evolution_bt_par_typologie[[annee]:[annee]]=Exercice[[Exercice N]:[Exercice N]])*(evolution_bt_par_typologie[[annee_mes]:[annee_mes]]=BR$53)*(evolution_bt_par_typologie[[lineaire_bt_nu_HFS]:[lineaire_bt_nu_HFS]]))</f>
        <v>0</v>
      </c>
      <c r="BS54" s="264" cm="1">
        <f t="array" ref="BS54">SUMPRODUCT((evolution_bt_par_typologie[[client]:[client]]=syndicat_etude)*(evolution_bt_par_typologie[[annee]:[annee]]=Exercice[[Exercice N]:[Exercice N]])*(evolution_bt_par_typologie[[annee_mes]:[annee_mes]]=BS$53)*(evolution_bt_par_typologie[[lineaire_bt_nu_HFS]:[lineaire_bt_nu_HFS]]))</f>
        <v>0</v>
      </c>
      <c r="BT54" s="264" cm="1">
        <f t="array" ref="BT54">SUMPRODUCT((evolution_bt_par_typologie[[client]:[client]]=syndicat_etude)*(evolution_bt_par_typologie[[annee]:[annee]]=Exercice[[Exercice N]:[Exercice N]])*(evolution_bt_par_typologie[[annee_mes]:[annee_mes]]=BT$53)*(evolution_bt_par_typologie[[lineaire_bt_nu_HFS]:[lineaire_bt_nu_HFS]]))</f>
        <v>0</v>
      </c>
      <c r="BU54" s="264" cm="1">
        <f t="array" ref="BU54">SUMPRODUCT((evolution_bt_par_typologie[[client]:[client]]=syndicat_etude)*(evolution_bt_par_typologie[[annee]:[annee]]=Exercice[[Exercice N]:[Exercice N]])*(evolution_bt_par_typologie[[annee_mes]:[annee_mes]]=BU$53)*(evolution_bt_par_typologie[[lineaire_bt_nu_HFS]:[lineaire_bt_nu_HFS]]))</f>
        <v>0</v>
      </c>
      <c r="BV54" s="264" cm="1">
        <f t="array" ref="BV54">SUMPRODUCT((evolution_bt_par_typologie[[client]:[client]]=syndicat_etude)*(evolution_bt_par_typologie[[annee]:[annee]]=Exercice[[Exercice N]:[Exercice N]])*(evolution_bt_par_typologie[[annee_mes]:[annee_mes]]=BV$53)*(evolution_bt_par_typologie[[lineaire_bt_nu_HFS]:[lineaire_bt_nu_HFS]]))</f>
        <v>0</v>
      </c>
      <c r="BW54" s="264" cm="1">
        <f t="array" ref="BW54">SUMPRODUCT((evolution_bt_par_typologie[[client]:[client]]=syndicat_etude)*(evolution_bt_par_typologie[[annee]:[annee]]=Exercice[[Exercice N]:[Exercice N]])*(evolution_bt_par_typologie[[annee_mes]:[annee_mes]]=BW$53)*(evolution_bt_par_typologie[[lineaire_bt_nu_HFS]:[lineaire_bt_nu_HFS]]))</f>
        <v>0</v>
      </c>
      <c r="BX54" s="264" cm="1">
        <f t="array" ref="BX54">SUMPRODUCT((evolution_bt_par_typologie[[client]:[client]]=syndicat_etude)*(evolution_bt_par_typologie[[annee]:[annee]]=Exercice[[Exercice N]:[Exercice N]])*(evolution_bt_par_typologie[[annee_mes]:[annee_mes]]=BX$53)*(evolution_bt_par_typologie[[lineaire_bt_nu_HFS]:[lineaire_bt_nu_HFS]]))</f>
        <v>0</v>
      </c>
      <c r="BY54" s="264" cm="1">
        <f t="array" ref="BY54">SUMPRODUCT((evolution_bt_par_typologie[[client]:[client]]=syndicat_etude)*(evolution_bt_par_typologie[[annee]:[annee]]=Exercice[[Exercice N]:[Exercice N]])*(evolution_bt_par_typologie[[annee_mes]:[annee_mes]]=BY$53)*(evolution_bt_par_typologie[[lineaire_bt_nu_HFS]:[lineaire_bt_nu_HFS]]))</f>
        <v>0</v>
      </c>
      <c r="BZ54" s="264" cm="1">
        <f t="array" ref="BZ54">SUMPRODUCT((evolution_bt_par_typologie[[client]:[client]]=syndicat_etude)*(evolution_bt_par_typologie[[annee]:[annee]]=Exercice[[Exercice N]:[Exercice N]])*(evolution_bt_par_typologie[[annee_mes]:[annee_mes]]=BZ$53)*(evolution_bt_par_typologie[[lineaire_bt_nu_HFS]:[lineaire_bt_nu_HFS]]))</f>
        <v>0</v>
      </c>
      <c r="CA54" s="264" cm="1">
        <f t="array" ref="CA54">SUMPRODUCT((evolution_bt_par_typologie[[client]:[client]]=syndicat_etude)*(evolution_bt_par_typologie[[annee]:[annee]]=Exercice[[Exercice N]:[Exercice N]])*(evolution_bt_par_typologie[[annee_mes]:[annee_mes]]=CA$53)*(evolution_bt_par_typologie[[lineaire_bt_nu_HFS]:[lineaire_bt_nu_HFS]]))</f>
        <v>0</v>
      </c>
      <c r="CB54" s="264" cm="1">
        <f t="array" ref="CB54">SUMPRODUCT((evolution_bt_par_typologie[[client]:[client]]=syndicat_etude)*(evolution_bt_par_typologie[[annee]:[annee]]=Exercice[[Exercice N]:[Exercice N]])*(evolution_bt_par_typologie[[annee_mes]:[annee_mes]]=CB$53)*(evolution_bt_par_typologie[[lineaire_bt_nu_HFS]:[lineaire_bt_nu_HFS]]))</f>
        <v>0</v>
      </c>
      <c r="CC54" s="426" cm="1">
        <f t="array" ref="CC54">SUMPRODUCT((evolution_bt_par_typologie[[client]:[client]]=syndicat_etude)*(evolution_bt_par_typologie[[annee]:[annee]]=Exercice[[Exercice N]:[Exercice N]])*(evolution_bt_par_typologie[[annee_mes]:[annee_mes]]=CC$53)*(evolution_bt_par_typologie[[lineaire_bt_nu_HFS]:[lineaire_bt_nu_HFS]]))</f>
        <v>0</v>
      </c>
      <c r="CD54" s="406"/>
      <c r="CE54" s="406"/>
      <c r="CF54" s="406"/>
    </row>
    <row r="55" spans="2:84" x14ac:dyDescent="0.25">
      <c r="B55" s="429" t="s">
        <v>1180</v>
      </c>
      <c r="C55" s="264" cm="1">
        <f t="array" ref="C55">SUMPRODUCT((evolution_bt_par_typologie[[client]:[client]]=syndicat_etude)*(evolution_bt_par_typologie[[annee]:[annee]]=Exercice[[Exercice N]:[Exercice N]])*(evolution_bt_par_typologie[[annee_mes]:[annee_mes]]&lt;1946)*(evolution_bt_par_typologie[[lineaire_bt_aerien_nu_fs]:[lineaire_bt_aerien_nu_fs]]))</f>
        <v>0</v>
      </c>
      <c r="D55" s="264" cm="1">
        <f t="array" ref="D55">SUMPRODUCT((evolution_bt_par_typologie[[client]:[client]]=syndicat_etude)*(evolution_bt_par_typologie[[annee]:[annee]]=Exercice[[Exercice N]:[Exercice N]])*(evolution_bt_par_typologie[[annee_mes]:[annee_mes]]=D$53)*(evolution_bt_par_typologie[[lineaire_bt_aerien_nu_fs]:[lineaire_bt_aerien_nu_fs]]))</f>
        <v>7.16</v>
      </c>
      <c r="E55" s="264" cm="1">
        <f t="array" ref="E55">SUMPRODUCT((evolution_bt_par_typologie[[client]:[client]]=syndicat_etude)*(evolution_bt_par_typologie[[annee]:[annee]]=Exercice[[Exercice N]:[Exercice N]])*(evolution_bt_par_typologie[[annee_mes]:[annee_mes]]=E$53)*(evolution_bt_par_typologie[[lineaire_bt_aerien_nu_fs]:[lineaire_bt_aerien_nu_fs]]))</f>
        <v>0.08</v>
      </c>
      <c r="F55" s="264" cm="1">
        <f t="array" ref="F55">SUMPRODUCT((evolution_bt_par_typologie[[client]:[client]]=syndicat_etude)*(evolution_bt_par_typologie[[annee]:[annee]]=Exercice[[Exercice N]:[Exercice N]])*(evolution_bt_par_typologie[[annee_mes]:[annee_mes]]=F$53)*(evolution_bt_par_typologie[[lineaire_bt_aerien_nu_fs]:[lineaire_bt_aerien_nu_fs]]))</f>
        <v>0</v>
      </c>
      <c r="G55" s="264" cm="1">
        <f t="array" ref="G55">SUMPRODUCT((evolution_bt_par_typologie[[client]:[client]]=syndicat_etude)*(evolution_bt_par_typologie[[annee]:[annee]]=Exercice[[Exercice N]:[Exercice N]])*(evolution_bt_par_typologie[[annee_mes]:[annee_mes]]=G$53)*(evolution_bt_par_typologie[[lineaire_bt_aerien_nu_fs]:[lineaire_bt_aerien_nu_fs]]))</f>
        <v>0</v>
      </c>
      <c r="H55" s="264" cm="1">
        <f t="array" ref="H55">SUMPRODUCT((evolution_bt_par_typologie[[client]:[client]]=syndicat_etude)*(evolution_bt_par_typologie[[annee]:[annee]]=Exercice[[Exercice N]:[Exercice N]])*(evolution_bt_par_typologie[[annee_mes]:[annee_mes]]=H$53)*(evolution_bt_par_typologie[[lineaire_bt_aerien_nu_fs]:[lineaire_bt_aerien_nu_fs]]))</f>
        <v>0</v>
      </c>
      <c r="I55" s="264" cm="1">
        <f t="array" ref="I55">SUMPRODUCT((evolution_bt_par_typologie[[client]:[client]]=syndicat_etude)*(evolution_bt_par_typologie[[annee]:[annee]]=Exercice[[Exercice N]:[Exercice N]])*(evolution_bt_par_typologie[[annee_mes]:[annee_mes]]=I$53)*(evolution_bt_par_typologie[[lineaire_bt_aerien_nu_fs]:[lineaire_bt_aerien_nu_fs]]))</f>
        <v>0</v>
      </c>
      <c r="J55" s="264" cm="1">
        <f t="array" ref="J55">SUMPRODUCT((evolution_bt_par_typologie[[client]:[client]]=syndicat_etude)*(evolution_bt_par_typologie[[annee]:[annee]]=Exercice[[Exercice N]:[Exercice N]])*(evolution_bt_par_typologie[[annee_mes]:[annee_mes]]=J$53)*(evolution_bt_par_typologie[[lineaire_bt_aerien_nu_fs]:[lineaire_bt_aerien_nu_fs]]))</f>
        <v>0</v>
      </c>
      <c r="K55" s="264" cm="1">
        <f t="array" ref="K55">SUMPRODUCT((evolution_bt_par_typologie[[client]:[client]]=syndicat_etude)*(evolution_bt_par_typologie[[annee]:[annee]]=Exercice[[Exercice N]:[Exercice N]])*(evolution_bt_par_typologie[[annee_mes]:[annee_mes]]=K$53)*(evolution_bt_par_typologie[[lineaire_bt_aerien_nu_fs]:[lineaire_bt_aerien_nu_fs]]))</f>
        <v>0</v>
      </c>
      <c r="L55" s="264" cm="1">
        <f t="array" ref="L55">SUMPRODUCT((evolution_bt_par_typologie[[client]:[client]]=syndicat_etude)*(evolution_bt_par_typologie[[annee]:[annee]]=Exercice[[Exercice N]:[Exercice N]])*(evolution_bt_par_typologie[[annee_mes]:[annee_mes]]=L$53)*(evolution_bt_par_typologie[[lineaire_bt_aerien_nu_fs]:[lineaire_bt_aerien_nu_fs]]))</f>
        <v>0</v>
      </c>
      <c r="M55" s="264" cm="1">
        <f t="array" ref="M55">SUMPRODUCT((evolution_bt_par_typologie[[client]:[client]]=syndicat_etude)*(evolution_bt_par_typologie[[annee]:[annee]]=Exercice[[Exercice N]:[Exercice N]])*(evolution_bt_par_typologie[[annee_mes]:[annee_mes]]=M$53)*(evolution_bt_par_typologie[[lineaire_bt_aerien_nu_fs]:[lineaire_bt_aerien_nu_fs]]))</f>
        <v>0.04</v>
      </c>
      <c r="N55" s="264" cm="1">
        <f t="array" ref="N55">SUMPRODUCT((evolution_bt_par_typologie[[client]:[client]]=syndicat_etude)*(evolution_bt_par_typologie[[annee]:[annee]]=Exercice[[Exercice N]:[Exercice N]])*(evolution_bt_par_typologie[[annee_mes]:[annee_mes]]=N$53)*(evolution_bt_par_typologie[[lineaire_bt_aerien_nu_fs]:[lineaire_bt_aerien_nu_fs]]))</f>
        <v>0</v>
      </c>
      <c r="O55" s="264" cm="1">
        <f t="array" ref="O55">SUMPRODUCT((evolution_bt_par_typologie[[client]:[client]]=syndicat_etude)*(evolution_bt_par_typologie[[annee]:[annee]]=Exercice[[Exercice N]:[Exercice N]])*(evolution_bt_par_typologie[[annee_mes]:[annee_mes]]=O$53)*(evolution_bt_par_typologie[[lineaire_bt_aerien_nu_fs]:[lineaire_bt_aerien_nu_fs]]))</f>
        <v>0</v>
      </c>
      <c r="P55" s="264" cm="1">
        <f t="array" ref="P55">SUMPRODUCT((evolution_bt_par_typologie[[client]:[client]]=syndicat_etude)*(evolution_bt_par_typologie[[annee]:[annee]]=Exercice[[Exercice N]:[Exercice N]])*(evolution_bt_par_typologie[[annee_mes]:[annee_mes]]=P$53)*(evolution_bt_par_typologie[[lineaire_bt_aerien_nu_fs]:[lineaire_bt_aerien_nu_fs]]))</f>
        <v>0</v>
      </c>
      <c r="Q55" s="264" cm="1">
        <f t="array" ref="Q55">SUMPRODUCT((evolution_bt_par_typologie[[client]:[client]]=syndicat_etude)*(evolution_bt_par_typologie[[annee]:[annee]]=Exercice[[Exercice N]:[Exercice N]])*(evolution_bt_par_typologie[[annee_mes]:[annee_mes]]=Q$53)*(evolution_bt_par_typologie[[lineaire_bt_aerien_nu_fs]:[lineaire_bt_aerien_nu_fs]]))</f>
        <v>0</v>
      </c>
      <c r="R55" s="264" cm="1">
        <f t="array" ref="R55">SUMPRODUCT((evolution_bt_par_typologie[[client]:[client]]=syndicat_etude)*(evolution_bt_par_typologie[[annee]:[annee]]=Exercice[[Exercice N]:[Exercice N]])*(evolution_bt_par_typologie[[annee_mes]:[annee_mes]]=R$53)*(evolution_bt_par_typologie[[lineaire_bt_aerien_nu_fs]:[lineaire_bt_aerien_nu_fs]]))</f>
        <v>0</v>
      </c>
      <c r="S55" s="264" cm="1">
        <f t="array" ref="S55">SUMPRODUCT((evolution_bt_par_typologie[[client]:[client]]=syndicat_etude)*(evolution_bt_par_typologie[[annee]:[annee]]=Exercice[[Exercice N]:[Exercice N]])*(evolution_bt_par_typologie[[annee_mes]:[annee_mes]]=S$53)*(evolution_bt_par_typologie[[lineaire_bt_aerien_nu_fs]:[lineaire_bt_aerien_nu_fs]]))</f>
        <v>0</v>
      </c>
      <c r="T55" s="264" cm="1">
        <f t="array" ref="T55">SUMPRODUCT((evolution_bt_par_typologie[[client]:[client]]=syndicat_etude)*(evolution_bt_par_typologie[[annee]:[annee]]=Exercice[[Exercice N]:[Exercice N]])*(evolution_bt_par_typologie[[annee_mes]:[annee_mes]]=T$53)*(evolution_bt_par_typologie[[lineaire_bt_aerien_nu_fs]:[lineaire_bt_aerien_nu_fs]]))</f>
        <v>0</v>
      </c>
      <c r="U55" s="264" cm="1">
        <f t="array" ref="U55">SUMPRODUCT((evolution_bt_par_typologie[[client]:[client]]=syndicat_etude)*(evolution_bt_par_typologie[[annee]:[annee]]=Exercice[[Exercice N]:[Exercice N]])*(evolution_bt_par_typologie[[annee_mes]:[annee_mes]]=U$53)*(evolution_bt_par_typologie[[lineaire_bt_aerien_nu_fs]:[lineaire_bt_aerien_nu_fs]]))</f>
        <v>0</v>
      </c>
      <c r="V55" s="264" cm="1">
        <f t="array" ref="V55">SUMPRODUCT((evolution_bt_par_typologie[[client]:[client]]=syndicat_etude)*(evolution_bt_par_typologie[[annee]:[annee]]=Exercice[[Exercice N]:[Exercice N]])*(evolution_bt_par_typologie[[annee_mes]:[annee_mes]]=V$53)*(evolution_bt_par_typologie[[lineaire_bt_aerien_nu_fs]:[lineaire_bt_aerien_nu_fs]]))</f>
        <v>0</v>
      </c>
      <c r="W55" s="264" cm="1">
        <f t="array" ref="W55">SUMPRODUCT((evolution_bt_par_typologie[[client]:[client]]=syndicat_etude)*(evolution_bt_par_typologie[[annee]:[annee]]=Exercice[[Exercice N]:[Exercice N]])*(evolution_bt_par_typologie[[annee_mes]:[annee_mes]]=W$53)*(evolution_bt_par_typologie[[lineaire_bt_aerien_nu_fs]:[lineaire_bt_aerien_nu_fs]]))</f>
        <v>0</v>
      </c>
      <c r="X55" s="264" cm="1">
        <f t="array" ref="X55">SUMPRODUCT((evolution_bt_par_typologie[[client]:[client]]=syndicat_etude)*(evolution_bt_par_typologie[[annee]:[annee]]=Exercice[[Exercice N]:[Exercice N]])*(evolution_bt_par_typologie[[annee_mes]:[annee_mes]]=X$53)*(evolution_bt_par_typologie[[lineaire_bt_aerien_nu_fs]:[lineaire_bt_aerien_nu_fs]]))</f>
        <v>0</v>
      </c>
      <c r="Y55" s="264" cm="1">
        <f t="array" ref="Y55">SUMPRODUCT((evolution_bt_par_typologie[[client]:[client]]=syndicat_etude)*(evolution_bt_par_typologie[[annee]:[annee]]=Exercice[[Exercice N]:[Exercice N]])*(evolution_bt_par_typologie[[annee_mes]:[annee_mes]]=Y$53)*(evolution_bt_par_typologie[[lineaire_bt_aerien_nu_fs]:[lineaire_bt_aerien_nu_fs]]))</f>
        <v>0</v>
      </c>
      <c r="Z55" s="264" cm="1">
        <f t="array" ref="Z55">SUMPRODUCT((evolution_bt_par_typologie[[client]:[client]]=syndicat_etude)*(evolution_bt_par_typologie[[annee]:[annee]]=Exercice[[Exercice N]:[Exercice N]])*(evolution_bt_par_typologie[[annee_mes]:[annee_mes]]=Z$53)*(evolution_bt_par_typologie[[lineaire_bt_aerien_nu_fs]:[lineaire_bt_aerien_nu_fs]]))</f>
        <v>0</v>
      </c>
      <c r="AA55" s="264" cm="1">
        <f t="array" ref="AA55">SUMPRODUCT((evolution_bt_par_typologie[[client]:[client]]=syndicat_etude)*(evolution_bt_par_typologie[[annee]:[annee]]=Exercice[[Exercice N]:[Exercice N]])*(evolution_bt_par_typologie[[annee_mes]:[annee_mes]]=AA$53)*(evolution_bt_par_typologie[[lineaire_bt_aerien_nu_fs]:[lineaire_bt_aerien_nu_fs]]))</f>
        <v>0</v>
      </c>
      <c r="AB55" s="264" cm="1">
        <f t="array" ref="AB55">SUMPRODUCT((evolution_bt_par_typologie[[client]:[client]]=syndicat_etude)*(evolution_bt_par_typologie[[annee]:[annee]]=Exercice[[Exercice N]:[Exercice N]])*(evolution_bt_par_typologie[[annee_mes]:[annee_mes]]=AB$53)*(evolution_bt_par_typologie[[lineaire_bt_aerien_nu_fs]:[lineaire_bt_aerien_nu_fs]]))</f>
        <v>0</v>
      </c>
      <c r="AC55" s="264" cm="1">
        <f t="array" ref="AC55">SUMPRODUCT((evolution_bt_par_typologie[[client]:[client]]=syndicat_etude)*(evolution_bt_par_typologie[[annee]:[annee]]=Exercice[[Exercice N]:[Exercice N]])*(evolution_bt_par_typologie[[annee_mes]:[annee_mes]]=AC$53)*(evolution_bt_par_typologie[[lineaire_bt_aerien_nu_fs]:[lineaire_bt_aerien_nu_fs]]))</f>
        <v>0.03</v>
      </c>
      <c r="AD55" s="264" cm="1">
        <f t="array" ref="AD55">SUMPRODUCT((evolution_bt_par_typologie[[client]:[client]]=syndicat_etude)*(evolution_bt_par_typologie[[annee]:[annee]]=Exercice[[Exercice N]:[Exercice N]])*(evolution_bt_par_typologie[[annee_mes]:[annee_mes]]=AD$53)*(evolution_bt_par_typologie[[lineaire_bt_aerien_nu_fs]:[lineaire_bt_aerien_nu_fs]]))</f>
        <v>0</v>
      </c>
      <c r="AE55" s="264" cm="1">
        <f t="array" ref="AE55">SUMPRODUCT((evolution_bt_par_typologie[[client]:[client]]=syndicat_etude)*(evolution_bt_par_typologie[[annee]:[annee]]=Exercice[[Exercice N]:[Exercice N]])*(evolution_bt_par_typologie[[annee_mes]:[annee_mes]]=AE$53)*(evolution_bt_par_typologie[[lineaire_bt_aerien_nu_fs]:[lineaire_bt_aerien_nu_fs]]))</f>
        <v>0</v>
      </c>
      <c r="AF55" s="264" cm="1">
        <f t="array" ref="AF55">SUMPRODUCT((evolution_bt_par_typologie[[client]:[client]]=syndicat_etude)*(evolution_bt_par_typologie[[annee]:[annee]]=Exercice[[Exercice N]:[Exercice N]])*(evolution_bt_par_typologie[[annee_mes]:[annee_mes]]=AF$53)*(evolution_bt_par_typologie[[lineaire_bt_aerien_nu_fs]:[lineaire_bt_aerien_nu_fs]]))</f>
        <v>0.1</v>
      </c>
      <c r="AG55" s="264" cm="1">
        <f t="array" ref="AG55">SUMPRODUCT((evolution_bt_par_typologie[[client]:[client]]=syndicat_etude)*(evolution_bt_par_typologie[[annee]:[annee]]=Exercice[[Exercice N]:[Exercice N]])*(evolution_bt_par_typologie[[annee_mes]:[annee_mes]]=AG$53)*(evolution_bt_par_typologie[[lineaire_bt_aerien_nu_fs]:[lineaire_bt_aerien_nu_fs]]))</f>
        <v>0</v>
      </c>
      <c r="AH55" s="264" cm="1">
        <f t="array" ref="AH55">SUMPRODUCT((evolution_bt_par_typologie[[client]:[client]]=syndicat_etude)*(evolution_bt_par_typologie[[annee]:[annee]]=Exercice[[Exercice N]:[Exercice N]])*(evolution_bt_par_typologie[[annee_mes]:[annee_mes]]=AH$53)*(evolution_bt_par_typologie[[lineaire_bt_aerien_nu_fs]:[lineaire_bt_aerien_nu_fs]]))</f>
        <v>0</v>
      </c>
      <c r="AI55" s="264" cm="1">
        <f t="array" ref="AI55">SUMPRODUCT((evolution_bt_par_typologie[[client]:[client]]=syndicat_etude)*(evolution_bt_par_typologie[[annee]:[annee]]=Exercice[[Exercice N]:[Exercice N]])*(evolution_bt_par_typologie[[annee_mes]:[annee_mes]]=AI$53)*(evolution_bt_par_typologie[[lineaire_bt_aerien_nu_fs]:[lineaire_bt_aerien_nu_fs]]))</f>
        <v>0</v>
      </c>
      <c r="AJ55" s="264" cm="1">
        <f t="array" ref="AJ55">SUMPRODUCT((evolution_bt_par_typologie[[client]:[client]]=syndicat_etude)*(evolution_bt_par_typologie[[annee]:[annee]]=Exercice[[Exercice N]:[Exercice N]])*(evolution_bt_par_typologie[[annee_mes]:[annee_mes]]=AJ$53)*(evolution_bt_par_typologie[[lineaire_bt_aerien_nu_fs]:[lineaire_bt_aerien_nu_fs]]))</f>
        <v>0</v>
      </c>
      <c r="AK55" s="264" cm="1">
        <f t="array" ref="AK55">SUMPRODUCT((evolution_bt_par_typologie[[client]:[client]]=syndicat_etude)*(evolution_bt_par_typologie[[annee]:[annee]]=Exercice[[Exercice N]:[Exercice N]])*(evolution_bt_par_typologie[[annee_mes]:[annee_mes]]=AK$53)*(evolution_bt_par_typologie[[lineaire_bt_aerien_nu_fs]:[lineaire_bt_aerien_nu_fs]]))</f>
        <v>0</v>
      </c>
      <c r="AL55" s="264" cm="1">
        <f t="array" ref="AL55">SUMPRODUCT((evolution_bt_par_typologie[[client]:[client]]=syndicat_etude)*(evolution_bt_par_typologie[[annee]:[annee]]=Exercice[[Exercice N]:[Exercice N]])*(evolution_bt_par_typologie[[annee_mes]:[annee_mes]]=AL$53)*(evolution_bt_par_typologie[[lineaire_bt_aerien_nu_fs]:[lineaire_bt_aerien_nu_fs]]))</f>
        <v>0</v>
      </c>
      <c r="AM55" s="264" cm="1">
        <f t="array" ref="AM55">SUMPRODUCT((evolution_bt_par_typologie[[client]:[client]]=syndicat_etude)*(evolution_bt_par_typologie[[annee]:[annee]]=Exercice[[Exercice N]:[Exercice N]])*(evolution_bt_par_typologie[[annee_mes]:[annee_mes]]=AM$53)*(evolution_bt_par_typologie[[lineaire_bt_aerien_nu_fs]:[lineaire_bt_aerien_nu_fs]]))</f>
        <v>0</v>
      </c>
      <c r="AN55" s="264" cm="1">
        <f t="array" ref="AN55">SUMPRODUCT((evolution_bt_par_typologie[[client]:[client]]=syndicat_etude)*(evolution_bt_par_typologie[[annee]:[annee]]=Exercice[[Exercice N]:[Exercice N]])*(evolution_bt_par_typologie[[annee_mes]:[annee_mes]]=AN$53)*(evolution_bt_par_typologie[[lineaire_bt_aerien_nu_fs]:[lineaire_bt_aerien_nu_fs]]))</f>
        <v>0</v>
      </c>
      <c r="AO55" s="264" cm="1">
        <f t="array" ref="AO55">SUMPRODUCT((evolution_bt_par_typologie[[client]:[client]]=syndicat_etude)*(evolution_bt_par_typologie[[annee]:[annee]]=Exercice[[Exercice N]:[Exercice N]])*(evolution_bt_par_typologie[[annee_mes]:[annee_mes]]=AO$53)*(evolution_bt_par_typologie[[lineaire_bt_aerien_nu_fs]:[lineaire_bt_aerien_nu_fs]]))</f>
        <v>0</v>
      </c>
      <c r="AP55" s="264" cm="1">
        <f t="array" ref="AP55">SUMPRODUCT((evolution_bt_par_typologie[[client]:[client]]=syndicat_etude)*(evolution_bt_par_typologie[[annee]:[annee]]=Exercice[[Exercice N]:[Exercice N]])*(evolution_bt_par_typologie[[annee_mes]:[annee_mes]]=AP$53)*(evolution_bt_par_typologie[[lineaire_bt_aerien_nu_fs]:[lineaire_bt_aerien_nu_fs]]))</f>
        <v>0.1</v>
      </c>
      <c r="AQ55" s="264" cm="1">
        <f t="array" ref="AQ55">SUMPRODUCT((evolution_bt_par_typologie[[client]:[client]]=syndicat_etude)*(evolution_bt_par_typologie[[annee]:[annee]]=Exercice[[Exercice N]:[Exercice N]])*(evolution_bt_par_typologie[[annee_mes]:[annee_mes]]=AQ$53)*(evolution_bt_par_typologie[[lineaire_bt_aerien_nu_fs]:[lineaire_bt_aerien_nu_fs]]))</f>
        <v>0.64</v>
      </c>
      <c r="AR55" s="264" cm="1">
        <f t="array" ref="AR55">SUMPRODUCT((evolution_bt_par_typologie[[client]:[client]]=syndicat_etude)*(evolution_bt_par_typologie[[annee]:[annee]]=Exercice[[Exercice N]:[Exercice N]])*(evolution_bt_par_typologie[[annee_mes]:[annee_mes]]=AR$53)*(evolution_bt_par_typologie[[lineaire_bt_aerien_nu_fs]:[lineaire_bt_aerien_nu_fs]]))</f>
        <v>1.57</v>
      </c>
      <c r="AS55" s="264" cm="1">
        <f t="array" ref="AS55">SUMPRODUCT((evolution_bt_par_typologie[[client]:[client]]=syndicat_etude)*(evolution_bt_par_typologie[[annee]:[annee]]=Exercice[[Exercice N]:[Exercice N]])*(evolution_bt_par_typologie[[annee_mes]:[annee_mes]]=AS$53)*(evolution_bt_par_typologie[[lineaire_bt_aerien_nu_fs]:[lineaire_bt_aerien_nu_fs]]))</f>
        <v>0.37</v>
      </c>
      <c r="AT55" s="264" cm="1">
        <f t="array" ref="AT55">SUMPRODUCT((evolution_bt_par_typologie[[client]:[client]]=syndicat_etude)*(evolution_bt_par_typologie[[annee]:[annee]]=Exercice[[Exercice N]:[Exercice N]])*(evolution_bt_par_typologie[[annee_mes]:[annee_mes]]=AT$53)*(evolution_bt_par_typologie[[lineaire_bt_aerien_nu_fs]:[lineaire_bt_aerien_nu_fs]]))</f>
        <v>0</v>
      </c>
      <c r="AU55" s="264" cm="1">
        <f t="array" ref="AU55">SUMPRODUCT((evolution_bt_par_typologie[[client]:[client]]=syndicat_etude)*(evolution_bt_par_typologie[[annee]:[annee]]=Exercice[[Exercice N]:[Exercice N]])*(evolution_bt_par_typologie[[annee_mes]:[annee_mes]]=AU$53)*(evolution_bt_par_typologie[[lineaire_bt_aerien_nu_fs]:[lineaire_bt_aerien_nu_fs]]))</f>
        <v>1.75</v>
      </c>
      <c r="AV55" s="264" cm="1">
        <f t="array" ref="AV55">SUMPRODUCT((evolution_bt_par_typologie[[client]:[client]]=syndicat_etude)*(evolution_bt_par_typologie[[annee]:[annee]]=Exercice[[Exercice N]:[Exercice N]])*(evolution_bt_par_typologie[[annee_mes]:[annee_mes]]=AV$53)*(evolution_bt_par_typologie[[lineaire_bt_aerien_nu_fs]:[lineaire_bt_aerien_nu_fs]]))</f>
        <v>0.27</v>
      </c>
      <c r="AW55" s="264" cm="1">
        <f t="array" ref="AW55">SUMPRODUCT((evolution_bt_par_typologie[[client]:[client]]=syndicat_etude)*(evolution_bt_par_typologie[[annee]:[annee]]=Exercice[[Exercice N]:[Exercice N]])*(evolution_bt_par_typologie[[annee_mes]:[annee_mes]]=AW$53)*(evolution_bt_par_typologie[[lineaire_bt_aerien_nu_fs]:[lineaire_bt_aerien_nu_fs]]))</f>
        <v>8.59</v>
      </c>
      <c r="AX55" s="264" cm="1">
        <f t="array" ref="AX55">SUMPRODUCT((evolution_bt_par_typologie[[client]:[client]]=syndicat_etude)*(evolution_bt_par_typologie[[annee]:[annee]]=Exercice[[Exercice N]:[Exercice N]])*(evolution_bt_par_typologie[[annee_mes]:[annee_mes]]=AX$53)*(evolution_bt_par_typologie[[lineaire_bt_aerien_nu_fs]:[lineaire_bt_aerien_nu_fs]]))</f>
        <v>7.94</v>
      </c>
      <c r="AY55" s="264" cm="1">
        <f t="array" ref="AY55">SUMPRODUCT((evolution_bt_par_typologie[[client]:[client]]=syndicat_etude)*(evolution_bt_par_typologie[[annee]:[annee]]=Exercice[[Exercice N]:[Exercice N]])*(evolution_bt_par_typologie[[annee_mes]:[annee_mes]]=AY$53)*(evolution_bt_par_typologie[[lineaire_bt_aerien_nu_fs]:[lineaire_bt_aerien_nu_fs]]))</f>
        <v>0.59</v>
      </c>
      <c r="AZ55" s="264" cm="1">
        <f t="array" ref="AZ55">SUMPRODUCT((evolution_bt_par_typologie[[client]:[client]]=syndicat_etude)*(evolution_bt_par_typologie[[annee]:[annee]]=Exercice[[Exercice N]:[Exercice N]])*(evolution_bt_par_typologie[[annee_mes]:[annee_mes]]=AZ$53)*(evolution_bt_par_typologie[[lineaire_bt_aerien_nu_fs]:[lineaire_bt_aerien_nu_fs]]))</f>
        <v>0.11</v>
      </c>
      <c r="BA55" s="264" cm="1">
        <f t="array" ref="BA55">SUMPRODUCT((evolution_bt_par_typologie[[client]:[client]]=syndicat_etude)*(evolution_bt_par_typologie[[annee]:[annee]]=Exercice[[Exercice N]:[Exercice N]])*(evolution_bt_par_typologie[[annee_mes]:[annee_mes]]=BA$53)*(evolution_bt_par_typologie[[lineaire_bt_aerien_nu_fs]:[lineaire_bt_aerien_nu_fs]]))</f>
        <v>0.5</v>
      </c>
      <c r="BB55" s="264" cm="1">
        <f t="array" ref="BB55">SUMPRODUCT((evolution_bt_par_typologie[[client]:[client]]=syndicat_etude)*(evolution_bt_par_typologie[[annee]:[annee]]=Exercice[[Exercice N]:[Exercice N]])*(evolution_bt_par_typologie[[annee_mes]:[annee_mes]]=BB$53)*(evolution_bt_par_typologie[[lineaire_bt_aerien_nu_fs]:[lineaire_bt_aerien_nu_fs]]))</f>
        <v>0.25</v>
      </c>
      <c r="BC55" s="264" cm="1">
        <f t="array" ref="BC55">SUMPRODUCT((evolution_bt_par_typologie[[client]:[client]]=syndicat_etude)*(evolution_bt_par_typologie[[annee]:[annee]]=Exercice[[Exercice N]:[Exercice N]])*(evolution_bt_par_typologie[[annee_mes]:[annee_mes]]=BC$53)*(evolution_bt_par_typologie[[lineaire_bt_aerien_nu_fs]:[lineaire_bt_aerien_nu_fs]]))</f>
        <v>0</v>
      </c>
      <c r="BD55" s="264" cm="1">
        <f t="array" ref="BD55">SUMPRODUCT((evolution_bt_par_typologie[[client]:[client]]=syndicat_etude)*(evolution_bt_par_typologie[[annee]:[annee]]=Exercice[[Exercice N]:[Exercice N]])*(evolution_bt_par_typologie[[annee_mes]:[annee_mes]]=BD$53)*(evolution_bt_par_typologie[[lineaire_bt_aerien_nu_fs]:[lineaire_bt_aerien_nu_fs]]))</f>
        <v>0</v>
      </c>
      <c r="BE55" s="264" cm="1">
        <f t="array" ref="BE55">SUMPRODUCT((evolution_bt_par_typologie[[client]:[client]]=syndicat_etude)*(evolution_bt_par_typologie[[annee]:[annee]]=Exercice[[Exercice N]:[Exercice N]])*(evolution_bt_par_typologie[[annee_mes]:[annee_mes]]=BE$53)*(evolution_bt_par_typologie[[lineaire_bt_aerien_nu_fs]:[lineaire_bt_aerien_nu_fs]]))</f>
        <v>0</v>
      </c>
      <c r="BF55" s="264" cm="1">
        <f t="array" ref="BF55">SUMPRODUCT((evolution_bt_par_typologie[[client]:[client]]=syndicat_etude)*(evolution_bt_par_typologie[[annee]:[annee]]=Exercice[[Exercice N]:[Exercice N]])*(evolution_bt_par_typologie[[annee_mes]:[annee_mes]]=BF$53)*(evolution_bt_par_typologie[[lineaire_bt_aerien_nu_fs]:[lineaire_bt_aerien_nu_fs]]))</f>
        <v>0</v>
      </c>
      <c r="BG55" s="264" cm="1">
        <f t="array" ref="BG55">SUMPRODUCT((evolution_bt_par_typologie[[client]:[client]]=syndicat_etude)*(evolution_bt_par_typologie[[annee]:[annee]]=Exercice[[Exercice N]:[Exercice N]])*(evolution_bt_par_typologie[[annee_mes]:[annee_mes]]=BG$53)*(evolution_bt_par_typologie[[lineaire_bt_aerien_nu_fs]:[lineaire_bt_aerien_nu_fs]]))</f>
        <v>0</v>
      </c>
      <c r="BH55" s="264" cm="1">
        <f t="array" ref="BH55">SUMPRODUCT((evolution_bt_par_typologie[[client]:[client]]=syndicat_etude)*(evolution_bt_par_typologie[[annee]:[annee]]=Exercice[[Exercice N]:[Exercice N]])*(evolution_bt_par_typologie[[annee_mes]:[annee_mes]]=BH$53)*(evolution_bt_par_typologie[[lineaire_bt_aerien_nu_fs]:[lineaire_bt_aerien_nu_fs]]))</f>
        <v>0</v>
      </c>
      <c r="BI55" s="264" cm="1">
        <f t="array" ref="BI55">SUMPRODUCT((evolution_bt_par_typologie[[client]:[client]]=syndicat_etude)*(evolution_bt_par_typologie[[annee]:[annee]]=Exercice[[Exercice N]:[Exercice N]])*(evolution_bt_par_typologie[[annee_mes]:[annee_mes]]=BI$53)*(evolution_bt_par_typologie[[lineaire_bt_aerien_nu_fs]:[lineaire_bt_aerien_nu_fs]]))</f>
        <v>0</v>
      </c>
      <c r="BJ55" s="264" cm="1">
        <f t="array" ref="BJ55">SUMPRODUCT((evolution_bt_par_typologie[[client]:[client]]=syndicat_etude)*(evolution_bt_par_typologie[[annee]:[annee]]=Exercice[[Exercice N]:[Exercice N]])*(evolution_bt_par_typologie[[annee_mes]:[annee_mes]]=BJ$53)*(evolution_bt_par_typologie[[lineaire_bt_aerien_nu_fs]:[lineaire_bt_aerien_nu_fs]]))</f>
        <v>0</v>
      </c>
      <c r="BK55" s="264" cm="1">
        <f t="array" ref="BK55">SUMPRODUCT((evolution_bt_par_typologie[[client]:[client]]=syndicat_etude)*(evolution_bt_par_typologie[[annee]:[annee]]=Exercice[[Exercice N]:[Exercice N]])*(evolution_bt_par_typologie[[annee_mes]:[annee_mes]]=BK$53)*(evolution_bt_par_typologie[[lineaire_bt_aerien_nu_fs]:[lineaire_bt_aerien_nu_fs]]))</f>
        <v>0</v>
      </c>
      <c r="BL55" s="264" cm="1">
        <f t="array" ref="BL55">SUMPRODUCT((evolution_bt_par_typologie[[client]:[client]]=syndicat_etude)*(evolution_bt_par_typologie[[annee]:[annee]]=Exercice[[Exercice N]:[Exercice N]])*(evolution_bt_par_typologie[[annee_mes]:[annee_mes]]=BL$53)*(evolution_bt_par_typologie[[lineaire_bt_aerien_nu_fs]:[lineaire_bt_aerien_nu_fs]]))</f>
        <v>0</v>
      </c>
      <c r="BM55" s="264" cm="1">
        <f t="array" ref="BM55">SUMPRODUCT((evolution_bt_par_typologie[[client]:[client]]=syndicat_etude)*(evolution_bt_par_typologie[[annee]:[annee]]=Exercice[[Exercice N]:[Exercice N]])*(evolution_bt_par_typologie[[annee_mes]:[annee_mes]]=BM$53)*(evolution_bt_par_typologie[[lineaire_bt_aerien_nu_fs]:[lineaire_bt_aerien_nu_fs]]))</f>
        <v>0</v>
      </c>
      <c r="BN55" s="264" cm="1">
        <f t="array" ref="BN55">SUMPRODUCT((evolution_bt_par_typologie[[client]:[client]]=syndicat_etude)*(evolution_bt_par_typologie[[annee]:[annee]]=Exercice[[Exercice N]:[Exercice N]])*(evolution_bt_par_typologie[[annee_mes]:[annee_mes]]=BN$53)*(evolution_bt_par_typologie[[lineaire_bt_aerien_nu_fs]:[lineaire_bt_aerien_nu_fs]]))</f>
        <v>0</v>
      </c>
      <c r="BO55" s="264" cm="1">
        <f t="array" ref="BO55">SUMPRODUCT((evolution_bt_par_typologie[[client]:[client]]=syndicat_etude)*(evolution_bt_par_typologie[[annee]:[annee]]=Exercice[[Exercice N]:[Exercice N]])*(evolution_bt_par_typologie[[annee_mes]:[annee_mes]]=BO$53)*(evolution_bt_par_typologie[[lineaire_bt_aerien_nu_fs]:[lineaire_bt_aerien_nu_fs]]))</f>
        <v>0</v>
      </c>
      <c r="BP55" s="264" cm="1">
        <f t="array" ref="BP55">SUMPRODUCT((evolution_bt_par_typologie[[client]:[client]]=syndicat_etude)*(evolution_bt_par_typologie[[annee]:[annee]]=Exercice[[Exercice N]:[Exercice N]])*(evolution_bt_par_typologie[[annee_mes]:[annee_mes]]=BP$53)*(evolution_bt_par_typologie[[lineaire_bt_aerien_nu_fs]:[lineaire_bt_aerien_nu_fs]]))</f>
        <v>0</v>
      </c>
      <c r="BQ55" s="264" cm="1">
        <f t="array" ref="BQ55">SUMPRODUCT((evolution_bt_par_typologie[[client]:[client]]=syndicat_etude)*(evolution_bt_par_typologie[[annee]:[annee]]=Exercice[[Exercice N]:[Exercice N]])*(evolution_bt_par_typologie[[annee_mes]:[annee_mes]]=BQ$53)*(evolution_bt_par_typologie[[lineaire_bt_aerien_nu_fs]:[lineaire_bt_aerien_nu_fs]]))</f>
        <v>0</v>
      </c>
      <c r="BR55" s="264" cm="1">
        <f t="array" ref="BR55">SUMPRODUCT((evolution_bt_par_typologie[[client]:[client]]=syndicat_etude)*(evolution_bt_par_typologie[[annee]:[annee]]=Exercice[[Exercice N]:[Exercice N]])*(evolution_bt_par_typologie[[annee_mes]:[annee_mes]]=BR$53)*(evolution_bt_par_typologie[[lineaire_bt_aerien_nu_fs]:[lineaire_bt_aerien_nu_fs]]))</f>
        <v>0</v>
      </c>
      <c r="BS55" s="264" cm="1">
        <f t="array" ref="BS55">SUMPRODUCT((evolution_bt_par_typologie[[client]:[client]]=syndicat_etude)*(evolution_bt_par_typologie[[annee]:[annee]]=Exercice[[Exercice N]:[Exercice N]])*(evolution_bt_par_typologie[[annee_mes]:[annee_mes]]=BS$53)*(evolution_bt_par_typologie[[lineaire_bt_aerien_nu_fs]:[lineaire_bt_aerien_nu_fs]]))</f>
        <v>0</v>
      </c>
      <c r="BT55" s="264" cm="1">
        <f t="array" ref="BT55">SUMPRODUCT((evolution_bt_par_typologie[[client]:[client]]=syndicat_etude)*(evolution_bt_par_typologie[[annee]:[annee]]=Exercice[[Exercice N]:[Exercice N]])*(evolution_bt_par_typologie[[annee_mes]:[annee_mes]]=BT$53)*(evolution_bt_par_typologie[[lineaire_bt_aerien_nu_fs]:[lineaire_bt_aerien_nu_fs]]))</f>
        <v>0</v>
      </c>
      <c r="BU55" s="264" cm="1">
        <f t="array" ref="BU55">SUMPRODUCT((evolution_bt_par_typologie[[client]:[client]]=syndicat_etude)*(evolution_bt_par_typologie[[annee]:[annee]]=Exercice[[Exercice N]:[Exercice N]])*(evolution_bt_par_typologie[[annee_mes]:[annee_mes]]=BU$53)*(evolution_bt_par_typologie[[lineaire_bt_aerien_nu_fs]:[lineaire_bt_aerien_nu_fs]]))</f>
        <v>0</v>
      </c>
      <c r="BV55" s="264" cm="1">
        <f t="array" ref="BV55">SUMPRODUCT((evolution_bt_par_typologie[[client]:[client]]=syndicat_etude)*(evolution_bt_par_typologie[[annee]:[annee]]=Exercice[[Exercice N]:[Exercice N]])*(evolution_bt_par_typologie[[annee_mes]:[annee_mes]]=BV$53)*(evolution_bt_par_typologie[[lineaire_bt_aerien_nu_fs]:[lineaire_bt_aerien_nu_fs]]))</f>
        <v>0</v>
      </c>
      <c r="BW55" s="264" cm="1">
        <f t="array" ref="BW55">SUMPRODUCT((evolution_bt_par_typologie[[client]:[client]]=syndicat_etude)*(evolution_bt_par_typologie[[annee]:[annee]]=Exercice[[Exercice N]:[Exercice N]])*(evolution_bt_par_typologie[[annee_mes]:[annee_mes]]=BW$53)*(evolution_bt_par_typologie[[lineaire_bt_aerien_nu_fs]:[lineaire_bt_aerien_nu_fs]]))</f>
        <v>0</v>
      </c>
      <c r="BX55" s="264" cm="1">
        <f t="array" ref="BX55">SUMPRODUCT((evolution_bt_par_typologie[[client]:[client]]=syndicat_etude)*(evolution_bt_par_typologie[[annee]:[annee]]=Exercice[[Exercice N]:[Exercice N]])*(evolution_bt_par_typologie[[annee_mes]:[annee_mes]]=BX$53)*(evolution_bt_par_typologie[[lineaire_bt_aerien_nu_fs]:[lineaire_bt_aerien_nu_fs]]))</f>
        <v>0</v>
      </c>
      <c r="BY55" s="264" cm="1">
        <f t="array" ref="BY55">SUMPRODUCT((evolution_bt_par_typologie[[client]:[client]]=syndicat_etude)*(evolution_bt_par_typologie[[annee]:[annee]]=Exercice[[Exercice N]:[Exercice N]])*(evolution_bt_par_typologie[[annee_mes]:[annee_mes]]=BY$53)*(evolution_bt_par_typologie[[lineaire_bt_aerien_nu_fs]:[lineaire_bt_aerien_nu_fs]]))</f>
        <v>0</v>
      </c>
      <c r="BZ55" s="264" cm="1">
        <f t="array" ref="BZ55">SUMPRODUCT((evolution_bt_par_typologie[[client]:[client]]=syndicat_etude)*(evolution_bt_par_typologie[[annee]:[annee]]=Exercice[[Exercice N]:[Exercice N]])*(evolution_bt_par_typologie[[annee_mes]:[annee_mes]]=BZ$53)*(evolution_bt_par_typologie[[lineaire_bt_aerien_nu_fs]:[lineaire_bt_aerien_nu_fs]]))</f>
        <v>0</v>
      </c>
      <c r="CA55" s="264" cm="1">
        <f t="array" ref="CA55">SUMPRODUCT((evolution_bt_par_typologie[[client]:[client]]=syndicat_etude)*(evolution_bt_par_typologie[[annee]:[annee]]=Exercice[[Exercice N]:[Exercice N]])*(evolution_bt_par_typologie[[annee_mes]:[annee_mes]]=CA$53)*(evolution_bt_par_typologie[[lineaire_bt_aerien_nu_fs]:[lineaire_bt_aerien_nu_fs]]))</f>
        <v>0</v>
      </c>
      <c r="CB55" s="264" cm="1">
        <f t="array" ref="CB55">SUMPRODUCT((evolution_bt_par_typologie[[client]:[client]]=syndicat_etude)*(evolution_bt_par_typologie[[annee]:[annee]]=Exercice[[Exercice N]:[Exercice N]])*(evolution_bt_par_typologie[[annee_mes]:[annee_mes]]=CB$53)*(evolution_bt_par_typologie[[lineaire_bt_aerien_nu_fs]:[lineaire_bt_aerien_nu_fs]]))</f>
        <v>0</v>
      </c>
      <c r="CC55" s="426" cm="1">
        <f t="array" ref="CC55">SUMPRODUCT((evolution_bt_par_typologie[[client]:[client]]=syndicat_etude)*(evolution_bt_par_typologie[[annee]:[annee]]=Exercice[[Exercice N]:[Exercice N]])*(evolution_bt_par_typologie[[annee_mes]:[annee_mes]]=CC$53)*(evolution_bt_par_typologie[[lineaire_bt_aerien_nu_fs]:[lineaire_bt_aerien_nu_fs]]))</f>
        <v>0</v>
      </c>
      <c r="CD55" s="406"/>
      <c r="CE55" s="406"/>
      <c r="CF55" s="406"/>
    </row>
    <row r="56" spans="2:84" x14ac:dyDescent="0.25">
      <c r="B56" s="429" t="s">
        <v>114</v>
      </c>
      <c r="C56" s="264" cm="1">
        <f t="array" ref="C56">SUMPRODUCT((evolution_bt_par_typologie[[client]:[client]]=syndicat_etude)*(evolution_bt_par_typologie[[annee]:[annee]]=Exercice[[Exercice N]:[Exercice N]])*(evolution_bt_par_typologie[[annee_mes]:[annee_mes]]&lt;1946)*(evolution_bt_par_typologie[[lineaire_bt_torsade]:[lineaire_bt_torsade]]))</f>
        <v>0</v>
      </c>
      <c r="D56" s="264" cm="1">
        <f t="array" ref="D56">SUMPRODUCT((evolution_bt_par_typologie[[client]:[client]]=syndicat_etude)*(evolution_bt_par_typologie[[annee]:[annee]]=Exercice[[Exercice N]:[Exercice N]])*(evolution_bt_par_typologie[[annee_mes]:[annee_mes]]=D$53)*(evolution_bt_par_typologie[[lineaire_bt_torsade]:[lineaire_bt_torsade]]))</f>
        <v>64.040000000000006</v>
      </c>
      <c r="E56" s="264" cm="1">
        <f t="array" ref="E56">SUMPRODUCT((evolution_bt_par_typologie[[client]:[client]]=syndicat_etude)*(evolution_bt_par_typologie[[annee]:[annee]]=Exercice[[Exercice N]:[Exercice N]])*(evolution_bt_par_typologie[[annee_mes]:[annee_mes]]=E$53)*(evolution_bt_par_typologie[[lineaire_bt_torsade]:[lineaire_bt_torsade]]))</f>
        <v>2.2000000000000002</v>
      </c>
      <c r="F56" s="264" cm="1">
        <f t="array" ref="F56">SUMPRODUCT((evolution_bt_par_typologie[[client]:[client]]=syndicat_etude)*(evolution_bt_par_typologie[[annee]:[annee]]=Exercice[[Exercice N]:[Exercice N]])*(evolution_bt_par_typologie[[annee_mes]:[annee_mes]]=F$53)*(evolution_bt_par_typologie[[lineaire_bt_torsade]:[lineaire_bt_torsade]]))</f>
        <v>0</v>
      </c>
      <c r="G56" s="264" cm="1">
        <f t="array" ref="G56">SUMPRODUCT((evolution_bt_par_typologie[[client]:[client]]=syndicat_etude)*(evolution_bt_par_typologie[[annee]:[annee]]=Exercice[[Exercice N]:[Exercice N]])*(evolution_bt_par_typologie[[annee_mes]:[annee_mes]]=G$53)*(evolution_bt_par_typologie[[lineaire_bt_torsade]:[lineaire_bt_torsade]]))</f>
        <v>1</v>
      </c>
      <c r="H56" s="264" cm="1">
        <f t="array" ref="H56">SUMPRODUCT((evolution_bt_par_typologie[[client]:[client]]=syndicat_etude)*(evolution_bt_par_typologie[[annee]:[annee]]=Exercice[[Exercice N]:[Exercice N]])*(evolution_bt_par_typologie[[annee_mes]:[annee_mes]]=H$53)*(evolution_bt_par_typologie[[lineaire_bt_torsade]:[lineaire_bt_torsade]]))</f>
        <v>0</v>
      </c>
      <c r="I56" s="264" cm="1">
        <f t="array" ref="I56">SUMPRODUCT((evolution_bt_par_typologie[[client]:[client]]=syndicat_etude)*(evolution_bt_par_typologie[[annee]:[annee]]=Exercice[[Exercice N]:[Exercice N]])*(evolution_bt_par_typologie[[annee_mes]:[annee_mes]]=I$53)*(evolution_bt_par_typologie[[lineaire_bt_torsade]:[lineaire_bt_torsade]]))</f>
        <v>0</v>
      </c>
      <c r="J56" s="264" cm="1">
        <f t="array" ref="J56">SUMPRODUCT((evolution_bt_par_typologie[[client]:[client]]=syndicat_etude)*(evolution_bt_par_typologie[[annee]:[annee]]=Exercice[[Exercice N]:[Exercice N]])*(evolution_bt_par_typologie[[annee_mes]:[annee_mes]]=J$53)*(evolution_bt_par_typologie[[lineaire_bt_torsade]:[lineaire_bt_torsade]]))</f>
        <v>0</v>
      </c>
      <c r="K56" s="264" cm="1">
        <f t="array" ref="K56">SUMPRODUCT((evolution_bt_par_typologie[[client]:[client]]=syndicat_etude)*(evolution_bt_par_typologie[[annee]:[annee]]=Exercice[[Exercice N]:[Exercice N]])*(evolution_bt_par_typologie[[annee_mes]:[annee_mes]]=K$53)*(evolution_bt_par_typologie[[lineaire_bt_torsade]:[lineaire_bt_torsade]]))</f>
        <v>0</v>
      </c>
      <c r="L56" s="264" cm="1">
        <f t="array" ref="L56">SUMPRODUCT((evolution_bt_par_typologie[[client]:[client]]=syndicat_etude)*(evolution_bt_par_typologie[[annee]:[annee]]=Exercice[[Exercice N]:[Exercice N]])*(evolution_bt_par_typologie[[annee_mes]:[annee_mes]]=L$53)*(evolution_bt_par_typologie[[lineaire_bt_torsade]:[lineaire_bt_torsade]]))</f>
        <v>0.45</v>
      </c>
      <c r="M56" s="264" cm="1">
        <f t="array" ref="M56">SUMPRODUCT((evolution_bt_par_typologie[[client]:[client]]=syndicat_etude)*(evolution_bt_par_typologie[[annee]:[annee]]=Exercice[[Exercice N]:[Exercice N]])*(evolution_bt_par_typologie[[annee_mes]:[annee_mes]]=M$53)*(evolution_bt_par_typologie[[lineaire_bt_torsade]:[lineaire_bt_torsade]]))</f>
        <v>0</v>
      </c>
      <c r="N56" s="264" cm="1">
        <f t="array" ref="N56">SUMPRODUCT((evolution_bt_par_typologie[[client]:[client]]=syndicat_etude)*(evolution_bt_par_typologie[[annee]:[annee]]=Exercice[[Exercice N]:[Exercice N]])*(evolution_bt_par_typologie[[annee_mes]:[annee_mes]]=N$53)*(evolution_bt_par_typologie[[lineaire_bt_torsade]:[lineaire_bt_torsade]]))</f>
        <v>0</v>
      </c>
      <c r="O56" s="264" cm="1">
        <f t="array" ref="O56">SUMPRODUCT((evolution_bt_par_typologie[[client]:[client]]=syndicat_etude)*(evolution_bt_par_typologie[[annee]:[annee]]=Exercice[[Exercice N]:[Exercice N]])*(evolution_bt_par_typologie[[annee_mes]:[annee_mes]]=O$53)*(evolution_bt_par_typologie[[lineaire_bt_torsade]:[lineaire_bt_torsade]]))</f>
        <v>0</v>
      </c>
      <c r="P56" s="264" cm="1">
        <f t="array" ref="P56">SUMPRODUCT((evolution_bt_par_typologie[[client]:[client]]=syndicat_etude)*(evolution_bt_par_typologie[[annee]:[annee]]=Exercice[[Exercice N]:[Exercice N]])*(evolution_bt_par_typologie[[annee_mes]:[annee_mes]]=P$53)*(evolution_bt_par_typologie[[lineaire_bt_torsade]:[lineaire_bt_torsade]]))</f>
        <v>0</v>
      </c>
      <c r="Q56" s="264" cm="1">
        <f t="array" ref="Q56">SUMPRODUCT((evolution_bt_par_typologie[[client]:[client]]=syndicat_etude)*(evolution_bt_par_typologie[[annee]:[annee]]=Exercice[[Exercice N]:[Exercice N]])*(evolution_bt_par_typologie[[annee_mes]:[annee_mes]]=Q$53)*(evolution_bt_par_typologie[[lineaire_bt_torsade]:[lineaire_bt_torsade]]))</f>
        <v>0</v>
      </c>
      <c r="R56" s="264" cm="1">
        <f t="array" ref="R56">SUMPRODUCT((evolution_bt_par_typologie[[client]:[client]]=syndicat_etude)*(evolution_bt_par_typologie[[annee]:[annee]]=Exercice[[Exercice N]:[Exercice N]])*(evolution_bt_par_typologie[[annee_mes]:[annee_mes]]=R$53)*(evolution_bt_par_typologie[[lineaire_bt_torsade]:[lineaire_bt_torsade]]))</f>
        <v>0</v>
      </c>
      <c r="S56" s="264" cm="1">
        <f t="array" ref="S56">SUMPRODUCT((evolution_bt_par_typologie[[client]:[client]]=syndicat_etude)*(evolution_bt_par_typologie[[annee]:[annee]]=Exercice[[Exercice N]:[Exercice N]])*(evolution_bt_par_typologie[[annee_mes]:[annee_mes]]=S$53)*(evolution_bt_par_typologie[[lineaire_bt_torsade]:[lineaire_bt_torsade]]))</f>
        <v>0</v>
      </c>
      <c r="T56" s="264" cm="1">
        <f t="array" ref="T56">SUMPRODUCT((evolution_bt_par_typologie[[client]:[client]]=syndicat_etude)*(evolution_bt_par_typologie[[annee]:[annee]]=Exercice[[Exercice N]:[Exercice N]])*(evolution_bt_par_typologie[[annee_mes]:[annee_mes]]=T$53)*(evolution_bt_par_typologie[[lineaire_bt_torsade]:[lineaire_bt_torsade]]))</f>
        <v>0.04</v>
      </c>
      <c r="U56" s="264" cm="1">
        <f t="array" ref="U56">SUMPRODUCT((evolution_bt_par_typologie[[client]:[client]]=syndicat_etude)*(evolution_bt_par_typologie[[annee]:[annee]]=Exercice[[Exercice N]:[Exercice N]])*(evolution_bt_par_typologie[[annee_mes]:[annee_mes]]=U$53)*(evolution_bt_par_typologie[[lineaire_bt_torsade]:[lineaire_bt_torsade]]))</f>
        <v>0</v>
      </c>
      <c r="V56" s="264" cm="1">
        <f t="array" ref="V56">SUMPRODUCT((evolution_bt_par_typologie[[client]:[client]]=syndicat_etude)*(evolution_bt_par_typologie[[annee]:[annee]]=Exercice[[Exercice N]:[Exercice N]])*(evolution_bt_par_typologie[[annee_mes]:[annee_mes]]=V$53)*(evolution_bt_par_typologie[[lineaire_bt_torsade]:[lineaire_bt_torsade]]))</f>
        <v>0</v>
      </c>
      <c r="W56" s="264" cm="1">
        <f t="array" ref="W56">SUMPRODUCT((evolution_bt_par_typologie[[client]:[client]]=syndicat_etude)*(evolution_bt_par_typologie[[annee]:[annee]]=Exercice[[Exercice N]:[Exercice N]])*(evolution_bt_par_typologie[[annee_mes]:[annee_mes]]=W$53)*(evolution_bt_par_typologie[[lineaire_bt_torsade]:[lineaire_bt_torsade]]))</f>
        <v>0</v>
      </c>
      <c r="X56" s="264" cm="1">
        <f t="array" ref="X56">SUMPRODUCT((evolution_bt_par_typologie[[client]:[client]]=syndicat_etude)*(evolution_bt_par_typologie[[annee]:[annee]]=Exercice[[Exercice N]:[Exercice N]])*(evolution_bt_par_typologie[[annee_mes]:[annee_mes]]=X$53)*(evolution_bt_par_typologie[[lineaire_bt_torsade]:[lineaire_bt_torsade]]))</f>
        <v>0</v>
      </c>
      <c r="Y56" s="264" cm="1">
        <f t="array" ref="Y56">SUMPRODUCT((evolution_bt_par_typologie[[client]:[client]]=syndicat_etude)*(evolution_bt_par_typologie[[annee]:[annee]]=Exercice[[Exercice N]:[Exercice N]])*(evolution_bt_par_typologie[[annee_mes]:[annee_mes]]=Y$53)*(evolution_bt_par_typologie[[lineaire_bt_torsade]:[lineaire_bt_torsade]]))</f>
        <v>0</v>
      </c>
      <c r="Z56" s="264" cm="1">
        <f t="array" ref="Z56">SUMPRODUCT((evolution_bt_par_typologie[[client]:[client]]=syndicat_etude)*(evolution_bt_par_typologie[[annee]:[annee]]=Exercice[[Exercice N]:[Exercice N]])*(evolution_bt_par_typologie[[annee_mes]:[annee_mes]]=Z$53)*(evolution_bt_par_typologie[[lineaire_bt_torsade]:[lineaire_bt_torsade]]))</f>
        <v>0.59</v>
      </c>
      <c r="AA56" s="264" cm="1">
        <f t="array" ref="AA56">SUMPRODUCT((evolution_bt_par_typologie[[client]:[client]]=syndicat_etude)*(evolution_bt_par_typologie[[annee]:[annee]]=Exercice[[Exercice N]:[Exercice N]])*(evolution_bt_par_typologie[[annee_mes]:[annee_mes]]=AA$53)*(evolution_bt_par_typologie[[lineaire_bt_torsade]:[lineaire_bt_torsade]]))</f>
        <v>0</v>
      </c>
      <c r="AB56" s="264" cm="1">
        <f t="array" ref="AB56">SUMPRODUCT((evolution_bt_par_typologie[[client]:[client]]=syndicat_etude)*(evolution_bt_par_typologie[[annee]:[annee]]=Exercice[[Exercice N]:[Exercice N]])*(evolution_bt_par_typologie[[annee_mes]:[annee_mes]]=AB$53)*(evolution_bt_par_typologie[[lineaire_bt_torsade]:[lineaire_bt_torsade]]))</f>
        <v>0.05</v>
      </c>
      <c r="AC56" s="264" cm="1">
        <f t="array" ref="AC56">SUMPRODUCT((evolution_bt_par_typologie[[client]:[client]]=syndicat_etude)*(evolution_bt_par_typologie[[annee]:[annee]]=Exercice[[Exercice N]:[Exercice N]])*(evolution_bt_par_typologie[[annee_mes]:[annee_mes]]=AC$53)*(evolution_bt_par_typologie[[lineaire_bt_torsade]:[lineaire_bt_torsade]]))</f>
        <v>0.04</v>
      </c>
      <c r="AD56" s="264" cm="1">
        <f t="array" ref="AD56">SUMPRODUCT((evolution_bt_par_typologie[[client]:[client]]=syndicat_etude)*(evolution_bt_par_typologie[[annee]:[annee]]=Exercice[[Exercice N]:[Exercice N]])*(evolution_bt_par_typologie[[annee_mes]:[annee_mes]]=AD$53)*(evolution_bt_par_typologie[[lineaire_bt_torsade]:[lineaire_bt_torsade]]))</f>
        <v>0.34</v>
      </c>
      <c r="AE56" s="264" cm="1">
        <f t="array" ref="AE56">SUMPRODUCT((evolution_bt_par_typologie[[client]:[client]]=syndicat_etude)*(evolution_bt_par_typologie[[annee]:[annee]]=Exercice[[Exercice N]:[Exercice N]])*(evolution_bt_par_typologie[[annee_mes]:[annee_mes]]=AE$53)*(evolution_bt_par_typologie[[lineaire_bt_torsade]:[lineaire_bt_torsade]]))</f>
        <v>0.02</v>
      </c>
      <c r="AF56" s="264" cm="1">
        <f t="array" ref="AF56">SUMPRODUCT((evolution_bt_par_typologie[[client]:[client]]=syndicat_etude)*(evolution_bt_par_typologie[[annee]:[annee]]=Exercice[[Exercice N]:[Exercice N]])*(evolution_bt_par_typologie[[annee_mes]:[annee_mes]]=AF$53)*(evolution_bt_par_typologie[[lineaire_bt_torsade]:[lineaire_bt_torsade]]))</f>
        <v>0.08</v>
      </c>
      <c r="AG56" s="264" cm="1">
        <f t="array" ref="AG56">SUMPRODUCT((evolution_bt_par_typologie[[client]:[client]]=syndicat_etude)*(evolution_bt_par_typologie[[annee]:[annee]]=Exercice[[Exercice N]:[Exercice N]])*(evolution_bt_par_typologie[[annee_mes]:[annee_mes]]=AG$53)*(evolution_bt_par_typologie[[lineaire_bt_torsade]:[lineaire_bt_torsade]]))</f>
        <v>0.08</v>
      </c>
      <c r="AH56" s="264" cm="1">
        <f t="array" ref="AH56">SUMPRODUCT((evolution_bt_par_typologie[[client]:[client]]=syndicat_etude)*(evolution_bt_par_typologie[[annee]:[annee]]=Exercice[[Exercice N]:[Exercice N]])*(evolution_bt_par_typologie[[annee_mes]:[annee_mes]]=AH$53)*(evolution_bt_par_typologie[[lineaire_bt_torsade]:[lineaire_bt_torsade]]))</f>
        <v>0</v>
      </c>
      <c r="AI56" s="264" cm="1">
        <f t="array" ref="AI56">SUMPRODUCT((evolution_bt_par_typologie[[client]:[client]]=syndicat_etude)*(evolution_bt_par_typologie[[annee]:[annee]]=Exercice[[Exercice N]:[Exercice N]])*(evolution_bt_par_typologie[[annee_mes]:[annee_mes]]=AI$53)*(evolution_bt_par_typologie[[lineaire_bt_torsade]:[lineaire_bt_torsade]]))</f>
        <v>0</v>
      </c>
      <c r="AJ56" s="264" cm="1">
        <f t="array" ref="AJ56">SUMPRODUCT((evolution_bt_par_typologie[[client]:[client]]=syndicat_etude)*(evolution_bt_par_typologie[[annee]:[annee]]=Exercice[[Exercice N]:[Exercice N]])*(evolution_bt_par_typologie[[annee_mes]:[annee_mes]]=AJ$53)*(evolution_bt_par_typologie[[lineaire_bt_torsade]:[lineaire_bt_torsade]]))</f>
        <v>0.09</v>
      </c>
      <c r="AK56" s="264" cm="1">
        <f t="array" ref="AK56">SUMPRODUCT((evolution_bt_par_typologie[[client]:[client]]=syndicat_etude)*(evolution_bt_par_typologie[[annee]:[annee]]=Exercice[[Exercice N]:[Exercice N]])*(evolution_bt_par_typologie[[annee_mes]:[annee_mes]]=AK$53)*(evolution_bt_par_typologie[[lineaire_bt_torsade]:[lineaire_bt_torsade]]))</f>
        <v>0</v>
      </c>
      <c r="AL56" s="264" cm="1">
        <f t="array" ref="AL56">SUMPRODUCT((evolution_bt_par_typologie[[client]:[client]]=syndicat_etude)*(evolution_bt_par_typologie[[annee]:[annee]]=Exercice[[Exercice N]:[Exercice N]])*(evolution_bt_par_typologie[[annee_mes]:[annee_mes]]=AL$53)*(evolution_bt_par_typologie[[lineaire_bt_torsade]:[lineaire_bt_torsade]]))</f>
        <v>0</v>
      </c>
      <c r="AM56" s="264" cm="1">
        <f t="array" ref="AM56">SUMPRODUCT((evolution_bt_par_typologie[[client]:[client]]=syndicat_etude)*(evolution_bt_par_typologie[[annee]:[annee]]=Exercice[[Exercice N]:[Exercice N]])*(evolution_bt_par_typologie[[annee_mes]:[annee_mes]]=AM$53)*(evolution_bt_par_typologie[[lineaire_bt_torsade]:[lineaire_bt_torsade]]))</f>
        <v>0</v>
      </c>
      <c r="AN56" s="264" cm="1">
        <f t="array" ref="AN56">SUMPRODUCT((evolution_bt_par_typologie[[client]:[client]]=syndicat_etude)*(evolution_bt_par_typologie[[annee]:[annee]]=Exercice[[Exercice N]:[Exercice N]])*(evolution_bt_par_typologie[[annee_mes]:[annee_mes]]=AN$53)*(evolution_bt_par_typologie[[lineaire_bt_torsade]:[lineaire_bt_torsade]]))</f>
        <v>0.12</v>
      </c>
      <c r="AO56" s="264" cm="1">
        <f t="array" ref="AO56">SUMPRODUCT((evolution_bt_par_typologie[[client]:[client]]=syndicat_etude)*(evolution_bt_par_typologie[[annee]:[annee]]=Exercice[[Exercice N]:[Exercice N]])*(evolution_bt_par_typologie[[annee_mes]:[annee_mes]]=AO$53)*(evolution_bt_par_typologie[[lineaire_bt_torsade]:[lineaire_bt_torsade]]))</f>
        <v>0.99</v>
      </c>
      <c r="AP56" s="264" cm="1">
        <f t="array" ref="AP56">SUMPRODUCT((evolution_bt_par_typologie[[client]:[client]]=syndicat_etude)*(evolution_bt_par_typologie[[annee]:[annee]]=Exercice[[Exercice N]:[Exercice N]])*(evolution_bt_par_typologie[[annee_mes]:[annee_mes]]=AP$53)*(evolution_bt_par_typologie[[lineaire_bt_torsade]:[lineaire_bt_torsade]]))</f>
        <v>0.99</v>
      </c>
      <c r="AQ56" s="264" cm="1">
        <f t="array" ref="AQ56">SUMPRODUCT((evolution_bt_par_typologie[[client]:[client]]=syndicat_etude)*(evolution_bt_par_typologie[[annee]:[annee]]=Exercice[[Exercice N]:[Exercice N]])*(evolution_bt_par_typologie[[annee_mes]:[annee_mes]]=AQ$53)*(evolution_bt_par_typologie[[lineaire_bt_torsade]:[lineaire_bt_torsade]]))</f>
        <v>14.72</v>
      </c>
      <c r="AR56" s="264" cm="1">
        <f t="array" ref="AR56">SUMPRODUCT((evolution_bt_par_typologie[[client]:[client]]=syndicat_etude)*(evolution_bt_par_typologie[[annee]:[annee]]=Exercice[[Exercice N]:[Exercice N]])*(evolution_bt_par_typologie[[annee_mes]:[annee_mes]]=AR$53)*(evolution_bt_par_typologie[[lineaire_bt_torsade]:[lineaire_bt_torsade]]))</f>
        <v>25.72</v>
      </c>
      <c r="AS56" s="264" cm="1">
        <f t="array" ref="AS56">SUMPRODUCT((evolution_bt_par_typologie[[client]:[client]]=syndicat_etude)*(evolution_bt_par_typologie[[annee]:[annee]]=Exercice[[Exercice N]:[Exercice N]])*(evolution_bt_par_typologie[[annee_mes]:[annee_mes]]=AS$53)*(evolution_bt_par_typologie[[lineaire_bt_torsade]:[lineaire_bt_torsade]]))</f>
        <v>51.05</v>
      </c>
      <c r="AT56" s="264" cm="1">
        <f t="array" ref="AT56">SUMPRODUCT((evolution_bt_par_typologie[[client]:[client]]=syndicat_etude)*(evolution_bt_par_typologie[[annee]:[annee]]=Exercice[[Exercice N]:[Exercice N]])*(evolution_bt_par_typologie[[annee_mes]:[annee_mes]]=AT$53)*(evolution_bt_par_typologie[[lineaire_bt_torsade]:[lineaire_bt_torsade]]))</f>
        <v>0.16</v>
      </c>
      <c r="AU56" s="264" cm="1">
        <f t="array" ref="AU56">SUMPRODUCT((evolution_bt_par_typologie[[client]:[client]]=syndicat_etude)*(evolution_bt_par_typologie[[annee]:[annee]]=Exercice[[Exercice N]:[Exercice N]])*(evolution_bt_par_typologie[[annee_mes]:[annee_mes]]=AU$53)*(evolution_bt_par_typologie[[lineaire_bt_torsade]:[lineaire_bt_torsade]]))</f>
        <v>50.25</v>
      </c>
      <c r="AV56" s="264" cm="1">
        <f t="array" ref="AV56">SUMPRODUCT((evolution_bt_par_typologie[[client]:[client]]=syndicat_etude)*(evolution_bt_par_typologie[[annee]:[annee]]=Exercice[[Exercice N]:[Exercice N]])*(evolution_bt_par_typologie[[annee_mes]:[annee_mes]]=AV$53)*(evolution_bt_par_typologie[[lineaire_bt_torsade]:[lineaire_bt_torsade]]))</f>
        <v>61.11</v>
      </c>
      <c r="AW56" s="264" cm="1">
        <f t="array" ref="AW56">SUMPRODUCT((evolution_bt_par_typologie[[client]:[client]]=syndicat_etude)*(evolution_bt_par_typologie[[annee]:[annee]]=Exercice[[Exercice N]:[Exercice N]])*(evolution_bt_par_typologie[[annee_mes]:[annee_mes]]=AW$53)*(evolution_bt_par_typologie[[lineaire_bt_torsade]:[lineaire_bt_torsade]]))</f>
        <v>199.41</v>
      </c>
      <c r="AX56" s="264" cm="1">
        <f t="array" ref="AX56">SUMPRODUCT((evolution_bt_par_typologie[[client]:[client]]=syndicat_etude)*(evolution_bt_par_typologie[[annee]:[annee]]=Exercice[[Exercice N]:[Exercice N]])*(evolution_bt_par_typologie[[annee_mes]:[annee_mes]]=AX$53)*(evolution_bt_par_typologie[[lineaire_bt_torsade]:[lineaire_bt_torsade]]))</f>
        <v>149.72</v>
      </c>
      <c r="AY56" s="264" cm="1">
        <f t="array" ref="AY56">SUMPRODUCT((evolution_bt_par_typologie[[client]:[client]]=syndicat_etude)*(evolution_bt_par_typologie[[annee]:[annee]]=Exercice[[Exercice N]:[Exercice N]])*(evolution_bt_par_typologie[[annee_mes]:[annee_mes]]=AY$53)*(evolution_bt_par_typologie[[lineaire_bt_torsade]:[lineaire_bt_torsade]]))</f>
        <v>52.64</v>
      </c>
      <c r="AZ56" s="264" cm="1">
        <f t="array" ref="AZ56">SUMPRODUCT((evolution_bt_par_typologie[[client]:[client]]=syndicat_etude)*(evolution_bt_par_typologie[[annee]:[annee]]=Exercice[[Exercice N]:[Exercice N]])*(evolution_bt_par_typologie[[annee_mes]:[annee_mes]]=AZ$53)*(evolution_bt_par_typologie[[lineaire_bt_torsade]:[lineaire_bt_torsade]]))</f>
        <v>57.47</v>
      </c>
      <c r="BA56" s="264" cm="1">
        <f t="array" ref="BA56">SUMPRODUCT((evolution_bt_par_typologie[[client]:[client]]=syndicat_etude)*(evolution_bt_par_typologie[[annee]:[annee]]=Exercice[[Exercice N]:[Exercice N]])*(evolution_bt_par_typologie[[annee_mes]:[annee_mes]]=BA$53)*(evolution_bt_par_typologie[[lineaire_bt_torsade]:[lineaire_bt_torsade]]))</f>
        <v>45.59</v>
      </c>
      <c r="BB56" s="264" cm="1">
        <f t="array" ref="BB56">SUMPRODUCT((evolution_bt_par_typologie[[client]:[client]]=syndicat_etude)*(evolution_bt_par_typologie[[annee]:[annee]]=Exercice[[Exercice N]:[Exercice N]])*(evolution_bt_par_typologie[[annee_mes]:[annee_mes]]=BB$53)*(evolution_bt_par_typologie[[lineaire_bt_torsade]:[lineaire_bt_torsade]]))</f>
        <v>21.17</v>
      </c>
      <c r="BC56" s="264" cm="1">
        <f t="array" ref="BC56">SUMPRODUCT((evolution_bt_par_typologie[[client]:[client]]=syndicat_etude)*(evolution_bt_par_typologie[[annee]:[annee]]=Exercice[[Exercice N]:[Exercice N]])*(evolution_bt_par_typologie[[annee_mes]:[annee_mes]]=BC$53)*(evolution_bt_par_typologie[[lineaire_bt_torsade]:[lineaire_bt_torsade]]))</f>
        <v>15.25</v>
      </c>
      <c r="BD56" s="264" cm="1">
        <f t="array" ref="BD56">SUMPRODUCT((evolution_bt_par_typologie[[client]:[client]]=syndicat_etude)*(evolution_bt_par_typologie[[annee]:[annee]]=Exercice[[Exercice N]:[Exercice N]])*(evolution_bt_par_typologie[[annee_mes]:[annee_mes]]=BD$53)*(evolution_bt_par_typologie[[lineaire_bt_torsade]:[lineaire_bt_torsade]]))</f>
        <v>12.28</v>
      </c>
      <c r="BE56" s="264" cm="1">
        <f t="array" ref="BE56">SUMPRODUCT((evolution_bt_par_typologie[[client]:[client]]=syndicat_etude)*(evolution_bt_par_typologie[[annee]:[annee]]=Exercice[[Exercice N]:[Exercice N]])*(evolution_bt_par_typologie[[annee_mes]:[annee_mes]]=BE$53)*(evolution_bt_par_typologie[[lineaire_bt_torsade]:[lineaire_bt_torsade]]))</f>
        <v>13.16</v>
      </c>
      <c r="BF56" s="264" cm="1">
        <f t="array" ref="BF56">SUMPRODUCT((evolution_bt_par_typologie[[client]:[client]]=syndicat_etude)*(evolution_bt_par_typologie[[annee]:[annee]]=Exercice[[Exercice N]:[Exercice N]])*(evolution_bt_par_typologie[[annee_mes]:[annee_mes]]=BF$53)*(evolution_bt_par_typologie[[lineaire_bt_torsade]:[lineaire_bt_torsade]]))</f>
        <v>15.4</v>
      </c>
      <c r="BG56" s="264" cm="1">
        <f t="array" ref="BG56">SUMPRODUCT((evolution_bt_par_typologie[[client]:[client]]=syndicat_etude)*(evolution_bt_par_typologie[[annee]:[annee]]=Exercice[[Exercice N]:[Exercice N]])*(evolution_bt_par_typologie[[annee_mes]:[annee_mes]]=BG$53)*(evolution_bt_par_typologie[[lineaire_bt_torsade]:[lineaire_bt_torsade]]))</f>
        <v>43.01</v>
      </c>
      <c r="BH56" s="264" cm="1">
        <f t="array" ref="BH56">SUMPRODUCT((evolution_bt_par_typologie[[client]:[client]]=syndicat_etude)*(evolution_bt_par_typologie[[annee]:[annee]]=Exercice[[Exercice N]:[Exercice N]])*(evolution_bt_par_typologie[[annee_mes]:[annee_mes]]=BH$53)*(evolution_bt_par_typologie[[lineaire_bt_torsade]:[lineaire_bt_torsade]]))</f>
        <v>38.5</v>
      </c>
      <c r="BI56" s="264" cm="1">
        <f t="array" ref="BI56">SUMPRODUCT((evolution_bt_par_typologie[[client]:[client]]=syndicat_etude)*(evolution_bt_par_typologie[[annee]:[annee]]=Exercice[[Exercice N]:[Exercice N]])*(evolution_bt_par_typologie[[annee_mes]:[annee_mes]]=BI$53)*(evolution_bt_par_typologie[[lineaire_bt_torsade]:[lineaire_bt_torsade]]))</f>
        <v>52.36</v>
      </c>
      <c r="BJ56" s="264" cm="1">
        <f t="array" ref="BJ56">SUMPRODUCT((evolution_bt_par_typologie[[client]:[client]]=syndicat_etude)*(evolution_bt_par_typologie[[annee]:[annee]]=Exercice[[Exercice N]:[Exercice N]])*(evolution_bt_par_typologie[[annee_mes]:[annee_mes]]=BJ$53)*(evolution_bt_par_typologie[[lineaire_bt_torsade]:[lineaire_bt_torsade]]))</f>
        <v>16.38</v>
      </c>
      <c r="BK56" s="264" cm="1">
        <f t="array" ref="BK56">SUMPRODUCT((evolution_bt_par_typologie[[client]:[client]]=syndicat_etude)*(evolution_bt_par_typologie[[annee]:[annee]]=Exercice[[Exercice N]:[Exercice N]])*(evolution_bt_par_typologie[[annee_mes]:[annee_mes]]=BK$53)*(evolution_bt_par_typologie[[lineaire_bt_torsade]:[lineaire_bt_torsade]]))</f>
        <v>9.99</v>
      </c>
      <c r="BL56" s="264" cm="1">
        <f t="array" ref="BL56">SUMPRODUCT((evolution_bt_par_typologie[[client]:[client]]=syndicat_etude)*(evolution_bt_par_typologie[[annee]:[annee]]=Exercice[[Exercice N]:[Exercice N]])*(evolution_bt_par_typologie[[annee_mes]:[annee_mes]]=BL$53)*(evolution_bt_par_typologie[[lineaire_bt_torsade]:[lineaire_bt_torsade]]))</f>
        <v>16.66</v>
      </c>
      <c r="BM56" s="264" cm="1">
        <f t="array" ref="BM56">SUMPRODUCT((evolution_bt_par_typologie[[client]:[client]]=syndicat_etude)*(evolution_bt_par_typologie[[annee]:[annee]]=Exercice[[Exercice N]:[Exercice N]])*(evolution_bt_par_typologie[[annee_mes]:[annee_mes]]=BM$53)*(evolution_bt_par_typologie[[lineaire_bt_torsade]:[lineaire_bt_torsade]]))</f>
        <v>5.25</v>
      </c>
      <c r="BN56" s="264" cm="1">
        <f t="array" ref="BN56">SUMPRODUCT((evolution_bt_par_typologie[[client]:[client]]=syndicat_etude)*(evolution_bt_par_typologie[[annee]:[annee]]=Exercice[[Exercice N]:[Exercice N]])*(evolution_bt_par_typologie[[annee_mes]:[annee_mes]]=BN$53)*(evolution_bt_par_typologie[[lineaire_bt_torsade]:[lineaire_bt_torsade]]))</f>
        <v>5.08</v>
      </c>
      <c r="BO56" s="264" cm="1">
        <f t="array" ref="BO56">SUMPRODUCT((evolution_bt_par_typologie[[client]:[client]]=syndicat_etude)*(evolution_bt_par_typologie[[annee]:[annee]]=Exercice[[Exercice N]:[Exercice N]])*(evolution_bt_par_typologie[[annee_mes]:[annee_mes]]=BO$53)*(evolution_bt_par_typologie[[lineaire_bt_torsade]:[lineaire_bt_torsade]]))</f>
        <v>19.87</v>
      </c>
      <c r="BP56" s="264" cm="1">
        <f t="array" ref="BP56">SUMPRODUCT((evolution_bt_par_typologie[[client]:[client]]=syndicat_etude)*(evolution_bt_par_typologie[[annee]:[annee]]=Exercice[[Exercice N]:[Exercice N]])*(evolution_bt_par_typologie[[annee_mes]:[annee_mes]]=BP$53)*(evolution_bt_par_typologie[[lineaire_bt_torsade]:[lineaire_bt_torsade]]))</f>
        <v>14.03</v>
      </c>
      <c r="BQ56" s="264" cm="1">
        <f t="array" ref="BQ56">SUMPRODUCT((evolution_bt_par_typologie[[client]:[client]]=syndicat_etude)*(evolution_bt_par_typologie[[annee]:[annee]]=Exercice[[Exercice N]:[Exercice N]])*(evolution_bt_par_typologie[[annee_mes]:[annee_mes]]=BQ$53)*(evolution_bt_par_typologie[[lineaire_bt_torsade]:[lineaire_bt_torsade]]))</f>
        <v>13.04</v>
      </c>
      <c r="BR56" s="264" cm="1">
        <f t="array" ref="BR56">SUMPRODUCT((evolution_bt_par_typologie[[client]:[client]]=syndicat_etude)*(evolution_bt_par_typologie[[annee]:[annee]]=Exercice[[Exercice N]:[Exercice N]])*(evolution_bt_par_typologie[[annee_mes]:[annee_mes]]=BR$53)*(evolution_bt_par_typologie[[lineaire_bt_torsade]:[lineaire_bt_torsade]]))</f>
        <v>8</v>
      </c>
      <c r="BS56" s="264" cm="1">
        <f t="array" ref="BS56">SUMPRODUCT((evolution_bt_par_typologie[[client]:[client]]=syndicat_etude)*(evolution_bt_par_typologie[[annee]:[annee]]=Exercice[[Exercice N]:[Exercice N]])*(evolution_bt_par_typologie[[annee_mes]:[annee_mes]]=BS$53)*(evolution_bt_par_typologie[[lineaire_bt_torsade]:[lineaire_bt_torsade]]))</f>
        <v>9.2100000000000009</v>
      </c>
      <c r="BT56" s="264" cm="1">
        <f t="array" ref="BT56">SUMPRODUCT((evolution_bt_par_typologie[[client]:[client]]=syndicat_etude)*(evolution_bt_par_typologie[[annee]:[annee]]=Exercice[[Exercice N]:[Exercice N]])*(evolution_bt_par_typologie[[annee_mes]:[annee_mes]]=BT$53)*(evolution_bt_par_typologie[[lineaire_bt_torsade]:[lineaire_bt_torsade]]))</f>
        <v>15.9</v>
      </c>
      <c r="BU56" s="264" cm="1">
        <f t="array" ref="BU56">SUMPRODUCT((evolution_bt_par_typologie[[client]:[client]]=syndicat_etude)*(evolution_bt_par_typologie[[annee]:[annee]]=Exercice[[Exercice N]:[Exercice N]])*(evolution_bt_par_typologie[[annee_mes]:[annee_mes]]=BU$53)*(evolution_bt_par_typologie[[lineaire_bt_torsade]:[lineaire_bt_torsade]]))</f>
        <v>14.01</v>
      </c>
      <c r="BV56" s="264" cm="1">
        <f t="array" ref="BV56">SUMPRODUCT((evolution_bt_par_typologie[[client]:[client]]=syndicat_etude)*(evolution_bt_par_typologie[[annee]:[annee]]=Exercice[[Exercice N]:[Exercice N]])*(evolution_bt_par_typologie[[annee_mes]:[annee_mes]]=BV$53)*(evolution_bt_par_typologie[[lineaire_bt_torsade]:[lineaire_bt_torsade]]))</f>
        <v>7.56</v>
      </c>
      <c r="BW56" s="264" cm="1">
        <f t="array" ref="BW56">SUMPRODUCT((evolution_bt_par_typologie[[client]:[client]]=syndicat_etude)*(evolution_bt_par_typologie[[annee]:[annee]]=Exercice[[Exercice N]:[Exercice N]])*(evolution_bt_par_typologie[[annee_mes]:[annee_mes]]=BW$53)*(evolution_bt_par_typologie[[lineaire_bt_torsade]:[lineaire_bt_torsade]]))</f>
        <v>7.36</v>
      </c>
      <c r="BX56" s="264" cm="1">
        <f t="array" ref="BX56">SUMPRODUCT((evolution_bt_par_typologie[[client]:[client]]=syndicat_etude)*(evolution_bt_par_typologie[[annee]:[annee]]=Exercice[[Exercice N]:[Exercice N]])*(evolution_bt_par_typologie[[annee_mes]:[annee_mes]]=BX$53)*(evolution_bt_par_typologie[[lineaire_bt_torsade]:[lineaire_bt_torsade]]))</f>
        <v>4.3499999999999996</v>
      </c>
      <c r="BY56" s="264" cm="1">
        <f t="array" ref="BY56">SUMPRODUCT((evolution_bt_par_typologie[[client]:[client]]=syndicat_etude)*(evolution_bt_par_typologie[[annee]:[annee]]=Exercice[[Exercice N]:[Exercice N]])*(evolution_bt_par_typologie[[annee_mes]:[annee_mes]]=BY$53)*(evolution_bt_par_typologie[[lineaire_bt_torsade]:[lineaire_bt_torsade]]))</f>
        <v>6.65</v>
      </c>
      <c r="BZ56" s="264" cm="1">
        <f t="array" ref="BZ56">SUMPRODUCT((evolution_bt_par_typologie[[client]:[client]]=syndicat_etude)*(evolution_bt_par_typologie[[annee]:[annee]]=Exercice[[Exercice N]:[Exercice N]])*(evolution_bt_par_typologie[[annee_mes]:[annee_mes]]=BZ$53)*(evolution_bt_par_typologie[[lineaire_bt_torsade]:[lineaire_bt_torsade]]))</f>
        <v>4.6500000000000004</v>
      </c>
      <c r="CA56" s="264" cm="1">
        <f t="array" ref="CA56">SUMPRODUCT((evolution_bt_par_typologie[[client]:[client]]=syndicat_etude)*(evolution_bt_par_typologie[[annee]:[annee]]=Exercice[[Exercice N]:[Exercice N]])*(evolution_bt_par_typologie[[annee_mes]:[annee_mes]]=CA$53)*(evolution_bt_par_typologie[[lineaire_bt_torsade]:[lineaire_bt_torsade]]))</f>
        <v>7.22</v>
      </c>
      <c r="CB56" s="264" cm="1">
        <f t="array" ref="CB56">SUMPRODUCT((evolution_bt_par_typologie[[client]:[client]]=syndicat_etude)*(evolution_bt_par_typologie[[annee]:[annee]]=Exercice[[Exercice N]:[Exercice N]])*(evolution_bt_par_typologie[[annee_mes]:[annee_mes]]=CB$53)*(evolution_bt_par_typologie[[lineaire_bt_torsade]:[lineaire_bt_torsade]]))</f>
        <v>6.81</v>
      </c>
      <c r="CC56" s="426" cm="1">
        <f t="array" ref="CC56">SUMPRODUCT((evolution_bt_par_typologie[[client]:[client]]=syndicat_etude)*(evolution_bt_par_typologie[[annee]:[annee]]=Exercice[[Exercice N]:[Exercice N]])*(evolution_bt_par_typologie[[annee_mes]:[annee_mes]]=CC$53)*(evolution_bt_par_typologie[[lineaire_bt_torsade]:[lineaire_bt_torsade]]))</f>
        <v>4.91</v>
      </c>
      <c r="CD56" s="406"/>
      <c r="CE56" s="406"/>
      <c r="CF56" s="406"/>
    </row>
    <row r="57" spans="2:84" x14ac:dyDescent="0.25">
      <c r="B57" s="430" t="s">
        <v>115</v>
      </c>
      <c r="C57" s="427" cm="1">
        <f t="array" ref="C57">SUMPRODUCT((evolution_bt_par_typologie[[client]:[client]]=syndicat_etude)*(evolution_bt_par_typologie[[annee]:[annee]]=Exercice[[Exercice N]:[Exercice N]])*(evolution_bt_par_typologie[[annee_mes]:[annee_mes]]&lt;1946)*(evolution_bt_par_typologie[[lineaire_bt_souterrain]:[lineaire_bt_souterrain]]))</f>
        <v>0</v>
      </c>
      <c r="D57" s="427" cm="1">
        <f t="array" ref="D57">SUMPRODUCT((evolution_bt_par_typologie[[client]:[client]]=syndicat_etude)*(evolution_bt_par_typologie[[annee]:[annee]]=Exercice[[Exercice N]:[Exercice N]])*(evolution_bt_par_typologie[[annee_mes]:[annee_mes]]=D$53)*(evolution_bt_par_typologie[[lineaire_bt_souterrain]:[lineaire_bt_souterrain]]))</f>
        <v>45.4</v>
      </c>
      <c r="E57" s="427" cm="1">
        <f t="array" ref="E57">SUMPRODUCT((evolution_bt_par_typologie[[client]:[client]]=syndicat_etude)*(evolution_bt_par_typologie[[annee]:[annee]]=Exercice[[Exercice N]:[Exercice N]])*(evolution_bt_par_typologie[[annee_mes]:[annee_mes]]=E$53)*(evolution_bt_par_typologie[[lineaire_bt_souterrain]:[lineaire_bt_souterrain]]))</f>
        <v>0.34</v>
      </c>
      <c r="F57" s="427" cm="1">
        <f t="array" ref="F57">SUMPRODUCT((evolution_bt_par_typologie[[client]:[client]]=syndicat_etude)*(evolution_bt_par_typologie[[annee]:[annee]]=Exercice[[Exercice N]:[Exercice N]])*(evolution_bt_par_typologie[[annee_mes]:[annee_mes]]=F$53)*(evolution_bt_par_typologie[[lineaire_bt_souterrain]:[lineaire_bt_souterrain]]))</f>
        <v>0</v>
      </c>
      <c r="G57" s="427" cm="1">
        <f t="array" ref="G57">SUMPRODUCT((evolution_bt_par_typologie[[client]:[client]]=syndicat_etude)*(evolution_bt_par_typologie[[annee]:[annee]]=Exercice[[Exercice N]:[Exercice N]])*(evolution_bt_par_typologie[[annee_mes]:[annee_mes]]=G$53)*(evolution_bt_par_typologie[[lineaire_bt_souterrain]:[lineaire_bt_souterrain]]))</f>
        <v>0</v>
      </c>
      <c r="H57" s="427" cm="1">
        <f t="array" ref="H57">SUMPRODUCT((evolution_bt_par_typologie[[client]:[client]]=syndicat_etude)*(evolution_bt_par_typologie[[annee]:[annee]]=Exercice[[Exercice N]:[Exercice N]])*(evolution_bt_par_typologie[[annee_mes]:[annee_mes]]=H$53)*(evolution_bt_par_typologie[[lineaire_bt_souterrain]:[lineaire_bt_souterrain]]))</f>
        <v>1.17</v>
      </c>
      <c r="I57" s="427" cm="1">
        <f t="array" ref="I57">SUMPRODUCT((evolution_bt_par_typologie[[client]:[client]]=syndicat_etude)*(evolution_bt_par_typologie[[annee]:[annee]]=Exercice[[Exercice N]:[Exercice N]])*(evolution_bt_par_typologie[[annee_mes]:[annee_mes]]=I$53)*(evolution_bt_par_typologie[[lineaire_bt_souterrain]:[lineaire_bt_souterrain]]))</f>
        <v>0</v>
      </c>
      <c r="J57" s="427" cm="1">
        <f t="array" ref="J57">SUMPRODUCT((evolution_bt_par_typologie[[client]:[client]]=syndicat_etude)*(evolution_bt_par_typologie[[annee]:[annee]]=Exercice[[Exercice N]:[Exercice N]])*(evolution_bt_par_typologie[[annee_mes]:[annee_mes]]=J$53)*(evolution_bt_par_typologie[[lineaire_bt_souterrain]:[lineaire_bt_souterrain]]))</f>
        <v>0</v>
      </c>
      <c r="K57" s="427" cm="1">
        <f t="array" ref="K57">SUMPRODUCT((evolution_bt_par_typologie[[client]:[client]]=syndicat_etude)*(evolution_bt_par_typologie[[annee]:[annee]]=Exercice[[Exercice N]:[Exercice N]])*(evolution_bt_par_typologie[[annee_mes]:[annee_mes]]=K$53)*(evolution_bt_par_typologie[[lineaire_bt_souterrain]:[lineaire_bt_souterrain]]))</f>
        <v>0</v>
      </c>
      <c r="L57" s="427" cm="1">
        <f t="array" ref="L57">SUMPRODUCT((evolution_bt_par_typologie[[client]:[client]]=syndicat_etude)*(evolution_bt_par_typologie[[annee]:[annee]]=Exercice[[Exercice N]:[Exercice N]])*(evolution_bt_par_typologie[[annee_mes]:[annee_mes]]=L$53)*(evolution_bt_par_typologie[[lineaire_bt_souterrain]:[lineaire_bt_souterrain]]))</f>
        <v>0</v>
      </c>
      <c r="M57" s="427" cm="1">
        <f t="array" ref="M57">SUMPRODUCT((evolution_bt_par_typologie[[client]:[client]]=syndicat_etude)*(evolution_bt_par_typologie[[annee]:[annee]]=Exercice[[Exercice N]:[Exercice N]])*(evolution_bt_par_typologie[[annee_mes]:[annee_mes]]=M$53)*(evolution_bt_par_typologie[[lineaire_bt_souterrain]:[lineaire_bt_souterrain]]))</f>
        <v>0.14000000000000001</v>
      </c>
      <c r="N57" s="427" cm="1">
        <f t="array" ref="N57">SUMPRODUCT((evolution_bt_par_typologie[[client]:[client]]=syndicat_etude)*(evolution_bt_par_typologie[[annee]:[annee]]=Exercice[[Exercice N]:[Exercice N]])*(evolution_bt_par_typologie[[annee_mes]:[annee_mes]]=N$53)*(evolution_bt_par_typologie[[lineaire_bt_souterrain]:[lineaire_bt_souterrain]]))</f>
        <v>0</v>
      </c>
      <c r="O57" s="427" cm="1">
        <f t="array" ref="O57">SUMPRODUCT((evolution_bt_par_typologie[[client]:[client]]=syndicat_etude)*(evolution_bt_par_typologie[[annee]:[annee]]=Exercice[[Exercice N]:[Exercice N]])*(evolution_bt_par_typologie[[annee_mes]:[annee_mes]]=O$53)*(evolution_bt_par_typologie[[lineaire_bt_souterrain]:[lineaire_bt_souterrain]]))</f>
        <v>0</v>
      </c>
      <c r="P57" s="427" cm="1">
        <f t="array" ref="P57">SUMPRODUCT((evolution_bt_par_typologie[[client]:[client]]=syndicat_etude)*(evolution_bt_par_typologie[[annee]:[annee]]=Exercice[[Exercice N]:[Exercice N]])*(evolution_bt_par_typologie[[annee_mes]:[annee_mes]]=P$53)*(evolution_bt_par_typologie[[lineaire_bt_souterrain]:[lineaire_bt_souterrain]]))</f>
        <v>0</v>
      </c>
      <c r="Q57" s="427" cm="1">
        <f t="array" ref="Q57">SUMPRODUCT((evolution_bt_par_typologie[[client]:[client]]=syndicat_etude)*(evolution_bt_par_typologie[[annee]:[annee]]=Exercice[[Exercice N]:[Exercice N]])*(evolution_bt_par_typologie[[annee_mes]:[annee_mes]]=Q$53)*(evolution_bt_par_typologie[[lineaire_bt_souterrain]:[lineaire_bt_souterrain]]))</f>
        <v>0.39</v>
      </c>
      <c r="R57" s="427" cm="1">
        <f t="array" ref="R57">SUMPRODUCT((evolution_bt_par_typologie[[client]:[client]]=syndicat_etude)*(evolution_bt_par_typologie[[annee]:[annee]]=Exercice[[Exercice N]:[Exercice N]])*(evolution_bt_par_typologie[[annee_mes]:[annee_mes]]=R$53)*(evolution_bt_par_typologie[[lineaire_bt_souterrain]:[lineaire_bt_souterrain]]))</f>
        <v>0</v>
      </c>
      <c r="S57" s="427" cm="1">
        <f t="array" ref="S57">SUMPRODUCT((evolution_bt_par_typologie[[client]:[client]]=syndicat_etude)*(evolution_bt_par_typologie[[annee]:[annee]]=Exercice[[Exercice N]:[Exercice N]])*(evolution_bt_par_typologie[[annee_mes]:[annee_mes]]=S$53)*(evolution_bt_par_typologie[[lineaire_bt_souterrain]:[lineaire_bt_souterrain]]))</f>
        <v>0</v>
      </c>
      <c r="T57" s="427" cm="1">
        <f t="array" ref="T57">SUMPRODUCT((evolution_bt_par_typologie[[client]:[client]]=syndicat_etude)*(evolution_bt_par_typologie[[annee]:[annee]]=Exercice[[Exercice N]:[Exercice N]])*(evolution_bt_par_typologie[[annee_mes]:[annee_mes]]=T$53)*(evolution_bt_par_typologie[[lineaire_bt_souterrain]:[lineaire_bt_souterrain]]))</f>
        <v>0.09</v>
      </c>
      <c r="U57" s="427" cm="1">
        <f t="array" ref="U57">SUMPRODUCT((evolution_bt_par_typologie[[client]:[client]]=syndicat_etude)*(evolution_bt_par_typologie[[annee]:[annee]]=Exercice[[Exercice N]:[Exercice N]])*(evolution_bt_par_typologie[[annee_mes]:[annee_mes]]=U$53)*(evolution_bt_par_typologie[[lineaire_bt_souterrain]:[lineaire_bt_souterrain]]))</f>
        <v>0</v>
      </c>
      <c r="V57" s="427" cm="1">
        <f t="array" ref="V57">SUMPRODUCT((evolution_bt_par_typologie[[client]:[client]]=syndicat_etude)*(evolution_bt_par_typologie[[annee]:[annee]]=Exercice[[Exercice N]:[Exercice N]])*(evolution_bt_par_typologie[[annee_mes]:[annee_mes]]=V$53)*(evolution_bt_par_typologie[[lineaire_bt_souterrain]:[lineaire_bt_souterrain]]))</f>
        <v>0.25</v>
      </c>
      <c r="W57" s="427" cm="1">
        <f t="array" ref="W57">SUMPRODUCT((evolution_bt_par_typologie[[client]:[client]]=syndicat_etude)*(evolution_bt_par_typologie[[annee]:[annee]]=Exercice[[Exercice N]:[Exercice N]])*(evolution_bt_par_typologie[[annee_mes]:[annee_mes]]=W$53)*(evolution_bt_par_typologie[[lineaire_bt_souterrain]:[lineaire_bt_souterrain]]))</f>
        <v>0</v>
      </c>
      <c r="X57" s="427" cm="1">
        <f t="array" ref="X57">SUMPRODUCT((evolution_bt_par_typologie[[client]:[client]]=syndicat_etude)*(evolution_bt_par_typologie[[annee]:[annee]]=Exercice[[Exercice N]:[Exercice N]])*(evolution_bt_par_typologie[[annee_mes]:[annee_mes]]=X$53)*(evolution_bt_par_typologie[[lineaire_bt_souterrain]:[lineaire_bt_souterrain]]))</f>
        <v>0.64</v>
      </c>
      <c r="Y57" s="427" cm="1">
        <f t="array" ref="Y57">SUMPRODUCT((evolution_bt_par_typologie[[client]:[client]]=syndicat_etude)*(evolution_bt_par_typologie[[annee]:[annee]]=Exercice[[Exercice N]:[Exercice N]])*(evolution_bt_par_typologie[[annee_mes]:[annee_mes]]=Y$53)*(evolution_bt_par_typologie[[lineaire_bt_souterrain]:[lineaire_bt_souterrain]]))</f>
        <v>0</v>
      </c>
      <c r="Z57" s="427" cm="1">
        <f t="array" ref="Z57">SUMPRODUCT((evolution_bt_par_typologie[[client]:[client]]=syndicat_etude)*(evolution_bt_par_typologie[[annee]:[annee]]=Exercice[[Exercice N]:[Exercice N]])*(evolution_bt_par_typologie[[annee_mes]:[annee_mes]]=Z$53)*(evolution_bt_par_typologie[[lineaire_bt_souterrain]:[lineaire_bt_souterrain]]))</f>
        <v>0.02</v>
      </c>
      <c r="AA57" s="427" cm="1">
        <f t="array" ref="AA57">SUMPRODUCT((evolution_bt_par_typologie[[client]:[client]]=syndicat_etude)*(evolution_bt_par_typologie[[annee]:[annee]]=Exercice[[Exercice N]:[Exercice N]])*(evolution_bt_par_typologie[[annee_mes]:[annee_mes]]=AA$53)*(evolution_bt_par_typologie[[lineaire_bt_souterrain]:[lineaire_bt_souterrain]]))</f>
        <v>0</v>
      </c>
      <c r="AB57" s="427" cm="1">
        <f t="array" ref="AB57">SUMPRODUCT((evolution_bt_par_typologie[[client]:[client]]=syndicat_etude)*(evolution_bt_par_typologie[[annee]:[annee]]=Exercice[[Exercice N]:[Exercice N]])*(evolution_bt_par_typologie[[annee_mes]:[annee_mes]]=AB$53)*(evolution_bt_par_typologie[[lineaire_bt_souterrain]:[lineaire_bt_souterrain]]))</f>
        <v>1.2</v>
      </c>
      <c r="AC57" s="427" cm="1">
        <f t="array" ref="AC57">SUMPRODUCT((evolution_bt_par_typologie[[client]:[client]]=syndicat_etude)*(evolution_bt_par_typologie[[annee]:[annee]]=Exercice[[Exercice N]:[Exercice N]])*(evolution_bt_par_typologie[[annee_mes]:[annee_mes]]=AC$53)*(evolution_bt_par_typologie[[lineaire_bt_souterrain]:[lineaire_bt_souterrain]]))</f>
        <v>0.03</v>
      </c>
      <c r="AD57" s="427" cm="1">
        <f t="array" ref="AD57">SUMPRODUCT((evolution_bt_par_typologie[[client]:[client]]=syndicat_etude)*(evolution_bt_par_typologie[[annee]:[annee]]=Exercice[[Exercice N]:[Exercice N]])*(evolution_bt_par_typologie[[annee_mes]:[annee_mes]]=AD$53)*(evolution_bt_par_typologie[[lineaire_bt_souterrain]:[lineaire_bt_souterrain]]))</f>
        <v>0</v>
      </c>
      <c r="AE57" s="427" cm="1">
        <f t="array" ref="AE57">SUMPRODUCT((evolution_bt_par_typologie[[client]:[client]]=syndicat_etude)*(evolution_bt_par_typologie[[annee]:[annee]]=Exercice[[Exercice N]:[Exercice N]])*(evolution_bt_par_typologie[[annee_mes]:[annee_mes]]=AE$53)*(evolution_bt_par_typologie[[lineaire_bt_souterrain]:[lineaire_bt_souterrain]]))</f>
        <v>0.62</v>
      </c>
      <c r="AF57" s="427" cm="1">
        <f t="array" ref="AF57">SUMPRODUCT((evolution_bt_par_typologie[[client]:[client]]=syndicat_etude)*(evolution_bt_par_typologie[[annee]:[annee]]=Exercice[[Exercice N]:[Exercice N]])*(evolution_bt_par_typologie[[annee_mes]:[annee_mes]]=AF$53)*(evolution_bt_par_typologie[[lineaire_bt_souterrain]:[lineaire_bt_souterrain]]))</f>
        <v>0</v>
      </c>
      <c r="AG57" s="427" cm="1">
        <f t="array" ref="AG57">SUMPRODUCT((evolution_bt_par_typologie[[client]:[client]]=syndicat_etude)*(evolution_bt_par_typologie[[annee]:[annee]]=Exercice[[Exercice N]:[Exercice N]])*(evolution_bt_par_typologie[[annee_mes]:[annee_mes]]=AG$53)*(evolution_bt_par_typologie[[lineaire_bt_souterrain]:[lineaire_bt_souterrain]]))</f>
        <v>7.0000000000000007E-2</v>
      </c>
      <c r="AH57" s="427" cm="1">
        <f t="array" ref="AH57">SUMPRODUCT((evolution_bt_par_typologie[[client]:[client]]=syndicat_etude)*(evolution_bt_par_typologie[[annee]:[annee]]=Exercice[[Exercice N]:[Exercice N]])*(evolution_bt_par_typologie[[annee_mes]:[annee_mes]]=AH$53)*(evolution_bt_par_typologie[[lineaire_bt_souterrain]:[lineaire_bt_souterrain]]))</f>
        <v>0</v>
      </c>
      <c r="AI57" s="427" cm="1">
        <f t="array" ref="AI57">SUMPRODUCT((evolution_bt_par_typologie[[client]:[client]]=syndicat_etude)*(evolution_bt_par_typologie[[annee]:[annee]]=Exercice[[Exercice N]:[Exercice N]])*(evolution_bt_par_typologie[[annee_mes]:[annee_mes]]=AI$53)*(evolution_bt_par_typologie[[lineaire_bt_souterrain]:[lineaire_bt_souterrain]]))</f>
        <v>0.01</v>
      </c>
      <c r="AJ57" s="427" cm="1">
        <f t="array" ref="AJ57">SUMPRODUCT((evolution_bt_par_typologie[[client]:[client]]=syndicat_etude)*(evolution_bt_par_typologie[[annee]:[annee]]=Exercice[[Exercice N]:[Exercice N]])*(evolution_bt_par_typologie[[annee_mes]:[annee_mes]]=AJ$53)*(evolution_bt_par_typologie[[lineaire_bt_souterrain]:[lineaire_bt_souterrain]]))</f>
        <v>0.87</v>
      </c>
      <c r="AK57" s="427" cm="1">
        <f t="array" ref="AK57">SUMPRODUCT((evolution_bt_par_typologie[[client]:[client]]=syndicat_etude)*(evolution_bt_par_typologie[[annee]:[annee]]=Exercice[[Exercice N]:[Exercice N]])*(evolution_bt_par_typologie[[annee_mes]:[annee_mes]]=AK$53)*(evolution_bt_par_typologie[[lineaire_bt_souterrain]:[lineaire_bt_souterrain]]))</f>
        <v>0.37</v>
      </c>
      <c r="AL57" s="427" cm="1">
        <f t="array" ref="AL57">SUMPRODUCT((evolution_bt_par_typologie[[client]:[client]]=syndicat_etude)*(evolution_bt_par_typologie[[annee]:[annee]]=Exercice[[Exercice N]:[Exercice N]])*(evolution_bt_par_typologie[[annee_mes]:[annee_mes]]=AL$53)*(evolution_bt_par_typologie[[lineaire_bt_souterrain]:[lineaire_bt_souterrain]]))</f>
        <v>0.46</v>
      </c>
      <c r="AM57" s="427" cm="1">
        <f t="array" ref="AM57">SUMPRODUCT((evolution_bt_par_typologie[[client]:[client]]=syndicat_etude)*(evolution_bt_par_typologie[[annee]:[annee]]=Exercice[[Exercice N]:[Exercice N]])*(evolution_bt_par_typologie[[annee_mes]:[annee_mes]]=AM$53)*(evolution_bt_par_typologie[[lineaire_bt_souterrain]:[lineaire_bt_souterrain]]))</f>
        <v>0.14000000000000001</v>
      </c>
      <c r="AN57" s="427" cm="1">
        <f t="array" ref="AN57">SUMPRODUCT((evolution_bt_par_typologie[[client]:[client]]=syndicat_etude)*(evolution_bt_par_typologie[[annee]:[annee]]=Exercice[[Exercice N]:[Exercice N]])*(evolution_bt_par_typologie[[annee_mes]:[annee_mes]]=AN$53)*(evolution_bt_par_typologie[[lineaire_bt_souterrain]:[lineaire_bt_souterrain]]))</f>
        <v>0.26</v>
      </c>
      <c r="AO57" s="427" cm="1">
        <f t="array" ref="AO57">SUMPRODUCT((evolution_bt_par_typologie[[client]:[client]]=syndicat_etude)*(evolution_bt_par_typologie[[annee]:[annee]]=Exercice[[Exercice N]:[Exercice N]])*(evolution_bt_par_typologie[[annee_mes]:[annee_mes]]=AO$53)*(evolution_bt_par_typologie[[lineaire_bt_souterrain]:[lineaire_bt_souterrain]]))</f>
        <v>1.1200000000000001</v>
      </c>
      <c r="AP57" s="427" cm="1">
        <f t="array" ref="AP57">SUMPRODUCT((evolution_bt_par_typologie[[client]:[client]]=syndicat_etude)*(evolution_bt_par_typologie[[annee]:[annee]]=Exercice[[Exercice N]:[Exercice N]])*(evolution_bt_par_typologie[[annee_mes]:[annee_mes]]=AP$53)*(evolution_bt_par_typologie[[lineaire_bt_souterrain]:[lineaire_bt_souterrain]]))</f>
        <v>2.5499999999999998</v>
      </c>
      <c r="AQ57" s="427" cm="1">
        <f t="array" ref="AQ57">SUMPRODUCT((evolution_bt_par_typologie[[client]:[client]]=syndicat_etude)*(evolution_bt_par_typologie[[annee]:[annee]]=Exercice[[Exercice N]:[Exercice N]])*(evolution_bt_par_typologie[[annee_mes]:[annee_mes]]=AQ$53)*(evolution_bt_par_typologie[[lineaire_bt_souterrain]:[lineaire_bt_souterrain]]))</f>
        <v>9.33</v>
      </c>
      <c r="AR57" s="427" cm="1">
        <f t="array" ref="AR57">SUMPRODUCT((evolution_bt_par_typologie[[client]:[client]]=syndicat_etude)*(evolution_bt_par_typologie[[annee]:[annee]]=Exercice[[Exercice N]:[Exercice N]])*(evolution_bt_par_typologie[[annee_mes]:[annee_mes]]=AR$53)*(evolution_bt_par_typologie[[lineaire_bt_souterrain]:[lineaire_bt_souterrain]]))</f>
        <v>50</v>
      </c>
      <c r="AS57" s="427" cm="1">
        <f t="array" ref="AS57">SUMPRODUCT((evolution_bt_par_typologie[[client]:[client]]=syndicat_etude)*(evolution_bt_par_typologie[[annee]:[annee]]=Exercice[[Exercice N]:[Exercice N]])*(evolution_bt_par_typologie[[annee_mes]:[annee_mes]]=AS$53)*(evolution_bt_par_typologie[[lineaire_bt_souterrain]:[lineaire_bt_souterrain]]))</f>
        <v>90.65</v>
      </c>
      <c r="AT57" s="427" cm="1">
        <f t="array" ref="AT57">SUMPRODUCT((evolution_bt_par_typologie[[client]:[client]]=syndicat_etude)*(evolution_bt_par_typologie[[annee]:[annee]]=Exercice[[Exercice N]:[Exercice N]])*(evolution_bt_par_typologie[[annee_mes]:[annee_mes]]=AT$53)*(evolution_bt_par_typologie[[lineaire_bt_souterrain]:[lineaire_bt_souterrain]]))</f>
        <v>0.24</v>
      </c>
      <c r="AU57" s="427" cm="1">
        <f t="array" ref="AU57">SUMPRODUCT((evolution_bt_par_typologie[[client]:[client]]=syndicat_etude)*(evolution_bt_par_typologie[[annee]:[annee]]=Exercice[[Exercice N]:[Exercice N]])*(evolution_bt_par_typologie[[annee_mes]:[annee_mes]]=AU$53)*(evolution_bt_par_typologie[[lineaire_bt_souterrain]:[lineaire_bt_souterrain]]))</f>
        <v>62.56</v>
      </c>
      <c r="AV57" s="427" cm="1">
        <f t="array" ref="AV57">SUMPRODUCT((evolution_bt_par_typologie[[client]:[client]]=syndicat_etude)*(evolution_bt_par_typologie[[annee]:[annee]]=Exercice[[Exercice N]:[Exercice N]])*(evolution_bt_par_typologie[[annee_mes]:[annee_mes]]=AV$53)*(evolution_bt_par_typologie[[lineaire_bt_souterrain]:[lineaire_bt_souterrain]]))</f>
        <v>35.01</v>
      </c>
      <c r="AW57" s="427" cm="1">
        <f t="array" ref="AW57">SUMPRODUCT((evolution_bt_par_typologie[[client]:[client]]=syndicat_etude)*(evolution_bt_par_typologie[[annee]:[annee]]=Exercice[[Exercice N]:[Exercice N]])*(evolution_bt_par_typologie[[annee_mes]:[annee_mes]]=AW$53)*(evolution_bt_par_typologie[[lineaire_bt_souterrain]:[lineaire_bt_souterrain]]))</f>
        <v>71.569999999999993</v>
      </c>
      <c r="AX57" s="427" cm="1">
        <f t="array" ref="AX57">SUMPRODUCT((evolution_bt_par_typologie[[client]:[client]]=syndicat_etude)*(evolution_bt_par_typologie[[annee]:[annee]]=Exercice[[Exercice N]:[Exercice N]])*(evolution_bt_par_typologie[[annee_mes]:[annee_mes]]=AX$53)*(evolution_bt_par_typologie[[lineaire_bt_souterrain]:[lineaire_bt_souterrain]]))</f>
        <v>110.38</v>
      </c>
      <c r="AY57" s="427" cm="1">
        <f t="array" ref="AY57">SUMPRODUCT((evolution_bt_par_typologie[[client]:[client]]=syndicat_etude)*(evolution_bt_par_typologie[[annee]:[annee]]=Exercice[[Exercice N]:[Exercice N]])*(evolution_bt_par_typologie[[annee_mes]:[annee_mes]]=AY$53)*(evolution_bt_par_typologie[[lineaire_bt_souterrain]:[lineaire_bt_souterrain]]))</f>
        <v>50.07</v>
      </c>
      <c r="AZ57" s="427" cm="1">
        <f t="array" ref="AZ57">SUMPRODUCT((evolution_bt_par_typologie[[client]:[client]]=syndicat_etude)*(evolution_bt_par_typologie[[annee]:[annee]]=Exercice[[Exercice N]:[Exercice N]])*(evolution_bt_par_typologie[[annee_mes]:[annee_mes]]=AZ$53)*(evolution_bt_par_typologie[[lineaire_bt_souterrain]:[lineaire_bt_souterrain]]))</f>
        <v>59.54</v>
      </c>
      <c r="BA57" s="427" cm="1">
        <f t="array" ref="BA57">SUMPRODUCT((evolution_bt_par_typologie[[client]:[client]]=syndicat_etude)*(evolution_bt_par_typologie[[annee]:[annee]]=Exercice[[Exercice N]:[Exercice N]])*(evolution_bt_par_typologie[[annee_mes]:[annee_mes]]=BA$53)*(evolution_bt_par_typologie[[lineaire_bt_souterrain]:[lineaire_bt_souterrain]]))</f>
        <v>55.77</v>
      </c>
      <c r="BB57" s="427" cm="1">
        <f t="array" ref="BB57">SUMPRODUCT((evolution_bt_par_typologie[[client]:[client]]=syndicat_etude)*(evolution_bt_par_typologie[[annee]:[annee]]=Exercice[[Exercice N]:[Exercice N]])*(evolution_bt_par_typologie[[annee_mes]:[annee_mes]]=BB$53)*(evolution_bt_par_typologie[[lineaire_bt_souterrain]:[lineaire_bt_souterrain]]))</f>
        <v>68.290000000000006</v>
      </c>
      <c r="BC57" s="427" cm="1">
        <f t="array" ref="BC57">SUMPRODUCT((evolution_bt_par_typologie[[client]:[client]]=syndicat_etude)*(evolution_bt_par_typologie[[annee]:[annee]]=Exercice[[Exercice N]:[Exercice N]])*(evolution_bt_par_typologie[[annee_mes]:[annee_mes]]=BC$53)*(evolution_bt_par_typologie[[lineaire_bt_souterrain]:[lineaire_bt_souterrain]]))</f>
        <v>58.6</v>
      </c>
      <c r="BD57" s="427" cm="1">
        <f t="array" ref="BD57">SUMPRODUCT((evolution_bt_par_typologie[[client]:[client]]=syndicat_etude)*(evolution_bt_par_typologie[[annee]:[annee]]=Exercice[[Exercice N]:[Exercice N]])*(evolution_bt_par_typologie[[annee_mes]:[annee_mes]]=BD$53)*(evolution_bt_par_typologie[[lineaire_bt_souterrain]:[lineaire_bt_souterrain]]))</f>
        <v>73.900000000000006</v>
      </c>
      <c r="BE57" s="427" cm="1">
        <f t="array" ref="BE57">SUMPRODUCT((evolution_bt_par_typologie[[client]:[client]]=syndicat_etude)*(evolution_bt_par_typologie[[annee]:[annee]]=Exercice[[Exercice N]:[Exercice N]])*(evolution_bt_par_typologie[[annee_mes]:[annee_mes]]=BE$53)*(evolution_bt_par_typologie[[lineaire_bt_souterrain]:[lineaire_bt_souterrain]]))</f>
        <v>64.41</v>
      </c>
      <c r="BF57" s="427" cm="1">
        <f t="array" ref="BF57">SUMPRODUCT((evolution_bt_par_typologie[[client]:[client]]=syndicat_etude)*(evolution_bt_par_typologie[[annee]:[annee]]=Exercice[[Exercice N]:[Exercice N]])*(evolution_bt_par_typologie[[annee_mes]:[annee_mes]]=BF$53)*(evolution_bt_par_typologie[[lineaire_bt_souterrain]:[lineaire_bt_souterrain]]))</f>
        <v>57.33</v>
      </c>
      <c r="BG57" s="427" cm="1">
        <f t="array" ref="BG57">SUMPRODUCT((evolution_bt_par_typologie[[client]:[client]]=syndicat_etude)*(evolution_bt_par_typologie[[annee]:[annee]]=Exercice[[Exercice N]:[Exercice N]])*(evolution_bt_par_typologie[[annee_mes]:[annee_mes]]=BG$53)*(evolution_bt_par_typologie[[lineaire_bt_souterrain]:[lineaire_bt_souterrain]]))</f>
        <v>68.88</v>
      </c>
      <c r="BH57" s="427" cm="1">
        <f t="array" ref="BH57">SUMPRODUCT((evolution_bt_par_typologie[[client]:[client]]=syndicat_etude)*(evolution_bt_par_typologie[[annee]:[annee]]=Exercice[[Exercice N]:[Exercice N]])*(evolution_bt_par_typologie[[annee_mes]:[annee_mes]]=BH$53)*(evolution_bt_par_typologie[[lineaire_bt_souterrain]:[lineaire_bt_souterrain]]))</f>
        <v>53.42</v>
      </c>
      <c r="BI57" s="427" cm="1">
        <f t="array" ref="BI57">SUMPRODUCT((evolution_bt_par_typologie[[client]:[client]]=syndicat_etude)*(evolution_bt_par_typologie[[annee]:[annee]]=Exercice[[Exercice N]:[Exercice N]])*(evolution_bt_par_typologie[[annee_mes]:[annee_mes]]=BI$53)*(evolution_bt_par_typologie[[lineaire_bt_souterrain]:[lineaire_bt_souterrain]]))</f>
        <v>64.489999999999995</v>
      </c>
      <c r="BJ57" s="427" cm="1">
        <f t="array" ref="BJ57">SUMPRODUCT((evolution_bt_par_typologie[[client]:[client]]=syndicat_etude)*(evolution_bt_par_typologie[[annee]:[annee]]=Exercice[[Exercice N]:[Exercice N]])*(evolution_bt_par_typologie[[annee_mes]:[annee_mes]]=BJ$53)*(evolution_bt_par_typologie[[lineaire_bt_souterrain]:[lineaire_bt_souterrain]]))</f>
        <v>54.55</v>
      </c>
      <c r="BK57" s="427" cm="1">
        <f t="array" ref="BK57">SUMPRODUCT((evolution_bt_par_typologie[[client]:[client]]=syndicat_etude)*(evolution_bt_par_typologie[[annee]:[annee]]=Exercice[[Exercice N]:[Exercice N]])*(evolution_bt_par_typologie[[annee_mes]:[annee_mes]]=BK$53)*(evolution_bt_par_typologie[[lineaire_bt_souterrain]:[lineaire_bt_souterrain]]))</f>
        <v>66.430000000000007</v>
      </c>
      <c r="BL57" s="427" cm="1">
        <f t="array" ref="BL57">SUMPRODUCT((evolution_bt_par_typologie[[client]:[client]]=syndicat_etude)*(evolution_bt_par_typologie[[annee]:[annee]]=Exercice[[Exercice N]:[Exercice N]])*(evolution_bt_par_typologie[[annee_mes]:[annee_mes]]=BL$53)*(evolution_bt_par_typologie[[lineaire_bt_souterrain]:[lineaire_bt_souterrain]]))</f>
        <v>63.41</v>
      </c>
      <c r="BM57" s="427" cm="1">
        <f t="array" ref="BM57">SUMPRODUCT((evolution_bt_par_typologie[[client]:[client]]=syndicat_etude)*(evolution_bt_par_typologie[[annee]:[annee]]=Exercice[[Exercice N]:[Exercice N]])*(evolution_bt_par_typologie[[annee_mes]:[annee_mes]]=BM$53)*(evolution_bt_par_typologie[[lineaire_bt_souterrain]:[lineaire_bt_souterrain]]))</f>
        <v>88.61</v>
      </c>
      <c r="BN57" s="427" cm="1">
        <f t="array" ref="BN57">SUMPRODUCT((evolution_bt_par_typologie[[client]:[client]]=syndicat_etude)*(evolution_bt_par_typologie[[annee]:[annee]]=Exercice[[Exercice N]:[Exercice N]])*(evolution_bt_par_typologie[[annee_mes]:[annee_mes]]=BN$53)*(evolution_bt_par_typologie[[lineaire_bt_souterrain]:[lineaire_bt_souterrain]]))</f>
        <v>76.58</v>
      </c>
      <c r="BO57" s="427" cm="1">
        <f t="array" ref="BO57">SUMPRODUCT((evolution_bt_par_typologie[[client]:[client]]=syndicat_etude)*(evolution_bt_par_typologie[[annee]:[annee]]=Exercice[[Exercice N]:[Exercice N]])*(evolution_bt_par_typologie[[annee_mes]:[annee_mes]]=BO$53)*(evolution_bt_par_typologie[[lineaire_bt_souterrain]:[lineaire_bt_souterrain]]))</f>
        <v>65.05</v>
      </c>
      <c r="BP57" s="427" cm="1">
        <f t="array" ref="BP57">SUMPRODUCT((evolution_bt_par_typologie[[client]:[client]]=syndicat_etude)*(evolution_bt_par_typologie[[annee]:[annee]]=Exercice[[Exercice N]:[Exercice N]])*(evolution_bt_par_typologie[[annee_mes]:[annee_mes]]=BP$53)*(evolution_bt_par_typologie[[lineaire_bt_souterrain]:[lineaire_bt_souterrain]]))</f>
        <v>70.52</v>
      </c>
      <c r="BQ57" s="427" cm="1">
        <f t="array" ref="BQ57">SUMPRODUCT((evolution_bt_par_typologie[[client]:[client]]=syndicat_etude)*(evolution_bt_par_typologie[[annee]:[annee]]=Exercice[[Exercice N]:[Exercice N]])*(evolution_bt_par_typologie[[annee_mes]:[annee_mes]]=BQ$53)*(evolution_bt_par_typologie[[lineaire_bt_souterrain]:[lineaire_bt_souterrain]]))</f>
        <v>75.87</v>
      </c>
      <c r="BR57" s="427" cm="1">
        <f t="array" ref="BR57">SUMPRODUCT((evolution_bt_par_typologie[[client]:[client]]=syndicat_etude)*(evolution_bt_par_typologie[[annee]:[annee]]=Exercice[[Exercice N]:[Exercice N]])*(evolution_bt_par_typologie[[annee_mes]:[annee_mes]]=BR$53)*(evolution_bt_par_typologie[[lineaire_bt_souterrain]:[lineaire_bt_souterrain]]))</f>
        <v>71.739999999999995</v>
      </c>
      <c r="BS57" s="427" cm="1">
        <f t="array" ref="BS57">SUMPRODUCT((evolution_bt_par_typologie[[client]:[client]]=syndicat_etude)*(evolution_bt_par_typologie[[annee]:[annee]]=Exercice[[Exercice N]:[Exercice N]])*(evolution_bt_par_typologie[[annee_mes]:[annee_mes]]=BS$53)*(evolution_bt_par_typologie[[lineaire_bt_souterrain]:[lineaire_bt_souterrain]]))</f>
        <v>57.03</v>
      </c>
      <c r="BT57" s="427" cm="1">
        <f t="array" ref="BT57">SUMPRODUCT((evolution_bt_par_typologie[[client]:[client]]=syndicat_etude)*(evolution_bt_par_typologie[[annee]:[annee]]=Exercice[[Exercice N]:[Exercice N]])*(evolution_bt_par_typologie[[annee_mes]:[annee_mes]]=BT$53)*(evolution_bt_par_typologie[[lineaire_bt_souterrain]:[lineaire_bt_souterrain]]))</f>
        <v>59.44</v>
      </c>
      <c r="BU57" s="427" cm="1">
        <f t="array" ref="BU57">SUMPRODUCT((evolution_bt_par_typologie[[client]:[client]]=syndicat_etude)*(evolution_bt_par_typologie[[annee]:[annee]]=Exercice[[Exercice N]:[Exercice N]])*(evolution_bt_par_typologie[[annee_mes]:[annee_mes]]=BU$53)*(evolution_bt_par_typologie[[lineaire_bt_souterrain]:[lineaire_bt_souterrain]]))</f>
        <v>41.3</v>
      </c>
      <c r="BV57" s="427" cm="1">
        <f t="array" ref="BV57">SUMPRODUCT((evolution_bt_par_typologie[[client]:[client]]=syndicat_etude)*(evolution_bt_par_typologie[[annee]:[annee]]=Exercice[[Exercice N]:[Exercice N]])*(evolution_bt_par_typologie[[annee_mes]:[annee_mes]]=BV$53)*(evolution_bt_par_typologie[[lineaire_bt_souterrain]:[lineaire_bt_souterrain]]))</f>
        <v>43.3</v>
      </c>
      <c r="BW57" s="427" cm="1">
        <f t="array" ref="BW57">SUMPRODUCT((evolution_bt_par_typologie[[client]:[client]]=syndicat_etude)*(evolution_bt_par_typologie[[annee]:[annee]]=Exercice[[Exercice N]:[Exercice N]])*(evolution_bt_par_typologie[[annee_mes]:[annee_mes]]=BW$53)*(evolution_bt_par_typologie[[lineaire_bt_souterrain]:[lineaire_bt_souterrain]]))</f>
        <v>55.46</v>
      </c>
      <c r="BX57" s="427" cm="1">
        <f t="array" ref="BX57">SUMPRODUCT((evolution_bt_par_typologie[[client]:[client]]=syndicat_etude)*(evolution_bt_par_typologie[[annee]:[annee]]=Exercice[[Exercice N]:[Exercice N]])*(evolution_bt_par_typologie[[annee_mes]:[annee_mes]]=BX$53)*(evolution_bt_par_typologie[[lineaire_bt_souterrain]:[lineaire_bt_souterrain]]))</f>
        <v>43.81</v>
      </c>
      <c r="BY57" s="427" cm="1">
        <f t="array" ref="BY57">SUMPRODUCT((evolution_bt_par_typologie[[client]:[client]]=syndicat_etude)*(evolution_bt_par_typologie[[annee]:[annee]]=Exercice[[Exercice N]:[Exercice N]])*(evolution_bt_par_typologie[[annee_mes]:[annee_mes]]=BY$53)*(evolution_bt_par_typologie[[lineaire_bt_souterrain]:[lineaire_bt_souterrain]]))</f>
        <v>51.32</v>
      </c>
      <c r="BZ57" s="427" cm="1">
        <f t="array" ref="BZ57">SUMPRODUCT((evolution_bt_par_typologie[[client]:[client]]=syndicat_etude)*(evolution_bt_par_typologie[[annee]:[annee]]=Exercice[[Exercice N]:[Exercice N]])*(evolution_bt_par_typologie[[annee_mes]:[annee_mes]]=BZ$53)*(evolution_bt_par_typologie[[lineaire_bt_souterrain]:[lineaire_bt_souterrain]]))</f>
        <v>45.67</v>
      </c>
      <c r="CA57" s="427" cm="1">
        <f t="array" ref="CA57">SUMPRODUCT((evolution_bt_par_typologie[[client]:[client]]=syndicat_etude)*(evolution_bt_par_typologie[[annee]:[annee]]=Exercice[[Exercice N]:[Exercice N]])*(evolution_bt_par_typologie[[annee_mes]:[annee_mes]]=CA$53)*(evolution_bt_par_typologie[[lineaire_bt_souterrain]:[lineaire_bt_souterrain]]))</f>
        <v>48.35</v>
      </c>
      <c r="CB57" s="427" cm="1">
        <f t="array" ref="CB57">SUMPRODUCT((evolution_bt_par_typologie[[client]:[client]]=syndicat_etude)*(evolution_bt_par_typologie[[annee]:[annee]]=Exercice[[Exercice N]:[Exercice N]])*(evolution_bt_par_typologie[[annee_mes]:[annee_mes]]=CB$53)*(evolution_bt_par_typologie[[lineaire_bt_souterrain]:[lineaire_bt_souterrain]]))</f>
        <v>44.57</v>
      </c>
      <c r="CC57" s="428" cm="1">
        <f t="array" ref="CC57">SUMPRODUCT((evolution_bt_par_typologie[[client]:[client]]=syndicat_etude)*(evolution_bt_par_typologie[[annee]:[annee]]=Exercice[[Exercice N]:[Exercice N]])*(evolution_bt_par_typologie[[annee_mes]:[annee_mes]]=CC$53)*(evolution_bt_par_typologie[[lineaire_bt_souterrain]:[lineaire_bt_souterrain]]))</f>
        <v>45.09</v>
      </c>
      <c r="CD57" s="406"/>
      <c r="CE57" s="406"/>
      <c r="CF57" s="406"/>
    </row>
    <row r="58" spans="2:84" x14ac:dyDescent="0.25">
      <c r="B58" s="23"/>
      <c r="C58" s="23"/>
      <c r="D58" s="23"/>
      <c r="E58" s="23"/>
      <c r="F58" s="21"/>
      <c r="G58" s="23"/>
      <c r="H58" s="21"/>
      <c r="I58" s="23"/>
      <c r="J58" s="21"/>
      <c r="K58" s="23"/>
      <c r="L58" s="21"/>
      <c r="M58" s="23"/>
      <c r="N58" s="21"/>
      <c r="O58" s="23"/>
      <c r="P58" s="21"/>
      <c r="Q58" s="23"/>
      <c r="R58" s="21"/>
      <c r="S58" s="23"/>
      <c r="T58" s="21"/>
      <c r="U58" s="23"/>
      <c r="V58" s="21"/>
      <c r="W58" s="23"/>
      <c r="X58" s="21"/>
      <c r="Y58" s="23"/>
      <c r="Z58" s="21"/>
      <c r="AA58" s="23"/>
      <c r="AB58" s="21"/>
      <c r="AC58" s="23"/>
      <c r="AD58" s="21"/>
      <c r="AE58" s="23"/>
      <c r="AF58" s="21"/>
      <c r="AG58" s="23"/>
      <c r="AH58" s="21"/>
      <c r="AI58" s="23"/>
      <c r="AJ58" s="21"/>
      <c r="AK58" s="23"/>
      <c r="AL58" s="21"/>
      <c r="AM58" s="23"/>
      <c r="AN58" s="21"/>
      <c r="AO58" s="23"/>
      <c r="AP58" s="21"/>
      <c r="AQ58" s="23"/>
      <c r="AR58" s="21"/>
      <c r="AS58" s="23"/>
      <c r="AT58" s="21"/>
      <c r="AU58" s="23"/>
      <c r="AV58" s="21"/>
      <c r="AW58" s="23"/>
      <c r="AX58" s="21"/>
      <c r="AY58" s="23"/>
      <c r="AZ58" s="21"/>
      <c r="BA58" s="23"/>
      <c r="BB58" s="21"/>
      <c r="BC58" s="23"/>
      <c r="BD58" s="21"/>
      <c r="BE58" s="23"/>
      <c r="BF58" s="21"/>
      <c r="BG58" s="23"/>
      <c r="BH58" s="21"/>
      <c r="BI58" s="23"/>
      <c r="BJ58" s="21"/>
      <c r="BK58" s="23"/>
      <c r="BL58" s="21"/>
      <c r="BM58" s="23"/>
      <c r="BN58" s="21"/>
      <c r="BO58" s="23"/>
      <c r="BP58" s="21"/>
      <c r="BQ58" s="23"/>
      <c r="BR58" s="21"/>
      <c r="BS58" s="23"/>
      <c r="BT58" s="21"/>
      <c r="BU58" s="23"/>
      <c r="BV58" s="21"/>
      <c r="BW58" s="23"/>
      <c r="BX58" s="21"/>
      <c r="BY58" s="21"/>
    </row>
    <row r="59" spans="2:84" x14ac:dyDescent="0.25">
      <c r="B59" s="23"/>
      <c r="C59" s="23"/>
      <c r="D59" s="23"/>
      <c r="E59" s="23"/>
      <c r="F59" s="21"/>
      <c r="G59" s="23"/>
      <c r="H59" s="21"/>
      <c r="I59" s="23"/>
      <c r="J59" s="21"/>
      <c r="K59" s="23"/>
      <c r="L59" s="21"/>
      <c r="M59" s="23"/>
      <c r="N59" s="21"/>
      <c r="O59" s="23"/>
      <c r="P59" s="21"/>
      <c r="Q59" s="23"/>
      <c r="R59" s="21"/>
      <c r="S59" s="23"/>
      <c r="T59" s="21"/>
      <c r="U59" s="23"/>
      <c r="V59" s="21"/>
      <c r="W59" s="23"/>
      <c r="X59" s="21"/>
      <c r="Y59" s="23"/>
      <c r="Z59" s="21"/>
      <c r="AA59" s="23"/>
      <c r="AB59" s="21"/>
      <c r="AC59" s="23"/>
      <c r="AD59" s="21"/>
      <c r="AE59" s="23"/>
      <c r="AF59" s="21"/>
      <c r="AG59" s="23"/>
      <c r="AH59" s="21"/>
      <c r="AI59" s="23"/>
      <c r="AJ59" s="21"/>
      <c r="AK59" s="23"/>
      <c r="AL59" s="21"/>
      <c r="AM59" s="23"/>
      <c r="AN59" s="21"/>
      <c r="AO59" s="23"/>
      <c r="AP59" s="21"/>
      <c r="AQ59" s="23"/>
      <c r="AR59" s="21"/>
      <c r="AS59" s="23"/>
      <c r="AT59" s="21"/>
      <c r="AU59" s="23"/>
      <c r="AV59" s="21"/>
      <c r="AW59" s="23"/>
      <c r="AX59" s="21"/>
      <c r="AY59" s="23"/>
      <c r="AZ59" s="21"/>
      <c r="BA59" s="23"/>
      <c r="BB59" s="21"/>
      <c r="BC59" s="23"/>
      <c r="BD59" s="21"/>
      <c r="BE59" s="23"/>
      <c r="BF59" s="21"/>
      <c r="BG59" s="23"/>
      <c r="BH59" s="21"/>
      <c r="BI59" s="23"/>
      <c r="BJ59" s="21"/>
      <c r="BK59" s="23"/>
      <c r="BL59" s="21"/>
      <c r="BM59" s="23"/>
      <c r="BN59" s="21"/>
      <c r="BO59" s="23"/>
      <c r="BP59" s="21"/>
      <c r="BQ59" s="23"/>
      <c r="BR59" s="21"/>
      <c r="BS59" s="23"/>
      <c r="BT59" s="21"/>
      <c r="BU59" s="23"/>
      <c r="BV59" s="21"/>
      <c r="BW59" s="23"/>
      <c r="BX59" s="21"/>
      <c r="BY59" s="21"/>
    </row>
    <row r="60" spans="2:84" x14ac:dyDescent="0.25">
      <c r="B60" s="23"/>
      <c r="C60" s="23"/>
      <c r="D60" s="23"/>
      <c r="E60" s="23"/>
      <c r="F60" s="21"/>
      <c r="G60" s="23"/>
      <c r="H60" s="21"/>
      <c r="I60" s="23"/>
      <c r="J60" s="21"/>
      <c r="K60" s="23"/>
      <c r="L60" s="21"/>
      <c r="M60" s="23"/>
      <c r="N60" s="21"/>
      <c r="O60" s="23"/>
      <c r="P60" s="21"/>
      <c r="Q60" s="23"/>
      <c r="R60" s="21"/>
      <c r="S60" s="23"/>
      <c r="T60" s="21"/>
      <c r="U60" s="23"/>
      <c r="V60" s="21"/>
      <c r="W60" s="23"/>
      <c r="X60" s="21"/>
      <c r="Y60" s="23"/>
      <c r="Z60" s="21"/>
      <c r="AA60" s="23"/>
      <c r="AB60" s="21"/>
      <c r="AC60" s="23"/>
      <c r="AD60" s="21"/>
      <c r="AE60" s="23"/>
      <c r="AF60" s="21"/>
      <c r="AG60" s="23"/>
      <c r="AH60" s="21"/>
      <c r="AI60" s="23"/>
      <c r="AJ60" s="21"/>
      <c r="AK60" s="23"/>
      <c r="AL60" s="21"/>
      <c r="AM60" s="23"/>
      <c r="AN60" s="21"/>
      <c r="AO60" s="23"/>
      <c r="AP60" s="21"/>
      <c r="AQ60" s="23"/>
      <c r="AR60" s="21"/>
      <c r="AS60" s="23"/>
      <c r="AT60" s="21"/>
      <c r="AU60" s="23"/>
      <c r="AV60" s="21"/>
      <c r="AW60" s="23"/>
      <c r="AX60" s="21"/>
      <c r="AY60" s="23"/>
      <c r="AZ60" s="21"/>
      <c r="BA60" s="23"/>
      <c r="BB60" s="21"/>
      <c r="BC60" s="23"/>
      <c r="BD60" s="21"/>
      <c r="BE60" s="23"/>
      <c r="BF60" s="21"/>
      <c r="BG60" s="23"/>
      <c r="BH60" s="21"/>
      <c r="BI60" s="23"/>
      <c r="BJ60" s="21"/>
      <c r="BK60" s="23"/>
      <c r="BL60" s="21"/>
      <c r="BM60" s="23"/>
      <c r="BN60" s="21"/>
      <c r="BO60" s="23"/>
      <c r="BP60" s="21"/>
      <c r="BQ60" s="23"/>
      <c r="BR60" s="21"/>
      <c r="BS60" s="23"/>
      <c r="BT60" s="21"/>
      <c r="BU60" s="23"/>
      <c r="BV60" s="21"/>
      <c r="BW60" s="23"/>
      <c r="BX60" s="21"/>
      <c r="BY60" s="21"/>
    </row>
    <row r="61" spans="2:84" x14ac:dyDescent="0.25">
      <c r="B61" s="23"/>
      <c r="C61" s="23"/>
      <c r="D61" s="23"/>
      <c r="E61" s="23"/>
      <c r="F61" s="21"/>
      <c r="G61" s="23"/>
      <c r="H61" s="21"/>
      <c r="I61" s="23"/>
      <c r="J61" s="21"/>
      <c r="K61" s="23"/>
      <c r="L61" s="21"/>
      <c r="M61" s="23"/>
      <c r="N61" s="21"/>
      <c r="O61" s="23"/>
      <c r="P61" s="21"/>
      <c r="Q61" s="23"/>
      <c r="R61" s="21"/>
      <c r="S61" s="23"/>
      <c r="T61" s="21"/>
      <c r="U61" s="23"/>
      <c r="V61" s="21"/>
      <c r="W61" s="23"/>
      <c r="X61" s="21"/>
      <c r="Y61" s="23"/>
      <c r="Z61" s="21"/>
      <c r="AA61" s="23"/>
      <c r="AB61" s="21"/>
      <c r="AC61" s="23"/>
      <c r="AD61" s="21"/>
      <c r="AE61" s="23"/>
      <c r="AF61" s="21"/>
      <c r="AG61" s="23"/>
      <c r="AH61" s="21"/>
      <c r="AI61" s="23"/>
      <c r="AJ61" s="21"/>
      <c r="AK61" s="23"/>
      <c r="AL61" s="21"/>
      <c r="AM61" s="23"/>
      <c r="AN61" s="21"/>
      <c r="AO61" s="23"/>
      <c r="AP61" s="21"/>
      <c r="AQ61" s="23"/>
      <c r="AR61" s="21"/>
      <c r="AS61" s="23"/>
      <c r="AT61" s="21"/>
      <c r="AU61" s="23"/>
      <c r="AV61" s="21"/>
      <c r="AW61" s="23"/>
      <c r="AX61" s="21"/>
      <c r="AY61" s="23"/>
      <c r="AZ61" s="21"/>
      <c r="BA61" s="23"/>
      <c r="BB61" s="21"/>
      <c r="BC61" s="23"/>
      <c r="BD61" s="21"/>
      <c r="BE61" s="23"/>
      <c r="BF61" s="21"/>
      <c r="BG61" s="23"/>
      <c r="BH61" s="21"/>
      <c r="BI61" s="23"/>
      <c r="BJ61" s="21"/>
      <c r="BK61" s="23"/>
      <c r="BL61" s="21"/>
      <c r="BM61" s="23"/>
      <c r="BN61" s="21"/>
      <c r="BO61" s="23"/>
      <c r="BP61" s="21"/>
      <c r="BQ61" s="23"/>
      <c r="BR61" s="21"/>
      <c r="BS61" s="23"/>
      <c r="BT61" s="21"/>
      <c r="BU61" s="23"/>
      <c r="BV61" s="21"/>
      <c r="BW61" s="23"/>
      <c r="BX61" s="21"/>
      <c r="BY61" s="21"/>
    </row>
    <row r="62" spans="2:84" x14ac:dyDescent="0.25">
      <c r="B62" s="23"/>
      <c r="C62" s="23"/>
      <c r="D62" s="23"/>
      <c r="E62" s="23"/>
      <c r="F62" s="21"/>
      <c r="G62" s="23"/>
      <c r="H62" s="21"/>
      <c r="I62" s="23"/>
      <c r="J62" s="21"/>
      <c r="K62" s="23"/>
      <c r="L62" s="21"/>
      <c r="M62" s="23"/>
      <c r="N62" s="21"/>
      <c r="O62" s="23"/>
      <c r="P62" s="21"/>
      <c r="Q62" s="23"/>
      <c r="R62" s="21"/>
      <c r="S62" s="23"/>
      <c r="T62" s="21"/>
      <c r="U62" s="23"/>
      <c r="V62" s="21"/>
      <c r="W62" s="23"/>
      <c r="X62" s="21"/>
      <c r="Y62" s="23"/>
      <c r="Z62" s="21"/>
      <c r="AA62" s="23"/>
      <c r="AB62" s="21"/>
      <c r="AC62" s="23"/>
      <c r="AD62" s="21"/>
      <c r="AE62" s="23"/>
      <c r="AF62" s="21"/>
      <c r="AG62" s="23"/>
      <c r="AH62" s="21"/>
      <c r="AI62" s="23"/>
      <c r="AJ62" s="21"/>
      <c r="AK62" s="23"/>
      <c r="AL62" s="21"/>
      <c r="AM62" s="23"/>
      <c r="AN62" s="21"/>
      <c r="AO62" s="23"/>
      <c r="AP62" s="21"/>
      <c r="AQ62" s="23"/>
      <c r="AR62" s="21"/>
      <c r="AS62" s="23"/>
      <c r="AT62" s="21"/>
      <c r="AU62" s="23"/>
      <c r="AV62" s="21"/>
      <c r="AW62" s="23"/>
      <c r="AX62" s="21"/>
      <c r="AY62" s="23"/>
      <c r="AZ62" s="21"/>
      <c r="BA62" s="23"/>
      <c r="BB62" s="21"/>
      <c r="BC62" s="23"/>
      <c r="BD62" s="21"/>
      <c r="BE62" s="23"/>
      <c r="BF62" s="21"/>
      <c r="BG62" s="23"/>
      <c r="BH62" s="21"/>
      <c r="BI62" s="23"/>
      <c r="BJ62" s="21"/>
      <c r="BK62" s="23"/>
      <c r="BL62" s="21"/>
      <c r="BM62" s="23"/>
      <c r="BN62" s="21"/>
      <c r="BO62" s="23"/>
      <c r="BP62" s="21"/>
      <c r="BQ62" s="23"/>
      <c r="BR62" s="21"/>
      <c r="BS62" s="23"/>
      <c r="BT62" s="21"/>
      <c r="BU62" s="23"/>
      <c r="BV62" s="21"/>
      <c r="BW62" s="23"/>
      <c r="BX62" s="21"/>
      <c r="BY62" s="21"/>
    </row>
    <row r="63" spans="2:84" x14ac:dyDescent="0.25">
      <c r="B63" s="23"/>
      <c r="C63" s="23"/>
      <c r="D63" s="23"/>
      <c r="E63" s="23"/>
      <c r="F63" s="21"/>
      <c r="G63" s="23"/>
      <c r="H63" s="21"/>
      <c r="I63" s="23"/>
      <c r="J63" s="21"/>
      <c r="K63" s="23"/>
      <c r="L63" s="21"/>
      <c r="M63" s="23"/>
      <c r="N63" s="21"/>
      <c r="O63" s="23"/>
      <c r="P63" s="21"/>
      <c r="Q63" s="23"/>
      <c r="R63" s="21"/>
      <c r="S63" s="23"/>
      <c r="T63" s="21"/>
      <c r="U63" s="23"/>
      <c r="V63" s="21"/>
      <c r="W63" s="23"/>
      <c r="X63" s="21"/>
      <c r="Y63" s="23"/>
      <c r="Z63" s="21"/>
      <c r="AA63" s="23"/>
      <c r="AB63" s="21"/>
      <c r="AC63" s="23"/>
      <c r="AD63" s="21"/>
      <c r="AE63" s="23"/>
      <c r="AF63" s="21"/>
      <c r="AG63" s="23"/>
      <c r="AH63" s="21"/>
      <c r="AI63" s="23"/>
      <c r="AJ63" s="21"/>
      <c r="AK63" s="23"/>
      <c r="AL63" s="21"/>
      <c r="AM63" s="23"/>
      <c r="AN63" s="21"/>
      <c r="AO63" s="23"/>
      <c r="AP63" s="21"/>
      <c r="AQ63" s="23"/>
      <c r="AR63" s="21"/>
      <c r="AS63" s="23"/>
      <c r="AT63" s="21"/>
      <c r="AU63" s="23"/>
      <c r="AV63" s="21"/>
      <c r="AW63" s="23"/>
      <c r="AX63" s="21"/>
      <c r="AY63" s="23"/>
      <c r="AZ63" s="21"/>
      <c r="BA63" s="23"/>
      <c r="BB63" s="21"/>
      <c r="BC63" s="23"/>
      <c r="BD63" s="21"/>
      <c r="BE63" s="23"/>
      <c r="BF63" s="21"/>
      <c r="BG63" s="23"/>
      <c r="BH63" s="21"/>
      <c r="BI63" s="23"/>
      <c r="BJ63" s="21"/>
      <c r="BK63" s="23"/>
      <c r="BL63" s="21"/>
      <c r="BM63" s="23"/>
      <c r="BN63" s="21"/>
      <c r="BO63" s="23"/>
      <c r="BP63" s="21"/>
      <c r="BQ63" s="23"/>
      <c r="BR63" s="21"/>
      <c r="BS63" s="23"/>
      <c r="BT63" s="21"/>
      <c r="BU63" s="23"/>
      <c r="BV63" s="21"/>
      <c r="BW63" s="23"/>
      <c r="BX63" s="21"/>
      <c r="BY63" s="21"/>
    </row>
    <row r="64" spans="2:84" x14ac:dyDescent="0.25">
      <c r="B64" s="23"/>
      <c r="C64" s="23"/>
      <c r="D64" s="23"/>
      <c r="E64" s="23"/>
      <c r="F64" s="21"/>
      <c r="G64" s="23"/>
      <c r="H64" s="21"/>
      <c r="I64" s="23"/>
      <c r="J64" s="21"/>
      <c r="K64" s="23"/>
      <c r="L64" s="21"/>
      <c r="M64" s="23"/>
      <c r="N64" s="21"/>
      <c r="O64" s="23"/>
      <c r="P64" s="21"/>
      <c r="Q64" s="23"/>
      <c r="R64" s="21"/>
      <c r="S64" s="23"/>
      <c r="T64" s="21"/>
      <c r="U64" s="23"/>
      <c r="V64" s="21"/>
      <c r="W64" s="23"/>
      <c r="X64" s="21"/>
      <c r="Y64" s="23"/>
      <c r="Z64" s="21"/>
      <c r="AA64" s="23"/>
      <c r="AB64" s="21"/>
      <c r="AC64" s="23"/>
      <c r="AD64" s="21"/>
      <c r="AE64" s="23"/>
      <c r="AF64" s="21"/>
      <c r="AG64" s="23"/>
      <c r="AH64" s="21"/>
      <c r="AI64" s="23"/>
      <c r="AJ64" s="21"/>
      <c r="AK64" s="23"/>
      <c r="AL64" s="21"/>
      <c r="AM64" s="23"/>
      <c r="AN64" s="21"/>
      <c r="AO64" s="23"/>
      <c r="AP64" s="21"/>
      <c r="AQ64" s="23"/>
      <c r="AR64" s="21"/>
      <c r="AS64" s="23"/>
      <c r="AT64" s="21"/>
      <c r="AU64" s="23"/>
      <c r="AV64" s="21"/>
      <c r="AW64" s="23"/>
      <c r="AX64" s="21"/>
      <c r="AY64" s="23"/>
      <c r="AZ64" s="21"/>
      <c r="BA64" s="23"/>
      <c r="BB64" s="21"/>
      <c r="BC64" s="23"/>
      <c r="BD64" s="21"/>
      <c r="BE64" s="23"/>
      <c r="BF64" s="21"/>
      <c r="BG64" s="23"/>
      <c r="BH64" s="21"/>
      <c r="BI64" s="23"/>
      <c r="BJ64" s="21"/>
      <c r="BK64" s="23"/>
      <c r="BL64" s="21"/>
      <c r="BM64" s="23"/>
      <c r="BN64" s="21"/>
      <c r="BO64" s="23"/>
      <c r="BP64" s="21"/>
      <c r="BQ64" s="23"/>
      <c r="BR64" s="21"/>
      <c r="BS64" s="23"/>
      <c r="BT64" s="21"/>
      <c r="BU64" s="23"/>
      <c r="BV64" s="21"/>
      <c r="BW64" s="23"/>
      <c r="BX64" s="21"/>
      <c r="BY64" s="21"/>
    </row>
    <row r="65" spans="2:84" x14ac:dyDescent="0.25">
      <c r="B65" s="23"/>
      <c r="C65" s="23"/>
      <c r="D65" s="23"/>
      <c r="E65" s="23"/>
      <c r="F65" s="21"/>
      <c r="G65" s="23"/>
      <c r="H65" s="21"/>
      <c r="I65" s="23"/>
      <c r="J65" s="21"/>
      <c r="K65" s="23"/>
      <c r="L65" s="21"/>
      <c r="M65" s="23"/>
      <c r="N65" s="21"/>
      <c r="O65" s="23"/>
      <c r="P65" s="21"/>
      <c r="Q65" s="23"/>
      <c r="R65" s="21"/>
      <c r="S65" s="23"/>
      <c r="T65" s="21"/>
      <c r="U65" s="23"/>
      <c r="V65" s="21"/>
      <c r="W65" s="23"/>
      <c r="X65" s="21"/>
      <c r="Y65" s="23"/>
      <c r="Z65" s="21"/>
      <c r="AA65" s="23"/>
      <c r="AB65" s="21"/>
      <c r="AC65" s="23"/>
      <c r="AD65" s="21"/>
      <c r="AE65" s="23"/>
      <c r="AF65" s="21"/>
      <c r="AG65" s="23"/>
      <c r="AH65" s="21"/>
      <c r="AI65" s="23"/>
      <c r="AJ65" s="21"/>
      <c r="AK65" s="23"/>
      <c r="AL65" s="21"/>
      <c r="AM65" s="23"/>
      <c r="AN65" s="21"/>
      <c r="AO65" s="23"/>
      <c r="AP65" s="21"/>
      <c r="AQ65" s="23"/>
      <c r="AR65" s="21"/>
      <c r="AS65" s="23"/>
      <c r="AT65" s="21"/>
      <c r="AU65" s="23"/>
      <c r="AV65" s="21"/>
      <c r="AW65" s="23"/>
      <c r="AX65" s="21"/>
      <c r="AY65" s="23"/>
      <c r="AZ65" s="21"/>
      <c r="BA65" s="23"/>
      <c r="BB65" s="21"/>
      <c r="BC65" s="23"/>
      <c r="BD65" s="21"/>
      <c r="BE65" s="23"/>
      <c r="BF65" s="21"/>
      <c r="BG65" s="23"/>
      <c r="BH65" s="21"/>
      <c r="BI65" s="23"/>
      <c r="BJ65" s="21"/>
      <c r="BK65" s="23"/>
      <c r="BL65" s="21"/>
      <c r="BM65" s="23"/>
      <c r="BN65" s="21"/>
      <c r="BO65" s="23"/>
      <c r="BP65" s="21"/>
      <c r="BQ65" s="23"/>
      <c r="BR65" s="21"/>
      <c r="BS65" s="23"/>
      <c r="BT65" s="21"/>
      <c r="BU65" s="23"/>
      <c r="BV65" s="21"/>
      <c r="BW65" s="23"/>
      <c r="BX65" s="21"/>
      <c r="BY65" s="21"/>
    </row>
    <row r="66" spans="2:84" x14ac:dyDescent="0.25">
      <c r="B66" s="23"/>
      <c r="C66" s="23"/>
      <c r="D66" s="23"/>
      <c r="E66" s="23"/>
      <c r="F66" s="21"/>
      <c r="G66" s="23"/>
      <c r="H66" s="21"/>
      <c r="I66" s="23"/>
      <c r="J66" s="21"/>
      <c r="K66" s="23"/>
      <c r="L66" s="21"/>
      <c r="M66" s="23"/>
      <c r="N66" s="21"/>
      <c r="O66" s="23"/>
      <c r="P66" s="21"/>
      <c r="Q66" s="23"/>
      <c r="R66" s="21"/>
      <c r="S66" s="23"/>
      <c r="T66" s="21"/>
      <c r="U66" s="23"/>
      <c r="V66" s="21"/>
      <c r="W66" s="23"/>
      <c r="X66" s="21"/>
      <c r="Y66" s="23"/>
      <c r="Z66" s="21"/>
      <c r="AA66" s="23"/>
      <c r="AB66" s="21"/>
      <c r="AC66" s="23"/>
      <c r="AD66" s="21"/>
      <c r="AE66" s="23"/>
      <c r="AF66" s="21"/>
      <c r="AG66" s="23"/>
      <c r="AH66" s="21"/>
      <c r="AI66" s="23"/>
      <c r="AJ66" s="21"/>
      <c r="AK66" s="23"/>
      <c r="AL66" s="21"/>
      <c r="AM66" s="23"/>
      <c r="AN66" s="21"/>
      <c r="AO66" s="23"/>
      <c r="AP66" s="21"/>
      <c r="AQ66" s="23"/>
      <c r="AR66" s="21"/>
      <c r="AS66" s="23"/>
      <c r="AT66" s="21"/>
      <c r="AU66" s="23"/>
      <c r="AV66" s="21"/>
      <c r="AW66" s="23"/>
      <c r="AX66" s="21"/>
      <c r="AY66" s="23"/>
      <c r="AZ66" s="21"/>
      <c r="BA66" s="23"/>
      <c r="BB66" s="21"/>
      <c r="BC66" s="23"/>
      <c r="BD66" s="21"/>
      <c r="BE66" s="23"/>
      <c r="BF66" s="21"/>
      <c r="BG66" s="23"/>
      <c r="BH66" s="21"/>
      <c r="BI66" s="23"/>
      <c r="BJ66" s="21"/>
      <c r="BK66" s="23"/>
      <c r="BL66" s="21"/>
      <c r="BM66" s="23"/>
      <c r="BN66" s="21"/>
      <c r="BO66" s="23"/>
      <c r="BP66" s="21"/>
      <c r="BQ66" s="23"/>
      <c r="BR66" s="21"/>
      <c r="BS66" s="23"/>
      <c r="BT66" s="21"/>
      <c r="BU66" s="23"/>
      <c r="BV66" s="21"/>
      <c r="BW66" s="23"/>
      <c r="BX66" s="21"/>
      <c r="BY66" s="21"/>
    </row>
    <row r="67" spans="2:84" x14ac:dyDescent="0.25">
      <c r="B67" s="23"/>
      <c r="C67" s="23"/>
      <c r="D67" s="23"/>
      <c r="E67" s="23"/>
      <c r="F67" s="21"/>
      <c r="G67" s="23"/>
      <c r="H67" s="21"/>
      <c r="I67" s="23"/>
      <c r="J67" s="21"/>
      <c r="K67" s="23"/>
      <c r="L67" s="21"/>
      <c r="M67" s="23"/>
      <c r="N67" s="21"/>
      <c r="O67" s="23"/>
      <c r="P67" s="21"/>
      <c r="Q67" s="23"/>
      <c r="R67" s="21"/>
      <c r="S67" s="23"/>
      <c r="T67" s="21"/>
      <c r="U67" s="23"/>
      <c r="V67" s="21"/>
      <c r="W67" s="23"/>
      <c r="X67" s="21"/>
      <c r="Y67" s="23"/>
      <c r="Z67" s="21"/>
      <c r="AA67" s="23"/>
      <c r="AB67" s="21"/>
      <c r="AC67" s="23"/>
      <c r="AD67" s="21"/>
      <c r="AE67" s="23"/>
      <c r="AF67" s="21"/>
      <c r="AG67" s="23"/>
      <c r="AH67" s="21"/>
      <c r="AI67" s="23"/>
      <c r="AJ67" s="21"/>
      <c r="AK67" s="23"/>
      <c r="AL67" s="21"/>
      <c r="AM67" s="23"/>
      <c r="AN67" s="21"/>
      <c r="AO67" s="23"/>
      <c r="AP67" s="21"/>
      <c r="AQ67" s="23"/>
      <c r="AR67" s="21"/>
      <c r="AS67" s="23"/>
      <c r="AT67" s="21"/>
      <c r="AU67" s="23"/>
      <c r="AV67" s="21"/>
      <c r="AW67" s="23"/>
      <c r="AX67" s="21"/>
      <c r="AY67" s="23"/>
      <c r="AZ67" s="21"/>
      <c r="BA67" s="23"/>
      <c r="BB67" s="21"/>
      <c r="BC67" s="23"/>
      <c r="BD67" s="21"/>
      <c r="BE67" s="23"/>
      <c r="BF67" s="21"/>
      <c r="BG67" s="23"/>
      <c r="BH67" s="21"/>
      <c r="BI67" s="23"/>
      <c r="BJ67" s="21"/>
      <c r="BK67" s="23"/>
      <c r="BL67" s="21"/>
      <c r="BM67" s="23"/>
      <c r="BN67" s="21"/>
      <c r="BO67" s="23"/>
      <c r="BP67" s="21"/>
      <c r="BQ67" s="23"/>
      <c r="BR67" s="21"/>
      <c r="BS67" s="23"/>
      <c r="BT67" s="21"/>
      <c r="BU67" s="23"/>
      <c r="BV67" s="21"/>
      <c r="BW67" s="23"/>
      <c r="BX67" s="21"/>
      <c r="BY67" s="21"/>
    </row>
    <row r="68" spans="2:84" x14ac:dyDescent="0.25">
      <c r="B68" s="23"/>
      <c r="C68" s="23"/>
      <c r="D68" s="23"/>
      <c r="E68" s="23"/>
      <c r="F68" s="21"/>
      <c r="G68" s="23"/>
      <c r="H68" s="21"/>
      <c r="I68" s="23"/>
      <c r="J68" s="21"/>
      <c r="K68" s="23"/>
      <c r="L68" s="21"/>
      <c r="M68" s="23"/>
      <c r="N68" s="21"/>
      <c r="O68" s="23"/>
      <c r="P68" s="21"/>
      <c r="Q68" s="23"/>
      <c r="R68" s="21"/>
      <c r="S68" s="23"/>
      <c r="T68" s="21"/>
      <c r="U68" s="23"/>
      <c r="V68" s="21"/>
      <c r="W68" s="23"/>
      <c r="X68" s="21"/>
      <c r="Y68" s="23"/>
      <c r="Z68" s="21"/>
      <c r="AA68" s="23"/>
      <c r="AB68" s="21"/>
      <c r="AC68" s="23"/>
      <c r="AD68" s="21"/>
      <c r="AE68" s="23"/>
      <c r="AF68" s="21"/>
      <c r="AG68" s="23"/>
      <c r="AH68" s="21"/>
      <c r="AI68" s="23"/>
      <c r="AJ68" s="21"/>
      <c r="AK68" s="23"/>
      <c r="AL68" s="21"/>
      <c r="AM68" s="23"/>
      <c r="AN68" s="21"/>
      <c r="AO68" s="23"/>
      <c r="AP68" s="21"/>
      <c r="AQ68" s="23"/>
      <c r="AR68" s="21"/>
      <c r="AS68" s="23"/>
      <c r="AT68" s="21"/>
      <c r="AU68" s="23"/>
      <c r="AV68" s="21"/>
      <c r="AW68" s="23"/>
      <c r="AX68" s="21"/>
      <c r="AY68" s="23"/>
      <c r="AZ68" s="21"/>
      <c r="BA68" s="23"/>
      <c r="BB68" s="21"/>
      <c r="BC68" s="23"/>
      <c r="BD68" s="21"/>
      <c r="BE68" s="23"/>
      <c r="BF68" s="21"/>
      <c r="BG68" s="23"/>
      <c r="BH68" s="21"/>
      <c r="BI68" s="23"/>
      <c r="BJ68" s="21"/>
      <c r="BK68" s="23"/>
      <c r="BL68" s="21"/>
      <c r="BM68" s="23"/>
      <c r="BN68" s="21"/>
      <c r="BO68" s="23"/>
      <c r="BP68" s="21"/>
      <c r="BQ68" s="23"/>
      <c r="BR68" s="21"/>
      <c r="BS68" s="23"/>
      <c r="BT68" s="21"/>
      <c r="BU68" s="23"/>
      <c r="BV68" s="21"/>
      <c r="BW68" s="23"/>
      <c r="BX68" s="21"/>
      <c r="BY68" s="21"/>
    </row>
    <row r="69" spans="2:84" x14ac:dyDescent="0.25">
      <c r="B69" s="23"/>
      <c r="C69" s="23"/>
      <c r="D69" s="23"/>
      <c r="E69" s="23"/>
      <c r="F69" s="21"/>
      <c r="G69" s="23"/>
      <c r="H69" s="21"/>
      <c r="I69" s="23"/>
      <c r="J69" s="21"/>
      <c r="K69" s="23"/>
      <c r="L69" s="21"/>
      <c r="M69" s="23"/>
      <c r="N69" s="21"/>
      <c r="O69" s="23"/>
      <c r="P69" s="21"/>
      <c r="Q69" s="23"/>
      <c r="R69" s="21"/>
      <c r="S69" s="23"/>
      <c r="T69" s="21"/>
      <c r="U69" s="23"/>
      <c r="V69" s="21"/>
      <c r="W69" s="23"/>
      <c r="X69" s="21"/>
      <c r="Y69" s="23"/>
      <c r="Z69" s="21"/>
      <c r="AA69" s="23"/>
      <c r="AB69" s="21"/>
      <c r="AC69" s="23"/>
      <c r="AD69" s="21"/>
      <c r="AE69" s="23"/>
      <c r="AF69" s="21"/>
      <c r="AG69" s="23"/>
      <c r="AH69" s="21"/>
      <c r="AI69" s="23"/>
      <c r="AJ69" s="21"/>
      <c r="AK69" s="23"/>
      <c r="AL69" s="21"/>
      <c r="AM69" s="23"/>
      <c r="AN69" s="21"/>
      <c r="AO69" s="23"/>
      <c r="AP69" s="21"/>
      <c r="AQ69" s="23"/>
      <c r="AR69" s="21"/>
      <c r="AS69" s="23"/>
      <c r="AT69" s="21"/>
      <c r="AU69" s="23"/>
      <c r="AV69" s="21"/>
      <c r="AW69" s="23"/>
      <c r="AX69" s="21"/>
      <c r="AY69" s="23"/>
      <c r="AZ69" s="21"/>
      <c r="BA69" s="23"/>
      <c r="BB69" s="21"/>
      <c r="BC69" s="23"/>
      <c r="BD69" s="21"/>
      <c r="BE69" s="23"/>
      <c r="BF69" s="21"/>
      <c r="BG69" s="23"/>
      <c r="BH69" s="21"/>
      <c r="BI69" s="23"/>
      <c r="BJ69" s="21"/>
      <c r="BK69" s="23"/>
      <c r="BL69" s="21"/>
      <c r="BM69" s="23"/>
      <c r="BN69" s="21"/>
      <c r="BO69" s="23"/>
      <c r="BP69" s="21"/>
      <c r="BQ69" s="23"/>
      <c r="BR69" s="21"/>
      <c r="BS69" s="23"/>
      <c r="BT69" s="21"/>
      <c r="BU69" s="23"/>
      <c r="BV69" s="21"/>
      <c r="BW69" s="23"/>
      <c r="BX69" s="21"/>
      <c r="BY69" s="21"/>
    </row>
    <row r="70" spans="2:84" x14ac:dyDescent="0.25">
      <c r="B70" s="23"/>
      <c r="C70" s="23"/>
      <c r="D70" s="23"/>
      <c r="E70" s="23"/>
      <c r="F70" s="21"/>
      <c r="G70" s="23"/>
      <c r="H70" s="21"/>
      <c r="I70" s="23"/>
      <c r="J70" s="21"/>
      <c r="K70" s="23"/>
      <c r="L70" s="21"/>
      <c r="M70" s="23"/>
      <c r="N70" s="21"/>
      <c r="O70" s="23"/>
      <c r="P70" s="21"/>
      <c r="Q70" s="23"/>
      <c r="R70" s="21"/>
      <c r="S70" s="23"/>
      <c r="T70" s="21"/>
      <c r="U70" s="23"/>
      <c r="V70" s="21"/>
      <c r="W70" s="23"/>
      <c r="X70" s="21"/>
      <c r="Y70" s="23"/>
      <c r="Z70" s="21"/>
      <c r="AA70" s="23"/>
      <c r="AB70" s="21"/>
      <c r="AC70" s="23"/>
      <c r="AD70" s="21"/>
      <c r="AE70" s="23"/>
      <c r="AF70" s="21"/>
      <c r="AG70" s="23"/>
      <c r="AH70" s="21"/>
      <c r="AI70" s="23"/>
      <c r="AJ70" s="21"/>
      <c r="AK70" s="23"/>
      <c r="AL70" s="21"/>
      <c r="AM70" s="23"/>
      <c r="AN70" s="21"/>
      <c r="AO70" s="23"/>
      <c r="AP70" s="21"/>
      <c r="AQ70" s="23"/>
      <c r="AR70" s="21"/>
      <c r="AS70" s="23"/>
      <c r="AT70" s="21"/>
      <c r="AU70" s="23"/>
      <c r="AV70" s="21"/>
      <c r="AW70" s="23"/>
      <c r="AX70" s="21"/>
      <c r="AY70" s="23"/>
      <c r="AZ70" s="21"/>
      <c r="BA70" s="23"/>
      <c r="BB70" s="21"/>
      <c r="BC70" s="23"/>
      <c r="BD70" s="21"/>
      <c r="BE70" s="23"/>
      <c r="BF70" s="21"/>
      <c r="BG70" s="23"/>
      <c r="BH70" s="21"/>
      <c r="BI70" s="23"/>
      <c r="BJ70" s="21"/>
      <c r="BK70" s="23"/>
      <c r="BL70" s="21"/>
      <c r="BM70" s="23"/>
      <c r="BN70" s="21"/>
      <c r="BO70" s="23"/>
      <c r="BP70" s="21"/>
      <c r="BQ70" s="23"/>
      <c r="BR70" s="21"/>
      <c r="BS70" s="23"/>
      <c r="BT70" s="21"/>
      <c r="BU70" s="23"/>
      <c r="BV70" s="21"/>
      <c r="BW70" s="23"/>
      <c r="BX70" s="21"/>
      <c r="BY70" s="21"/>
    </row>
    <row r="71" spans="2:84" x14ac:dyDescent="0.25">
      <c r="B71" s="23"/>
      <c r="C71" s="23"/>
      <c r="D71" s="23"/>
      <c r="E71" s="23"/>
      <c r="F71" s="21"/>
      <c r="G71" s="23"/>
      <c r="H71" s="21"/>
      <c r="I71" s="23"/>
      <c r="J71" s="21"/>
      <c r="K71" s="23"/>
      <c r="L71" s="21"/>
      <c r="M71" s="23"/>
      <c r="N71" s="21"/>
      <c r="O71" s="23"/>
      <c r="P71" s="21"/>
      <c r="Q71" s="23"/>
      <c r="R71" s="21"/>
      <c r="S71" s="23"/>
      <c r="T71" s="21"/>
      <c r="U71" s="23"/>
      <c r="V71" s="21"/>
      <c r="W71" s="23"/>
      <c r="X71" s="21"/>
      <c r="Y71" s="23"/>
      <c r="Z71" s="21"/>
      <c r="AA71" s="23"/>
      <c r="AB71" s="21"/>
      <c r="AC71" s="23"/>
      <c r="AD71" s="21"/>
      <c r="AE71" s="23"/>
      <c r="AF71" s="21"/>
      <c r="AG71" s="23"/>
      <c r="AH71" s="21"/>
      <c r="AI71" s="23"/>
      <c r="AJ71" s="21"/>
      <c r="AK71" s="23"/>
      <c r="AL71" s="21"/>
      <c r="AM71" s="23"/>
      <c r="AN71" s="21"/>
      <c r="AO71" s="23"/>
      <c r="AP71" s="21"/>
      <c r="AQ71" s="23"/>
      <c r="AR71" s="21"/>
      <c r="AS71" s="23"/>
      <c r="AT71" s="21"/>
      <c r="AU71" s="23"/>
      <c r="AV71" s="21"/>
      <c r="AW71" s="23"/>
      <c r="AX71" s="21"/>
      <c r="AY71" s="23"/>
      <c r="AZ71" s="21"/>
      <c r="BA71" s="23"/>
      <c r="BB71" s="21"/>
      <c r="BC71" s="23"/>
      <c r="BD71" s="21"/>
      <c r="BE71" s="23"/>
      <c r="BF71" s="21"/>
      <c r="BG71" s="23"/>
      <c r="BH71" s="21"/>
      <c r="BI71" s="23"/>
      <c r="BJ71" s="21"/>
      <c r="BK71" s="23"/>
      <c r="BL71" s="21"/>
      <c r="BM71" s="23"/>
      <c r="BN71" s="21"/>
      <c r="BO71" s="23"/>
      <c r="BP71" s="21"/>
      <c r="BQ71" s="23"/>
      <c r="BR71" s="21"/>
      <c r="BS71" s="23"/>
      <c r="BT71" s="21"/>
      <c r="BU71" s="23"/>
      <c r="BV71" s="21"/>
      <c r="BW71" s="23"/>
      <c r="BX71" s="21"/>
      <c r="BY71" s="21"/>
    </row>
    <row r="72" spans="2:84" x14ac:dyDescent="0.25">
      <c r="B72" s="23"/>
      <c r="C72" s="23"/>
      <c r="D72" s="23"/>
      <c r="E72" s="23"/>
      <c r="F72" s="21"/>
      <c r="G72" s="23"/>
      <c r="H72" s="21"/>
      <c r="I72" s="23"/>
      <c r="J72" s="21"/>
      <c r="K72" s="23"/>
      <c r="L72" s="21"/>
      <c r="M72" s="23"/>
      <c r="N72" s="21"/>
      <c r="O72" s="23"/>
      <c r="P72" s="21"/>
      <c r="Q72" s="23"/>
      <c r="R72" s="21"/>
      <c r="S72" s="23"/>
      <c r="T72" s="21"/>
      <c r="U72" s="23"/>
      <c r="V72" s="21"/>
      <c r="W72" s="23"/>
      <c r="X72" s="21"/>
      <c r="Y72" s="23"/>
      <c r="Z72" s="21"/>
      <c r="AA72" s="23"/>
      <c r="AB72" s="21"/>
      <c r="AC72" s="23"/>
      <c r="AD72" s="21"/>
      <c r="AE72" s="23"/>
      <c r="AF72" s="21"/>
      <c r="AG72" s="23"/>
      <c r="AH72" s="21"/>
      <c r="AI72" s="23"/>
      <c r="AJ72" s="21"/>
      <c r="AK72" s="23"/>
      <c r="AL72" s="21"/>
      <c r="AM72" s="23"/>
      <c r="AN72" s="21"/>
      <c r="AO72" s="23"/>
      <c r="AP72" s="21"/>
      <c r="AQ72" s="23"/>
      <c r="AR72" s="21"/>
      <c r="AS72" s="23"/>
      <c r="AT72" s="21"/>
      <c r="AU72" s="23"/>
      <c r="AV72" s="21"/>
      <c r="AW72" s="23"/>
      <c r="AX72" s="21"/>
      <c r="AY72" s="23"/>
      <c r="AZ72" s="21"/>
      <c r="BA72" s="23"/>
      <c r="BB72" s="21"/>
      <c r="BC72" s="23"/>
      <c r="BD72" s="21"/>
      <c r="BE72" s="23"/>
      <c r="BF72" s="21"/>
      <c r="BG72" s="23"/>
      <c r="BH72" s="21"/>
      <c r="BI72" s="23"/>
      <c r="BJ72" s="21"/>
      <c r="BK72" s="23"/>
      <c r="BL72" s="21"/>
      <c r="BM72" s="23"/>
      <c r="BN72" s="21"/>
      <c r="BO72" s="23"/>
      <c r="BP72" s="21"/>
      <c r="BQ72" s="23"/>
      <c r="BR72" s="21"/>
      <c r="BS72" s="23"/>
      <c r="BT72" s="21"/>
      <c r="BU72" s="23"/>
      <c r="BV72" s="21"/>
      <c r="BW72" s="23"/>
      <c r="BX72" s="21"/>
      <c r="BY72" s="21"/>
    </row>
    <row r="77" spans="2:84" ht="30" customHeight="1" x14ac:dyDescent="0.25">
      <c r="B77" s="423" t="s">
        <v>1189</v>
      </c>
      <c r="C77" s="424" t="s">
        <v>1179</v>
      </c>
      <c r="D77" s="424">
        <v>1946</v>
      </c>
      <c r="E77" s="424">
        <v>1947</v>
      </c>
      <c r="F77" s="424">
        <v>1948</v>
      </c>
      <c r="G77" s="424">
        <v>1949</v>
      </c>
      <c r="H77" s="424">
        <v>1950</v>
      </c>
      <c r="I77" s="424">
        <v>1951</v>
      </c>
      <c r="J77" s="424">
        <v>1952</v>
      </c>
      <c r="K77" s="424">
        <v>1953</v>
      </c>
      <c r="L77" s="424">
        <v>1954</v>
      </c>
      <c r="M77" s="424">
        <v>1955</v>
      </c>
      <c r="N77" s="424">
        <v>1956</v>
      </c>
      <c r="O77" s="424">
        <v>1957</v>
      </c>
      <c r="P77" s="424">
        <v>1958</v>
      </c>
      <c r="Q77" s="424">
        <v>1959</v>
      </c>
      <c r="R77" s="424">
        <v>1960</v>
      </c>
      <c r="S77" s="424">
        <v>1961</v>
      </c>
      <c r="T77" s="424">
        <v>1962</v>
      </c>
      <c r="U77" s="424">
        <v>1963</v>
      </c>
      <c r="V77" s="424">
        <v>1964</v>
      </c>
      <c r="W77" s="424">
        <v>1965</v>
      </c>
      <c r="X77" s="424">
        <v>1966</v>
      </c>
      <c r="Y77" s="424">
        <v>1967</v>
      </c>
      <c r="Z77" s="424">
        <v>1968</v>
      </c>
      <c r="AA77" s="424">
        <v>1969</v>
      </c>
      <c r="AB77" s="424">
        <v>1970</v>
      </c>
      <c r="AC77" s="424">
        <v>1971</v>
      </c>
      <c r="AD77" s="424">
        <v>1972</v>
      </c>
      <c r="AE77" s="424">
        <v>1973</v>
      </c>
      <c r="AF77" s="424">
        <v>1974</v>
      </c>
      <c r="AG77" s="424">
        <v>1975</v>
      </c>
      <c r="AH77" s="424">
        <v>1976</v>
      </c>
      <c r="AI77" s="424">
        <v>1977</v>
      </c>
      <c r="AJ77" s="424">
        <v>1978</v>
      </c>
      <c r="AK77" s="424">
        <v>1979</v>
      </c>
      <c r="AL77" s="424">
        <v>1980</v>
      </c>
      <c r="AM77" s="424">
        <v>1981</v>
      </c>
      <c r="AN77" s="424">
        <v>1982</v>
      </c>
      <c r="AO77" s="424">
        <v>1983</v>
      </c>
      <c r="AP77" s="424">
        <v>1984</v>
      </c>
      <c r="AQ77" s="424">
        <v>1985</v>
      </c>
      <c r="AR77" s="424">
        <v>1986</v>
      </c>
      <c r="AS77" s="424">
        <v>1987</v>
      </c>
      <c r="AT77" s="424">
        <v>1988</v>
      </c>
      <c r="AU77" s="424">
        <v>1989</v>
      </c>
      <c r="AV77" s="424">
        <v>1990</v>
      </c>
      <c r="AW77" s="424">
        <v>1991</v>
      </c>
      <c r="AX77" s="424">
        <v>1992</v>
      </c>
      <c r="AY77" s="424">
        <v>1993</v>
      </c>
      <c r="AZ77" s="424">
        <v>1994</v>
      </c>
      <c r="BA77" s="424">
        <v>1995</v>
      </c>
      <c r="BB77" s="424">
        <v>1996</v>
      </c>
      <c r="BC77" s="424">
        <v>1997</v>
      </c>
      <c r="BD77" s="424">
        <v>1998</v>
      </c>
      <c r="BE77" s="424">
        <v>1999</v>
      </c>
      <c r="BF77" s="424">
        <v>2000</v>
      </c>
      <c r="BG77" s="424">
        <v>2001</v>
      </c>
      <c r="BH77" s="424">
        <v>2002</v>
      </c>
      <c r="BI77" s="424">
        <v>2003</v>
      </c>
      <c r="BJ77" s="424">
        <v>2004</v>
      </c>
      <c r="BK77" s="424">
        <v>2005</v>
      </c>
      <c r="BL77" s="424">
        <v>2006</v>
      </c>
      <c r="BM77" s="424">
        <v>2007</v>
      </c>
      <c r="BN77" s="424">
        <v>2008</v>
      </c>
      <c r="BO77" s="424">
        <v>2009</v>
      </c>
      <c r="BP77" s="424">
        <v>2010</v>
      </c>
      <c r="BQ77" s="424">
        <v>2011</v>
      </c>
      <c r="BR77" s="424">
        <v>2012</v>
      </c>
      <c r="BS77" s="424">
        <v>2013</v>
      </c>
      <c r="BT77" s="424">
        <v>2014</v>
      </c>
      <c r="BU77" s="424">
        <v>2015</v>
      </c>
      <c r="BV77" s="424">
        <v>2016</v>
      </c>
      <c r="BW77" s="424">
        <v>2017</v>
      </c>
      <c r="BX77" s="424">
        <v>2018</v>
      </c>
      <c r="BY77" s="424">
        <v>2019</v>
      </c>
      <c r="BZ77" s="424">
        <v>2020</v>
      </c>
      <c r="CA77" s="424">
        <v>2021</v>
      </c>
      <c r="CB77" s="424">
        <v>2022</v>
      </c>
      <c r="CC77" s="425">
        <v>2023</v>
      </c>
      <c r="CD77" s="399"/>
      <c r="CE77" s="399"/>
      <c r="CF77" s="399"/>
    </row>
    <row r="78" spans="2:84" x14ac:dyDescent="0.25">
      <c r="B78" s="6" t="s">
        <v>1182</v>
      </c>
      <c r="C78" s="264" cm="1">
        <f t="array" ref="C78">SUMPRODUCT((evolution_bt_par_materiaux[[client]:[client]]=syndicat_etude)*(evolution_bt_par_materiaux[[annee]:[annee]]=Exercice[[Exercice N]:[Exercice N]])*(evolution_bt_par_materiaux[[annee_mes]:[annee_mes]]&lt;1946)*(evolution_bt_par_materiaux[[lineaire_bt_acier_alu]:[lineaire_bt_acier_alu]]))</f>
        <v>0</v>
      </c>
      <c r="D78" s="264" cm="1">
        <f t="array" ref="D78">SUMPRODUCT((evolution_bt_par_materiaux[[client]:[client]]=syndicat_etude)*(evolution_bt_par_materiaux[[annee]:[annee]]=Exercice[[Exercice N]:[Exercice N]])*(evolution_bt_par_materiaux[[annee_mes]:[annee_mes]]=D$77)*(evolution_bt_par_materiaux[[lineaire_bt_acier_alu]:[lineaire_bt_acier_alu]]))</f>
        <v>0</v>
      </c>
      <c r="E78" s="264" cm="1">
        <f t="array" ref="E78">SUMPRODUCT((evolution_bt_par_materiaux[[client]:[client]]=syndicat_etude)*(evolution_bt_par_materiaux[[annee]:[annee]]=Exercice[[Exercice N]:[Exercice N]])*(evolution_bt_par_materiaux[[annee_mes]:[annee_mes]]=E$77)*(evolution_bt_par_materiaux[[lineaire_bt_acier_alu]:[lineaire_bt_acier_alu]]))</f>
        <v>0</v>
      </c>
      <c r="F78" s="264" cm="1">
        <f t="array" ref="F78">SUMPRODUCT((evolution_bt_par_materiaux[[client]:[client]]=syndicat_etude)*(evolution_bt_par_materiaux[[annee]:[annee]]=Exercice[[Exercice N]:[Exercice N]])*(evolution_bt_par_materiaux[[annee_mes]:[annee_mes]]=F$77)*(evolution_bt_par_materiaux[[lineaire_bt_acier_alu]:[lineaire_bt_acier_alu]]))</f>
        <v>0</v>
      </c>
      <c r="G78" s="264" cm="1">
        <f t="array" ref="G78">SUMPRODUCT((evolution_bt_par_materiaux[[client]:[client]]=syndicat_etude)*(evolution_bt_par_materiaux[[annee]:[annee]]=Exercice[[Exercice N]:[Exercice N]])*(evolution_bt_par_materiaux[[annee_mes]:[annee_mes]]=G$77)*(evolution_bt_par_materiaux[[lineaire_bt_acier_alu]:[lineaire_bt_acier_alu]]))</f>
        <v>0</v>
      </c>
      <c r="H78" s="264" cm="1">
        <f t="array" ref="H78">SUMPRODUCT((evolution_bt_par_materiaux[[client]:[client]]=syndicat_etude)*(evolution_bt_par_materiaux[[annee]:[annee]]=Exercice[[Exercice N]:[Exercice N]])*(evolution_bt_par_materiaux[[annee_mes]:[annee_mes]]=H$77)*(evolution_bt_par_materiaux[[lineaire_bt_acier_alu]:[lineaire_bt_acier_alu]]))</f>
        <v>0</v>
      </c>
      <c r="I78" s="264" cm="1">
        <f t="array" ref="I78">SUMPRODUCT((evolution_bt_par_materiaux[[client]:[client]]=syndicat_etude)*(evolution_bt_par_materiaux[[annee]:[annee]]=Exercice[[Exercice N]:[Exercice N]])*(evolution_bt_par_materiaux[[annee_mes]:[annee_mes]]=I$77)*(evolution_bt_par_materiaux[[lineaire_bt_acier_alu]:[lineaire_bt_acier_alu]]))</f>
        <v>0</v>
      </c>
      <c r="J78" s="264" cm="1">
        <f t="array" ref="J78">SUMPRODUCT((evolution_bt_par_materiaux[[client]:[client]]=syndicat_etude)*(evolution_bt_par_materiaux[[annee]:[annee]]=Exercice[[Exercice N]:[Exercice N]])*(evolution_bt_par_materiaux[[annee_mes]:[annee_mes]]=J$77)*(evolution_bt_par_materiaux[[lineaire_bt_acier_alu]:[lineaire_bt_acier_alu]]))</f>
        <v>0</v>
      </c>
      <c r="K78" s="264" cm="1">
        <f t="array" ref="K78">SUMPRODUCT((evolution_bt_par_materiaux[[client]:[client]]=syndicat_etude)*(evolution_bt_par_materiaux[[annee]:[annee]]=Exercice[[Exercice N]:[Exercice N]])*(evolution_bt_par_materiaux[[annee_mes]:[annee_mes]]=K$77)*(evolution_bt_par_materiaux[[lineaire_bt_acier_alu]:[lineaire_bt_acier_alu]]))</f>
        <v>0</v>
      </c>
      <c r="L78" s="264" cm="1">
        <f t="array" ref="L78">SUMPRODUCT((evolution_bt_par_materiaux[[client]:[client]]=syndicat_etude)*(evolution_bt_par_materiaux[[annee]:[annee]]=Exercice[[Exercice N]:[Exercice N]])*(evolution_bt_par_materiaux[[annee_mes]:[annee_mes]]=L$77)*(evolution_bt_par_materiaux[[lineaire_bt_acier_alu]:[lineaire_bt_acier_alu]]))</f>
        <v>0</v>
      </c>
      <c r="M78" s="264" cm="1">
        <f t="array" ref="M78">SUMPRODUCT((evolution_bt_par_materiaux[[client]:[client]]=syndicat_etude)*(evolution_bt_par_materiaux[[annee]:[annee]]=Exercice[[Exercice N]:[Exercice N]])*(evolution_bt_par_materiaux[[annee_mes]:[annee_mes]]=M$77)*(evolution_bt_par_materiaux[[lineaire_bt_acier_alu]:[lineaire_bt_acier_alu]]))</f>
        <v>0</v>
      </c>
      <c r="N78" s="264" cm="1">
        <f t="array" ref="N78">SUMPRODUCT((evolution_bt_par_materiaux[[client]:[client]]=syndicat_etude)*(evolution_bt_par_materiaux[[annee]:[annee]]=Exercice[[Exercice N]:[Exercice N]])*(evolution_bt_par_materiaux[[annee_mes]:[annee_mes]]=N$77)*(evolution_bt_par_materiaux[[lineaire_bt_acier_alu]:[lineaire_bt_acier_alu]]))</f>
        <v>0</v>
      </c>
      <c r="O78" s="264" cm="1">
        <f t="array" ref="O78">SUMPRODUCT((evolution_bt_par_materiaux[[client]:[client]]=syndicat_etude)*(evolution_bt_par_materiaux[[annee]:[annee]]=Exercice[[Exercice N]:[Exercice N]])*(evolution_bt_par_materiaux[[annee_mes]:[annee_mes]]=O$77)*(evolution_bt_par_materiaux[[lineaire_bt_acier_alu]:[lineaire_bt_acier_alu]]))</f>
        <v>0</v>
      </c>
      <c r="P78" s="264" cm="1">
        <f t="array" ref="P78">SUMPRODUCT((evolution_bt_par_materiaux[[client]:[client]]=syndicat_etude)*(evolution_bt_par_materiaux[[annee]:[annee]]=Exercice[[Exercice N]:[Exercice N]])*(evolution_bt_par_materiaux[[annee_mes]:[annee_mes]]=P$77)*(evolution_bt_par_materiaux[[lineaire_bt_acier_alu]:[lineaire_bt_acier_alu]]))</f>
        <v>0</v>
      </c>
      <c r="Q78" s="264" cm="1">
        <f t="array" ref="Q78">SUMPRODUCT((evolution_bt_par_materiaux[[client]:[client]]=syndicat_etude)*(evolution_bt_par_materiaux[[annee]:[annee]]=Exercice[[Exercice N]:[Exercice N]])*(evolution_bt_par_materiaux[[annee_mes]:[annee_mes]]=Q$77)*(evolution_bt_par_materiaux[[lineaire_bt_acier_alu]:[lineaire_bt_acier_alu]]))</f>
        <v>0</v>
      </c>
      <c r="R78" s="264" cm="1">
        <f t="array" ref="R78">SUMPRODUCT((evolution_bt_par_materiaux[[client]:[client]]=syndicat_etude)*(evolution_bt_par_materiaux[[annee]:[annee]]=Exercice[[Exercice N]:[Exercice N]])*(evolution_bt_par_materiaux[[annee_mes]:[annee_mes]]=R$77)*(evolution_bt_par_materiaux[[lineaire_bt_acier_alu]:[lineaire_bt_acier_alu]]))</f>
        <v>0</v>
      </c>
      <c r="S78" s="264" cm="1">
        <f t="array" ref="S78">SUMPRODUCT((evolution_bt_par_materiaux[[client]:[client]]=syndicat_etude)*(evolution_bt_par_materiaux[[annee]:[annee]]=Exercice[[Exercice N]:[Exercice N]])*(evolution_bt_par_materiaux[[annee_mes]:[annee_mes]]=S$77)*(evolution_bt_par_materiaux[[lineaire_bt_acier_alu]:[lineaire_bt_acier_alu]]))</f>
        <v>0</v>
      </c>
      <c r="T78" s="264" cm="1">
        <f t="array" ref="T78">SUMPRODUCT((evolution_bt_par_materiaux[[client]:[client]]=syndicat_etude)*(evolution_bt_par_materiaux[[annee]:[annee]]=Exercice[[Exercice N]:[Exercice N]])*(evolution_bt_par_materiaux[[annee_mes]:[annee_mes]]=T$77)*(evolution_bt_par_materiaux[[lineaire_bt_acier_alu]:[lineaire_bt_acier_alu]]))</f>
        <v>0</v>
      </c>
      <c r="U78" s="264" cm="1">
        <f t="array" ref="U78">SUMPRODUCT((evolution_bt_par_materiaux[[client]:[client]]=syndicat_etude)*(evolution_bt_par_materiaux[[annee]:[annee]]=Exercice[[Exercice N]:[Exercice N]])*(evolution_bt_par_materiaux[[annee_mes]:[annee_mes]]=U$77)*(evolution_bt_par_materiaux[[lineaire_bt_acier_alu]:[lineaire_bt_acier_alu]]))</f>
        <v>0</v>
      </c>
      <c r="V78" s="264" cm="1">
        <f t="array" ref="V78">SUMPRODUCT((evolution_bt_par_materiaux[[client]:[client]]=syndicat_etude)*(evolution_bt_par_materiaux[[annee]:[annee]]=Exercice[[Exercice N]:[Exercice N]])*(evolution_bt_par_materiaux[[annee_mes]:[annee_mes]]=V$77)*(evolution_bt_par_materiaux[[lineaire_bt_acier_alu]:[lineaire_bt_acier_alu]]))</f>
        <v>0</v>
      </c>
      <c r="W78" s="264" cm="1">
        <f t="array" ref="W78">SUMPRODUCT((evolution_bt_par_materiaux[[client]:[client]]=syndicat_etude)*(evolution_bt_par_materiaux[[annee]:[annee]]=Exercice[[Exercice N]:[Exercice N]])*(evolution_bt_par_materiaux[[annee_mes]:[annee_mes]]=W$77)*(evolution_bt_par_materiaux[[lineaire_bt_acier_alu]:[lineaire_bt_acier_alu]]))</f>
        <v>0</v>
      </c>
      <c r="X78" s="264" cm="1">
        <f t="array" ref="X78">SUMPRODUCT((evolution_bt_par_materiaux[[client]:[client]]=syndicat_etude)*(evolution_bt_par_materiaux[[annee]:[annee]]=Exercice[[Exercice N]:[Exercice N]])*(evolution_bt_par_materiaux[[annee_mes]:[annee_mes]]=X$77)*(evolution_bt_par_materiaux[[lineaire_bt_acier_alu]:[lineaire_bt_acier_alu]]))</f>
        <v>0</v>
      </c>
      <c r="Y78" s="264" cm="1">
        <f t="array" ref="Y78">SUMPRODUCT((evolution_bt_par_materiaux[[client]:[client]]=syndicat_etude)*(evolution_bt_par_materiaux[[annee]:[annee]]=Exercice[[Exercice N]:[Exercice N]])*(evolution_bt_par_materiaux[[annee_mes]:[annee_mes]]=Y$77)*(evolution_bt_par_materiaux[[lineaire_bt_acier_alu]:[lineaire_bt_acier_alu]]))</f>
        <v>0</v>
      </c>
      <c r="Z78" s="264" cm="1">
        <f t="array" ref="Z78">SUMPRODUCT((evolution_bt_par_materiaux[[client]:[client]]=syndicat_etude)*(evolution_bt_par_materiaux[[annee]:[annee]]=Exercice[[Exercice N]:[Exercice N]])*(evolution_bt_par_materiaux[[annee_mes]:[annee_mes]]=Z$77)*(evolution_bt_par_materiaux[[lineaire_bt_acier_alu]:[lineaire_bt_acier_alu]]))</f>
        <v>0</v>
      </c>
      <c r="AA78" s="264" cm="1">
        <f t="array" ref="AA78">SUMPRODUCT((evolution_bt_par_materiaux[[client]:[client]]=syndicat_etude)*(evolution_bt_par_materiaux[[annee]:[annee]]=Exercice[[Exercice N]:[Exercice N]])*(evolution_bt_par_materiaux[[annee_mes]:[annee_mes]]=AA$77)*(evolution_bt_par_materiaux[[lineaire_bt_acier_alu]:[lineaire_bt_acier_alu]]))</f>
        <v>0</v>
      </c>
      <c r="AB78" s="264" cm="1">
        <f t="array" ref="AB78">SUMPRODUCT((evolution_bt_par_materiaux[[client]:[client]]=syndicat_etude)*(evolution_bt_par_materiaux[[annee]:[annee]]=Exercice[[Exercice N]:[Exercice N]])*(evolution_bt_par_materiaux[[annee_mes]:[annee_mes]]=AB$77)*(evolution_bt_par_materiaux[[lineaire_bt_acier_alu]:[lineaire_bt_acier_alu]]))</f>
        <v>0</v>
      </c>
      <c r="AC78" s="264" cm="1">
        <f t="array" ref="AC78">SUMPRODUCT((evolution_bt_par_materiaux[[client]:[client]]=syndicat_etude)*(evolution_bt_par_materiaux[[annee]:[annee]]=Exercice[[Exercice N]:[Exercice N]])*(evolution_bt_par_materiaux[[annee_mes]:[annee_mes]]=AC$77)*(evolution_bt_par_materiaux[[lineaire_bt_acier_alu]:[lineaire_bt_acier_alu]]))</f>
        <v>0</v>
      </c>
      <c r="AD78" s="264" cm="1">
        <f t="array" ref="AD78">SUMPRODUCT((evolution_bt_par_materiaux[[client]:[client]]=syndicat_etude)*(evolution_bt_par_materiaux[[annee]:[annee]]=Exercice[[Exercice N]:[Exercice N]])*(evolution_bt_par_materiaux[[annee_mes]:[annee_mes]]=AD$77)*(evolution_bt_par_materiaux[[lineaire_bt_acier_alu]:[lineaire_bt_acier_alu]]))</f>
        <v>0</v>
      </c>
      <c r="AE78" s="264" cm="1">
        <f t="array" ref="AE78">SUMPRODUCT((evolution_bt_par_materiaux[[client]:[client]]=syndicat_etude)*(evolution_bt_par_materiaux[[annee]:[annee]]=Exercice[[Exercice N]:[Exercice N]])*(evolution_bt_par_materiaux[[annee_mes]:[annee_mes]]=AE$77)*(evolution_bt_par_materiaux[[lineaire_bt_acier_alu]:[lineaire_bt_acier_alu]]))</f>
        <v>0</v>
      </c>
      <c r="AF78" s="264" cm="1">
        <f t="array" ref="AF78">SUMPRODUCT((evolution_bt_par_materiaux[[client]:[client]]=syndicat_etude)*(evolution_bt_par_materiaux[[annee]:[annee]]=Exercice[[Exercice N]:[Exercice N]])*(evolution_bt_par_materiaux[[annee_mes]:[annee_mes]]=AF$77)*(evolution_bt_par_materiaux[[lineaire_bt_acier_alu]:[lineaire_bt_acier_alu]]))</f>
        <v>0</v>
      </c>
      <c r="AG78" s="264" cm="1">
        <f t="array" ref="AG78">SUMPRODUCT((evolution_bt_par_materiaux[[client]:[client]]=syndicat_etude)*(evolution_bt_par_materiaux[[annee]:[annee]]=Exercice[[Exercice N]:[Exercice N]])*(evolution_bt_par_materiaux[[annee_mes]:[annee_mes]]=AG$77)*(evolution_bt_par_materiaux[[lineaire_bt_acier_alu]:[lineaire_bt_acier_alu]]))</f>
        <v>0</v>
      </c>
      <c r="AH78" s="264" cm="1">
        <f t="array" ref="AH78">SUMPRODUCT((evolution_bt_par_materiaux[[client]:[client]]=syndicat_etude)*(evolution_bt_par_materiaux[[annee]:[annee]]=Exercice[[Exercice N]:[Exercice N]])*(evolution_bt_par_materiaux[[annee_mes]:[annee_mes]]=AH$77)*(evolution_bt_par_materiaux[[lineaire_bt_acier_alu]:[lineaire_bt_acier_alu]]))</f>
        <v>0</v>
      </c>
      <c r="AI78" s="264" cm="1">
        <f t="array" ref="AI78">SUMPRODUCT((evolution_bt_par_materiaux[[client]:[client]]=syndicat_etude)*(evolution_bt_par_materiaux[[annee]:[annee]]=Exercice[[Exercice N]:[Exercice N]])*(evolution_bt_par_materiaux[[annee_mes]:[annee_mes]]=AI$77)*(evolution_bt_par_materiaux[[lineaire_bt_acier_alu]:[lineaire_bt_acier_alu]]))</f>
        <v>0</v>
      </c>
      <c r="AJ78" s="264" cm="1">
        <f t="array" ref="AJ78">SUMPRODUCT((evolution_bt_par_materiaux[[client]:[client]]=syndicat_etude)*(evolution_bt_par_materiaux[[annee]:[annee]]=Exercice[[Exercice N]:[Exercice N]])*(evolution_bt_par_materiaux[[annee_mes]:[annee_mes]]=AJ$77)*(evolution_bt_par_materiaux[[lineaire_bt_acier_alu]:[lineaire_bt_acier_alu]]))</f>
        <v>0</v>
      </c>
      <c r="AK78" s="264" cm="1">
        <f t="array" ref="AK78">SUMPRODUCT((evolution_bt_par_materiaux[[client]:[client]]=syndicat_etude)*(evolution_bt_par_materiaux[[annee]:[annee]]=Exercice[[Exercice N]:[Exercice N]])*(evolution_bt_par_materiaux[[annee_mes]:[annee_mes]]=AK$77)*(evolution_bt_par_materiaux[[lineaire_bt_acier_alu]:[lineaire_bt_acier_alu]]))</f>
        <v>0</v>
      </c>
      <c r="AL78" s="264" cm="1">
        <f t="array" ref="AL78">SUMPRODUCT((evolution_bt_par_materiaux[[client]:[client]]=syndicat_etude)*(evolution_bt_par_materiaux[[annee]:[annee]]=Exercice[[Exercice N]:[Exercice N]])*(evolution_bt_par_materiaux[[annee_mes]:[annee_mes]]=AL$77)*(evolution_bt_par_materiaux[[lineaire_bt_acier_alu]:[lineaire_bt_acier_alu]]))</f>
        <v>0</v>
      </c>
      <c r="AM78" s="264" cm="1">
        <f t="array" ref="AM78">SUMPRODUCT((evolution_bt_par_materiaux[[client]:[client]]=syndicat_etude)*(evolution_bt_par_materiaux[[annee]:[annee]]=Exercice[[Exercice N]:[Exercice N]])*(evolution_bt_par_materiaux[[annee_mes]:[annee_mes]]=AM$77)*(evolution_bt_par_materiaux[[lineaire_bt_acier_alu]:[lineaire_bt_acier_alu]]))</f>
        <v>0</v>
      </c>
      <c r="AN78" s="264" cm="1">
        <f t="array" ref="AN78">SUMPRODUCT((evolution_bt_par_materiaux[[client]:[client]]=syndicat_etude)*(evolution_bt_par_materiaux[[annee]:[annee]]=Exercice[[Exercice N]:[Exercice N]])*(evolution_bt_par_materiaux[[annee_mes]:[annee_mes]]=AN$77)*(evolution_bt_par_materiaux[[lineaire_bt_acier_alu]:[lineaire_bt_acier_alu]]))</f>
        <v>0</v>
      </c>
      <c r="AO78" s="264" cm="1">
        <f t="array" ref="AO78">SUMPRODUCT((evolution_bt_par_materiaux[[client]:[client]]=syndicat_etude)*(evolution_bt_par_materiaux[[annee]:[annee]]=Exercice[[Exercice N]:[Exercice N]])*(evolution_bt_par_materiaux[[annee_mes]:[annee_mes]]=AO$77)*(evolution_bt_par_materiaux[[lineaire_bt_acier_alu]:[lineaire_bt_acier_alu]]))</f>
        <v>0</v>
      </c>
      <c r="AP78" s="264" cm="1">
        <f t="array" ref="AP78">SUMPRODUCT((evolution_bt_par_materiaux[[client]:[client]]=syndicat_etude)*(evolution_bt_par_materiaux[[annee]:[annee]]=Exercice[[Exercice N]:[Exercice N]])*(evolution_bt_par_materiaux[[annee_mes]:[annee_mes]]=AP$77)*(evolution_bt_par_materiaux[[lineaire_bt_acier_alu]:[lineaire_bt_acier_alu]]))</f>
        <v>0</v>
      </c>
      <c r="AQ78" s="264" cm="1">
        <f t="array" ref="AQ78">SUMPRODUCT((evolution_bt_par_materiaux[[client]:[client]]=syndicat_etude)*(evolution_bt_par_materiaux[[annee]:[annee]]=Exercice[[Exercice N]:[Exercice N]])*(evolution_bt_par_materiaux[[annee_mes]:[annee_mes]]=AQ$77)*(evolution_bt_par_materiaux[[lineaire_bt_acier_alu]:[lineaire_bt_acier_alu]]))</f>
        <v>0</v>
      </c>
      <c r="AR78" s="264" cm="1">
        <f t="array" ref="AR78">SUMPRODUCT((evolution_bt_par_materiaux[[client]:[client]]=syndicat_etude)*(evolution_bt_par_materiaux[[annee]:[annee]]=Exercice[[Exercice N]:[Exercice N]])*(evolution_bt_par_materiaux[[annee_mes]:[annee_mes]]=AR$77)*(evolution_bt_par_materiaux[[lineaire_bt_acier_alu]:[lineaire_bt_acier_alu]]))</f>
        <v>0</v>
      </c>
      <c r="AS78" s="264" cm="1">
        <f t="array" ref="AS78">SUMPRODUCT((evolution_bt_par_materiaux[[client]:[client]]=syndicat_etude)*(evolution_bt_par_materiaux[[annee]:[annee]]=Exercice[[Exercice N]:[Exercice N]])*(evolution_bt_par_materiaux[[annee_mes]:[annee_mes]]=AS$77)*(evolution_bt_par_materiaux[[lineaire_bt_acier_alu]:[lineaire_bt_acier_alu]]))</f>
        <v>0</v>
      </c>
      <c r="AT78" s="264" cm="1">
        <f t="array" ref="AT78">SUMPRODUCT((evolution_bt_par_materiaux[[client]:[client]]=syndicat_etude)*(evolution_bt_par_materiaux[[annee]:[annee]]=Exercice[[Exercice N]:[Exercice N]])*(evolution_bt_par_materiaux[[annee_mes]:[annee_mes]]=AT$77)*(evolution_bt_par_materiaux[[lineaire_bt_acier_alu]:[lineaire_bt_acier_alu]]))</f>
        <v>0</v>
      </c>
      <c r="AU78" s="264" cm="1">
        <f t="array" ref="AU78">SUMPRODUCT((evolution_bt_par_materiaux[[client]:[client]]=syndicat_etude)*(evolution_bt_par_materiaux[[annee]:[annee]]=Exercice[[Exercice N]:[Exercice N]])*(evolution_bt_par_materiaux[[annee_mes]:[annee_mes]]=AU$77)*(evolution_bt_par_materiaux[[lineaire_bt_acier_alu]:[lineaire_bt_acier_alu]]))</f>
        <v>0</v>
      </c>
      <c r="AV78" s="264" cm="1">
        <f t="array" ref="AV78">SUMPRODUCT((evolution_bt_par_materiaux[[client]:[client]]=syndicat_etude)*(evolution_bt_par_materiaux[[annee]:[annee]]=Exercice[[Exercice N]:[Exercice N]])*(evolution_bt_par_materiaux[[annee_mes]:[annee_mes]]=AV$77)*(evolution_bt_par_materiaux[[lineaire_bt_acier_alu]:[lineaire_bt_acier_alu]]))</f>
        <v>0</v>
      </c>
      <c r="AW78" s="264" cm="1">
        <f t="array" ref="AW78">SUMPRODUCT((evolution_bt_par_materiaux[[client]:[client]]=syndicat_etude)*(evolution_bt_par_materiaux[[annee]:[annee]]=Exercice[[Exercice N]:[Exercice N]])*(evolution_bt_par_materiaux[[annee_mes]:[annee_mes]]=AW$77)*(evolution_bt_par_materiaux[[lineaire_bt_acier_alu]:[lineaire_bt_acier_alu]]))</f>
        <v>0</v>
      </c>
      <c r="AX78" s="264" cm="1">
        <f t="array" ref="AX78">SUMPRODUCT((evolution_bt_par_materiaux[[client]:[client]]=syndicat_etude)*(evolution_bt_par_materiaux[[annee]:[annee]]=Exercice[[Exercice N]:[Exercice N]])*(evolution_bt_par_materiaux[[annee_mes]:[annee_mes]]=AX$77)*(evolution_bt_par_materiaux[[lineaire_bt_acier_alu]:[lineaire_bt_acier_alu]]))</f>
        <v>0</v>
      </c>
      <c r="AY78" s="264" cm="1">
        <f t="array" ref="AY78">SUMPRODUCT((evolution_bt_par_materiaux[[client]:[client]]=syndicat_etude)*(evolution_bt_par_materiaux[[annee]:[annee]]=Exercice[[Exercice N]:[Exercice N]])*(evolution_bt_par_materiaux[[annee_mes]:[annee_mes]]=AY$77)*(evolution_bt_par_materiaux[[lineaire_bt_acier_alu]:[lineaire_bt_acier_alu]]))</f>
        <v>0</v>
      </c>
      <c r="AZ78" s="264" cm="1">
        <f t="array" ref="AZ78">SUMPRODUCT((evolution_bt_par_materiaux[[client]:[client]]=syndicat_etude)*(evolution_bt_par_materiaux[[annee]:[annee]]=Exercice[[Exercice N]:[Exercice N]])*(evolution_bt_par_materiaux[[annee_mes]:[annee_mes]]=AZ$77)*(evolution_bt_par_materiaux[[lineaire_bt_acier_alu]:[lineaire_bt_acier_alu]]))</f>
        <v>0</v>
      </c>
      <c r="BA78" s="264" cm="1">
        <f t="array" ref="BA78">SUMPRODUCT((evolution_bt_par_materiaux[[client]:[client]]=syndicat_etude)*(evolution_bt_par_materiaux[[annee]:[annee]]=Exercice[[Exercice N]:[Exercice N]])*(evolution_bt_par_materiaux[[annee_mes]:[annee_mes]]=BA$77)*(evolution_bt_par_materiaux[[lineaire_bt_acier_alu]:[lineaire_bt_acier_alu]]))</f>
        <v>0</v>
      </c>
      <c r="BB78" s="264" cm="1">
        <f t="array" ref="BB78">SUMPRODUCT((evolution_bt_par_materiaux[[client]:[client]]=syndicat_etude)*(evolution_bt_par_materiaux[[annee]:[annee]]=Exercice[[Exercice N]:[Exercice N]])*(evolution_bt_par_materiaux[[annee_mes]:[annee_mes]]=BB$77)*(evolution_bt_par_materiaux[[lineaire_bt_acier_alu]:[lineaire_bt_acier_alu]]))</f>
        <v>0</v>
      </c>
      <c r="BC78" s="264" cm="1">
        <f t="array" ref="BC78">SUMPRODUCT((evolution_bt_par_materiaux[[client]:[client]]=syndicat_etude)*(evolution_bt_par_materiaux[[annee]:[annee]]=Exercice[[Exercice N]:[Exercice N]])*(evolution_bt_par_materiaux[[annee_mes]:[annee_mes]]=BC$77)*(evolution_bt_par_materiaux[[lineaire_bt_acier_alu]:[lineaire_bt_acier_alu]]))</f>
        <v>0</v>
      </c>
      <c r="BD78" s="264" cm="1">
        <f t="array" ref="BD78">SUMPRODUCT((evolution_bt_par_materiaux[[client]:[client]]=syndicat_etude)*(evolution_bt_par_materiaux[[annee]:[annee]]=Exercice[[Exercice N]:[Exercice N]])*(evolution_bt_par_materiaux[[annee_mes]:[annee_mes]]=BD$77)*(evolution_bt_par_materiaux[[lineaire_bt_acier_alu]:[lineaire_bt_acier_alu]]))</f>
        <v>0</v>
      </c>
      <c r="BE78" s="264" cm="1">
        <f t="array" ref="BE78">SUMPRODUCT((evolution_bt_par_materiaux[[client]:[client]]=syndicat_etude)*(evolution_bt_par_materiaux[[annee]:[annee]]=Exercice[[Exercice N]:[Exercice N]])*(evolution_bt_par_materiaux[[annee_mes]:[annee_mes]]=BE$77)*(evolution_bt_par_materiaux[[lineaire_bt_acier_alu]:[lineaire_bt_acier_alu]]))</f>
        <v>0</v>
      </c>
      <c r="BF78" s="264" cm="1">
        <f t="array" ref="BF78">SUMPRODUCT((evolution_bt_par_materiaux[[client]:[client]]=syndicat_etude)*(evolution_bt_par_materiaux[[annee]:[annee]]=Exercice[[Exercice N]:[Exercice N]])*(evolution_bt_par_materiaux[[annee_mes]:[annee_mes]]=BF$77)*(evolution_bt_par_materiaux[[lineaire_bt_acier_alu]:[lineaire_bt_acier_alu]]))</f>
        <v>0</v>
      </c>
      <c r="BG78" s="264" cm="1">
        <f t="array" ref="BG78">SUMPRODUCT((evolution_bt_par_materiaux[[client]:[client]]=syndicat_etude)*(evolution_bt_par_materiaux[[annee]:[annee]]=Exercice[[Exercice N]:[Exercice N]])*(evolution_bt_par_materiaux[[annee_mes]:[annee_mes]]=BG$77)*(evolution_bt_par_materiaux[[lineaire_bt_acier_alu]:[lineaire_bt_acier_alu]]))</f>
        <v>0</v>
      </c>
      <c r="BH78" s="264" cm="1">
        <f t="array" ref="BH78">SUMPRODUCT((evolution_bt_par_materiaux[[client]:[client]]=syndicat_etude)*(evolution_bt_par_materiaux[[annee]:[annee]]=Exercice[[Exercice N]:[Exercice N]])*(evolution_bt_par_materiaux[[annee_mes]:[annee_mes]]=BH$77)*(evolution_bt_par_materiaux[[lineaire_bt_acier_alu]:[lineaire_bt_acier_alu]]))</f>
        <v>0</v>
      </c>
      <c r="BI78" s="264" cm="1">
        <f t="array" ref="BI78">SUMPRODUCT((evolution_bt_par_materiaux[[client]:[client]]=syndicat_etude)*(evolution_bt_par_materiaux[[annee]:[annee]]=Exercice[[Exercice N]:[Exercice N]])*(evolution_bt_par_materiaux[[annee_mes]:[annee_mes]]=BI$77)*(evolution_bt_par_materiaux[[lineaire_bt_acier_alu]:[lineaire_bt_acier_alu]]))</f>
        <v>0</v>
      </c>
      <c r="BJ78" s="264" cm="1">
        <f t="array" ref="BJ78">SUMPRODUCT((evolution_bt_par_materiaux[[client]:[client]]=syndicat_etude)*(evolution_bt_par_materiaux[[annee]:[annee]]=Exercice[[Exercice N]:[Exercice N]])*(evolution_bt_par_materiaux[[annee_mes]:[annee_mes]]=BJ$77)*(evolution_bt_par_materiaux[[lineaire_bt_acier_alu]:[lineaire_bt_acier_alu]]))</f>
        <v>0</v>
      </c>
      <c r="BK78" s="264" cm="1">
        <f t="array" ref="BK78">SUMPRODUCT((evolution_bt_par_materiaux[[client]:[client]]=syndicat_etude)*(evolution_bt_par_materiaux[[annee]:[annee]]=Exercice[[Exercice N]:[Exercice N]])*(evolution_bt_par_materiaux[[annee_mes]:[annee_mes]]=BK$77)*(evolution_bt_par_materiaux[[lineaire_bt_acier_alu]:[lineaire_bt_acier_alu]]))</f>
        <v>0</v>
      </c>
      <c r="BL78" s="264" cm="1">
        <f t="array" ref="BL78">SUMPRODUCT((evolution_bt_par_materiaux[[client]:[client]]=syndicat_etude)*(evolution_bt_par_materiaux[[annee]:[annee]]=Exercice[[Exercice N]:[Exercice N]])*(evolution_bt_par_materiaux[[annee_mes]:[annee_mes]]=BL$77)*(evolution_bt_par_materiaux[[lineaire_bt_acier_alu]:[lineaire_bt_acier_alu]]))</f>
        <v>0</v>
      </c>
      <c r="BM78" s="264" cm="1">
        <f t="array" ref="BM78">SUMPRODUCT((evolution_bt_par_materiaux[[client]:[client]]=syndicat_etude)*(evolution_bt_par_materiaux[[annee]:[annee]]=Exercice[[Exercice N]:[Exercice N]])*(evolution_bt_par_materiaux[[annee_mes]:[annee_mes]]=BM$77)*(evolution_bt_par_materiaux[[lineaire_bt_acier_alu]:[lineaire_bt_acier_alu]]))</f>
        <v>0</v>
      </c>
      <c r="BN78" s="264" cm="1">
        <f t="array" ref="BN78">SUMPRODUCT((evolution_bt_par_materiaux[[client]:[client]]=syndicat_etude)*(evolution_bt_par_materiaux[[annee]:[annee]]=Exercice[[Exercice N]:[Exercice N]])*(evolution_bt_par_materiaux[[annee_mes]:[annee_mes]]=BN$77)*(evolution_bt_par_materiaux[[lineaire_bt_acier_alu]:[lineaire_bt_acier_alu]]))</f>
        <v>0</v>
      </c>
      <c r="BO78" s="264" cm="1">
        <f t="array" ref="BO78">SUMPRODUCT((evolution_bt_par_materiaux[[client]:[client]]=syndicat_etude)*(evolution_bt_par_materiaux[[annee]:[annee]]=Exercice[[Exercice N]:[Exercice N]])*(evolution_bt_par_materiaux[[annee_mes]:[annee_mes]]=BO$77)*(evolution_bt_par_materiaux[[lineaire_bt_acier_alu]:[lineaire_bt_acier_alu]]))</f>
        <v>0</v>
      </c>
      <c r="BP78" s="264" cm="1">
        <f t="array" ref="BP78">SUMPRODUCT((evolution_bt_par_materiaux[[client]:[client]]=syndicat_etude)*(evolution_bt_par_materiaux[[annee]:[annee]]=Exercice[[Exercice N]:[Exercice N]])*(evolution_bt_par_materiaux[[annee_mes]:[annee_mes]]=BP$77)*(evolution_bt_par_materiaux[[lineaire_bt_acier_alu]:[lineaire_bt_acier_alu]]))</f>
        <v>0</v>
      </c>
      <c r="BQ78" s="264" cm="1">
        <f t="array" ref="BQ78">SUMPRODUCT((evolution_bt_par_materiaux[[client]:[client]]=syndicat_etude)*(evolution_bt_par_materiaux[[annee]:[annee]]=Exercice[[Exercice N]:[Exercice N]])*(evolution_bt_par_materiaux[[annee_mes]:[annee_mes]]=BQ$77)*(evolution_bt_par_materiaux[[lineaire_bt_acier_alu]:[lineaire_bt_acier_alu]]))</f>
        <v>0</v>
      </c>
      <c r="BR78" s="264" cm="1">
        <f t="array" ref="BR78">SUMPRODUCT((evolution_bt_par_materiaux[[client]:[client]]=syndicat_etude)*(evolution_bt_par_materiaux[[annee]:[annee]]=Exercice[[Exercice N]:[Exercice N]])*(evolution_bt_par_materiaux[[annee_mes]:[annee_mes]]=BR$77)*(evolution_bt_par_materiaux[[lineaire_bt_acier_alu]:[lineaire_bt_acier_alu]]))</f>
        <v>0</v>
      </c>
      <c r="BS78" s="264" cm="1">
        <f t="array" ref="BS78">SUMPRODUCT((evolution_bt_par_materiaux[[client]:[client]]=syndicat_etude)*(evolution_bt_par_materiaux[[annee]:[annee]]=Exercice[[Exercice N]:[Exercice N]])*(evolution_bt_par_materiaux[[annee_mes]:[annee_mes]]=BS$77)*(evolution_bt_par_materiaux[[lineaire_bt_acier_alu]:[lineaire_bt_acier_alu]]))</f>
        <v>0</v>
      </c>
      <c r="BT78" s="264" cm="1">
        <f t="array" ref="BT78">SUMPRODUCT((evolution_bt_par_materiaux[[client]:[client]]=syndicat_etude)*(evolution_bt_par_materiaux[[annee]:[annee]]=Exercice[[Exercice N]:[Exercice N]])*(evolution_bt_par_materiaux[[annee_mes]:[annee_mes]]=BT$77)*(evolution_bt_par_materiaux[[lineaire_bt_acier_alu]:[lineaire_bt_acier_alu]]))</f>
        <v>0</v>
      </c>
      <c r="BU78" s="264" cm="1">
        <f t="array" ref="BU78">SUMPRODUCT((evolution_bt_par_materiaux[[client]:[client]]=syndicat_etude)*(evolution_bt_par_materiaux[[annee]:[annee]]=Exercice[[Exercice N]:[Exercice N]])*(evolution_bt_par_materiaux[[annee_mes]:[annee_mes]]=BU$77)*(evolution_bt_par_materiaux[[lineaire_bt_acier_alu]:[lineaire_bt_acier_alu]]))</f>
        <v>0</v>
      </c>
      <c r="BV78" s="264" cm="1">
        <f t="array" ref="BV78">SUMPRODUCT((evolution_bt_par_materiaux[[client]:[client]]=syndicat_etude)*(evolution_bt_par_materiaux[[annee]:[annee]]=Exercice[[Exercice N]:[Exercice N]])*(evolution_bt_par_materiaux[[annee_mes]:[annee_mes]]=BV$77)*(evolution_bt_par_materiaux[[lineaire_bt_acier_alu]:[lineaire_bt_acier_alu]]))</f>
        <v>0</v>
      </c>
      <c r="BW78" s="264" cm="1">
        <f t="array" ref="BW78">SUMPRODUCT((evolution_bt_par_materiaux[[client]:[client]]=syndicat_etude)*(evolution_bt_par_materiaux[[annee]:[annee]]=Exercice[[Exercice N]:[Exercice N]])*(evolution_bt_par_materiaux[[annee_mes]:[annee_mes]]=BW$77)*(evolution_bt_par_materiaux[[lineaire_bt_acier_alu]:[lineaire_bt_acier_alu]]))</f>
        <v>0</v>
      </c>
      <c r="BX78" s="264" cm="1">
        <f t="array" ref="BX78">SUMPRODUCT((evolution_bt_par_materiaux[[client]:[client]]=syndicat_etude)*(evolution_bt_par_materiaux[[annee]:[annee]]=Exercice[[Exercice N]:[Exercice N]])*(evolution_bt_par_materiaux[[annee_mes]:[annee_mes]]=BX$77)*(evolution_bt_par_materiaux[[lineaire_bt_acier_alu]:[lineaire_bt_acier_alu]]))</f>
        <v>0</v>
      </c>
      <c r="BY78" s="264" cm="1">
        <f t="array" ref="BY78">SUMPRODUCT((evolution_bt_par_materiaux[[client]:[client]]=syndicat_etude)*(evolution_bt_par_materiaux[[annee]:[annee]]=Exercice[[Exercice N]:[Exercice N]])*(evolution_bt_par_materiaux[[annee_mes]:[annee_mes]]=BY$77)*(evolution_bt_par_materiaux[[lineaire_bt_acier_alu]:[lineaire_bt_acier_alu]]))</f>
        <v>0</v>
      </c>
      <c r="BZ78" s="264" cm="1">
        <f t="array" ref="BZ78">SUMPRODUCT((evolution_bt_par_materiaux[[client]:[client]]=syndicat_etude)*(evolution_bt_par_materiaux[[annee]:[annee]]=Exercice[[Exercice N]:[Exercice N]])*(evolution_bt_par_materiaux[[annee_mes]:[annee_mes]]=BZ$77)*(evolution_bt_par_materiaux[[lineaire_bt_acier_alu]:[lineaire_bt_acier_alu]]))</f>
        <v>0</v>
      </c>
      <c r="CA78" s="264" cm="1">
        <f t="array" ref="CA78">SUMPRODUCT((evolution_bt_par_materiaux[[client]:[client]]=syndicat_etude)*(evolution_bt_par_materiaux[[annee]:[annee]]=Exercice[[Exercice N]:[Exercice N]])*(evolution_bt_par_materiaux[[annee_mes]:[annee_mes]]=CA$77)*(evolution_bt_par_materiaux[[lineaire_bt_acier_alu]:[lineaire_bt_acier_alu]]))</f>
        <v>0</v>
      </c>
      <c r="CB78" s="264" cm="1">
        <f t="array" ref="CB78">SUMPRODUCT((evolution_bt_par_materiaux[[client]:[client]]=syndicat_etude)*(evolution_bt_par_materiaux[[annee]:[annee]]=Exercice[[Exercice N]:[Exercice N]])*(evolution_bt_par_materiaux[[annee_mes]:[annee_mes]]=CB$77)*(evolution_bt_par_materiaux[[lineaire_bt_acier_alu]:[lineaire_bt_acier_alu]]))</f>
        <v>0</v>
      </c>
      <c r="CC78" s="426" cm="1">
        <f t="array" ref="CC78">SUMPRODUCT((evolution_bt_par_materiaux[[client]:[client]]=syndicat_etude)*(evolution_bt_par_materiaux[[annee]:[annee]]=Exercice[[Exercice N]:[Exercice N]])*(evolution_bt_par_materiaux[[annee_mes]:[annee_mes]]=CC$77)*(evolution_bt_par_materiaux[[lineaire_bt_acier_alu]:[lineaire_bt_acier_alu]]))</f>
        <v>0</v>
      </c>
      <c r="CD78" s="406"/>
      <c r="CE78" s="406"/>
      <c r="CF78" s="406"/>
    </row>
    <row r="79" spans="2:84" x14ac:dyDescent="0.25">
      <c r="B79" s="6" t="s">
        <v>1183</v>
      </c>
      <c r="C79" s="264" cm="1">
        <f t="array" ref="C79">SUMPRODUCT((evolution_bt_par_materiaux[[client]:[client]]=syndicat_etude)*(evolution_bt_par_materiaux[[annee]:[annee]]=Exercice[[Exercice N]:[Exercice N]])*(evolution_bt_par_materiaux[[annee_mes]:[annee_mes]]&lt;1946)*(evolution_bt_par_materiaux[[lineaire_bt_alu]:[lineaire_bt_alu]]))</f>
        <v>0</v>
      </c>
      <c r="D79" s="264" cm="1">
        <f t="array" ref="D79">SUMPRODUCT((evolution_bt_par_materiaux[[client]:[client]]=syndicat_etude)*(evolution_bt_par_materiaux[[annee]:[annee]]=Exercice[[Exercice N]:[Exercice N]])*(evolution_bt_par_materiaux[[annee_mes]:[annee_mes]]=D$77)*(evolution_bt_par_materiaux[[lineaire_bt_alu]:[lineaire_bt_alu]]))</f>
        <v>107.29</v>
      </c>
      <c r="E79" s="264" cm="1">
        <f t="array" ref="E79">SUMPRODUCT((evolution_bt_par_materiaux[[client]:[client]]=syndicat_etude)*(evolution_bt_par_materiaux[[annee]:[annee]]=Exercice[[Exercice N]:[Exercice N]])*(evolution_bt_par_materiaux[[annee_mes]:[annee_mes]]=E$77)*(evolution_bt_par_materiaux[[lineaire_bt_alu]:[lineaire_bt_alu]]))</f>
        <v>2.54</v>
      </c>
      <c r="F79" s="264" cm="1">
        <f t="array" ref="F79">SUMPRODUCT((evolution_bt_par_materiaux[[client]:[client]]=syndicat_etude)*(evolution_bt_par_materiaux[[annee]:[annee]]=Exercice[[Exercice N]:[Exercice N]])*(evolution_bt_par_materiaux[[annee_mes]:[annee_mes]]=F$77)*(evolution_bt_par_materiaux[[lineaire_bt_alu]:[lineaire_bt_alu]]))</f>
        <v>0</v>
      </c>
      <c r="G79" s="264" cm="1">
        <f t="array" ref="G79">SUMPRODUCT((evolution_bt_par_materiaux[[client]:[client]]=syndicat_etude)*(evolution_bt_par_materiaux[[annee]:[annee]]=Exercice[[Exercice N]:[Exercice N]])*(evolution_bt_par_materiaux[[annee_mes]:[annee_mes]]=G$77)*(evolution_bt_par_materiaux[[lineaire_bt_alu]:[lineaire_bt_alu]]))</f>
        <v>1</v>
      </c>
      <c r="H79" s="264" cm="1">
        <f t="array" ref="H79">SUMPRODUCT((evolution_bt_par_materiaux[[client]:[client]]=syndicat_etude)*(evolution_bt_par_materiaux[[annee]:[annee]]=Exercice[[Exercice N]:[Exercice N]])*(evolution_bt_par_materiaux[[annee_mes]:[annee_mes]]=H$77)*(evolution_bt_par_materiaux[[lineaire_bt_alu]:[lineaire_bt_alu]]))</f>
        <v>0.85</v>
      </c>
      <c r="I79" s="264" cm="1">
        <f t="array" ref="I79">SUMPRODUCT((evolution_bt_par_materiaux[[client]:[client]]=syndicat_etude)*(evolution_bt_par_materiaux[[annee]:[annee]]=Exercice[[Exercice N]:[Exercice N]])*(evolution_bt_par_materiaux[[annee_mes]:[annee_mes]]=I$77)*(evolution_bt_par_materiaux[[lineaire_bt_alu]:[lineaire_bt_alu]]))</f>
        <v>0</v>
      </c>
      <c r="J79" s="264" cm="1">
        <f t="array" ref="J79">SUMPRODUCT((evolution_bt_par_materiaux[[client]:[client]]=syndicat_etude)*(evolution_bt_par_materiaux[[annee]:[annee]]=Exercice[[Exercice N]:[Exercice N]])*(evolution_bt_par_materiaux[[annee_mes]:[annee_mes]]=J$77)*(evolution_bt_par_materiaux[[lineaire_bt_alu]:[lineaire_bt_alu]]))</f>
        <v>0</v>
      </c>
      <c r="K79" s="264" cm="1">
        <f t="array" ref="K79">SUMPRODUCT((evolution_bt_par_materiaux[[client]:[client]]=syndicat_etude)*(evolution_bt_par_materiaux[[annee]:[annee]]=Exercice[[Exercice N]:[Exercice N]])*(evolution_bt_par_materiaux[[annee_mes]:[annee_mes]]=K$77)*(evolution_bt_par_materiaux[[lineaire_bt_alu]:[lineaire_bt_alu]]))</f>
        <v>0</v>
      </c>
      <c r="L79" s="264" cm="1">
        <f t="array" ref="L79">SUMPRODUCT((evolution_bt_par_materiaux[[client]:[client]]=syndicat_etude)*(evolution_bt_par_materiaux[[annee]:[annee]]=Exercice[[Exercice N]:[Exercice N]])*(evolution_bt_par_materiaux[[annee_mes]:[annee_mes]]=L$77)*(evolution_bt_par_materiaux[[lineaire_bt_alu]:[lineaire_bt_alu]]))</f>
        <v>0.45</v>
      </c>
      <c r="M79" s="264" cm="1">
        <f t="array" ref="M79">SUMPRODUCT((evolution_bt_par_materiaux[[client]:[client]]=syndicat_etude)*(evolution_bt_par_materiaux[[annee]:[annee]]=Exercice[[Exercice N]:[Exercice N]])*(evolution_bt_par_materiaux[[annee_mes]:[annee_mes]]=M$77)*(evolution_bt_par_materiaux[[lineaire_bt_alu]:[lineaire_bt_alu]]))</f>
        <v>0.14000000000000001</v>
      </c>
      <c r="N79" s="264" cm="1">
        <f t="array" ref="N79">SUMPRODUCT((evolution_bt_par_materiaux[[client]:[client]]=syndicat_etude)*(evolution_bt_par_materiaux[[annee]:[annee]]=Exercice[[Exercice N]:[Exercice N]])*(evolution_bt_par_materiaux[[annee_mes]:[annee_mes]]=N$77)*(evolution_bt_par_materiaux[[lineaire_bt_alu]:[lineaire_bt_alu]]))</f>
        <v>0</v>
      </c>
      <c r="O79" s="264" cm="1">
        <f t="array" ref="O79">SUMPRODUCT((evolution_bt_par_materiaux[[client]:[client]]=syndicat_etude)*(evolution_bt_par_materiaux[[annee]:[annee]]=Exercice[[Exercice N]:[Exercice N]])*(evolution_bt_par_materiaux[[annee_mes]:[annee_mes]]=O$77)*(evolution_bt_par_materiaux[[lineaire_bt_alu]:[lineaire_bt_alu]]))</f>
        <v>0</v>
      </c>
      <c r="P79" s="264" cm="1">
        <f t="array" ref="P79">SUMPRODUCT((evolution_bt_par_materiaux[[client]:[client]]=syndicat_etude)*(evolution_bt_par_materiaux[[annee]:[annee]]=Exercice[[Exercice N]:[Exercice N]])*(evolution_bt_par_materiaux[[annee_mes]:[annee_mes]]=P$77)*(evolution_bt_par_materiaux[[lineaire_bt_alu]:[lineaire_bt_alu]]))</f>
        <v>0</v>
      </c>
      <c r="Q79" s="264" cm="1">
        <f t="array" ref="Q79">SUMPRODUCT((evolution_bt_par_materiaux[[client]:[client]]=syndicat_etude)*(evolution_bt_par_materiaux[[annee]:[annee]]=Exercice[[Exercice N]:[Exercice N]])*(evolution_bt_par_materiaux[[annee_mes]:[annee_mes]]=Q$77)*(evolution_bt_par_materiaux[[lineaire_bt_alu]:[lineaire_bt_alu]]))</f>
        <v>0.39</v>
      </c>
      <c r="R79" s="264" cm="1">
        <f t="array" ref="R79">SUMPRODUCT((evolution_bt_par_materiaux[[client]:[client]]=syndicat_etude)*(evolution_bt_par_materiaux[[annee]:[annee]]=Exercice[[Exercice N]:[Exercice N]])*(evolution_bt_par_materiaux[[annee_mes]:[annee_mes]]=R$77)*(evolution_bt_par_materiaux[[lineaire_bt_alu]:[lineaire_bt_alu]]))</f>
        <v>0</v>
      </c>
      <c r="S79" s="264" cm="1">
        <f t="array" ref="S79">SUMPRODUCT((evolution_bt_par_materiaux[[client]:[client]]=syndicat_etude)*(evolution_bt_par_materiaux[[annee]:[annee]]=Exercice[[Exercice N]:[Exercice N]])*(evolution_bt_par_materiaux[[annee_mes]:[annee_mes]]=S$77)*(evolution_bt_par_materiaux[[lineaire_bt_alu]:[lineaire_bt_alu]]))</f>
        <v>0</v>
      </c>
      <c r="T79" s="264" cm="1">
        <f t="array" ref="T79">SUMPRODUCT((evolution_bt_par_materiaux[[client]:[client]]=syndicat_etude)*(evolution_bt_par_materiaux[[annee]:[annee]]=Exercice[[Exercice N]:[Exercice N]])*(evolution_bt_par_materiaux[[annee_mes]:[annee_mes]]=T$77)*(evolution_bt_par_materiaux[[lineaire_bt_alu]:[lineaire_bt_alu]]))</f>
        <v>0.13</v>
      </c>
      <c r="U79" s="264" cm="1">
        <f t="array" ref="U79">SUMPRODUCT((evolution_bt_par_materiaux[[client]:[client]]=syndicat_etude)*(evolution_bt_par_materiaux[[annee]:[annee]]=Exercice[[Exercice N]:[Exercice N]])*(evolution_bt_par_materiaux[[annee_mes]:[annee_mes]]=U$77)*(evolution_bt_par_materiaux[[lineaire_bt_alu]:[lineaire_bt_alu]]))</f>
        <v>0</v>
      </c>
      <c r="V79" s="264" cm="1">
        <f t="array" ref="V79">SUMPRODUCT((evolution_bt_par_materiaux[[client]:[client]]=syndicat_etude)*(evolution_bt_par_materiaux[[annee]:[annee]]=Exercice[[Exercice N]:[Exercice N]])*(evolution_bt_par_materiaux[[annee_mes]:[annee_mes]]=V$77)*(evolution_bt_par_materiaux[[lineaire_bt_alu]:[lineaire_bt_alu]]))</f>
        <v>0.25</v>
      </c>
      <c r="W79" s="264" cm="1">
        <f t="array" ref="W79">SUMPRODUCT((evolution_bt_par_materiaux[[client]:[client]]=syndicat_etude)*(evolution_bt_par_materiaux[[annee]:[annee]]=Exercice[[Exercice N]:[Exercice N]])*(evolution_bt_par_materiaux[[annee_mes]:[annee_mes]]=W$77)*(evolution_bt_par_materiaux[[lineaire_bt_alu]:[lineaire_bt_alu]]))</f>
        <v>0</v>
      </c>
      <c r="X79" s="264" cm="1">
        <f t="array" ref="X79">SUMPRODUCT((evolution_bt_par_materiaux[[client]:[client]]=syndicat_etude)*(evolution_bt_par_materiaux[[annee]:[annee]]=Exercice[[Exercice N]:[Exercice N]])*(evolution_bt_par_materiaux[[annee_mes]:[annee_mes]]=X$77)*(evolution_bt_par_materiaux[[lineaire_bt_alu]:[lineaire_bt_alu]]))</f>
        <v>0</v>
      </c>
      <c r="Y79" s="264" cm="1">
        <f t="array" ref="Y79">SUMPRODUCT((evolution_bt_par_materiaux[[client]:[client]]=syndicat_etude)*(evolution_bt_par_materiaux[[annee]:[annee]]=Exercice[[Exercice N]:[Exercice N]])*(evolution_bt_par_materiaux[[annee_mes]:[annee_mes]]=Y$77)*(evolution_bt_par_materiaux[[lineaire_bt_alu]:[lineaire_bt_alu]]))</f>
        <v>0</v>
      </c>
      <c r="Z79" s="264" cm="1">
        <f t="array" ref="Z79">SUMPRODUCT((evolution_bt_par_materiaux[[client]:[client]]=syndicat_etude)*(evolution_bt_par_materiaux[[annee]:[annee]]=Exercice[[Exercice N]:[Exercice N]])*(evolution_bt_par_materiaux[[annee_mes]:[annee_mes]]=Z$77)*(evolution_bt_par_materiaux[[lineaire_bt_alu]:[lineaire_bt_alu]]))</f>
        <v>0.61</v>
      </c>
      <c r="AA79" s="264" cm="1">
        <f t="array" ref="AA79">SUMPRODUCT((evolution_bt_par_materiaux[[client]:[client]]=syndicat_etude)*(evolution_bt_par_materiaux[[annee]:[annee]]=Exercice[[Exercice N]:[Exercice N]])*(evolution_bt_par_materiaux[[annee_mes]:[annee_mes]]=AA$77)*(evolution_bt_par_materiaux[[lineaire_bt_alu]:[lineaire_bt_alu]]))</f>
        <v>0</v>
      </c>
      <c r="AB79" s="264" cm="1">
        <f t="array" ref="AB79">SUMPRODUCT((evolution_bt_par_materiaux[[client]:[client]]=syndicat_etude)*(evolution_bt_par_materiaux[[annee]:[annee]]=Exercice[[Exercice N]:[Exercice N]])*(evolution_bt_par_materiaux[[annee_mes]:[annee_mes]]=AB$77)*(evolution_bt_par_materiaux[[lineaire_bt_alu]:[lineaire_bt_alu]]))</f>
        <v>1.2</v>
      </c>
      <c r="AC79" s="264" cm="1">
        <f t="array" ref="AC79">SUMPRODUCT((evolution_bt_par_materiaux[[client]:[client]]=syndicat_etude)*(evolution_bt_par_materiaux[[annee]:[annee]]=Exercice[[Exercice N]:[Exercice N]])*(evolution_bt_par_materiaux[[annee_mes]:[annee_mes]]=AC$77)*(evolution_bt_par_materiaux[[lineaire_bt_alu]:[lineaire_bt_alu]]))</f>
        <v>0.08</v>
      </c>
      <c r="AD79" s="264" cm="1">
        <f t="array" ref="AD79">SUMPRODUCT((evolution_bt_par_materiaux[[client]:[client]]=syndicat_etude)*(evolution_bt_par_materiaux[[annee]:[annee]]=Exercice[[Exercice N]:[Exercice N]])*(evolution_bt_par_materiaux[[annee_mes]:[annee_mes]]=AD$77)*(evolution_bt_par_materiaux[[lineaire_bt_alu]:[lineaire_bt_alu]]))</f>
        <v>0.34</v>
      </c>
      <c r="AE79" s="264" cm="1">
        <f t="array" ref="AE79">SUMPRODUCT((evolution_bt_par_materiaux[[client]:[client]]=syndicat_etude)*(evolution_bt_par_materiaux[[annee]:[annee]]=Exercice[[Exercice N]:[Exercice N]])*(evolution_bt_par_materiaux[[annee_mes]:[annee_mes]]=AE$77)*(evolution_bt_par_materiaux[[lineaire_bt_alu]:[lineaire_bt_alu]]))</f>
        <v>0.64</v>
      </c>
      <c r="AF79" s="264" cm="1">
        <f t="array" ref="AF79">SUMPRODUCT((evolution_bt_par_materiaux[[client]:[client]]=syndicat_etude)*(evolution_bt_par_materiaux[[annee]:[annee]]=Exercice[[Exercice N]:[Exercice N]])*(evolution_bt_par_materiaux[[annee_mes]:[annee_mes]]=AF$77)*(evolution_bt_par_materiaux[[lineaire_bt_alu]:[lineaire_bt_alu]]))</f>
        <v>0.08</v>
      </c>
      <c r="AG79" s="264" cm="1">
        <f t="array" ref="AG79">SUMPRODUCT((evolution_bt_par_materiaux[[client]:[client]]=syndicat_etude)*(evolution_bt_par_materiaux[[annee]:[annee]]=Exercice[[Exercice N]:[Exercice N]])*(evolution_bt_par_materiaux[[annee_mes]:[annee_mes]]=AG$77)*(evolution_bt_par_materiaux[[lineaire_bt_alu]:[lineaire_bt_alu]]))</f>
        <v>0.15</v>
      </c>
      <c r="AH79" s="264" cm="1">
        <f t="array" ref="AH79">SUMPRODUCT((evolution_bt_par_materiaux[[client]:[client]]=syndicat_etude)*(evolution_bt_par_materiaux[[annee]:[annee]]=Exercice[[Exercice N]:[Exercice N]])*(evolution_bt_par_materiaux[[annee_mes]:[annee_mes]]=AH$77)*(evolution_bt_par_materiaux[[lineaire_bt_alu]:[lineaire_bt_alu]]))</f>
        <v>0</v>
      </c>
      <c r="AI79" s="264" cm="1">
        <f t="array" ref="AI79">SUMPRODUCT((evolution_bt_par_materiaux[[client]:[client]]=syndicat_etude)*(evolution_bt_par_materiaux[[annee]:[annee]]=Exercice[[Exercice N]:[Exercice N]])*(evolution_bt_par_materiaux[[annee_mes]:[annee_mes]]=AI$77)*(evolution_bt_par_materiaux[[lineaire_bt_alu]:[lineaire_bt_alu]]))</f>
        <v>0.01</v>
      </c>
      <c r="AJ79" s="264" cm="1">
        <f t="array" ref="AJ79">SUMPRODUCT((evolution_bt_par_materiaux[[client]:[client]]=syndicat_etude)*(evolution_bt_par_materiaux[[annee]:[annee]]=Exercice[[Exercice N]:[Exercice N]])*(evolution_bt_par_materiaux[[annee_mes]:[annee_mes]]=AJ$77)*(evolution_bt_par_materiaux[[lineaire_bt_alu]:[lineaire_bt_alu]]))</f>
        <v>0.97</v>
      </c>
      <c r="AK79" s="264" cm="1">
        <f t="array" ref="AK79">SUMPRODUCT((evolution_bt_par_materiaux[[client]:[client]]=syndicat_etude)*(evolution_bt_par_materiaux[[annee]:[annee]]=Exercice[[Exercice N]:[Exercice N]])*(evolution_bt_par_materiaux[[annee_mes]:[annee_mes]]=AK$77)*(evolution_bt_par_materiaux[[lineaire_bt_alu]:[lineaire_bt_alu]]))</f>
        <v>0.37</v>
      </c>
      <c r="AL79" s="264" cm="1">
        <f t="array" ref="AL79">SUMPRODUCT((evolution_bt_par_materiaux[[client]:[client]]=syndicat_etude)*(evolution_bt_par_materiaux[[annee]:[annee]]=Exercice[[Exercice N]:[Exercice N]])*(evolution_bt_par_materiaux[[annee_mes]:[annee_mes]]=AL$77)*(evolution_bt_par_materiaux[[lineaire_bt_alu]:[lineaire_bt_alu]]))</f>
        <v>0.46</v>
      </c>
      <c r="AM79" s="264" cm="1">
        <f t="array" ref="AM79">SUMPRODUCT((evolution_bt_par_materiaux[[client]:[client]]=syndicat_etude)*(evolution_bt_par_materiaux[[annee]:[annee]]=Exercice[[Exercice N]:[Exercice N]])*(evolution_bt_par_materiaux[[annee_mes]:[annee_mes]]=AM$77)*(evolution_bt_par_materiaux[[lineaire_bt_alu]:[lineaire_bt_alu]]))</f>
        <v>0</v>
      </c>
      <c r="AN79" s="264" cm="1">
        <f t="array" ref="AN79">SUMPRODUCT((evolution_bt_par_materiaux[[client]:[client]]=syndicat_etude)*(evolution_bt_par_materiaux[[annee]:[annee]]=Exercice[[Exercice N]:[Exercice N]])*(evolution_bt_par_materiaux[[annee_mes]:[annee_mes]]=AN$77)*(evolution_bt_par_materiaux[[lineaire_bt_alu]:[lineaire_bt_alu]]))</f>
        <v>0.33</v>
      </c>
      <c r="AO79" s="264" cm="1">
        <f t="array" ref="AO79">SUMPRODUCT((evolution_bt_par_materiaux[[client]:[client]]=syndicat_etude)*(evolution_bt_par_materiaux[[annee]:[annee]]=Exercice[[Exercice N]:[Exercice N]])*(evolution_bt_par_materiaux[[annee_mes]:[annee_mes]]=AO$77)*(evolution_bt_par_materiaux[[lineaire_bt_alu]:[lineaire_bt_alu]]))</f>
        <v>2.1</v>
      </c>
      <c r="AP79" s="264" cm="1">
        <f t="array" ref="AP79">SUMPRODUCT((evolution_bt_par_materiaux[[client]:[client]]=syndicat_etude)*(evolution_bt_par_materiaux[[annee]:[annee]]=Exercice[[Exercice N]:[Exercice N]])*(evolution_bt_par_materiaux[[annee_mes]:[annee_mes]]=AP$77)*(evolution_bt_par_materiaux[[lineaire_bt_alu]:[lineaire_bt_alu]]))</f>
        <v>3.54</v>
      </c>
      <c r="AQ79" s="264" cm="1">
        <f t="array" ref="AQ79">SUMPRODUCT((evolution_bt_par_materiaux[[client]:[client]]=syndicat_etude)*(evolution_bt_par_materiaux[[annee]:[annee]]=Exercice[[Exercice N]:[Exercice N]])*(evolution_bt_par_materiaux[[annee_mes]:[annee_mes]]=AQ$77)*(evolution_bt_par_materiaux[[lineaire_bt_alu]:[lineaire_bt_alu]]))</f>
        <v>24</v>
      </c>
      <c r="AR79" s="264" cm="1">
        <f t="array" ref="AR79">SUMPRODUCT((evolution_bt_par_materiaux[[client]:[client]]=syndicat_etude)*(evolution_bt_par_materiaux[[annee]:[annee]]=Exercice[[Exercice N]:[Exercice N]])*(evolution_bt_par_materiaux[[annee_mes]:[annee_mes]]=AR$77)*(evolution_bt_par_materiaux[[lineaire_bt_alu]:[lineaire_bt_alu]]))</f>
        <v>73.5</v>
      </c>
      <c r="AS79" s="264" cm="1">
        <f t="array" ref="AS79">SUMPRODUCT((evolution_bt_par_materiaux[[client]:[client]]=syndicat_etude)*(evolution_bt_par_materiaux[[annee]:[annee]]=Exercice[[Exercice N]:[Exercice N]])*(evolution_bt_par_materiaux[[annee_mes]:[annee_mes]]=AS$77)*(evolution_bt_par_materiaux[[lineaire_bt_alu]:[lineaire_bt_alu]]))</f>
        <v>127.68</v>
      </c>
      <c r="AT79" s="264" cm="1">
        <f t="array" ref="AT79">SUMPRODUCT((evolution_bt_par_materiaux[[client]:[client]]=syndicat_etude)*(evolution_bt_par_materiaux[[annee]:[annee]]=Exercice[[Exercice N]:[Exercice N]])*(evolution_bt_par_materiaux[[annee_mes]:[annee_mes]]=AT$77)*(evolution_bt_par_materiaux[[lineaire_bt_alu]:[lineaire_bt_alu]]))</f>
        <v>0.39</v>
      </c>
      <c r="AU79" s="264" cm="1">
        <f t="array" ref="AU79">SUMPRODUCT((evolution_bt_par_materiaux[[client]:[client]]=syndicat_etude)*(evolution_bt_par_materiaux[[annee]:[annee]]=Exercice[[Exercice N]:[Exercice N]])*(evolution_bt_par_materiaux[[annee_mes]:[annee_mes]]=AU$77)*(evolution_bt_par_materiaux[[lineaire_bt_alu]:[lineaire_bt_alu]]))</f>
        <v>104.38</v>
      </c>
      <c r="AV79" s="264" cm="1">
        <f t="array" ref="AV79">SUMPRODUCT((evolution_bt_par_materiaux[[client]:[client]]=syndicat_etude)*(evolution_bt_par_materiaux[[annee]:[annee]]=Exercice[[Exercice N]:[Exercice N]])*(evolution_bt_par_materiaux[[annee_mes]:[annee_mes]]=AV$77)*(evolution_bt_par_materiaux[[lineaire_bt_alu]:[lineaire_bt_alu]]))</f>
        <v>95.71</v>
      </c>
      <c r="AW79" s="264" cm="1">
        <f t="array" ref="AW79">SUMPRODUCT((evolution_bt_par_materiaux[[client]:[client]]=syndicat_etude)*(evolution_bt_par_materiaux[[annee]:[annee]]=Exercice[[Exercice N]:[Exercice N]])*(evolution_bt_par_materiaux[[annee_mes]:[annee_mes]]=AW$77)*(evolution_bt_par_materiaux[[lineaire_bt_alu]:[lineaire_bt_alu]]))</f>
        <v>269.47000000000003</v>
      </c>
      <c r="AX79" s="264" cm="1">
        <f t="array" ref="AX79">SUMPRODUCT((evolution_bt_par_materiaux[[client]:[client]]=syndicat_etude)*(evolution_bt_par_materiaux[[annee]:[annee]]=Exercice[[Exercice N]:[Exercice N]])*(evolution_bt_par_materiaux[[annee_mes]:[annee_mes]]=AX$77)*(evolution_bt_par_materiaux[[lineaire_bt_alu]:[lineaire_bt_alu]]))</f>
        <v>262.93</v>
      </c>
      <c r="AY79" s="264" cm="1">
        <f t="array" ref="AY79">SUMPRODUCT((evolution_bt_par_materiaux[[client]:[client]]=syndicat_etude)*(evolution_bt_par_materiaux[[annee]:[annee]]=Exercice[[Exercice N]:[Exercice N]])*(evolution_bt_par_materiaux[[annee_mes]:[annee_mes]]=AY$77)*(evolution_bt_par_materiaux[[lineaire_bt_alu]:[lineaire_bt_alu]]))</f>
        <v>102.53</v>
      </c>
      <c r="AZ79" s="264" cm="1">
        <f t="array" ref="AZ79">SUMPRODUCT((evolution_bt_par_materiaux[[client]:[client]]=syndicat_etude)*(evolution_bt_par_materiaux[[annee]:[annee]]=Exercice[[Exercice N]:[Exercice N]])*(evolution_bt_par_materiaux[[annee_mes]:[annee_mes]]=AZ$77)*(evolution_bt_par_materiaux[[lineaire_bt_alu]:[lineaire_bt_alu]]))</f>
        <v>116.68</v>
      </c>
      <c r="BA79" s="264" cm="1">
        <f t="array" ref="BA79">SUMPRODUCT((evolution_bt_par_materiaux[[client]:[client]]=syndicat_etude)*(evolution_bt_par_materiaux[[annee]:[annee]]=Exercice[[Exercice N]:[Exercice N]])*(evolution_bt_par_materiaux[[annee_mes]:[annee_mes]]=BA$77)*(evolution_bt_par_materiaux[[lineaire_bt_alu]:[lineaire_bt_alu]]))</f>
        <v>102.53</v>
      </c>
      <c r="BB79" s="264" cm="1">
        <f t="array" ref="BB79">SUMPRODUCT((evolution_bt_par_materiaux[[client]:[client]]=syndicat_etude)*(evolution_bt_par_materiaux[[annee]:[annee]]=Exercice[[Exercice N]:[Exercice N]])*(evolution_bt_par_materiaux[[annee_mes]:[annee_mes]]=BB$77)*(evolution_bt_par_materiaux[[lineaire_bt_alu]:[lineaire_bt_alu]]))</f>
        <v>89.4</v>
      </c>
      <c r="BC79" s="264" cm="1">
        <f t="array" ref="BC79">SUMPRODUCT((evolution_bt_par_materiaux[[client]:[client]]=syndicat_etude)*(evolution_bt_par_materiaux[[annee]:[annee]]=Exercice[[Exercice N]:[Exercice N]])*(evolution_bt_par_materiaux[[annee_mes]:[annee_mes]]=BC$77)*(evolution_bt_par_materiaux[[lineaire_bt_alu]:[lineaire_bt_alu]]))</f>
        <v>73.849999999999994</v>
      </c>
      <c r="BD79" s="264" cm="1">
        <f t="array" ref="BD79">SUMPRODUCT((evolution_bt_par_materiaux[[client]:[client]]=syndicat_etude)*(evolution_bt_par_materiaux[[annee]:[annee]]=Exercice[[Exercice N]:[Exercice N]])*(evolution_bt_par_materiaux[[annee_mes]:[annee_mes]]=BD$77)*(evolution_bt_par_materiaux[[lineaire_bt_alu]:[lineaire_bt_alu]]))</f>
        <v>86.14</v>
      </c>
      <c r="BE79" s="264" cm="1">
        <f t="array" ref="BE79">SUMPRODUCT((evolution_bt_par_materiaux[[client]:[client]]=syndicat_etude)*(evolution_bt_par_materiaux[[annee]:[annee]]=Exercice[[Exercice N]:[Exercice N]])*(evolution_bt_par_materiaux[[annee_mes]:[annee_mes]]=BE$77)*(evolution_bt_par_materiaux[[lineaire_bt_alu]:[lineaire_bt_alu]]))</f>
        <v>77.56</v>
      </c>
      <c r="BF79" s="264" cm="1">
        <f t="array" ref="BF79">SUMPRODUCT((evolution_bt_par_materiaux[[client]:[client]]=syndicat_etude)*(evolution_bt_par_materiaux[[annee]:[annee]]=Exercice[[Exercice N]:[Exercice N]])*(evolution_bt_par_materiaux[[annee_mes]:[annee_mes]]=BF$77)*(evolution_bt_par_materiaux[[lineaire_bt_alu]:[lineaire_bt_alu]]))</f>
        <v>72.69</v>
      </c>
      <c r="BG79" s="264" cm="1">
        <f t="array" ref="BG79">SUMPRODUCT((evolution_bt_par_materiaux[[client]:[client]]=syndicat_etude)*(evolution_bt_par_materiaux[[annee]:[annee]]=Exercice[[Exercice N]:[Exercice N]])*(evolution_bt_par_materiaux[[annee_mes]:[annee_mes]]=BG$77)*(evolution_bt_par_materiaux[[lineaire_bt_alu]:[lineaire_bt_alu]]))</f>
        <v>111.86</v>
      </c>
      <c r="BH79" s="264" cm="1">
        <f t="array" ref="BH79">SUMPRODUCT((evolution_bt_par_materiaux[[client]:[client]]=syndicat_etude)*(evolution_bt_par_materiaux[[annee]:[annee]]=Exercice[[Exercice N]:[Exercice N]])*(evolution_bt_par_materiaux[[annee_mes]:[annee_mes]]=BH$77)*(evolution_bt_par_materiaux[[lineaire_bt_alu]:[lineaire_bt_alu]]))</f>
        <v>91.91</v>
      </c>
      <c r="BI79" s="264" cm="1">
        <f t="array" ref="BI79">SUMPRODUCT((evolution_bt_par_materiaux[[client]:[client]]=syndicat_etude)*(evolution_bt_par_materiaux[[annee]:[annee]]=Exercice[[Exercice N]:[Exercice N]])*(evolution_bt_par_materiaux[[annee_mes]:[annee_mes]]=BI$77)*(evolution_bt_par_materiaux[[lineaire_bt_alu]:[lineaire_bt_alu]]))</f>
        <v>116.85</v>
      </c>
      <c r="BJ79" s="264" cm="1">
        <f t="array" ref="BJ79">SUMPRODUCT((evolution_bt_par_materiaux[[client]:[client]]=syndicat_etude)*(evolution_bt_par_materiaux[[annee]:[annee]]=Exercice[[Exercice N]:[Exercice N]])*(evolution_bt_par_materiaux[[annee_mes]:[annee_mes]]=BJ$77)*(evolution_bt_par_materiaux[[lineaire_bt_alu]:[lineaire_bt_alu]]))</f>
        <v>70.92</v>
      </c>
      <c r="BK79" s="264" cm="1">
        <f t="array" ref="BK79">SUMPRODUCT((evolution_bt_par_materiaux[[client]:[client]]=syndicat_etude)*(evolution_bt_par_materiaux[[annee]:[annee]]=Exercice[[Exercice N]:[Exercice N]])*(evolution_bt_par_materiaux[[annee_mes]:[annee_mes]]=BK$77)*(evolution_bt_par_materiaux[[lineaire_bt_alu]:[lineaire_bt_alu]]))</f>
        <v>76.42</v>
      </c>
      <c r="BL79" s="264" cm="1">
        <f t="array" ref="BL79">SUMPRODUCT((evolution_bt_par_materiaux[[client]:[client]]=syndicat_etude)*(evolution_bt_par_materiaux[[annee]:[annee]]=Exercice[[Exercice N]:[Exercice N]])*(evolution_bt_par_materiaux[[annee_mes]:[annee_mes]]=BL$77)*(evolution_bt_par_materiaux[[lineaire_bt_alu]:[lineaire_bt_alu]]))</f>
        <v>80.069999999999993</v>
      </c>
      <c r="BM79" s="264" cm="1">
        <f t="array" ref="BM79">SUMPRODUCT((evolution_bt_par_materiaux[[client]:[client]]=syndicat_etude)*(evolution_bt_par_materiaux[[annee]:[annee]]=Exercice[[Exercice N]:[Exercice N]])*(evolution_bt_par_materiaux[[annee_mes]:[annee_mes]]=BM$77)*(evolution_bt_par_materiaux[[lineaire_bt_alu]:[lineaire_bt_alu]]))</f>
        <v>93.86</v>
      </c>
      <c r="BN79" s="264" cm="1">
        <f t="array" ref="BN79">SUMPRODUCT((evolution_bt_par_materiaux[[client]:[client]]=syndicat_etude)*(evolution_bt_par_materiaux[[annee]:[annee]]=Exercice[[Exercice N]:[Exercice N]])*(evolution_bt_par_materiaux[[annee_mes]:[annee_mes]]=BN$77)*(evolution_bt_par_materiaux[[lineaire_bt_alu]:[lineaire_bt_alu]]))</f>
        <v>81.66</v>
      </c>
      <c r="BO79" s="264" cm="1">
        <f t="array" ref="BO79">SUMPRODUCT((evolution_bt_par_materiaux[[client]:[client]]=syndicat_etude)*(evolution_bt_par_materiaux[[annee]:[annee]]=Exercice[[Exercice N]:[Exercice N]])*(evolution_bt_par_materiaux[[annee_mes]:[annee_mes]]=BO$77)*(evolution_bt_par_materiaux[[lineaire_bt_alu]:[lineaire_bt_alu]]))</f>
        <v>84.8</v>
      </c>
      <c r="BP79" s="264" cm="1">
        <f t="array" ref="BP79">SUMPRODUCT((evolution_bt_par_materiaux[[client]:[client]]=syndicat_etude)*(evolution_bt_par_materiaux[[annee]:[annee]]=Exercice[[Exercice N]:[Exercice N]])*(evolution_bt_par_materiaux[[annee_mes]:[annee_mes]]=BP$77)*(evolution_bt_par_materiaux[[lineaire_bt_alu]:[lineaire_bt_alu]]))</f>
        <v>84.55</v>
      </c>
      <c r="BQ79" s="264" cm="1">
        <f t="array" ref="BQ79">SUMPRODUCT((evolution_bt_par_materiaux[[client]:[client]]=syndicat_etude)*(evolution_bt_par_materiaux[[annee]:[annee]]=Exercice[[Exercice N]:[Exercice N]])*(evolution_bt_par_materiaux[[annee_mes]:[annee_mes]]=BQ$77)*(evolution_bt_par_materiaux[[lineaire_bt_alu]:[lineaire_bt_alu]]))</f>
        <v>88.91</v>
      </c>
      <c r="BR79" s="264" cm="1">
        <f t="array" ref="BR79">SUMPRODUCT((evolution_bt_par_materiaux[[client]:[client]]=syndicat_etude)*(evolution_bt_par_materiaux[[annee]:[annee]]=Exercice[[Exercice N]:[Exercice N]])*(evolution_bt_par_materiaux[[annee_mes]:[annee_mes]]=BR$77)*(evolution_bt_par_materiaux[[lineaire_bt_alu]:[lineaire_bt_alu]]))</f>
        <v>79.75</v>
      </c>
      <c r="BS79" s="264" cm="1">
        <f t="array" ref="BS79">SUMPRODUCT((evolution_bt_par_materiaux[[client]:[client]]=syndicat_etude)*(evolution_bt_par_materiaux[[annee]:[annee]]=Exercice[[Exercice N]:[Exercice N]])*(evolution_bt_par_materiaux[[annee_mes]:[annee_mes]]=BS$77)*(evolution_bt_par_materiaux[[lineaire_bt_alu]:[lineaire_bt_alu]]))</f>
        <v>66.239999999999995</v>
      </c>
      <c r="BT79" s="264" cm="1">
        <f t="array" ref="BT79">SUMPRODUCT((evolution_bt_par_materiaux[[client]:[client]]=syndicat_etude)*(evolution_bt_par_materiaux[[annee]:[annee]]=Exercice[[Exercice N]:[Exercice N]])*(evolution_bt_par_materiaux[[annee_mes]:[annee_mes]]=BT$77)*(evolution_bt_par_materiaux[[lineaire_bt_alu]:[lineaire_bt_alu]]))</f>
        <v>75.34</v>
      </c>
      <c r="BU79" s="264" cm="1">
        <f t="array" ref="BU79">SUMPRODUCT((evolution_bt_par_materiaux[[client]:[client]]=syndicat_etude)*(evolution_bt_par_materiaux[[annee]:[annee]]=Exercice[[Exercice N]:[Exercice N]])*(evolution_bt_par_materiaux[[annee_mes]:[annee_mes]]=BU$77)*(evolution_bt_par_materiaux[[lineaire_bt_alu]:[lineaire_bt_alu]]))</f>
        <v>55.31</v>
      </c>
      <c r="BV79" s="264" cm="1">
        <f t="array" ref="BV79">SUMPRODUCT((evolution_bt_par_materiaux[[client]:[client]]=syndicat_etude)*(evolution_bt_par_materiaux[[annee]:[annee]]=Exercice[[Exercice N]:[Exercice N]])*(evolution_bt_par_materiaux[[annee_mes]:[annee_mes]]=BV$77)*(evolution_bt_par_materiaux[[lineaire_bt_alu]:[lineaire_bt_alu]]))</f>
        <v>50.86</v>
      </c>
      <c r="BW79" s="264" cm="1">
        <f t="array" ref="BW79">SUMPRODUCT((evolution_bt_par_materiaux[[client]:[client]]=syndicat_etude)*(evolution_bt_par_materiaux[[annee]:[annee]]=Exercice[[Exercice N]:[Exercice N]])*(evolution_bt_par_materiaux[[annee_mes]:[annee_mes]]=BW$77)*(evolution_bt_par_materiaux[[lineaire_bt_alu]:[lineaire_bt_alu]]))</f>
        <v>62.82</v>
      </c>
      <c r="BX79" s="264" cm="1">
        <f t="array" ref="BX79">SUMPRODUCT((evolution_bt_par_materiaux[[client]:[client]]=syndicat_etude)*(evolution_bt_par_materiaux[[annee]:[annee]]=Exercice[[Exercice N]:[Exercice N]])*(evolution_bt_par_materiaux[[annee_mes]:[annee_mes]]=BX$77)*(evolution_bt_par_materiaux[[lineaire_bt_alu]:[lineaire_bt_alu]]))</f>
        <v>48.15</v>
      </c>
      <c r="BY79" s="264" cm="1">
        <f t="array" ref="BY79">SUMPRODUCT((evolution_bt_par_materiaux[[client]:[client]]=syndicat_etude)*(evolution_bt_par_materiaux[[annee]:[annee]]=Exercice[[Exercice N]:[Exercice N]])*(evolution_bt_par_materiaux[[annee_mes]:[annee_mes]]=BY$77)*(evolution_bt_par_materiaux[[lineaire_bt_alu]:[lineaire_bt_alu]]))</f>
        <v>57.97</v>
      </c>
      <c r="BZ79" s="264" cm="1">
        <f t="array" ref="BZ79">SUMPRODUCT((evolution_bt_par_materiaux[[client]:[client]]=syndicat_etude)*(evolution_bt_par_materiaux[[annee]:[annee]]=Exercice[[Exercice N]:[Exercice N]])*(evolution_bt_par_materiaux[[annee_mes]:[annee_mes]]=BZ$77)*(evolution_bt_par_materiaux[[lineaire_bt_alu]:[lineaire_bt_alu]]))</f>
        <v>50.32</v>
      </c>
      <c r="CA79" s="264" cm="1">
        <f t="array" ref="CA79">SUMPRODUCT((evolution_bt_par_materiaux[[client]:[client]]=syndicat_etude)*(evolution_bt_par_materiaux[[annee]:[annee]]=Exercice[[Exercice N]:[Exercice N]])*(evolution_bt_par_materiaux[[annee_mes]:[annee_mes]]=CA$77)*(evolution_bt_par_materiaux[[lineaire_bt_alu]:[lineaire_bt_alu]]))</f>
        <v>55.57</v>
      </c>
      <c r="CB79" s="264" cm="1">
        <f t="array" ref="CB79">SUMPRODUCT((evolution_bt_par_materiaux[[client]:[client]]=syndicat_etude)*(evolution_bt_par_materiaux[[annee]:[annee]]=Exercice[[Exercice N]:[Exercice N]])*(evolution_bt_par_materiaux[[annee_mes]:[annee_mes]]=CB$77)*(evolution_bt_par_materiaux[[lineaire_bt_alu]:[lineaire_bt_alu]]))</f>
        <v>51.38</v>
      </c>
      <c r="CC79" s="426" cm="1">
        <f t="array" ref="CC79">SUMPRODUCT((evolution_bt_par_materiaux[[client]:[client]]=syndicat_etude)*(evolution_bt_par_materiaux[[annee]:[annee]]=Exercice[[Exercice N]:[Exercice N]])*(evolution_bt_par_materiaux[[annee_mes]:[annee_mes]]=CC$77)*(evolution_bt_par_materiaux[[lineaire_bt_alu]:[lineaire_bt_alu]]))</f>
        <v>50</v>
      </c>
      <c r="CD79" s="406"/>
      <c r="CE79" s="406"/>
      <c r="CF79" s="406"/>
    </row>
    <row r="80" spans="2:84" x14ac:dyDescent="0.25">
      <c r="B80" s="6" t="s">
        <v>1184</v>
      </c>
      <c r="C80" s="264" cm="1">
        <f t="array" ref="C80">SUMPRODUCT((evolution_bt_par_materiaux[[client]:[client]]=syndicat_etude)*(evolution_bt_par_materiaux[[annee]:[annee]]=Exercice[[Exercice N]:[Exercice N]])*(evolution_bt_par_materiaux[[annee_mes]:[annee_mes]]&lt;1946)*(evolution_bt_par_materiaux[[lineaire_bt_almelec]:[lineaire_bt_almelec]]))</f>
        <v>0</v>
      </c>
      <c r="D80" s="264" cm="1">
        <f t="array" ref="D80">SUMPRODUCT((evolution_bt_par_materiaux[[client]:[client]]=syndicat_etude)*(evolution_bt_par_materiaux[[annee]:[annee]]=Exercice[[Exercice N]:[Exercice N]])*(evolution_bt_par_materiaux[[annee_mes]:[annee_mes]]=D$77)*(evolution_bt_par_materiaux[[lineaire_bt_almelec]:[lineaire_bt_almelec]]))</f>
        <v>1.28</v>
      </c>
      <c r="E80" s="264" cm="1">
        <f t="array" ref="E80">SUMPRODUCT((evolution_bt_par_materiaux[[client]:[client]]=syndicat_etude)*(evolution_bt_par_materiaux[[annee]:[annee]]=Exercice[[Exercice N]:[Exercice N]])*(evolution_bt_par_materiaux[[annee_mes]:[annee_mes]]=E$77)*(evolution_bt_par_materiaux[[lineaire_bt_almelec]:[lineaire_bt_almelec]]))</f>
        <v>0</v>
      </c>
      <c r="F80" s="264" cm="1">
        <f t="array" ref="F80">SUMPRODUCT((evolution_bt_par_materiaux[[client]:[client]]=syndicat_etude)*(evolution_bt_par_materiaux[[annee]:[annee]]=Exercice[[Exercice N]:[Exercice N]])*(evolution_bt_par_materiaux[[annee_mes]:[annee_mes]]=F$77)*(evolution_bt_par_materiaux[[lineaire_bt_almelec]:[lineaire_bt_almelec]]))</f>
        <v>0</v>
      </c>
      <c r="G80" s="264" cm="1">
        <f t="array" ref="G80">SUMPRODUCT((evolution_bt_par_materiaux[[client]:[client]]=syndicat_etude)*(evolution_bt_par_materiaux[[annee]:[annee]]=Exercice[[Exercice N]:[Exercice N]])*(evolution_bt_par_materiaux[[annee_mes]:[annee_mes]]=G$77)*(evolution_bt_par_materiaux[[lineaire_bt_almelec]:[lineaire_bt_almelec]]))</f>
        <v>0</v>
      </c>
      <c r="H80" s="264" cm="1">
        <f t="array" ref="H80">SUMPRODUCT((evolution_bt_par_materiaux[[client]:[client]]=syndicat_etude)*(evolution_bt_par_materiaux[[annee]:[annee]]=Exercice[[Exercice N]:[Exercice N]])*(evolution_bt_par_materiaux[[annee_mes]:[annee_mes]]=H$77)*(evolution_bt_par_materiaux[[lineaire_bt_almelec]:[lineaire_bt_almelec]]))</f>
        <v>0</v>
      </c>
      <c r="I80" s="264" cm="1">
        <f t="array" ref="I80">SUMPRODUCT((evolution_bt_par_materiaux[[client]:[client]]=syndicat_etude)*(evolution_bt_par_materiaux[[annee]:[annee]]=Exercice[[Exercice N]:[Exercice N]])*(evolution_bt_par_materiaux[[annee_mes]:[annee_mes]]=I$77)*(evolution_bt_par_materiaux[[lineaire_bt_almelec]:[lineaire_bt_almelec]]))</f>
        <v>0</v>
      </c>
      <c r="J80" s="264" cm="1">
        <f t="array" ref="J80">SUMPRODUCT((evolution_bt_par_materiaux[[client]:[client]]=syndicat_etude)*(evolution_bt_par_materiaux[[annee]:[annee]]=Exercice[[Exercice N]:[Exercice N]])*(evolution_bt_par_materiaux[[annee_mes]:[annee_mes]]=J$77)*(evolution_bt_par_materiaux[[lineaire_bt_almelec]:[lineaire_bt_almelec]]))</f>
        <v>0</v>
      </c>
      <c r="K80" s="264" cm="1">
        <f t="array" ref="K80">SUMPRODUCT((evolution_bt_par_materiaux[[client]:[client]]=syndicat_etude)*(evolution_bt_par_materiaux[[annee]:[annee]]=Exercice[[Exercice N]:[Exercice N]])*(evolution_bt_par_materiaux[[annee_mes]:[annee_mes]]=K$77)*(evolution_bt_par_materiaux[[lineaire_bt_almelec]:[lineaire_bt_almelec]]))</f>
        <v>0</v>
      </c>
      <c r="L80" s="264" cm="1">
        <f t="array" ref="L80">SUMPRODUCT((evolution_bt_par_materiaux[[client]:[client]]=syndicat_etude)*(evolution_bt_par_materiaux[[annee]:[annee]]=Exercice[[Exercice N]:[Exercice N]])*(evolution_bt_par_materiaux[[annee_mes]:[annee_mes]]=L$77)*(evolution_bt_par_materiaux[[lineaire_bt_almelec]:[lineaire_bt_almelec]]))</f>
        <v>0</v>
      </c>
      <c r="M80" s="264" cm="1">
        <f t="array" ref="M80">SUMPRODUCT((evolution_bt_par_materiaux[[client]:[client]]=syndicat_etude)*(evolution_bt_par_materiaux[[annee]:[annee]]=Exercice[[Exercice N]:[Exercice N]])*(evolution_bt_par_materiaux[[annee_mes]:[annee_mes]]=M$77)*(evolution_bt_par_materiaux[[lineaire_bt_almelec]:[lineaire_bt_almelec]]))</f>
        <v>0</v>
      </c>
      <c r="N80" s="264" cm="1">
        <f t="array" ref="N80">SUMPRODUCT((evolution_bt_par_materiaux[[client]:[client]]=syndicat_etude)*(evolution_bt_par_materiaux[[annee]:[annee]]=Exercice[[Exercice N]:[Exercice N]])*(evolution_bt_par_materiaux[[annee_mes]:[annee_mes]]=N$77)*(evolution_bt_par_materiaux[[lineaire_bt_almelec]:[lineaire_bt_almelec]]))</f>
        <v>0</v>
      </c>
      <c r="O80" s="264" cm="1">
        <f t="array" ref="O80">SUMPRODUCT((evolution_bt_par_materiaux[[client]:[client]]=syndicat_etude)*(evolution_bt_par_materiaux[[annee]:[annee]]=Exercice[[Exercice N]:[Exercice N]])*(evolution_bt_par_materiaux[[annee_mes]:[annee_mes]]=O$77)*(evolution_bt_par_materiaux[[lineaire_bt_almelec]:[lineaire_bt_almelec]]))</f>
        <v>0</v>
      </c>
      <c r="P80" s="264" cm="1">
        <f t="array" ref="P80">SUMPRODUCT((evolution_bt_par_materiaux[[client]:[client]]=syndicat_etude)*(evolution_bt_par_materiaux[[annee]:[annee]]=Exercice[[Exercice N]:[Exercice N]])*(evolution_bt_par_materiaux[[annee_mes]:[annee_mes]]=P$77)*(evolution_bt_par_materiaux[[lineaire_bt_almelec]:[lineaire_bt_almelec]]))</f>
        <v>0</v>
      </c>
      <c r="Q80" s="264" cm="1">
        <f t="array" ref="Q80">SUMPRODUCT((evolution_bt_par_materiaux[[client]:[client]]=syndicat_etude)*(evolution_bt_par_materiaux[[annee]:[annee]]=Exercice[[Exercice N]:[Exercice N]])*(evolution_bt_par_materiaux[[annee_mes]:[annee_mes]]=Q$77)*(evolution_bt_par_materiaux[[lineaire_bt_almelec]:[lineaire_bt_almelec]]))</f>
        <v>0</v>
      </c>
      <c r="R80" s="264" cm="1">
        <f t="array" ref="R80">SUMPRODUCT((evolution_bt_par_materiaux[[client]:[client]]=syndicat_etude)*(evolution_bt_par_materiaux[[annee]:[annee]]=Exercice[[Exercice N]:[Exercice N]])*(evolution_bt_par_materiaux[[annee_mes]:[annee_mes]]=R$77)*(evolution_bt_par_materiaux[[lineaire_bt_almelec]:[lineaire_bt_almelec]]))</f>
        <v>0</v>
      </c>
      <c r="S80" s="264" cm="1">
        <f t="array" ref="S80">SUMPRODUCT((evolution_bt_par_materiaux[[client]:[client]]=syndicat_etude)*(evolution_bt_par_materiaux[[annee]:[annee]]=Exercice[[Exercice N]:[Exercice N]])*(evolution_bt_par_materiaux[[annee_mes]:[annee_mes]]=S$77)*(evolution_bt_par_materiaux[[lineaire_bt_almelec]:[lineaire_bt_almelec]]))</f>
        <v>0</v>
      </c>
      <c r="T80" s="264" cm="1">
        <f t="array" ref="T80">SUMPRODUCT((evolution_bt_par_materiaux[[client]:[client]]=syndicat_etude)*(evolution_bt_par_materiaux[[annee]:[annee]]=Exercice[[Exercice N]:[Exercice N]])*(evolution_bt_par_materiaux[[annee_mes]:[annee_mes]]=T$77)*(evolution_bt_par_materiaux[[lineaire_bt_almelec]:[lineaire_bt_almelec]]))</f>
        <v>0</v>
      </c>
      <c r="U80" s="264" cm="1">
        <f t="array" ref="U80">SUMPRODUCT((evolution_bt_par_materiaux[[client]:[client]]=syndicat_etude)*(evolution_bt_par_materiaux[[annee]:[annee]]=Exercice[[Exercice N]:[Exercice N]])*(evolution_bt_par_materiaux[[annee_mes]:[annee_mes]]=U$77)*(evolution_bt_par_materiaux[[lineaire_bt_almelec]:[lineaire_bt_almelec]]))</f>
        <v>0</v>
      </c>
      <c r="V80" s="264" cm="1">
        <f t="array" ref="V80">SUMPRODUCT((evolution_bt_par_materiaux[[client]:[client]]=syndicat_etude)*(evolution_bt_par_materiaux[[annee]:[annee]]=Exercice[[Exercice N]:[Exercice N]])*(evolution_bt_par_materiaux[[annee_mes]:[annee_mes]]=V$77)*(evolution_bt_par_materiaux[[lineaire_bt_almelec]:[lineaire_bt_almelec]]))</f>
        <v>0</v>
      </c>
      <c r="W80" s="264" cm="1">
        <f t="array" ref="W80">SUMPRODUCT((evolution_bt_par_materiaux[[client]:[client]]=syndicat_etude)*(evolution_bt_par_materiaux[[annee]:[annee]]=Exercice[[Exercice N]:[Exercice N]])*(evolution_bt_par_materiaux[[annee_mes]:[annee_mes]]=W$77)*(evolution_bt_par_materiaux[[lineaire_bt_almelec]:[lineaire_bt_almelec]]))</f>
        <v>0</v>
      </c>
      <c r="X80" s="264" cm="1">
        <f t="array" ref="X80">SUMPRODUCT((evolution_bt_par_materiaux[[client]:[client]]=syndicat_etude)*(evolution_bt_par_materiaux[[annee]:[annee]]=Exercice[[Exercice N]:[Exercice N]])*(evolution_bt_par_materiaux[[annee_mes]:[annee_mes]]=X$77)*(evolution_bt_par_materiaux[[lineaire_bt_almelec]:[lineaire_bt_almelec]]))</f>
        <v>0</v>
      </c>
      <c r="Y80" s="264" cm="1">
        <f t="array" ref="Y80">SUMPRODUCT((evolution_bt_par_materiaux[[client]:[client]]=syndicat_etude)*(evolution_bt_par_materiaux[[annee]:[annee]]=Exercice[[Exercice N]:[Exercice N]])*(evolution_bt_par_materiaux[[annee_mes]:[annee_mes]]=Y$77)*(evolution_bt_par_materiaux[[lineaire_bt_almelec]:[lineaire_bt_almelec]]))</f>
        <v>0</v>
      </c>
      <c r="Z80" s="264" cm="1">
        <f t="array" ref="Z80">SUMPRODUCT((evolution_bt_par_materiaux[[client]:[client]]=syndicat_etude)*(evolution_bt_par_materiaux[[annee]:[annee]]=Exercice[[Exercice N]:[Exercice N]])*(evolution_bt_par_materiaux[[annee_mes]:[annee_mes]]=Z$77)*(evolution_bt_par_materiaux[[lineaire_bt_almelec]:[lineaire_bt_almelec]]))</f>
        <v>0</v>
      </c>
      <c r="AA80" s="264" cm="1">
        <f t="array" ref="AA80">SUMPRODUCT((evolution_bt_par_materiaux[[client]:[client]]=syndicat_etude)*(evolution_bt_par_materiaux[[annee]:[annee]]=Exercice[[Exercice N]:[Exercice N]])*(evolution_bt_par_materiaux[[annee_mes]:[annee_mes]]=AA$77)*(evolution_bt_par_materiaux[[lineaire_bt_almelec]:[lineaire_bt_almelec]]))</f>
        <v>0</v>
      </c>
      <c r="AB80" s="264" cm="1">
        <f t="array" ref="AB80">SUMPRODUCT((evolution_bt_par_materiaux[[client]:[client]]=syndicat_etude)*(evolution_bt_par_materiaux[[annee]:[annee]]=Exercice[[Exercice N]:[Exercice N]])*(evolution_bt_par_materiaux[[annee_mes]:[annee_mes]]=AB$77)*(evolution_bt_par_materiaux[[lineaire_bt_almelec]:[lineaire_bt_almelec]]))</f>
        <v>0</v>
      </c>
      <c r="AC80" s="264" cm="1">
        <f t="array" ref="AC80">SUMPRODUCT((evolution_bt_par_materiaux[[client]:[client]]=syndicat_etude)*(evolution_bt_par_materiaux[[annee]:[annee]]=Exercice[[Exercice N]:[Exercice N]])*(evolution_bt_par_materiaux[[annee_mes]:[annee_mes]]=AC$77)*(evolution_bt_par_materiaux[[lineaire_bt_almelec]:[lineaire_bt_almelec]]))</f>
        <v>0</v>
      </c>
      <c r="AD80" s="264" cm="1">
        <f t="array" ref="AD80">SUMPRODUCT((evolution_bt_par_materiaux[[client]:[client]]=syndicat_etude)*(evolution_bt_par_materiaux[[annee]:[annee]]=Exercice[[Exercice N]:[Exercice N]])*(evolution_bt_par_materiaux[[annee_mes]:[annee_mes]]=AD$77)*(evolution_bt_par_materiaux[[lineaire_bt_almelec]:[lineaire_bt_almelec]]))</f>
        <v>0</v>
      </c>
      <c r="AE80" s="264" cm="1">
        <f t="array" ref="AE80">SUMPRODUCT((evolution_bt_par_materiaux[[client]:[client]]=syndicat_etude)*(evolution_bt_par_materiaux[[annee]:[annee]]=Exercice[[Exercice N]:[Exercice N]])*(evolution_bt_par_materiaux[[annee_mes]:[annee_mes]]=AE$77)*(evolution_bt_par_materiaux[[lineaire_bt_almelec]:[lineaire_bt_almelec]]))</f>
        <v>0</v>
      </c>
      <c r="AF80" s="264" cm="1">
        <f t="array" ref="AF80">SUMPRODUCT((evolution_bt_par_materiaux[[client]:[client]]=syndicat_etude)*(evolution_bt_par_materiaux[[annee]:[annee]]=Exercice[[Exercice N]:[Exercice N]])*(evolution_bt_par_materiaux[[annee_mes]:[annee_mes]]=AF$77)*(evolution_bt_par_materiaux[[lineaire_bt_almelec]:[lineaire_bt_almelec]]))</f>
        <v>0</v>
      </c>
      <c r="AG80" s="264" cm="1">
        <f t="array" ref="AG80">SUMPRODUCT((evolution_bt_par_materiaux[[client]:[client]]=syndicat_etude)*(evolution_bt_par_materiaux[[annee]:[annee]]=Exercice[[Exercice N]:[Exercice N]])*(evolution_bt_par_materiaux[[annee_mes]:[annee_mes]]=AG$77)*(evolution_bt_par_materiaux[[lineaire_bt_almelec]:[lineaire_bt_almelec]]))</f>
        <v>0</v>
      </c>
      <c r="AH80" s="264" cm="1">
        <f t="array" ref="AH80">SUMPRODUCT((evolution_bt_par_materiaux[[client]:[client]]=syndicat_etude)*(evolution_bt_par_materiaux[[annee]:[annee]]=Exercice[[Exercice N]:[Exercice N]])*(evolution_bt_par_materiaux[[annee_mes]:[annee_mes]]=AH$77)*(evolution_bt_par_materiaux[[lineaire_bt_almelec]:[lineaire_bt_almelec]]))</f>
        <v>0</v>
      </c>
      <c r="AI80" s="264" cm="1">
        <f t="array" ref="AI80">SUMPRODUCT((evolution_bt_par_materiaux[[client]:[client]]=syndicat_etude)*(evolution_bt_par_materiaux[[annee]:[annee]]=Exercice[[Exercice N]:[Exercice N]])*(evolution_bt_par_materiaux[[annee_mes]:[annee_mes]]=AI$77)*(evolution_bt_par_materiaux[[lineaire_bt_almelec]:[lineaire_bt_almelec]]))</f>
        <v>0</v>
      </c>
      <c r="AJ80" s="264" cm="1">
        <f t="array" ref="AJ80">SUMPRODUCT((evolution_bt_par_materiaux[[client]:[client]]=syndicat_etude)*(evolution_bt_par_materiaux[[annee]:[annee]]=Exercice[[Exercice N]:[Exercice N]])*(evolution_bt_par_materiaux[[annee_mes]:[annee_mes]]=AJ$77)*(evolution_bt_par_materiaux[[lineaire_bt_almelec]:[lineaire_bt_almelec]]))</f>
        <v>0</v>
      </c>
      <c r="AK80" s="264" cm="1">
        <f t="array" ref="AK80">SUMPRODUCT((evolution_bt_par_materiaux[[client]:[client]]=syndicat_etude)*(evolution_bt_par_materiaux[[annee]:[annee]]=Exercice[[Exercice N]:[Exercice N]])*(evolution_bt_par_materiaux[[annee_mes]:[annee_mes]]=AK$77)*(evolution_bt_par_materiaux[[lineaire_bt_almelec]:[lineaire_bt_almelec]]))</f>
        <v>0</v>
      </c>
      <c r="AL80" s="264" cm="1">
        <f t="array" ref="AL80">SUMPRODUCT((evolution_bt_par_materiaux[[client]:[client]]=syndicat_etude)*(evolution_bt_par_materiaux[[annee]:[annee]]=Exercice[[Exercice N]:[Exercice N]])*(evolution_bt_par_materiaux[[annee_mes]:[annee_mes]]=AL$77)*(evolution_bt_par_materiaux[[lineaire_bt_almelec]:[lineaire_bt_almelec]]))</f>
        <v>0</v>
      </c>
      <c r="AM80" s="264" cm="1">
        <f t="array" ref="AM80">SUMPRODUCT((evolution_bt_par_materiaux[[client]:[client]]=syndicat_etude)*(evolution_bt_par_materiaux[[annee]:[annee]]=Exercice[[Exercice N]:[Exercice N]])*(evolution_bt_par_materiaux[[annee_mes]:[annee_mes]]=AM$77)*(evolution_bt_par_materiaux[[lineaire_bt_almelec]:[lineaire_bt_almelec]]))</f>
        <v>0</v>
      </c>
      <c r="AN80" s="264" cm="1">
        <f t="array" ref="AN80">SUMPRODUCT((evolution_bt_par_materiaux[[client]:[client]]=syndicat_etude)*(evolution_bt_par_materiaux[[annee]:[annee]]=Exercice[[Exercice N]:[Exercice N]])*(evolution_bt_par_materiaux[[annee_mes]:[annee_mes]]=AN$77)*(evolution_bt_par_materiaux[[lineaire_bt_almelec]:[lineaire_bt_almelec]]))</f>
        <v>0</v>
      </c>
      <c r="AO80" s="264" cm="1">
        <f t="array" ref="AO80">SUMPRODUCT((evolution_bt_par_materiaux[[client]:[client]]=syndicat_etude)*(evolution_bt_par_materiaux[[annee]:[annee]]=Exercice[[Exercice N]:[Exercice N]])*(evolution_bt_par_materiaux[[annee_mes]:[annee_mes]]=AO$77)*(evolution_bt_par_materiaux[[lineaire_bt_almelec]:[lineaire_bt_almelec]]))</f>
        <v>0</v>
      </c>
      <c r="AP80" s="264" cm="1">
        <f t="array" ref="AP80">SUMPRODUCT((evolution_bt_par_materiaux[[client]:[client]]=syndicat_etude)*(evolution_bt_par_materiaux[[annee]:[annee]]=Exercice[[Exercice N]:[Exercice N]])*(evolution_bt_par_materiaux[[annee_mes]:[annee_mes]]=AP$77)*(evolution_bt_par_materiaux[[lineaire_bt_almelec]:[lineaire_bt_almelec]]))</f>
        <v>0.04</v>
      </c>
      <c r="AQ80" s="264" cm="1">
        <f t="array" ref="AQ80">SUMPRODUCT((evolution_bt_par_materiaux[[client]:[client]]=syndicat_etude)*(evolution_bt_par_materiaux[[annee]:[annee]]=Exercice[[Exercice N]:[Exercice N]])*(evolution_bt_par_materiaux[[annee_mes]:[annee_mes]]=AQ$77)*(evolution_bt_par_materiaux[[lineaire_bt_almelec]:[lineaire_bt_almelec]]))</f>
        <v>0</v>
      </c>
      <c r="AR80" s="264" cm="1">
        <f t="array" ref="AR80">SUMPRODUCT((evolution_bt_par_materiaux[[client]:[client]]=syndicat_etude)*(evolution_bt_par_materiaux[[annee]:[annee]]=Exercice[[Exercice N]:[Exercice N]])*(evolution_bt_par_materiaux[[annee_mes]:[annee_mes]]=AR$77)*(evolution_bt_par_materiaux[[lineaire_bt_almelec]:[lineaire_bt_almelec]]))</f>
        <v>0.14000000000000001</v>
      </c>
      <c r="AS80" s="264" cm="1">
        <f t="array" ref="AS80">SUMPRODUCT((evolution_bt_par_materiaux[[client]:[client]]=syndicat_etude)*(evolution_bt_par_materiaux[[annee]:[annee]]=Exercice[[Exercice N]:[Exercice N]])*(evolution_bt_par_materiaux[[annee_mes]:[annee_mes]]=AS$77)*(evolution_bt_par_materiaux[[lineaire_bt_almelec]:[lineaire_bt_almelec]]))</f>
        <v>0.15</v>
      </c>
      <c r="AT80" s="264" cm="1">
        <f t="array" ref="AT80">SUMPRODUCT((evolution_bt_par_materiaux[[client]:[client]]=syndicat_etude)*(evolution_bt_par_materiaux[[annee]:[annee]]=Exercice[[Exercice N]:[Exercice N]])*(evolution_bt_par_materiaux[[annee_mes]:[annee_mes]]=AT$77)*(evolution_bt_par_materiaux[[lineaire_bt_almelec]:[lineaire_bt_almelec]]))</f>
        <v>0</v>
      </c>
      <c r="AU80" s="264" cm="1">
        <f t="array" ref="AU80">SUMPRODUCT((evolution_bt_par_materiaux[[client]:[client]]=syndicat_etude)*(evolution_bt_par_materiaux[[annee]:[annee]]=Exercice[[Exercice N]:[Exercice N]])*(evolution_bt_par_materiaux[[annee_mes]:[annee_mes]]=AU$77)*(evolution_bt_par_materiaux[[lineaire_bt_almelec]:[lineaire_bt_almelec]]))</f>
        <v>0.23</v>
      </c>
      <c r="AV80" s="264" cm="1">
        <f t="array" ref="AV80">SUMPRODUCT((evolution_bt_par_materiaux[[client]:[client]]=syndicat_etude)*(evolution_bt_par_materiaux[[annee]:[annee]]=Exercice[[Exercice N]:[Exercice N]])*(evolution_bt_par_materiaux[[annee_mes]:[annee_mes]]=AV$77)*(evolution_bt_par_materiaux[[lineaire_bt_almelec]:[lineaire_bt_almelec]]))</f>
        <v>0</v>
      </c>
      <c r="AW80" s="264" cm="1">
        <f t="array" ref="AW80">SUMPRODUCT((evolution_bt_par_materiaux[[client]:[client]]=syndicat_etude)*(evolution_bt_par_materiaux[[annee]:[annee]]=Exercice[[Exercice N]:[Exercice N]])*(evolution_bt_par_materiaux[[annee_mes]:[annee_mes]]=AW$77)*(evolution_bt_par_materiaux[[lineaire_bt_almelec]:[lineaire_bt_almelec]]))</f>
        <v>2.19</v>
      </c>
      <c r="AX80" s="264" cm="1">
        <f t="array" ref="AX80">SUMPRODUCT((evolution_bt_par_materiaux[[client]:[client]]=syndicat_etude)*(evolution_bt_par_materiaux[[annee]:[annee]]=Exercice[[Exercice N]:[Exercice N]])*(evolution_bt_par_materiaux[[annee_mes]:[annee_mes]]=AX$77)*(evolution_bt_par_materiaux[[lineaire_bt_almelec]:[lineaire_bt_almelec]]))</f>
        <v>4.0199999999999996</v>
      </c>
      <c r="AY80" s="264" cm="1">
        <f t="array" ref="AY80">SUMPRODUCT((evolution_bt_par_materiaux[[client]:[client]]=syndicat_etude)*(evolution_bt_par_materiaux[[annee]:[annee]]=Exercice[[Exercice N]:[Exercice N]])*(evolution_bt_par_materiaux[[annee_mes]:[annee_mes]]=AY$77)*(evolution_bt_par_materiaux[[lineaire_bt_almelec]:[lineaire_bt_almelec]]))</f>
        <v>0.05</v>
      </c>
      <c r="AZ80" s="264" cm="1">
        <f t="array" ref="AZ80">SUMPRODUCT((evolution_bt_par_materiaux[[client]:[client]]=syndicat_etude)*(evolution_bt_par_materiaux[[annee]:[annee]]=Exercice[[Exercice N]:[Exercice N]])*(evolution_bt_par_materiaux[[annee_mes]:[annee_mes]]=AZ$77)*(evolution_bt_par_materiaux[[lineaire_bt_almelec]:[lineaire_bt_almelec]]))</f>
        <v>0.41</v>
      </c>
      <c r="BA80" s="264" cm="1">
        <f t="array" ref="BA80">SUMPRODUCT((evolution_bt_par_materiaux[[client]:[client]]=syndicat_etude)*(evolution_bt_par_materiaux[[annee]:[annee]]=Exercice[[Exercice N]:[Exercice N]])*(evolution_bt_par_materiaux[[annee_mes]:[annee_mes]]=BA$77)*(evolution_bt_par_materiaux[[lineaire_bt_almelec]:[lineaire_bt_almelec]]))</f>
        <v>0.04</v>
      </c>
      <c r="BB80" s="264" cm="1">
        <f t="array" ref="BB80">SUMPRODUCT((evolution_bt_par_materiaux[[client]:[client]]=syndicat_etude)*(evolution_bt_par_materiaux[[annee]:[annee]]=Exercice[[Exercice N]:[Exercice N]])*(evolution_bt_par_materiaux[[annee_mes]:[annee_mes]]=BB$77)*(evolution_bt_par_materiaux[[lineaire_bt_almelec]:[lineaire_bt_almelec]]))</f>
        <v>0.25</v>
      </c>
      <c r="BC80" s="264" cm="1">
        <f t="array" ref="BC80">SUMPRODUCT((evolution_bt_par_materiaux[[client]:[client]]=syndicat_etude)*(evolution_bt_par_materiaux[[annee]:[annee]]=Exercice[[Exercice N]:[Exercice N]])*(evolution_bt_par_materiaux[[annee_mes]:[annee_mes]]=BC$77)*(evolution_bt_par_materiaux[[lineaire_bt_almelec]:[lineaire_bt_almelec]]))</f>
        <v>0</v>
      </c>
      <c r="BD80" s="264" cm="1">
        <f t="array" ref="BD80">SUMPRODUCT((evolution_bt_par_materiaux[[client]:[client]]=syndicat_etude)*(evolution_bt_par_materiaux[[annee]:[annee]]=Exercice[[Exercice N]:[Exercice N]])*(evolution_bt_par_materiaux[[annee_mes]:[annee_mes]]=BD$77)*(evolution_bt_par_materiaux[[lineaire_bt_almelec]:[lineaire_bt_almelec]]))</f>
        <v>0</v>
      </c>
      <c r="BE80" s="264" cm="1">
        <f t="array" ref="BE80">SUMPRODUCT((evolution_bt_par_materiaux[[client]:[client]]=syndicat_etude)*(evolution_bt_par_materiaux[[annee]:[annee]]=Exercice[[Exercice N]:[Exercice N]])*(evolution_bt_par_materiaux[[annee_mes]:[annee_mes]]=BE$77)*(evolution_bt_par_materiaux[[lineaire_bt_almelec]:[lineaire_bt_almelec]]))</f>
        <v>0</v>
      </c>
      <c r="BF80" s="264" cm="1">
        <f t="array" ref="BF80">SUMPRODUCT((evolution_bt_par_materiaux[[client]:[client]]=syndicat_etude)*(evolution_bt_par_materiaux[[annee]:[annee]]=Exercice[[Exercice N]:[Exercice N]])*(evolution_bt_par_materiaux[[annee_mes]:[annee_mes]]=BF$77)*(evolution_bt_par_materiaux[[lineaire_bt_almelec]:[lineaire_bt_almelec]]))</f>
        <v>0</v>
      </c>
      <c r="BG80" s="264" cm="1">
        <f t="array" ref="BG80">SUMPRODUCT((evolution_bt_par_materiaux[[client]:[client]]=syndicat_etude)*(evolution_bt_par_materiaux[[annee]:[annee]]=Exercice[[Exercice N]:[Exercice N]])*(evolution_bt_par_materiaux[[annee_mes]:[annee_mes]]=BG$77)*(evolution_bt_par_materiaux[[lineaire_bt_almelec]:[lineaire_bt_almelec]]))</f>
        <v>0</v>
      </c>
      <c r="BH80" s="264" cm="1">
        <f t="array" ref="BH80">SUMPRODUCT((evolution_bt_par_materiaux[[client]:[client]]=syndicat_etude)*(evolution_bt_par_materiaux[[annee]:[annee]]=Exercice[[Exercice N]:[Exercice N]])*(evolution_bt_par_materiaux[[annee_mes]:[annee_mes]]=BH$77)*(evolution_bt_par_materiaux[[lineaire_bt_almelec]:[lineaire_bt_almelec]]))</f>
        <v>0</v>
      </c>
      <c r="BI80" s="264" cm="1">
        <f t="array" ref="BI80">SUMPRODUCT((evolution_bt_par_materiaux[[client]:[client]]=syndicat_etude)*(evolution_bt_par_materiaux[[annee]:[annee]]=Exercice[[Exercice N]:[Exercice N]])*(evolution_bt_par_materiaux[[annee_mes]:[annee_mes]]=BI$77)*(evolution_bt_par_materiaux[[lineaire_bt_almelec]:[lineaire_bt_almelec]]))</f>
        <v>0</v>
      </c>
      <c r="BJ80" s="264" cm="1">
        <f t="array" ref="BJ80">SUMPRODUCT((evolution_bt_par_materiaux[[client]:[client]]=syndicat_etude)*(evolution_bt_par_materiaux[[annee]:[annee]]=Exercice[[Exercice N]:[Exercice N]])*(evolution_bt_par_materiaux[[annee_mes]:[annee_mes]]=BJ$77)*(evolution_bt_par_materiaux[[lineaire_bt_almelec]:[lineaire_bt_almelec]]))</f>
        <v>0</v>
      </c>
      <c r="BK80" s="264" cm="1">
        <f t="array" ref="BK80">SUMPRODUCT((evolution_bt_par_materiaux[[client]:[client]]=syndicat_etude)*(evolution_bt_par_materiaux[[annee]:[annee]]=Exercice[[Exercice N]:[Exercice N]])*(evolution_bt_par_materiaux[[annee_mes]:[annee_mes]]=BK$77)*(evolution_bt_par_materiaux[[lineaire_bt_almelec]:[lineaire_bt_almelec]]))</f>
        <v>0</v>
      </c>
      <c r="BL80" s="264" cm="1">
        <f t="array" ref="BL80">SUMPRODUCT((evolution_bt_par_materiaux[[client]:[client]]=syndicat_etude)*(evolution_bt_par_materiaux[[annee]:[annee]]=Exercice[[Exercice N]:[Exercice N]])*(evolution_bt_par_materiaux[[annee_mes]:[annee_mes]]=BL$77)*(evolution_bt_par_materiaux[[lineaire_bt_almelec]:[lineaire_bt_almelec]]))</f>
        <v>0</v>
      </c>
      <c r="BM80" s="264" cm="1">
        <f t="array" ref="BM80">SUMPRODUCT((evolution_bt_par_materiaux[[client]:[client]]=syndicat_etude)*(evolution_bt_par_materiaux[[annee]:[annee]]=Exercice[[Exercice N]:[Exercice N]])*(evolution_bt_par_materiaux[[annee_mes]:[annee_mes]]=BM$77)*(evolution_bt_par_materiaux[[lineaire_bt_almelec]:[lineaire_bt_almelec]]))</f>
        <v>0</v>
      </c>
      <c r="BN80" s="264" cm="1">
        <f t="array" ref="BN80">SUMPRODUCT((evolution_bt_par_materiaux[[client]:[client]]=syndicat_etude)*(evolution_bt_par_materiaux[[annee]:[annee]]=Exercice[[Exercice N]:[Exercice N]])*(evolution_bt_par_materiaux[[annee_mes]:[annee_mes]]=BN$77)*(evolution_bt_par_materiaux[[lineaire_bt_almelec]:[lineaire_bt_almelec]]))</f>
        <v>0</v>
      </c>
      <c r="BO80" s="264" cm="1">
        <f t="array" ref="BO80">SUMPRODUCT((evolution_bt_par_materiaux[[client]:[client]]=syndicat_etude)*(evolution_bt_par_materiaux[[annee]:[annee]]=Exercice[[Exercice N]:[Exercice N]])*(evolution_bt_par_materiaux[[annee_mes]:[annee_mes]]=BO$77)*(evolution_bt_par_materiaux[[lineaire_bt_almelec]:[lineaire_bt_almelec]]))</f>
        <v>0</v>
      </c>
      <c r="BP80" s="264" cm="1">
        <f t="array" ref="BP80">SUMPRODUCT((evolution_bt_par_materiaux[[client]:[client]]=syndicat_etude)*(evolution_bt_par_materiaux[[annee]:[annee]]=Exercice[[Exercice N]:[Exercice N]])*(evolution_bt_par_materiaux[[annee_mes]:[annee_mes]]=BP$77)*(evolution_bt_par_materiaux[[lineaire_bt_almelec]:[lineaire_bt_almelec]]))</f>
        <v>0</v>
      </c>
      <c r="BQ80" s="264" cm="1">
        <f t="array" ref="BQ80">SUMPRODUCT((evolution_bt_par_materiaux[[client]:[client]]=syndicat_etude)*(evolution_bt_par_materiaux[[annee]:[annee]]=Exercice[[Exercice N]:[Exercice N]])*(evolution_bt_par_materiaux[[annee_mes]:[annee_mes]]=BQ$77)*(evolution_bt_par_materiaux[[lineaire_bt_almelec]:[lineaire_bt_almelec]]))</f>
        <v>0</v>
      </c>
      <c r="BR80" s="264" cm="1">
        <f t="array" ref="BR80">SUMPRODUCT((evolution_bt_par_materiaux[[client]:[client]]=syndicat_etude)*(evolution_bt_par_materiaux[[annee]:[annee]]=Exercice[[Exercice N]:[Exercice N]])*(evolution_bt_par_materiaux[[annee_mes]:[annee_mes]]=BR$77)*(evolution_bt_par_materiaux[[lineaire_bt_almelec]:[lineaire_bt_almelec]]))</f>
        <v>0</v>
      </c>
      <c r="BS80" s="264" cm="1">
        <f t="array" ref="BS80">SUMPRODUCT((evolution_bt_par_materiaux[[client]:[client]]=syndicat_etude)*(evolution_bt_par_materiaux[[annee]:[annee]]=Exercice[[Exercice N]:[Exercice N]])*(evolution_bt_par_materiaux[[annee_mes]:[annee_mes]]=BS$77)*(evolution_bt_par_materiaux[[lineaire_bt_almelec]:[lineaire_bt_almelec]]))</f>
        <v>0</v>
      </c>
      <c r="BT80" s="264" cm="1">
        <f t="array" ref="BT80">SUMPRODUCT((evolution_bt_par_materiaux[[client]:[client]]=syndicat_etude)*(evolution_bt_par_materiaux[[annee]:[annee]]=Exercice[[Exercice N]:[Exercice N]])*(evolution_bt_par_materiaux[[annee_mes]:[annee_mes]]=BT$77)*(evolution_bt_par_materiaux[[lineaire_bt_almelec]:[lineaire_bt_almelec]]))</f>
        <v>0</v>
      </c>
      <c r="BU80" s="264" cm="1">
        <f t="array" ref="BU80">SUMPRODUCT((evolution_bt_par_materiaux[[client]:[client]]=syndicat_etude)*(evolution_bt_par_materiaux[[annee]:[annee]]=Exercice[[Exercice N]:[Exercice N]])*(evolution_bt_par_materiaux[[annee_mes]:[annee_mes]]=BU$77)*(evolution_bt_par_materiaux[[lineaire_bt_almelec]:[lineaire_bt_almelec]]))</f>
        <v>0</v>
      </c>
      <c r="BV80" s="264" cm="1">
        <f t="array" ref="BV80">SUMPRODUCT((evolution_bt_par_materiaux[[client]:[client]]=syndicat_etude)*(evolution_bt_par_materiaux[[annee]:[annee]]=Exercice[[Exercice N]:[Exercice N]])*(evolution_bt_par_materiaux[[annee_mes]:[annee_mes]]=BV$77)*(evolution_bt_par_materiaux[[lineaire_bt_almelec]:[lineaire_bt_almelec]]))</f>
        <v>0</v>
      </c>
      <c r="BW80" s="264" cm="1">
        <f t="array" ref="BW80">SUMPRODUCT((evolution_bt_par_materiaux[[client]:[client]]=syndicat_etude)*(evolution_bt_par_materiaux[[annee]:[annee]]=Exercice[[Exercice N]:[Exercice N]])*(evolution_bt_par_materiaux[[annee_mes]:[annee_mes]]=BW$77)*(evolution_bt_par_materiaux[[lineaire_bt_almelec]:[lineaire_bt_almelec]]))</f>
        <v>0</v>
      </c>
      <c r="BX80" s="264" cm="1">
        <f t="array" ref="BX80">SUMPRODUCT((evolution_bt_par_materiaux[[client]:[client]]=syndicat_etude)*(evolution_bt_par_materiaux[[annee]:[annee]]=Exercice[[Exercice N]:[Exercice N]])*(evolution_bt_par_materiaux[[annee_mes]:[annee_mes]]=BX$77)*(evolution_bt_par_materiaux[[lineaire_bt_almelec]:[lineaire_bt_almelec]]))</f>
        <v>0</v>
      </c>
      <c r="BY80" s="264" cm="1">
        <f t="array" ref="BY80">SUMPRODUCT((evolution_bt_par_materiaux[[client]:[client]]=syndicat_etude)*(evolution_bt_par_materiaux[[annee]:[annee]]=Exercice[[Exercice N]:[Exercice N]])*(evolution_bt_par_materiaux[[annee_mes]:[annee_mes]]=BY$77)*(evolution_bt_par_materiaux[[lineaire_bt_almelec]:[lineaire_bt_almelec]]))</f>
        <v>0</v>
      </c>
      <c r="BZ80" s="264" cm="1">
        <f t="array" ref="BZ80">SUMPRODUCT((evolution_bt_par_materiaux[[client]:[client]]=syndicat_etude)*(evolution_bt_par_materiaux[[annee]:[annee]]=Exercice[[Exercice N]:[Exercice N]])*(evolution_bt_par_materiaux[[annee_mes]:[annee_mes]]=BZ$77)*(evolution_bt_par_materiaux[[lineaire_bt_almelec]:[lineaire_bt_almelec]]))</f>
        <v>0</v>
      </c>
      <c r="CA80" s="264" cm="1">
        <f t="array" ref="CA80">SUMPRODUCT((evolution_bt_par_materiaux[[client]:[client]]=syndicat_etude)*(evolution_bt_par_materiaux[[annee]:[annee]]=Exercice[[Exercice N]:[Exercice N]])*(evolution_bt_par_materiaux[[annee_mes]:[annee_mes]]=CA$77)*(evolution_bt_par_materiaux[[lineaire_bt_almelec]:[lineaire_bt_almelec]]))</f>
        <v>0</v>
      </c>
      <c r="CB80" s="264" cm="1">
        <f t="array" ref="CB80">SUMPRODUCT((evolution_bt_par_materiaux[[client]:[client]]=syndicat_etude)*(evolution_bt_par_materiaux[[annee]:[annee]]=Exercice[[Exercice N]:[Exercice N]])*(evolution_bt_par_materiaux[[annee_mes]:[annee_mes]]=CB$77)*(evolution_bt_par_materiaux[[lineaire_bt_almelec]:[lineaire_bt_almelec]]))</f>
        <v>0</v>
      </c>
      <c r="CC80" s="426" cm="1">
        <f t="array" ref="CC80">SUMPRODUCT((evolution_bt_par_materiaux[[client]:[client]]=syndicat_etude)*(evolution_bt_par_materiaux[[annee]:[annee]]=Exercice[[Exercice N]:[Exercice N]])*(evolution_bt_par_materiaux[[annee_mes]:[annee_mes]]=CC$77)*(evolution_bt_par_materiaux[[lineaire_bt_almelec]:[lineaire_bt_almelec]]))</f>
        <v>0</v>
      </c>
      <c r="CD80" s="406"/>
      <c r="CE80" s="406"/>
      <c r="CF80" s="406"/>
    </row>
    <row r="81" spans="2:84" x14ac:dyDescent="0.25">
      <c r="B81" s="6" t="s">
        <v>1185</v>
      </c>
      <c r="C81" s="264" cm="1">
        <f t="array" ref="C81">SUMPRODUCT((evolution_bt_par_materiaux[[client]:[client]]=syndicat_etude)*(evolution_bt_par_materiaux[[annee]:[annee]]=Exercice[[Exercice N]:[Exercice N]])*(evolution_bt_par_materiaux[[annee_mes]:[annee_mes]]&lt;1946)*(evolution_bt_par_materiaux[[lineaire_bt_cuivre]:[lineaire_bt_cuivre]]))</f>
        <v>0</v>
      </c>
      <c r="D81" s="264" cm="1">
        <f t="array" ref="D81">SUMPRODUCT((evolution_bt_par_materiaux[[client]:[client]]=syndicat_etude)*(evolution_bt_par_materiaux[[annee]:[annee]]=Exercice[[Exercice N]:[Exercice N]])*(evolution_bt_par_materiaux[[annee_mes]:[annee_mes]]=D$77)*(evolution_bt_par_materiaux[[lineaire_bt_cuivre]:[lineaire_bt_cuivre]]))</f>
        <v>52.15</v>
      </c>
      <c r="E81" s="264" cm="1">
        <f t="array" ref="E81">SUMPRODUCT((evolution_bt_par_materiaux[[client]:[client]]=syndicat_etude)*(evolution_bt_par_materiaux[[annee]:[annee]]=Exercice[[Exercice N]:[Exercice N]])*(evolution_bt_par_materiaux[[annee_mes]:[annee_mes]]=E$77)*(evolution_bt_par_materiaux[[lineaire_bt_cuivre]:[lineaire_bt_cuivre]]))</f>
        <v>0.23</v>
      </c>
      <c r="F81" s="264" cm="1">
        <f t="array" ref="F81">SUMPRODUCT((evolution_bt_par_materiaux[[client]:[client]]=syndicat_etude)*(evolution_bt_par_materiaux[[annee]:[annee]]=Exercice[[Exercice N]:[Exercice N]])*(evolution_bt_par_materiaux[[annee_mes]:[annee_mes]]=F$77)*(evolution_bt_par_materiaux[[lineaire_bt_cuivre]:[lineaire_bt_cuivre]]))</f>
        <v>0</v>
      </c>
      <c r="G81" s="264" cm="1">
        <f t="array" ref="G81">SUMPRODUCT((evolution_bt_par_materiaux[[client]:[client]]=syndicat_etude)*(evolution_bt_par_materiaux[[annee]:[annee]]=Exercice[[Exercice N]:[Exercice N]])*(evolution_bt_par_materiaux[[annee_mes]:[annee_mes]]=G$77)*(evolution_bt_par_materiaux[[lineaire_bt_cuivre]:[lineaire_bt_cuivre]]))</f>
        <v>0</v>
      </c>
      <c r="H81" s="264" cm="1">
        <f t="array" ref="H81">SUMPRODUCT((evolution_bt_par_materiaux[[client]:[client]]=syndicat_etude)*(evolution_bt_par_materiaux[[annee]:[annee]]=Exercice[[Exercice N]:[Exercice N]])*(evolution_bt_par_materiaux[[annee_mes]:[annee_mes]]=H$77)*(evolution_bt_par_materiaux[[lineaire_bt_cuivre]:[lineaire_bt_cuivre]]))</f>
        <v>0.32</v>
      </c>
      <c r="I81" s="264" cm="1">
        <f t="array" ref="I81">SUMPRODUCT((evolution_bt_par_materiaux[[client]:[client]]=syndicat_etude)*(evolution_bt_par_materiaux[[annee]:[annee]]=Exercice[[Exercice N]:[Exercice N]])*(evolution_bt_par_materiaux[[annee_mes]:[annee_mes]]=I$77)*(evolution_bt_par_materiaux[[lineaire_bt_cuivre]:[lineaire_bt_cuivre]]))</f>
        <v>0</v>
      </c>
      <c r="J81" s="264" cm="1">
        <f t="array" ref="J81">SUMPRODUCT((evolution_bt_par_materiaux[[client]:[client]]=syndicat_etude)*(evolution_bt_par_materiaux[[annee]:[annee]]=Exercice[[Exercice N]:[Exercice N]])*(evolution_bt_par_materiaux[[annee_mes]:[annee_mes]]=J$77)*(evolution_bt_par_materiaux[[lineaire_bt_cuivre]:[lineaire_bt_cuivre]]))</f>
        <v>0</v>
      </c>
      <c r="K81" s="264" cm="1">
        <f t="array" ref="K81">SUMPRODUCT((evolution_bt_par_materiaux[[client]:[client]]=syndicat_etude)*(evolution_bt_par_materiaux[[annee]:[annee]]=Exercice[[Exercice N]:[Exercice N]])*(evolution_bt_par_materiaux[[annee_mes]:[annee_mes]]=K$77)*(evolution_bt_par_materiaux[[lineaire_bt_cuivre]:[lineaire_bt_cuivre]]))</f>
        <v>0.04</v>
      </c>
      <c r="L81" s="264" cm="1">
        <f t="array" ref="L81">SUMPRODUCT((evolution_bt_par_materiaux[[client]:[client]]=syndicat_etude)*(evolution_bt_par_materiaux[[annee]:[annee]]=Exercice[[Exercice N]:[Exercice N]])*(evolution_bt_par_materiaux[[annee_mes]:[annee_mes]]=L$77)*(evolution_bt_par_materiaux[[lineaire_bt_cuivre]:[lineaire_bt_cuivre]]))</f>
        <v>0</v>
      </c>
      <c r="M81" s="264" cm="1">
        <f t="array" ref="M81">SUMPRODUCT((evolution_bt_par_materiaux[[client]:[client]]=syndicat_etude)*(evolution_bt_par_materiaux[[annee]:[annee]]=Exercice[[Exercice N]:[Exercice N]])*(evolution_bt_par_materiaux[[annee_mes]:[annee_mes]]=M$77)*(evolution_bt_par_materiaux[[lineaire_bt_cuivre]:[lineaire_bt_cuivre]]))</f>
        <v>0.04</v>
      </c>
      <c r="N81" s="264" cm="1">
        <f t="array" ref="N81">SUMPRODUCT((evolution_bt_par_materiaux[[client]:[client]]=syndicat_etude)*(evolution_bt_par_materiaux[[annee]:[annee]]=Exercice[[Exercice N]:[Exercice N]])*(evolution_bt_par_materiaux[[annee_mes]:[annee_mes]]=N$77)*(evolution_bt_par_materiaux[[lineaire_bt_cuivre]:[lineaire_bt_cuivre]]))</f>
        <v>0</v>
      </c>
      <c r="O81" s="264" cm="1">
        <f t="array" ref="O81">SUMPRODUCT((evolution_bt_par_materiaux[[client]:[client]]=syndicat_etude)*(evolution_bt_par_materiaux[[annee]:[annee]]=Exercice[[Exercice N]:[Exercice N]])*(evolution_bt_par_materiaux[[annee_mes]:[annee_mes]]=O$77)*(evolution_bt_par_materiaux[[lineaire_bt_cuivre]:[lineaire_bt_cuivre]]))</f>
        <v>0</v>
      </c>
      <c r="P81" s="264" cm="1">
        <f t="array" ref="P81">SUMPRODUCT((evolution_bt_par_materiaux[[client]:[client]]=syndicat_etude)*(evolution_bt_par_materiaux[[annee]:[annee]]=Exercice[[Exercice N]:[Exercice N]])*(evolution_bt_par_materiaux[[annee_mes]:[annee_mes]]=P$77)*(evolution_bt_par_materiaux[[lineaire_bt_cuivre]:[lineaire_bt_cuivre]]))</f>
        <v>0</v>
      </c>
      <c r="Q81" s="264" cm="1">
        <f t="array" ref="Q81">SUMPRODUCT((evolution_bt_par_materiaux[[client]:[client]]=syndicat_etude)*(evolution_bt_par_materiaux[[annee]:[annee]]=Exercice[[Exercice N]:[Exercice N]])*(evolution_bt_par_materiaux[[annee_mes]:[annee_mes]]=Q$77)*(evolution_bt_par_materiaux[[lineaire_bt_cuivre]:[lineaire_bt_cuivre]]))</f>
        <v>0.21</v>
      </c>
      <c r="R81" s="264" cm="1">
        <f t="array" ref="R81">SUMPRODUCT((evolution_bt_par_materiaux[[client]:[client]]=syndicat_etude)*(evolution_bt_par_materiaux[[annee]:[annee]]=Exercice[[Exercice N]:[Exercice N]])*(evolution_bt_par_materiaux[[annee_mes]:[annee_mes]]=R$77)*(evolution_bt_par_materiaux[[lineaire_bt_cuivre]:[lineaire_bt_cuivre]]))</f>
        <v>0</v>
      </c>
      <c r="S81" s="264" cm="1">
        <f t="array" ref="S81">SUMPRODUCT((evolution_bt_par_materiaux[[client]:[client]]=syndicat_etude)*(evolution_bt_par_materiaux[[annee]:[annee]]=Exercice[[Exercice N]:[Exercice N]])*(evolution_bt_par_materiaux[[annee_mes]:[annee_mes]]=S$77)*(evolution_bt_par_materiaux[[lineaire_bt_cuivre]:[lineaire_bt_cuivre]]))</f>
        <v>0</v>
      </c>
      <c r="T81" s="264" cm="1">
        <f t="array" ref="T81">SUMPRODUCT((evolution_bt_par_materiaux[[client]:[client]]=syndicat_etude)*(evolution_bt_par_materiaux[[annee]:[annee]]=Exercice[[Exercice N]:[Exercice N]])*(evolution_bt_par_materiaux[[annee_mes]:[annee_mes]]=T$77)*(evolution_bt_par_materiaux[[lineaire_bt_cuivre]:[lineaire_bt_cuivre]]))</f>
        <v>0</v>
      </c>
      <c r="U81" s="264" cm="1">
        <f t="array" ref="U81">SUMPRODUCT((evolution_bt_par_materiaux[[client]:[client]]=syndicat_etude)*(evolution_bt_par_materiaux[[annee]:[annee]]=Exercice[[Exercice N]:[Exercice N]])*(evolution_bt_par_materiaux[[annee_mes]:[annee_mes]]=U$77)*(evolution_bt_par_materiaux[[lineaire_bt_cuivre]:[lineaire_bt_cuivre]]))</f>
        <v>0</v>
      </c>
      <c r="V81" s="264" cm="1">
        <f t="array" ref="V81">SUMPRODUCT((evolution_bt_par_materiaux[[client]:[client]]=syndicat_etude)*(evolution_bt_par_materiaux[[annee]:[annee]]=Exercice[[Exercice N]:[Exercice N]])*(evolution_bt_par_materiaux[[annee_mes]:[annee_mes]]=V$77)*(evolution_bt_par_materiaux[[lineaire_bt_cuivre]:[lineaire_bt_cuivre]]))</f>
        <v>0</v>
      </c>
      <c r="W81" s="264" cm="1">
        <f t="array" ref="W81">SUMPRODUCT((evolution_bt_par_materiaux[[client]:[client]]=syndicat_etude)*(evolution_bt_par_materiaux[[annee]:[annee]]=Exercice[[Exercice N]:[Exercice N]])*(evolution_bt_par_materiaux[[annee_mes]:[annee_mes]]=W$77)*(evolution_bt_par_materiaux[[lineaire_bt_cuivre]:[lineaire_bt_cuivre]]))</f>
        <v>0</v>
      </c>
      <c r="X81" s="264" cm="1">
        <f t="array" ref="X81">SUMPRODUCT((evolution_bt_par_materiaux[[client]:[client]]=syndicat_etude)*(evolution_bt_par_materiaux[[annee]:[annee]]=Exercice[[Exercice N]:[Exercice N]])*(evolution_bt_par_materiaux[[annee_mes]:[annee_mes]]=X$77)*(evolution_bt_par_materiaux[[lineaire_bt_cuivre]:[lineaire_bt_cuivre]]))</f>
        <v>0.64</v>
      </c>
      <c r="Y81" s="264" cm="1">
        <f t="array" ref="Y81">SUMPRODUCT((evolution_bt_par_materiaux[[client]:[client]]=syndicat_etude)*(evolution_bt_par_materiaux[[annee]:[annee]]=Exercice[[Exercice N]:[Exercice N]])*(evolution_bt_par_materiaux[[annee_mes]:[annee_mes]]=Y$77)*(evolution_bt_par_materiaux[[lineaire_bt_cuivre]:[lineaire_bt_cuivre]]))</f>
        <v>0.02</v>
      </c>
      <c r="Z81" s="264" cm="1">
        <f t="array" ref="Z81">SUMPRODUCT((evolution_bt_par_materiaux[[client]:[client]]=syndicat_etude)*(evolution_bt_par_materiaux[[annee]:[annee]]=Exercice[[Exercice N]:[Exercice N]])*(evolution_bt_par_materiaux[[annee_mes]:[annee_mes]]=Z$77)*(evolution_bt_par_materiaux[[lineaire_bt_cuivre]:[lineaire_bt_cuivre]]))</f>
        <v>0</v>
      </c>
      <c r="AA81" s="264" cm="1">
        <f t="array" ref="AA81">SUMPRODUCT((evolution_bt_par_materiaux[[client]:[client]]=syndicat_etude)*(evolution_bt_par_materiaux[[annee]:[annee]]=Exercice[[Exercice N]:[Exercice N]])*(evolution_bt_par_materiaux[[annee_mes]:[annee_mes]]=AA$77)*(evolution_bt_par_materiaux[[lineaire_bt_cuivre]:[lineaire_bt_cuivre]]))</f>
        <v>0</v>
      </c>
      <c r="AB81" s="264" cm="1">
        <f t="array" ref="AB81">SUMPRODUCT((evolution_bt_par_materiaux[[client]:[client]]=syndicat_etude)*(evolution_bt_par_materiaux[[annee]:[annee]]=Exercice[[Exercice N]:[Exercice N]])*(evolution_bt_par_materiaux[[annee_mes]:[annee_mes]]=AB$77)*(evolution_bt_par_materiaux[[lineaire_bt_cuivre]:[lineaire_bt_cuivre]]))</f>
        <v>0.05</v>
      </c>
      <c r="AC81" s="264" cm="1">
        <f t="array" ref="AC81">SUMPRODUCT((evolution_bt_par_materiaux[[client]:[client]]=syndicat_etude)*(evolution_bt_par_materiaux[[annee]:[annee]]=Exercice[[Exercice N]:[Exercice N]])*(evolution_bt_par_materiaux[[annee_mes]:[annee_mes]]=AC$77)*(evolution_bt_par_materiaux[[lineaire_bt_cuivre]:[lineaire_bt_cuivre]]))</f>
        <v>0.33</v>
      </c>
      <c r="AD81" s="264" cm="1">
        <f t="array" ref="AD81">SUMPRODUCT((evolution_bt_par_materiaux[[client]:[client]]=syndicat_etude)*(evolution_bt_par_materiaux[[annee]:[annee]]=Exercice[[Exercice N]:[Exercice N]])*(evolution_bt_par_materiaux[[annee_mes]:[annee_mes]]=AD$77)*(evolution_bt_par_materiaux[[lineaire_bt_cuivre]:[lineaire_bt_cuivre]]))</f>
        <v>0</v>
      </c>
      <c r="AE81" s="264" cm="1">
        <f t="array" ref="AE81">SUMPRODUCT((evolution_bt_par_materiaux[[client]:[client]]=syndicat_etude)*(evolution_bt_par_materiaux[[annee]:[annee]]=Exercice[[Exercice N]:[Exercice N]])*(evolution_bt_par_materiaux[[annee_mes]:[annee_mes]]=AE$77)*(evolution_bt_par_materiaux[[lineaire_bt_cuivre]:[lineaire_bt_cuivre]]))</f>
        <v>0</v>
      </c>
      <c r="AF81" s="264" cm="1">
        <f t="array" ref="AF81">SUMPRODUCT((evolution_bt_par_materiaux[[client]:[client]]=syndicat_etude)*(evolution_bt_par_materiaux[[annee]:[annee]]=Exercice[[Exercice N]:[Exercice N]])*(evolution_bt_par_materiaux[[annee_mes]:[annee_mes]]=AF$77)*(evolution_bt_par_materiaux[[lineaire_bt_cuivre]:[lineaire_bt_cuivre]]))</f>
        <v>0.1</v>
      </c>
      <c r="AG81" s="264" cm="1">
        <f t="array" ref="AG81">SUMPRODUCT((evolution_bt_par_materiaux[[client]:[client]]=syndicat_etude)*(evolution_bt_par_materiaux[[annee]:[annee]]=Exercice[[Exercice N]:[Exercice N]])*(evolution_bt_par_materiaux[[annee_mes]:[annee_mes]]=AG$77)*(evolution_bt_par_materiaux[[lineaire_bt_cuivre]:[lineaire_bt_cuivre]]))</f>
        <v>0</v>
      </c>
      <c r="AH81" s="264" cm="1">
        <f t="array" ref="AH81">SUMPRODUCT((evolution_bt_par_materiaux[[client]:[client]]=syndicat_etude)*(evolution_bt_par_materiaux[[annee]:[annee]]=Exercice[[Exercice N]:[Exercice N]])*(evolution_bt_par_materiaux[[annee_mes]:[annee_mes]]=AH$77)*(evolution_bt_par_materiaux[[lineaire_bt_cuivre]:[lineaire_bt_cuivre]]))</f>
        <v>0</v>
      </c>
      <c r="AI81" s="264" cm="1">
        <f t="array" ref="AI81">SUMPRODUCT((evolution_bt_par_materiaux[[client]:[client]]=syndicat_etude)*(evolution_bt_par_materiaux[[annee]:[annee]]=Exercice[[Exercice N]:[Exercice N]])*(evolution_bt_par_materiaux[[annee_mes]:[annee_mes]]=AI$77)*(evolution_bt_par_materiaux[[lineaire_bt_cuivre]:[lineaire_bt_cuivre]]))</f>
        <v>0</v>
      </c>
      <c r="AJ81" s="264" cm="1">
        <f t="array" ref="AJ81">SUMPRODUCT((evolution_bt_par_materiaux[[client]:[client]]=syndicat_etude)*(evolution_bt_par_materiaux[[annee]:[annee]]=Exercice[[Exercice N]:[Exercice N]])*(evolution_bt_par_materiaux[[annee_mes]:[annee_mes]]=AJ$77)*(evolution_bt_par_materiaux[[lineaire_bt_cuivre]:[lineaire_bt_cuivre]]))</f>
        <v>0</v>
      </c>
      <c r="AK81" s="264" cm="1">
        <f t="array" ref="AK81">SUMPRODUCT((evolution_bt_par_materiaux[[client]:[client]]=syndicat_etude)*(evolution_bt_par_materiaux[[annee]:[annee]]=Exercice[[Exercice N]:[Exercice N]])*(evolution_bt_par_materiaux[[annee_mes]:[annee_mes]]=AK$77)*(evolution_bt_par_materiaux[[lineaire_bt_cuivre]:[lineaire_bt_cuivre]]))</f>
        <v>0</v>
      </c>
      <c r="AL81" s="264" cm="1">
        <f t="array" ref="AL81">SUMPRODUCT((evolution_bt_par_materiaux[[client]:[client]]=syndicat_etude)*(evolution_bt_par_materiaux[[annee]:[annee]]=Exercice[[Exercice N]:[Exercice N]])*(evolution_bt_par_materiaux[[annee_mes]:[annee_mes]]=AL$77)*(evolution_bt_par_materiaux[[lineaire_bt_cuivre]:[lineaire_bt_cuivre]]))</f>
        <v>0</v>
      </c>
      <c r="AM81" s="264" cm="1">
        <f t="array" ref="AM81">SUMPRODUCT((evolution_bt_par_materiaux[[client]:[client]]=syndicat_etude)*(evolution_bt_par_materiaux[[annee]:[annee]]=Exercice[[Exercice N]:[Exercice N]])*(evolution_bt_par_materiaux[[annee_mes]:[annee_mes]]=AM$77)*(evolution_bt_par_materiaux[[lineaire_bt_cuivre]:[lineaire_bt_cuivre]]))</f>
        <v>0.14000000000000001</v>
      </c>
      <c r="AN81" s="264" cm="1">
        <f t="array" ref="AN81">SUMPRODUCT((evolution_bt_par_materiaux[[client]:[client]]=syndicat_etude)*(evolution_bt_par_materiaux[[annee]:[annee]]=Exercice[[Exercice N]:[Exercice N]])*(evolution_bt_par_materiaux[[annee_mes]:[annee_mes]]=AN$77)*(evolution_bt_par_materiaux[[lineaire_bt_cuivre]:[lineaire_bt_cuivre]]))</f>
        <v>0.08</v>
      </c>
      <c r="AO81" s="264" cm="1">
        <f t="array" ref="AO81">SUMPRODUCT((evolution_bt_par_materiaux[[client]:[client]]=syndicat_etude)*(evolution_bt_par_materiaux[[annee]:[annee]]=Exercice[[Exercice N]:[Exercice N]])*(evolution_bt_par_materiaux[[annee_mes]:[annee_mes]]=AO$77)*(evolution_bt_par_materiaux[[lineaire_bt_cuivre]:[lineaire_bt_cuivre]]))</f>
        <v>0.09</v>
      </c>
      <c r="AP81" s="264" cm="1">
        <f t="array" ref="AP81">SUMPRODUCT((evolution_bt_par_materiaux[[client]:[client]]=syndicat_etude)*(evolution_bt_par_materiaux[[annee]:[annee]]=Exercice[[Exercice N]:[Exercice N]])*(evolution_bt_par_materiaux[[annee_mes]:[annee_mes]]=AP$77)*(evolution_bt_par_materiaux[[lineaire_bt_cuivre]:[lineaire_bt_cuivre]]))</f>
        <v>0.06</v>
      </c>
      <c r="AQ81" s="264" cm="1">
        <f t="array" ref="AQ81">SUMPRODUCT((evolution_bt_par_materiaux[[client]:[client]]=syndicat_etude)*(evolution_bt_par_materiaux[[annee]:[annee]]=Exercice[[Exercice N]:[Exercice N]])*(evolution_bt_par_materiaux[[annee_mes]:[annee_mes]]=AQ$77)*(evolution_bt_par_materiaux[[lineaire_bt_cuivre]:[lineaire_bt_cuivre]]))</f>
        <v>5.39</v>
      </c>
      <c r="AR81" s="264" cm="1">
        <f t="array" ref="AR81">SUMPRODUCT((evolution_bt_par_materiaux[[client]:[client]]=syndicat_etude)*(evolution_bt_par_materiaux[[annee]:[annee]]=Exercice[[Exercice N]:[Exercice N]])*(evolution_bt_par_materiaux[[annee_mes]:[annee_mes]]=AR$77)*(evolution_bt_par_materiaux[[lineaire_bt_cuivre]:[lineaire_bt_cuivre]]))</f>
        <v>29.67</v>
      </c>
      <c r="AS81" s="264" cm="1">
        <f t="array" ref="AS81">SUMPRODUCT((evolution_bt_par_materiaux[[client]:[client]]=syndicat_etude)*(evolution_bt_par_materiaux[[annee]:[annee]]=Exercice[[Exercice N]:[Exercice N]])*(evolution_bt_par_materiaux[[annee_mes]:[annee_mes]]=AS$77)*(evolution_bt_par_materiaux[[lineaire_bt_cuivre]:[lineaire_bt_cuivre]]))</f>
        <v>20.260000000000002</v>
      </c>
      <c r="AT81" s="264" cm="1">
        <f t="array" ref="AT81">SUMPRODUCT((evolution_bt_par_materiaux[[client]:[client]]=syndicat_etude)*(evolution_bt_par_materiaux[[annee]:[annee]]=Exercice[[Exercice N]:[Exercice N]])*(evolution_bt_par_materiaux[[annee_mes]:[annee_mes]]=AT$77)*(evolution_bt_par_materiaux[[lineaire_bt_cuivre]:[lineaire_bt_cuivre]]))</f>
        <v>0</v>
      </c>
      <c r="AU81" s="264" cm="1">
        <f t="array" ref="AU81">SUMPRODUCT((evolution_bt_par_materiaux[[client]:[client]]=syndicat_etude)*(evolution_bt_par_materiaux[[annee]:[annee]]=Exercice[[Exercice N]:[Exercice N]])*(evolution_bt_par_materiaux[[annee_mes]:[annee_mes]]=AU$77)*(evolution_bt_par_materiaux[[lineaire_bt_cuivre]:[lineaire_bt_cuivre]]))</f>
        <v>35.39</v>
      </c>
      <c r="AV81" s="264" cm="1">
        <f t="array" ref="AV81">SUMPRODUCT((evolution_bt_par_materiaux[[client]:[client]]=syndicat_etude)*(evolution_bt_par_materiaux[[annee]:[annee]]=Exercice[[Exercice N]:[Exercice N]])*(evolution_bt_par_materiaux[[annee_mes]:[annee_mes]]=AV$77)*(evolution_bt_par_materiaux[[lineaire_bt_cuivre]:[lineaire_bt_cuivre]]))</f>
        <v>9.83</v>
      </c>
      <c r="AW81" s="264" cm="1">
        <f t="array" ref="AW81">SUMPRODUCT((evolution_bt_par_materiaux[[client]:[client]]=syndicat_etude)*(evolution_bt_par_materiaux[[annee]:[annee]]=Exercice[[Exercice N]:[Exercice N]])*(evolution_bt_par_materiaux[[annee_mes]:[annee_mes]]=AW$77)*(evolution_bt_par_materiaux[[lineaire_bt_cuivre]:[lineaire_bt_cuivre]]))</f>
        <v>34.159999999999997</v>
      </c>
      <c r="AX81" s="264" cm="1">
        <f t="array" ref="AX81">SUMPRODUCT((evolution_bt_par_materiaux[[client]:[client]]=syndicat_etude)*(evolution_bt_par_materiaux[[annee]:[annee]]=Exercice[[Exercice N]:[Exercice N]])*(evolution_bt_par_materiaux[[annee_mes]:[annee_mes]]=AX$77)*(evolution_bt_par_materiaux[[lineaire_bt_cuivre]:[lineaire_bt_cuivre]]))</f>
        <v>37.89</v>
      </c>
      <c r="AY81" s="264" cm="1">
        <f t="array" ref="AY81">SUMPRODUCT((evolution_bt_par_materiaux[[client]:[client]]=syndicat_etude)*(evolution_bt_par_materiaux[[annee]:[annee]]=Exercice[[Exercice N]:[Exercice N]])*(evolution_bt_par_materiaux[[annee_mes]:[annee_mes]]=AY$77)*(evolution_bt_par_materiaux[[lineaire_bt_cuivre]:[lineaire_bt_cuivre]]))</f>
        <v>12.03</v>
      </c>
      <c r="AZ81" s="264" cm="1">
        <f t="array" ref="AZ81">SUMPRODUCT((evolution_bt_par_materiaux[[client]:[client]]=syndicat_etude)*(evolution_bt_par_materiaux[[annee]:[annee]]=Exercice[[Exercice N]:[Exercice N]])*(evolution_bt_par_materiaux[[annee_mes]:[annee_mes]]=AZ$77)*(evolution_bt_par_materiaux[[lineaire_bt_cuivre]:[lineaire_bt_cuivre]]))</f>
        <v>2.11</v>
      </c>
      <c r="BA81" s="264" cm="1">
        <f t="array" ref="BA81">SUMPRODUCT((evolution_bt_par_materiaux[[client]:[client]]=syndicat_etude)*(evolution_bt_par_materiaux[[annee]:[annee]]=Exercice[[Exercice N]:[Exercice N]])*(evolution_bt_par_materiaux[[annee_mes]:[annee_mes]]=BA$77)*(evolution_bt_par_materiaux[[lineaire_bt_cuivre]:[lineaire_bt_cuivre]]))</f>
        <v>0.79</v>
      </c>
      <c r="BB81" s="264" cm="1">
        <f t="array" ref="BB81">SUMPRODUCT((evolution_bt_par_materiaux[[client]:[client]]=syndicat_etude)*(evolution_bt_par_materiaux[[annee]:[annee]]=Exercice[[Exercice N]:[Exercice N]])*(evolution_bt_par_materiaux[[annee_mes]:[annee_mes]]=BB$77)*(evolution_bt_par_materiaux[[lineaire_bt_cuivre]:[lineaire_bt_cuivre]]))</f>
        <v>0.05</v>
      </c>
      <c r="BC81" s="264" cm="1">
        <f t="array" ref="BC81">SUMPRODUCT((evolution_bt_par_materiaux[[client]:[client]]=syndicat_etude)*(evolution_bt_par_materiaux[[annee]:[annee]]=Exercice[[Exercice N]:[Exercice N]])*(evolution_bt_par_materiaux[[annee_mes]:[annee_mes]]=BC$77)*(evolution_bt_par_materiaux[[lineaire_bt_cuivre]:[lineaire_bt_cuivre]]))</f>
        <v>0</v>
      </c>
      <c r="BD81" s="264" cm="1">
        <f t="array" ref="BD81">SUMPRODUCT((evolution_bt_par_materiaux[[client]:[client]]=syndicat_etude)*(evolution_bt_par_materiaux[[annee]:[annee]]=Exercice[[Exercice N]:[Exercice N]])*(evolution_bt_par_materiaux[[annee_mes]:[annee_mes]]=BD$77)*(evolution_bt_par_materiaux[[lineaire_bt_cuivre]:[lineaire_bt_cuivre]]))</f>
        <v>0.04</v>
      </c>
      <c r="BE81" s="264" cm="1">
        <f t="array" ref="BE81">SUMPRODUCT((evolution_bt_par_materiaux[[client]:[client]]=syndicat_etude)*(evolution_bt_par_materiaux[[annee]:[annee]]=Exercice[[Exercice N]:[Exercice N]])*(evolution_bt_par_materiaux[[annee_mes]:[annee_mes]]=BE$77)*(evolution_bt_par_materiaux[[lineaire_bt_cuivre]:[lineaire_bt_cuivre]]))</f>
        <v>0</v>
      </c>
      <c r="BF81" s="264" cm="1">
        <f t="array" ref="BF81">SUMPRODUCT((evolution_bt_par_materiaux[[client]:[client]]=syndicat_etude)*(evolution_bt_par_materiaux[[annee]:[annee]]=Exercice[[Exercice N]:[Exercice N]])*(evolution_bt_par_materiaux[[annee_mes]:[annee_mes]]=BF$77)*(evolution_bt_par_materiaux[[lineaire_bt_cuivre]:[lineaire_bt_cuivre]]))</f>
        <v>0.04</v>
      </c>
      <c r="BG81" s="264" cm="1">
        <f t="array" ref="BG81">SUMPRODUCT((evolution_bt_par_materiaux[[client]:[client]]=syndicat_etude)*(evolution_bt_par_materiaux[[annee]:[annee]]=Exercice[[Exercice N]:[Exercice N]])*(evolution_bt_par_materiaux[[annee_mes]:[annee_mes]]=BG$77)*(evolution_bt_par_materiaux[[lineaire_bt_cuivre]:[lineaire_bt_cuivre]]))</f>
        <v>0.03</v>
      </c>
      <c r="BH81" s="264" cm="1">
        <f t="array" ref="BH81">SUMPRODUCT((evolution_bt_par_materiaux[[client]:[client]]=syndicat_etude)*(evolution_bt_par_materiaux[[annee]:[annee]]=Exercice[[Exercice N]:[Exercice N]])*(evolution_bt_par_materiaux[[annee_mes]:[annee_mes]]=BH$77)*(evolution_bt_par_materiaux[[lineaire_bt_cuivre]:[lineaire_bt_cuivre]]))</f>
        <v>0</v>
      </c>
      <c r="BI81" s="264" cm="1">
        <f t="array" ref="BI81">SUMPRODUCT((evolution_bt_par_materiaux[[client]:[client]]=syndicat_etude)*(evolution_bt_par_materiaux[[annee]:[annee]]=Exercice[[Exercice N]:[Exercice N]])*(evolution_bt_par_materiaux[[annee_mes]:[annee_mes]]=BI$77)*(evolution_bt_par_materiaux[[lineaire_bt_cuivre]:[lineaire_bt_cuivre]]))</f>
        <v>0</v>
      </c>
      <c r="BJ81" s="264" cm="1">
        <f t="array" ref="BJ81">SUMPRODUCT((evolution_bt_par_materiaux[[client]:[client]]=syndicat_etude)*(evolution_bt_par_materiaux[[annee]:[annee]]=Exercice[[Exercice N]:[Exercice N]])*(evolution_bt_par_materiaux[[annee_mes]:[annee_mes]]=BJ$77)*(evolution_bt_par_materiaux[[lineaire_bt_cuivre]:[lineaire_bt_cuivre]]))</f>
        <v>0.01</v>
      </c>
      <c r="BK81" s="264" cm="1">
        <f t="array" ref="BK81">SUMPRODUCT((evolution_bt_par_materiaux[[client]:[client]]=syndicat_etude)*(evolution_bt_par_materiaux[[annee]:[annee]]=Exercice[[Exercice N]:[Exercice N]])*(evolution_bt_par_materiaux[[annee_mes]:[annee_mes]]=BK$77)*(evolution_bt_par_materiaux[[lineaire_bt_cuivre]:[lineaire_bt_cuivre]]))</f>
        <v>0.01</v>
      </c>
      <c r="BL81" s="264" cm="1">
        <f t="array" ref="BL81">SUMPRODUCT((evolution_bt_par_materiaux[[client]:[client]]=syndicat_etude)*(evolution_bt_par_materiaux[[annee]:[annee]]=Exercice[[Exercice N]:[Exercice N]])*(evolution_bt_par_materiaux[[annee_mes]:[annee_mes]]=BL$77)*(evolution_bt_par_materiaux[[lineaire_bt_cuivre]:[lineaire_bt_cuivre]]))</f>
        <v>0</v>
      </c>
      <c r="BM81" s="264" cm="1">
        <f t="array" ref="BM81">SUMPRODUCT((evolution_bt_par_materiaux[[client]:[client]]=syndicat_etude)*(evolution_bt_par_materiaux[[annee]:[annee]]=Exercice[[Exercice N]:[Exercice N]])*(evolution_bt_par_materiaux[[annee_mes]:[annee_mes]]=BM$77)*(evolution_bt_par_materiaux[[lineaire_bt_cuivre]:[lineaire_bt_cuivre]]))</f>
        <v>0</v>
      </c>
      <c r="BN81" s="264" cm="1">
        <f t="array" ref="BN81">SUMPRODUCT((evolution_bt_par_materiaux[[client]:[client]]=syndicat_etude)*(evolution_bt_par_materiaux[[annee]:[annee]]=Exercice[[Exercice N]:[Exercice N]])*(evolution_bt_par_materiaux[[annee_mes]:[annee_mes]]=BN$77)*(evolution_bt_par_materiaux[[lineaire_bt_cuivre]:[lineaire_bt_cuivre]]))</f>
        <v>0</v>
      </c>
      <c r="BO81" s="264" cm="1">
        <f t="array" ref="BO81">SUMPRODUCT((evolution_bt_par_materiaux[[client]:[client]]=syndicat_etude)*(evolution_bt_par_materiaux[[annee]:[annee]]=Exercice[[Exercice N]:[Exercice N]])*(evolution_bt_par_materiaux[[annee_mes]:[annee_mes]]=BO$77)*(evolution_bt_par_materiaux[[lineaire_bt_cuivre]:[lineaire_bt_cuivre]]))</f>
        <v>0.12</v>
      </c>
      <c r="BP81" s="264" cm="1">
        <f t="array" ref="BP81">SUMPRODUCT((evolution_bt_par_materiaux[[client]:[client]]=syndicat_etude)*(evolution_bt_par_materiaux[[annee]:[annee]]=Exercice[[Exercice N]:[Exercice N]])*(evolution_bt_par_materiaux[[annee_mes]:[annee_mes]]=BP$77)*(evolution_bt_par_materiaux[[lineaire_bt_cuivre]:[lineaire_bt_cuivre]]))</f>
        <v>0</v>
      </c>
      <c r="BQ81" s="264" cm="1">
        <f t="array" ref="BQ81">SUMPRODUCT((evolution_bt_par_materiaux[[client]:[client]]=syndicat_etude)*(evolution_bt_par_materiaux[[annee]:[annee]]=Exercice[[Exercice N]:[Exercice N]])*(evolution_bt_par_materiaux[[annee_mes]:[annee_mes]]=BQ$77)*(evolution_bt_par_materiaux[[lineaire_bt_cuivre]:[lineaire_bt_cuivre]]))</f>
        <v>0</v>
      </c>
      <c r="BR81" s="264" cm="1">
        <f t="array" ref="BR81">SUMPRODUCT((evolution_bt_par_materiaux[[client]:[client]]=syndicat_etude)*(evolution_bt_par_materiaux[[annee]:[annee]]=Exercice[[Exercice N]:[Exercice N]])*(evolution_bt_par_materiaux[[annee_mes]:[annee_mes]]=BR$77)*(evolution_bt_par_materiaux[[lineaire_bt_cuivre]:[lineaire_bt_cuivre]]))</f>
        <v>0</v>
      </c>
      <c r="BS81" s="264" cm="1">
        <f t="array" ref="BS81">SUMPRODUCT((evolution_bt_par_materiaux[[client]:[client]]=syndicat_etude)*(evolution_bt_par_materiaux[[annee]:[annee]]=Exercice[[Exercice N]:[Exercice N]])*(evolution_bt_par_materiaux[[annee_mes]:[annee_mes]]=BS$77)*(evolution_bt_par_materiaux[[lineaire_bt_cuivre]:[lineaire_bt_cuivre]]))</f>
        <v>0</v>
      </c>
      <c r="BT81" s="264" cm="1">
        <f t="array" ref="BT81">SUMPRODUCT((evolution_bt_par_materiaux[[client]:[client]]=syndicat_etude)*(evolution_bt_par_materiaux[[annee]:[annee]]=Exercice[[Exercice N]:[Exercice N]])*(evolution_bt_par_materiaux[[annee_mes]:[annee_mes]]=BT$77)*(evolution_bt_par_materiaux[[lineaire_bt_cuivre]:[lineaire_bt_cuivre]]))</f>
        <v>0</v>
      </c>
      <c r="BU81" s="264" cm="1">
        <f t="array" ref="BU81">SUMPRODUCT((evolution_bt_par_materiaux[[client]:[client]]=syndicat_etude)*(evolution_bt_par_materiaux[[annee]:[annee]]=Exercice[[Exercice N]:[Exercice N]])*(evolution_bt_par_materiaux[[annee_mes]:[annee_mes]]=BU$77)*(evolution_bt_par_materiaux[[lineaire_bt_cuivre]:[lineaire_bt_cuivre]]))</f>
        <v>0</v>
      </c>
      <c r="BV81" s="264" cm="1">
        <f t="array" ref="BV81">SUMPRODUCT((evolution_bt_par_materiaux[[client]:[client]]=syndicat_etude)*(evolution_bt_par_materiaux[[annee]:[annee]]=Exercice[[Exercice N]:[Exercice N]])*(evolution_bt_par_materiaux[[annee_mes]:[annee_mes]]=BV$77)*(evolution_bt_par_materiaux[[lineaire_bt_cuivre]:[lineaire_bt_cuivre]]))</f>
        <v>0</v>
      </c>
      <c r="BW81" s="264" cm="1">
        <f t="array" ref="BW81">SUMPRODUCT((evolution_bt_par_materiaux[[client]:[client]]=syndicat_etude)*(evolution_bt_par_materiaux[[annee]:[annee]]=Exercice[[Exercice N]:[Exercice N]])*(evolution_bt_par_materiaux[[annee_mes]:[annee_mes]]=BW$77)*(evolution_bt_par_materiaux[[lineaire_bt_cuivre]:[lineaire_bt_cuivre]]))</f>
        <v>0</v>
      </c>
      <c r="BX81" s="264" cm="1">
        <f t="array" ref="BX81">SUMPRODUCT((evolution_bt_par_materiaux[[client]:[client]]=syndicat_etude)*(evolution_bt_par_materiaux[[annee]:[annee]]=Exercice[[Exercice N]:[Exercice N]])*(evolution_bt_par_materiaux[[annee_mes]:[annee_mes]]=BX$77)*(evolution_bt_par_materiaux[[lineaire_bt_cuivre]:[lineaire_bt_cuivre]]))</f>
        <v>0</v>
      </c>
      <c r="BY81" s="264" cm="1">
        <f t="array" ref="BY81">SUMPRODUCT((evolution_bt_par_materiaux[[client]:[client]]=syndicat_etude)*(evolution_bt_par_materiaux[[annee]:[annee]]=Exercice[[Exercice N]:[Exercice N]])*(evolution_bt_par_materiaux[[annee_mes]:[annee_mes]]=BY$77)*(evolution_bt_par_materiaux[[lineaire_bt_cuivre]:[lineaire_bt_cuivre]]))</f>
        <v>0</v>
      </c>
      <c r="BZ81" s="264" cm="1">
        <f t="array" ref="BZ81">SUMPRODUCT((evolution_bt_par_materiaux[[client]:[client]]=syndicat_etude)*(evolution_bt_par_materiaux[[annee]:[annee]]=Exercice[[Exercice N]:[Exercice N]])*(evolution_bt_par_materiaux[[annee_mes]:[annee_mes]]=BZ$77)*(evolution_bt_par_materiaux[[lineaire_bt_cuivre]:[lineaire_bt_cuivre]]))</f>
        <v>0</v>
      </c>
      <c r="CA81" s="264" cm="1">
        <f t="array" ref="CA81">SUMPRODUCT((evolution_bt_par_materiaux[[client]:[client]]=syndicat_etude)*(evolution_bt_par_materiaux[[annee]:[annee]]=Exercice[[Exercice N]:[Exercice N]])*(evolution_bt_par_materiaux[[annee_mes]:[annee_mes]]=CA$77)*(evolution_bt_par_materiaux[[lineaire_bt_cuivre]:[lineaire_bt_cuivre]]))</f>
        <v>0</v>
      </c>
      <c r="CB81" s="264" cm="1">
        <f t="array" ref="CB81">SUMPRODUCT((evolution_bt_par_materiaux[[client]:[client]]=syndicat_etude)*(evolution_bt_par_materiaux[[annee]:[annee]]=Exercice[[Exercice N]:[Exercice N]])*(evolution_bt_par_materiaux[[annee_mes]:[annee_mes]]=CB$77)*(evolution_bt_par_materiaux[[lineaire_bt_cuivre]:[lineaire_bt_cuivre]]))</f>
        <v>0</v>
      </c>
      <c r="CC81" s="426" cm="1">
        <f t="array" ref="CC81">SUMPRODUCT((evolution_bt_par_materiaux[[client]:[client]]=syndicat_etude)*(evolution_bt_par_materiaux[[annee]:[annee]]=Exercice[[Exercice N]:[Exercice N]])*(evolution_bt_par_materiaux[[annee_mes]:[annee_mes]]=CC$77)*(evolution_bt_par_materiaux[[lineaire_bt_cuivre]:[lineaire_bt_cuivre]]))</f>
        <v>0</v>
      </c>
      <c r="CD81" s="406"/>
      <c r="CE81" s="406"/>
      <c r="CF81" s="406"/>
    </row>
    <row r="82" spans="2:84" x14ac:dyDescent="0.25">
      <c r="B82" s="9" t="s">
        <v>1186</v>
      </c>
      <c r="C82" s="427" cm="1">
        <f t="array" ref="C82">SUMPRODUCT((evolution_bt_par_materiaux[[client]:[client]]=syndicat_etude)*(evolution_bt_par_materiaux[[annee]:[annee]]=Exercice[[Exercice N]:[Exercice N]])*(evolution_bt_par_materiaux[[annee_mes]:[annee_mes]]&lt;1946)*(evolution_bt_par_materiaux[[lineaire_bt_almelec_acier]:[lineaire_bt_almelec_acier]]))</f>
        <v>0</v>
      </c>
      <c r="D82" s="427" cm="1">
        <f t="array" ref="D82">SUMPRODUCT((evolution_bt_par_materiaux[[client]:[client]]=syndicat_etude)*(evolution_bt_par_materiaux[[annee]:[annee]]=Exercice[[Exercice N]:[Exercice N]])*(evolution_bt_par_materiaux[[annee_mes]:[annee_mes]]=D$77)*(evolution_bt_par_materiaux[[lineaire_bt_almelec_acier]:[lineaire_bt_almelec_acier]]))</f>
        <v>0</v>
      </c>
      <c r="E82" s="427" cm="1">
        <f t="array" ref="E82">SUMPRODUCT((evolution_bt_par_materiaux[[client]:[client]]=syndicat_etude)*(evolution_bt_par_materiaux[[annee]:[annee]]=Exercice[[Exercice N]:[Exercice N]])*(evolution_bt_par_materiaux[[annee_mes]:[annee_mes]]=E$77)*(evolution_bt_par_materiaux[[lineaire_bt_almelec_acier]:[lineaire_bt_almelec_acier]]))</f>
        <v>0</v>
      </c>
      <c r="F82" s="427" cm="1">
        <f t="array" ref="F82">SUMPRODUCT((evolution_bt_par_materiaux[[client]:[client]]=syndicat_etude)*(evolution_bt_par_materiaux[[annee]:[annee]]=Exercice[[Exercice N]:[Exercice N]])*(evolution_bt_par_materiaux[[annee_mes]:[annee_mes]]=F$77)*(evolution_bt_par_materiaux[[lineaire_bt_almelec_acier]:[lineaire_bt_almelec_acier]]))</f>
        <v>0</v>
      </c>
      <c r="G82" s="427" cm="1">
        <f t="array" ref="G82">SUMPRODUCT((evolution_bt_par_materiaux[[client]:[client]]=syndicat_etude)*(evolution_bt_par_materiaux[[annee]:[annee]]=Exercice[[Exercice N]:[Exercice N]])*(evolution_bt_par_materiaux[[annee_mes]:[annee_mes]]=G$77)*(evolution_bt_par_materiaux[[lineaire_bt_almelec_acier]:[lineaire_bt_almelec_acier]]))</f>
        <v>0</v>
      </c>
      <c r="H82" s="427" cm="1">
        <f t="array" ref="H82">SUMPRODUCT((evolution_bt_par_materiaux[[client]:[client]]=syndicat_etude)*(evolution_bt_par_materiaux[[annee]:[annee]]=Exercice[[Exercice N]:[Exercice N]])*(evolution_bt_par_materiaux[[annee_mes]:[annee_mes]]=H$77)*(evolution_bt_par_materiaux[[lineaire_bt_almelec_acier]:[lineaire_bt_almelec_acier]]))</f>
        <v>0</v>
      </c>
      <c r="I82" s="427" cm="1">
        <f t="array" ref="I82">SUMPRODUCT((evolution_bt_par_materiaux[[client]:[client]]=syndicat_etude)*(evolution_bt_par_materiaux[[annee]:[annee]]=Exercice[[Exercice N]:[Exercice N]])*(evolution_bt_par_materiaux[[annee_mes]:[annee_mes]]=I$77)*(evolution_bt_par_materiaux[[lineaire_bt_almelec_acier]:[lineaire_bt_almelec_acier]]))</f>
        <v>0</v>
      </c>
      <c r="J82" s="427" cm="1">
        <f t="array" ref="J82">SUMPRODUCT((evolution_bt_par_materiaux[[client]:[client]]=syndicat_etude)*(evolution_bt_par_materiaux[[annee]:[annee]]=Exercice[[Exercice N]:[Exercice N]])*(evolution_bt_par_materiaux[[annee_mes]:[annee_mes]]=J$77)*(evolution_bt_par_materiaux[[lineaire_bt_almelec_acier]:[lineaire_bt_almelec_acier]]))</f>
        <v>0</v>
      </c>
      <c r="K82" s="427" cm="1">
        <f t="array" ref="K82">SUMPRODUCT((evolution_bt_par_materiaux[[client]:[client]]=syndicat_etude)*(evolution_bt_par_materiaux[[annee]:[annee]]=Exercice[[Exercice N]:[Exercice N]])*(evolution_bt_par_materiaux[[annee_mes]:[annee_mes]]=K$77)*(evolution_bt_par_materiaux[[lineaire_bt_almelec_acier]:[lineaire_bt_almelec_acier]]))</f>
        <v>0</v>
      </c>
      <c r="L82" s="427" cm="1">
        <f t="array" ref="L82">SUMPRODUCT((evolution_bt_par_materiaux[[client]:[client]]=syndicat_etude)*(evolution_bt_par_materiaux[[annee]:[annee]]=Exercice[[Exercice N]:[Exercice N]])*(evolution_bt_par_materiaux[[annee_mes]:[annee_mes]]=L$77)*(evolution_bt_par_materiaux[[lineaire_bt_almelec_acier]:[lineaire_bt_almelec_acier]]))</f>
        <v>0</v>
      </c>
      <c r="M82" s="427" cm="1">
        <f t="array" ref="M82">SUMPRODUCT((evolution_bt_par_materiaux[[client]:[client]]=syndicat_etude)*(evolution_bt_par_materiaux[[annee]:[annee]]=Exercice[[Exercice N]:[Exercice N]])*(evolution_bt_par_materiaux[[annee_mes]:[annee_mes]]=M$77)*(evolution_bt_par_materiaux[[lineaire_bt_almelec_acier]:[lineaire_bt_almelec_acier]]))</f>
        <v>0</v>
      </c>
      <c r="N82" s="427" cm="1">
        <f t="array" ref="N82">SUMPRODUCT((evolution_bt_par_materiaux[[client]:[client]]=syndicat_etude)*(evolution_bt_par_materiaux[[annee]:[annee]]=Exercice[[Exercice N]:[Exercice N]])*(evolution_bt_par_materiaux[[annee_mes]:[annee_mes]]=N$77)*(evolution_bt_par_materiaux[[lineaire_bt_almelec_acier]:[lineaire_bt_almelec_acier]]))</f>
        <v>0</v>
      </c>
      <c r="O82" s="427" cm="1">
        <f t="array" ref="O82">SUMPRODUCT((evolution_bt_par_materiaux[[client]:[client]]=syndicat_etude)*(evolution_bt_par_materiaux[[annee]:[annee]]=Exercice[[Exercice N]:[Exercice N]])*(evolution_bt_par_materiaux[[annee_mes]:[annee_mes]]=O$77)*(evolution_bt_par_materiaux[[lineaire_bt_almelec_acier]:[lineaire_bt_almelec_acier]]))</f>
        <v>0</v>
      </c>
      <c r="P82" s="427" cm="1">
        <f t="array" ref="P82">SUMPRODUCT((evolution_bt_par_materiaux[[client]:[client]]=syndicat_etude)*(evolution_bt_par_materiaux[[annee]:[annee]]=Exercice[[Exercice N]:[Exercice N]])*(evolution_bt_par_materiaux[[annee_mes]:[annee_mes]]=P$77)*(evolution_bt_par_materiaux[[lineaire_bt_almelec_acier]:[lineaire_bt_almelec_acier]]))</f>
        <v>0</v>
      </c>
      <c r="Q82" s="427" cm="1">
        <f t="array" ref="Q82">SUMPRODUCT((evolution_bt_par_materiaux[[client]:[client]]=syndicat_etude)*(evolution_bt_par_materiaux[[annee]:[annee]]=Exercice[[Exercice N]:[Exercice N]])*(evolution_bt_par_materiaux[[annee_mes]:[annee_mes]]=Q$77)*(evolution_bt_par_materiaux[[lineaire_bt_almelec_acier]:[lineaire_bt_almelec_acier]]))</f>
        <v>0</v>
      </c>
      <c r="R82" s="427" cm="1">
        <f t="array" ref="R82">SUMPRODUCT((evolution_bt_par_materiaux[[client]:[client]]=syndicat_etude)*(evolution_bt_par_materiaux[[annee]:[annee]]=Exercice[[Exercice N]:[Exercice N]])*(evolution_bt_par_materiaux[[annee_mes]:[annee_mes]]=R$77)*(evolution_bt_par_materiaux[[lineaire_bt_almelec_acier]:[lineaire_bt_almelec_acier]]))</f>
        <v>0</v>
      </c>
      <c r="S82" s="427" cm="1">
        <f t="array" ref="S82">SUMPRODUCT((evolution_bt_par_materiaux[[client]:[client]]=syndicat_etude)*(evolution_bt_par_materiaux[[annee]:[annee]]=Exercice[[Exercice N]:[Exercice N]])*(evolution_bt_par_materiaux[[annee_mes]:[annee_mes]]=S$77)*(evolution_bt_par_materiaux[[lineaire_bt_almelec_acier]:[lineaire_bt_almelec_acier]]))</f>
        <v>0</v>
      </c>
      <c r="T82" s="427" cm="1">
        <f t="array" ref="T82">SUMPRODUCT((evolution_bt_par_materiaux[[client]:[client]]=syndicat_etude)*(evolution_bt_par_materiaux[[annee]:[annee]]=Exercice[[Exercice N]:[Exercice N]])*(evolution_bt_par_materiaux[[annee_mes]:[annee_mes]]=T$77)*(evolution_bt_par_materiaux[[lineaire_bt_almelec_acier]:[lineaire_bt_almelec_acier]]))</f>
        <v>0</v>
      </c>
      <c r="U82" s="427" cm="1">
        <f t="array" ref="U82">SUMPRODUCT((evolution_bt_par_materiaux[[client]:[client]]=syndicat_etude)*(evolution_bt_par_materiaux[[annee]:[annee]]=Exercice[[Exercice N]:[Exercice N]])*(evolution_bt_par_materiaux[[annee_mes]:[annee_mes]]=U$77)*(evolution_bt_par_materiaux[[lineaire_bt_almelec_acier]:[lineaire_bt_almelec_acier]]))</f>
        <v>0</v>
      </c>
      <c r="V82" s="427" cm="1">
        <f t="array" ref="V82">SUMPRODUCT((evolution_bt_par_materiaux[[client]:[client]]=syndicat_etude)*(evolution_bt_par_materiaux[[annee]:[annee]]=Exercice[[Exercice N]:[Exercice N]])*(evolution_bt_par_materiaux[[annee_mes]:[annee_mes]]=V$77)*(evolution_bt_par_materiaux[[lineaire_bt_almelec_acier]:[lineaire_bt_almelec_acier]]))</f>
        <v>0</v>
      </c>
      <c r="W82" s="427" cm="1">
        <f t="array" ref="W82">SUMPRODUCT((evolution_bt_par_materiaux[[client]:[client]]=syndicat_etude)*(evolution_bt_par_materiaux[[annee]:[annee]]=Exercice[[Exercice N]:[Exercice N]])*(evolution_bt_par_materiaux[[annee_mes]:[annee_mes]]=W$77)*(evolution_bt_par_materiaux[[lineaire_bt_almelec_acier]:[lineaire_bt_almelec_acier]]))</f>
        <v>0</v>
      </c>
      <c r="X82" s="427" cm="1">
        <f t="array" ref="X82">SUMPRODUCT((evolution_bt_par_materiaux[[client]:[client]]=syndicat_etude)*(evolution_bt_par_materiaux[[annee]:[annee]]=Exercice[[Exercice N]:[Exercice N]])*(evolution_bt_par_materiaux[[annee_mes]:[annee_mes]]=X$77)*(evolution_bt_par_materiaux[[lineaire_bt_almelec_acier]:[lineaire_bt_almelec_acier]]))</f>
        <v>0</v>
      </c>
      <c r="Y82" s="427" cm="1">
        <f t="array" ref="Y82">SUMPRODUCT((evolution_bt_par_materiaux[[client]:[client]]=syndicat_etude)*(evolution_bt_par_materiaux[[annee]:[annee]]=Exercice[[Exercice N]:[Exercice N]])*(evolution_bt_par_materiaux[[annee_mes]:[annee_mes]]=Y$77)*(evolution_bt_par_materiaux[[lineaire_bt_almelec_acier]:[lineaire_bt_almelec_acier]]))</f>
        <v>0</v>
      </c>
      <c r="Z82" s="427" cm="1">
        <f t="array" ref="Z82">SUMPRODUCT((evolution_bt_par_materiaux[[client]:[client]]=syndicat_etude)*(evolution_bt_par_materiaux[[annee]:[annee]]=Exercice[[Exercice N]:[Exercice N]])*(evolution_bt_par_materiaux[[annee_mes]:[annee_mes]]=Z$77)*(evolution_bt_par_materiaux[[lineaire_bt_almelec_acier]:[lineaire_bt_almelec_acier]]))</f>
        <v>0</v>
      </c>
      <c r="AA82" s="427" cm="1">
        <f t="array" ref="AA82">SUMPRODUCT((evolution_bt_par_materiaux[[client]:[client]]=syndicat_etude)*(evolution_bt_par_materiaux[[annee]:[annee]]=Exercice[[Exercice N]:[Exercice N]])*(evolution_bt_par_materiaux[[annee_mes]:[annee_mes]]=AA$77)*(evolution_bt_par_materiaux[[lineaire_bt_almelec_acier]:[lineaire_bt_almelec_acier]]))</f>
        <v>0</v>
      </c>
      <c r="AB82" s="427" cm="1">
        <f t="array" ref="AB82">SUMPRODUCT((evolution_bt_par_materiaux[[client]:[client]]=syndicat_etude)*(evolution_bt_par_materiaux[[annee]:[annee]]=Exercice[[Exercice N]:[Exercice N]])*(evolution_bt_par_materiaux[[annee_mes]:[annee_mes]]=AB$77)*(evolution_bt_par_materiaux[[lineaire_bt_almelec_acier]:[lineaire_bt_almelec_acier]]))</f>
        <v>0</v>
      </c>
      <c r="AC82" s="427" cm="1">
        <f t="array" ref="AC82">SUMPRODUCT((evolution_bt_par_materiaux[[client]:[client]]=syndicat_etude)*(evolution_bt_par_materiaux[[annee]:[annee]]=Exercice[[Exercice N]:[Exercice N]])*(evolution_bt_par_materiaux[[annee_mes]:[annee_mes]]=AC$77)*(evolution_bt_par_materiaux[[lineaire_bt_almelec_acier]:[lineaire_bt_almelec_acier]]))</f>
        <v>0</v>
      </c>
      <c r="AD82" s="427" cm="1">
        <f t="array" ref="AD82">SUMPRODUCT((evolution_bt_par_materiaux[[client]:[client]]=syndicat_etude)*(evolution_bt_par_materiaux[[annee]:[annee]]=Exercice[[Exercice N]:[Exercice N]])*(evolution_bt_par_materiaux[[annee_mes]:[annee_mes]]=AD$77)*(evolution_bt_par_materiaux[[lineaire_bt_almelec_acier]:[lineaire_bt_almelec_acier]]))</f>
        <v>0</v>
      </c>
      <c r="AE82" s="427" cm="1">
        <f t="array" ref="AE82">SUMPRODUCT((evolution_bt_par_materiaux[[client]:[client]]=syndicat_etude)*(evolution_bt_par_materiaux[[annee]:[annee]]=Exercice[[Exercice N]:[Exercice N]])*(evolution_bt_par_materiaux[[annee_mes]:[annee_mes]]=AE$77)*(evolution_bt_par_materiaux[[lineaire_bt_almelec_acier]:[lineaire_bt_almelec_acier]]))</f>
        <v>0</v>
      </c>
      <c r="AF82" s="427" cm="1">
        <f t="array" ref="AF82">SUMPRODUCT((evolution_bt_par_materiaux[[client]:[client]]=syndicat_etude)*(evolution_bt_par_materiaux[[annee]:[annee]]=Exercice[[Exercice N]:[Exercice N]])*(evolution_bt_par_materiaux[[annee_mes]:[annee_mes]]=AF$77)*(evolution_bt_par_materiaux[[lineaire_bt_almelec_acier]:[lineaire_bt_almelec_acier]]))</f>
        <v>0</v>
      </c>
      <c r="AG82" s="427" cm="1">
        <f t="array" ref="AG82">SUMPRODUCT((evolution_bt_par_materiaux[[client]:[client]]=syndicat_etude)*(evolution_bt_par_materiaux[[annee]:[annee]]=Exercice[[Exercice N]:[Exercice N]])*(evolution_bt_par_materiaux[[annee_mes]:[annee_mes]]=AG$77)*(evolution_bt_par_materiaux[[lineaire_bt_almelec_acier]:[lineaire_bt_almelec_acier]]))</f>
        <v>0</v>
      </c>
      <c r="AH82" s="427" cm="1">
        <f t="array" ref="AH82">SUMPRODUCT((evolution_bt_par_materiaux[[client]:[client]]=syndicat_etude)*(evolution_bt_par_materiaux[[annee]:[annee]]=Exercice[[Exercice N]:[Exercice N]])*(evolution_bt_par_materiaux[[annee_mes]:[annee_mes]]=AH$77)*(evolution_bt_par_materiaux[[lineaire_bt_almelec_acier]:[lineaire_bt_almelec_acier]]))</f>
        <v>0</v>
      </c>
      <c r="AI82" s="427" cm="1">
        <f t="array" ref="AI82">SUMPRODUCT((evolution_bt_par_materiaux[[client]:[client]]=syndicat_etude)*(evolution_bt_par_materiaux[[annee]:[annee]]=Exercice[[Exercice N]:[Exercice N]])*(evolution_bt_par_materiaux[[annee_mes]:[annee_mes]]=AI$77)*(evolution_bt_par_materiaux[[lineaire_bt_almelec_acier]:[lineaire_bt_almelec_acier]]))</f>
        <v>0</v>
      </c>
      <c r="AJ82" s="427" cm="1">
        <f t="array" ref="AJ82">SUMPRODUCT((evolution_bt_par_materiaux[[client]:[client]]=syndicat_etude)*(evolution_bt_par_materiaux[[annee]:[annee]]=Exercice[[Exercice N]:[Exercice N]])*(evolution_bt_par_materiaux[[annee_mes]:[annee_mes]]=AJ$77)*(evolution_bt_par_materiaux[[lineaire_bt_almelec_acier]:[lineaire_bt_almelec_acier]]))</f>
        <v>0</v>
      </c>
      <c r="AK82" s="427" cm="1">
        <f t="array" ref="AK82">SUMPRODUCT((evolution_bt_par_materiaux[[client]:[client]]=syndicat_etude)*(evolution_bt_par_materiaux[[annee]:[annee]]=Exercice[[Exercice N]:[Exercice N]])*(evolution_bt_par_materiaux[[annee_mes]:[annee_mes]]=AK$77)*(evolution_bt_par_materiaux[[lineaire_bt_almelec_acier]:[lineaire_bt_almelec_acier]]))</f>
        <v>0</v>
      </c>
      <c r="AL82" s="427" cm="1">
        <f t="array" ref="AL82">SUMPRODUCT((evolution_bt_par_materiaux[[client]:[client]]=syndicat_etude)*(evolution_bt_par_materiaux[[annee]:[annee]]=Exercice[[Exercice N]:[Exercice N]])*(evolution_bt_par_materiaux[[annee_mes]:[annee_mes]]=AL$77)*(evolution_bt_par_materiaux[[lineaire_bt_almelec_acier]:[lineaire_bt_almelec_acier]]))</f>
        <v>0</v>
      </c>
      <c r="AM82" s="427" cm="1">
        <f t="array" ref="AM82">SUMPRODUCT((evolution_bt_par_materiaux[[client]:[client]]=syndicat_etude)*(evolution_bt_par_materiaux[[annee]:[annee]]=Exercice[[Exercice N]:[Exercice N]])*(evolution_bt_par_materiaux[[annee_mes]:[annee_mes]]=AM$77)*(evolution_bt_par_materiaux[[lineaire_bt_almelec_acier]:[lineaire_bt_almelec_acier]]))</f>
        <v>0</v>
      </c>
      <c r="AN82" s="427" cm="1">
        <f t="array" ref="AN82">SUMPRODUCT((evolution_bt_par_materiaux[[client]:[client]]=syndicat_etude)*(evolution_bt_par_materiaux[[annee]:[annee]]=Exercice[[Exercice N]:[Exercice N]])*(evolution_bt_par_materiaux[[annee_mes]:[annee_mes]]=AN$77)*(evolution_bt_par_materiaux[[lineaire_bt_almelec_acier]:[lineaire_bt_almelec_acier]]))</f>
        <v>0</v>
      </c>
      <c r="AO82" s="427" cm="1">
        <f t="array" ref="AO82">SUMPRODUCT((evolution_bt_par_materiaux[[client]:[client]]=syndicat_etude)*(evolution_bt_par_materiaux[[annee]:[annee]]=Exercice[[Exercice N]:[Exercice N]])*(evolution_bt_par_materiaux[[annee_mes]:[annee_mes]]=AO$77)*(evolution_bt_par_materiaux[[lineaire_bt_almelec_acier]:[lineaire_bt_almelec_acier]]))</f>
        <v>0</v>
      </c>
      <c r="AP82" s="427" cm="1">
        <f t="array" ref="AP82">SUMPRODUCT((evolution_bt_par_materiaux[[client]:[client]]=syndicat_etude)*(evolution_bt_par_materiaux[[annee]:[annee]]=Exercice[[Exercice N]:[Exercice N]])*(evolution_bt_par_materiaux[[annee_mes]:[annee_mes]]=AP$77)*(evolution_bt_par_materiaux[[lineaire_bt_almelec_acier]:[lineaire_bt_almelec_acier]]))</f>
        <v>0</v>
      </c>
      <c r="AQ82" s="427" cm="1">
        <f t="array" ref="AQ82">SUMPRODUCT((evolution_bt_par_materiaux[[client]:[client]]=syndicat_etude)*(evolution_bt_par_materiaux[[annee]:[annee]]=Exercice[[Exercice N]:[Exercice N]])*(evolution_bt_par_materiaux[[annee_mes]:[annee_mes]]=AQ$77)*(evolution_bt_par_materiaux[[lineaire_bt_almelec_acier]:[lineaire_bt_almelec_acier]]))</f>
        <v>0</v>
      </c>
      <c r="AR82" s="427" cm="1">
        <f t="array" ref="AR82">SUMPRODUCT((evolution_bt_par_materiaux[[client]:[client]]=syndicat_etude)*(evolution_bt_par_materiaux[[annee]:[annee]]=Exercice[[Exercice N]:[Exercice N]])*(evolution_bt_par_materiaux[[annee_mes]:[annee_mes]]=AR$77)*(evolution_bt_par_materiaux[[lineaire_bt_almelec_acier]:[lineaire_bt_almelec_acier]]))</f>
        <v>0</v>
      </c>
      <c r="AS82" s="427" cm="1">
        <f t="array" ref="AS82">SUMPRODUCT((evolution_bt_par_materiaux[[client]:[client]]=syndicat_etude)*(evolution_bt_par_materiaux[[annee]:[annee]]=Exercice[[Exercice N]:[Exercice N]])*(evolution_bt_par_materiaux[[annee_mes]:[annee_mes]]=AS$77)*(evolution_bt_par_materiaux[[lineaire_bt_almelec_acier]:[lineaire_bt_almelec_acier]]))</f>
        <v>0</v>
      </c>
      <c r="AT82" s="427" cm="1">
        <f t="array" ref="AT82">SUMPRODUCT((evolution_bt_par_materiaux[[client]:[client]]=syndicat_etude)*(evolution_bt_par_materiaux[[annee]:[annee]]=Exercice[[Exercice N]:[Exercice N]])*(evolution_bt_par_materiaux[[annee_mes]:[annee_mes]]=AT$77)*(evolution_bt_par_materiaux[[lineaire_bt_almelec_acier]:[lineaire_bt_almelec_acier]]))</f>
        <v>0</v>
      </c>
      <c r="AU82" s="427" cm="1">
        <f t="array" ref="AU82">SUMPRODUCT((evolution_bt_par_materiaux[[client]:[client]]=syndicat_etude)*(evolution_bt_par_materiaux[[annee]:[annee]]=Exercice[[Exercice N]:[Exercice N]])*(evolution_bt_par_materiaux[[annee_mes]:[annee_mes]]=AU$77)*(evolution_bt_par_materiaux[[lineaire_bt_almelec_acier]:[lineaire_bt_almelec_acier]]))</f>
        <v>0</v>
      </c>
      <c r="AV82" s="427" cm="1">
        <f t="array" ref="AV82">SUMPRODUCT((evolution_bt_par_materiaux[[client]:[client]]=syndicat_etude)*(evolution_bt_par_materiaux[[annee]:[annee]]=Exercice[[Exercice N]:[Exercice N]])*(evolution_bt_par_materiaux[[annee_mes]:[annee_mes]]=AV$77)*(evolution_bt_par_materiaux[[lineaire_bt_almelec_acier]:[lineaire_bt_almelec_acier]]))</f>
        <v>0</v>
      </c>
      <c r="AW82" s="427" cm="1">
        <f t="array" ref="AW82">SUMPRODUCT((evolution_bt_par_materiaux[[client]:[client]]=syndicat_etude)*(evolution_bt_par_materiaux[[annee]:[annee]]=Exercice[[Exercice N]:[Exercice N]])*(evolution_bt_par_materiaux[[annee_mes]:[annee_mes]]=AW$77)*(evolution_bt_par_materiaux[[lineaire_bt_almelec_acier]:[lineaire_bt_almelec_acier]]))</f>
        <v>0</v>
      </c>
      <c r="AX82" s="427" cm="1">
        <f t="array" ref="AX82">SUMPRODUCT((evolution_bt_par_materiaux[[client]:[client]]=syndicat_etude)*(evolution_bt_par_materiaux[[annee]:[annee]]=Exercice[[Exercice N]:[Exercice N]])*(evolution_bt_par_materiaux[[annee_mes]:[annee_mes]]=AX$77)*(evolution_bt_par_materiaux[[lineaire_bt_almelec_acier]:[lineaire_bt_almelec_acier]]))</f>
        <v>0</v>
      </c>
      <c r="AY82" s="427" cm="1">
        <f t="array" ref="AY82">SUMPRODUCT((evolution_bt_par_materiaux[[client]:[client]]=syndicat_etude)*(evolution_bt_par_materiaux[[annee]:[annee]]=Exercice[[Exercice N]:[Exercice N]])*(evolution_bt_par_materiaux[[annee_mes]:[annee_mes]]=AY$77)*(evolution_bt_par_materiaux[[lineaire_bt_almelec_acier]:[lineaire_bt_almelec_acier]]))</f>
        <v>0</v>
      </c>
      <c r="AZ82" s="427" cm="1">
        <f t="array" ref="AZ82">SUMPRODUCT((evolution_bt_par_materiaux[[client]:[client]]=syndicat_etude)*(evolution_bt_par_materiaux[[annee]:[annee]]=Exercice[[Exercice N]:[Exercice N]])*(evolution_bt_par_materiaux[[annee_mes]:[annee_mes]]=AZ$77)*(evolution_bt_par_materiaux[[lineaire_bt_almelec_acier]:[lineaire_bt_almelec_acier]]))</f>
        <v>0</v>
      </c>
      <c r="BA82" s="427" cm="1">
        <f t="array" ref="BA82">SUMPRODUCT((evolution_bt_par_materiaux[[client]:[client]]=syndicat_etude)*(evolution_bt_par_materiaux[[annee]:[annee]]=Exercice[[Exercice N]:[Exercice N]])*(evolution_bt_par_materiaux[[annee_mes]:[annee_mes]]=BA$77)*(evolution_bt_par_materiaux[[lineaire_bt_almelec_acier]:[lineaire_bt_almelec_acier]]))</f>
        <v>0</v>
      </c>
      <c r="BB82" s="427" cm="1">
        <f t="array" ref="BB82">SUMPRODUCT((evolution_bt_par_materiaux[[client]:[client]]=syndicat_etude)*(evolution_bt_par_materiaux[[annee]:[annee]]=Exercice[[Exercice N]:[Exercice N]])*(evolution_bt_par_materiaux[[annee_mes]:[annee_mes]]=BB$77)*(evolution_bt_par_materiaux[[lineaire_bt_almelec_acier]:[lineaire_bt_almelec_acier]]))</f>
        <v>0</v>
      </c>
      <c r="BC82" s="427" cm="1">
        <f t="array" ref="BC82">SUMPRODUCT((evolution_bt_par_materiaux[[client]:[client]]=syndicat_etude)*(evolution_bt_par_materiaux[[annee]:[annee]]=Exercice[[Exercice N]:[Exercice N]])*(evolution_bt_par_materiaux[[annee_mes]:[annee_mes]]=BC$77)*(evolution_bt_par_materiaux[[lineaire_bt_almelec_acier]:[lineaire_bt_almelec_acier]]))</f>
        <v>0</v>
      </c>
      <c r="BD82" s="427" cm="1">
        <f t="array" ref="BD82">SUMPRODUCT((evolution_bt_par_materiaux[[client]:[client]]=syndicat_etude)*(evolution_bt_par_materiaux[[annee]:[annee]]=Exercice[[Exercice N]:[Exercice N]])*(evolution_bt_par_materiaux[[annee_mes]:[annee_mes]]=BD$77)*(evolution_bt_par_materiaux[[lineaire_bt_almelec_acier]:[lineaire_bt_almelec_acier]]))</f>
        <v>0</v>
      </c>
      <c r="BE82" s="427" cm="1">
        <f t="array" ref="BE82">SUMPRODUCT((evolution_bt_par_materiaux[[client]:[client]]=syndicat_etude)*(evolution_bt_par_materiaux[[annee]:[annee]]=Exercice[[Exercice N]:[Exercice N]])*(evolution_bt_par_materiaux[[annee_mes]:[annee_mes]]=BE$77)*(evolution_bt_par_materiaux[[lineaire_bt_almelec_acier]:[lineaire_bt_almelec_acier]]))</f>
        <v>0</v>
      </c>
      <c r="BF82" s="427" cm="1">
        <f t="array" ref="BF82">SUMPRODUCT((evolution_bt_par_materiaux[[client]:[client]]=syndicat_etude)*(evolution_bt_par_materiaux[[annee]:[annee]]=Exercice[[Exercice N]:[Exercice N]])*(evolution_bt_par_materiaux[[annee_mes]:[annee_mes]]=BF$77)*(evolution_bt_par_materiaux[[lineaire_bt_almelec_acier]:[lineaire_bt_almelec_acier]]))</f>
        <v>0</v>
      </c>
      <c r="BG82" s="427" cm="1">
        <f t="array" ref="BG82">SUMPRODUCT((evolution_bt_par_materiaux[[client]:[client]]=syndicat_etude)*(evolution_bt_par_materiaux[[annee]:[annee]]=Exercice[[Exercice N]:[Exercice N]])*(evolution_bt_par_materiaux[[annee_mes]:[annee_mes]]=BG$77)*(evolution_bt_par_materiaux[[lineaire_bt_almelec_acier]:[lineaire_bt_almelec_acier]]))</f>
        <v>0</v>
      </c>
      <c r="BH82" s="427" cm="1">
        <f t="array" ref="BH82">SUMPRODUCT((evolution_bt_par_materiaux[[client]:[client]]=syndicat_etude)*(evolution_bt_par_materiaux[[annee]:[annee]]=Exercice[[Exercice N]:[Exercice N]])*(evolution_bt_par_materiaux[[annee_mes]:[annee_mes]]=BH$77)*(evolution_bt_par_materiaux[[lineaire_bt_almelec_acier]:[lineaire_bt_almelec_acier]]))</f>
        <v>0</v>
      </c>
      <c r="BI82" s="427" cm="1">
        <f t="array" ref="BI82">SUMPRODUCT((evolution_bt_par_materiaux[[client]:[client]]=syndicat_etude)*(evolution_bt_par_materiaux[[annee]:[annee]]=Exercice[[Exercice N]:[Exercice N]])*(evolution_bt_par_materiaux[[annee_mes]:[annee_mes]]=BI$77)*(evolution_bt_par_materiaux[[lineaire_bt_almelec_acier]:[lineaire_bt_almelec_acier]]))</f>
        <v>0</v>
      </c>
      <c r="BJ82" s="427" cm="1">
        <f t="array" ref="BJ82">SUMPRODUCT((evolution_bt_par_materiaux[[client]:[client]]=syndicat_etude)*(evolution_bt_par_materiaux[[annee]:[annee]]=Exercice[[Exercice N]:[Exercice N]])*(evolution_bt_par_materiaux[[annee_mes]:[annee_mes]]=BJ$77)*(evolution_bt_par_materiaux[[lineaire_bt_almelec_acier]:[lineaire_bt_almelec_acier]]))</f>
        <v>0</v>
      </c>
      <c r="BK82" s="427" cm="1">
        <f t="array" ref="BK82">SUMPRODUCT((evolution_bt_par_materiaux[[client]:[client]]=syndicat_etude)*(evolution_bt_par_materiaux[[annee]:[annee]]=Exercice[[Exercice N]:[Exercice N]])*(evolution_bt_par_materiaux[[annee_mes]:[annee_mes]]=BK$77)*(evolution_bt_par_materiaux[[lineaire_bt_almelec_acier]:[lineaire_bt_almelec_acier]]))</f>
        <v>0</v>
      </c>
      <c r="BL82" s="427" cm="1">
        <f t="array" ref="BL82">SUMPRODUCT((evolution_bt_par_materiaux[[client]:[client]]=syndicat_etude)*(evolution_bt_par_materiaux[[annee]:[annee]]=Exercice[[Exercice N]:[Exercice N]])*(evolution_bt_par_materiaux[[annee_mes]:[annee_mes]]=BL$77)*(evolution_bt_par_materiaux[[lineaire_bt_almelec_acier]:[lineaire_bt_almelec_acier]]))</f>
        <v>0</v>
      </c>
      <c r="BM82" s="427" cm="1">
        <f t="array" ref="BM82">SUMPRODUCT((evolution_bt_par_materiaux[[client]:[client]]=syndicat_etude)*(evolution_bt_par_materiaux[[annee]:[annee]]=Exercice[[Exercice N]:[Exercice N]])*(evolution_bt_par_materiaux[[annee_mes]:[annee_mes]]=BM$77)*(evolution_bt_par_materiaux[[lineaire_bt_almelec_acier]:[lineaire_bt_almelec_acier]]))</f>
        <v>0</v>
      </c>
      <c r="BN82" s="427" cm="1">
        <f t="array" ref="BN82">SUMPRODUCT((evolution_bt_par_materiaux[[client]:[client]]=syndicat_etude)*(evolution_bt_par_materiaux[[annee]:[annee]]=Exercice[[Exercice N]:[Exercice N]])*(evolution_bt_par_materiaux[[annee_mes]:[annee_mes]]=BN$77)*(evolution_bt_par_materiaux[[lineaire_bt_almelec_acier]:[lineaire_bt_almelec_acier]]))</f>
        <v>0</v>
      </c>
      <c r="BO82" s="427" cm="1">
        <f t="array" ref="BO82">SUMPRODUCT((evolution_bt_par_materiaux[[client]:[client]]=syndicat_etude)*(evolution_bt_par_materiaux[[annee]:[annee]]=Exercice[[Exercice N]:[Exercice N]])*(evolution_bt_par_materiaux[[annee_mes]:[annee_mes]]=BO$77)*(evolution_bt_par_materiaux[[lineaire_bt_almelec_acier]:[lineaire_bt_almelec_acier]]))</f>
        <v>0</v>
      </c>
      <c r="BP82" s="427" cm="1">
        <f t="array" ref="BP82">SUMPRODUCT((evolution_bt_par_materiaux[[client]:[client]]=syndicat_etude)*(evolution_bt_par_materiaux[[annee]:[annee]]=Exercice[[Exercice N]:[Exercice N]])*(evolution_bt_par_materiaux[[annee_mes]:[annee_mes]]=BP$77)*(evolution_bt_par_materiaux[[lineaire_bt_almelec_acier]:[lineaire_bt_almelec_acier]]))</f>
        <v>0</v>
      </c>
      <c r="BQ82" s="427" cm="1">
        <f t="array" ref="BQ82">SUMPRODUCT((evolution_bt_par_materiaux[[client]:[client]]=syndicat_etude)*(evolution_bt_par_materiaux[[annee]:[annee]]=Exercice[[Exercice N]:[Exercice N]])*(evolution_bt_par_materiaux[[annee_mes]:[annee_mes]]=BQ$77)*(evolution_bt_par_materiaux[[lineaire_bt_almelec_acier]:[lineaire_bt_almelec_acier]]))</f>
        <v>0</v>
      </c>
      <c r="BR82" s="427" cm="1">
        <f t="array" ref="BR82">SUMPRODUCT((evolution_bt_par_materiaux[[client]:[client]]=syndicat_etude)*(evolution_bt_par_materiaux[[annee]:[annee]]=Exercice[[Exercice N]:[Exercice N]])*(evolution_bt_par_materiaux[[annee_mes]:[annee_mes]]=BR$77)*(evolution_bt_par_materiaux[[lineaire_bt_almelec_acier]:[lineaire_bt_almelec_acier]]))</f>
        <v>0</v>
      </c>
      <c r="BS82" s="427" cm="1">
        <f t="array" ref="BS82">SUMPRODUCT((evolution_bt_par_materiaux[[client]:[client]]=syndicat_etude)*(evolution_bt_par_materiaux[[annee]:[annee]]=Exercice[[Exercice N]:[Exercice N]])*(evolution_bt_par_materiaux[[annee_mes]:[annee_mes]]=BS$77)*(evolution_bt_par_materiaux[[lineaire_bt_almelec_acier]:[lineaire_bt_almelec_acier]]))</f>
        <v>0</v>
      </c>
      <c r="BT82" s="427" cm="1">
        <f t="array" ref="BT82">SUMPRODUCT((evolution_bt_par_materiaux[[client]:[client]]=syndicat_etude)*(evolution_bt_par_materiaux[[annee]:[annee]]=Exercice[[Exercice N]:[Exercice N]])*(evolution_bt_par_materiaux[[annee_mes]:[annee_mes]]=BT$77)*(evolution_bt_par_materiaux[[lineaire_bt_almelec_acier]:[lineaire_bt_almelec_acier]]))</f>
        <v>0</v>
      </c>
      <c r="BU82" s="427" cm="1">
        <f t="array" ref="BU82">SUMPRODUCT((evolution_bt_par_materiaux[[client]:[client]]=syndicat_etude)*(evolution_bt_par_materiaux[[annee]:[annee]]=Exercice[[Exercice N]:[Exercice N]])*(evolution_bt_par_materiaux[[annee_mes]:[annee_mes]]=BU$77)*(evolution_bt_par_materiaux[[lineaire_bt_almelec_acier]:[lineaire_bt_almelec_acier]]))</f>
        <v>0</v>
      </c>
      <c r="BV82" s="427" cm="1">
        <f t="array" ref="BV82">SUMPRODUCT((evolution_bt_par_materiaux[[client]:[client]]=syndicat_etude)*(evolution_bt_par_materiaux[[annee]:[annee]]=Exercice[[Exercice N]:[Exercice N]])*(evolution_bt_par_materiaux[[annee_mes]:[annee_mes]]=BV$77)*(evolution_bt_par_materiaux[[lineaire_bt_almelec_acier]:[lineaire_bt_almelec_acier]]))</f>
        <v>0</v>
      </c>
      <c r="BW82" s="427" cm="1">
        <f t="array" ref="BW82">SUMPRODUCT((evolution_bt_par_materiaux[[client]:[client]]=syndicat_etude)*(evolution_bt_par_materiaux[[annee]:[annee]]=Exercice[[Exercice N]:[Exercice N]])*(evolution_bt_par_materiaux[[annee_mes]:[annee_mes]]=BW$77)*(evolution_bt_par_materiaux[[lineaire_bt_almelec_acier]:[lineaire_bt_almelec_acier]]))</f>
        <v>0</v>
      </c>
      <c r="BX82" s="427" cm="1">
        <f t="array" ref="BX82">SUMPRODUCT((evolution_bt_par_materiaux[[client]:[client]]=syndicat_etude)*(evolution_bt_par_materiaux[[annee]:[annee]]=Exercice[[Exercice N]:[Exercice N]])*(evolution_bt_par_materiaux[[annee_mes]:[annee_mes]]=BX$77)*(evolution_bt_par_materiaux[[lineaire_bt_almelec_acier]:[lineaire_bt_almelec_acier]]))</f>
        <v>0</v>
      </c>
      <c r="BY82" s="427" cm="1">
        <f t="array" ref="BY82">SUMPRODUCT((evolution_bt_par_materiaux[[client]:[client]]=syndicat_etude)*(evolution_bt_par_materiaux[[annee]:[annee]]=Exercice[[Exercice N]:[Exercice N]])*(evolution_bt_par_materiaux[[annee_mes]:[annee_mes]]=BY$77)*(evolution_bt_par_materiaux[[lineaire_bt_almelec_acier]:[lineaire_bt_almelec_acier]]))</f>
        <v>0</v>
      </c>
      <c r="BZ82" s="427" cm="1">
        <f t="array" ref="BZ82">SUMPRODUCT((evolution_bt_par_materiaux[[client]:[client]]=syndicat_etude)*(evolution_bt_par_materiaux[[annee]:[annee]]=Exercice[[Exercice N]:[Exercice N]])*(evolution_bt_par_materiaux[[annee_mes]:[annee_mes]]=BZ$77)*(evolution_bt_par_materiaux[[lineaire_bt_almelec_acier]:[lineaire_bt_almelec_acier]]))</f>
        <v>0</v>
      </c>
      <c r="CA82" s="427" cm="1">
        <f t="array" ref="CA82">SUMPRODUCT((evolution_bt_par_materiaux[[client]:[client]]=syndicat_etude)*(evolution_bt_par_materiaux[[annee]:[annee]]=Exercice[[Exercice N]:[Exercice N]])*(evolution_bt_par_materiaux[[annee_mes]:[annee_mes]]=CA$77)*(evolution_bt_par_materiaux[[lineaire_bt_almelec_acier]:[lineaire_bt_almelec_acier]]))</f>
        <v>0</v>
      </c>
      <c r="CB82" s="427" cm="1">
        <f t="array" ref="CB82">SUMPRODUCT((evolution_bt_par_materiaux[[client]:[client]]=syndicat_etude)*(evolution_bt_par_materiaux[[annee]:[annee]]=Exercice[[Exercice N]:[Exercice N]])*(evolution_bt_par_materiaux[[annee_mes]:[annee_mes]]=CB$77)*(evolution_bt_par_materiaux[[lineaire_bt_almelec_acier]:[lineaire_bt_almelec_acier]]))</f>
        <v>0</v>
      </c>
      <c r="CC82" s="428" cm="1">
        <f t="array" ref="CC82">SUMPRODUCT((evolution_bt_par_materiaux[[client]:[client]]=syndicat_etude)*(evolution_bt_par_materiaux[[annee]:[annee]]=Exercice[[Exercice N]:[Exercice N]])*(evolution_bt_par_materiaux[[annee_mes]:[annee_mes]]=CC$77)*(evolution_bt_par_materiaux[[lineaire_bt_almelec_acier]:[lineaire_bt_almelec_acier]]))</f>
        <v>0</v>
      </c>
      <c r="CD82" s="406"/>
      <c r="CE82" s="406"/>
      <c r="CF82" s="406"/>
    </row>
    <row r="83" spans="2:84" x14ac:dyDescent="0.25">
      <c r="B83" s="23"/>
      <c r="C83" s="23"/>
      <c r="D83" s="23"/>
      <c r="E83" s="23"/>
      <c r="F83" s="404"/>
      <c r="G83" s="404"/>
      <c r="H83" s="404"/>
      <c r="I83" s="404"/>
      <c r="J83" s="404"/>
      <c r="K83" s="404"/>
      <c r="L83" s="404"/>
      <c r="M83" s="404"/>
      <c r="N83" s="404"/>
      <c r="O83" s="404"/>
      <c r="P83" s="404"/>
      <c r="Q83" s="404"/>
      <c r="R83" s="404"/>
      <c r="S83" s="404"/>
      <c r="T83" s="404"/>
      <c r="U83" s="404"/>
      <c r="V83" s="404"/>
      <c r="W83" s="404"/>
      <c r="X83" s="404"/>
      <c r="Y83" s="404"/>
      <c r="Z83" s="404"/>
      <c r="AA83" s="404"/>
      <c r="AB83" s="404"/>
      <c r="AC83" s="404"/>
      <c r="AD83" s="404"/>
      <c r="AE83" s="404"/>
      <c r="AF83" s="404"/>
      <c r="AG83" s="404"/>
      <c r="AH83" s="404"/>
      <c r="AI83" s="404"/>
      <c r="AJ83" s="404"/>
      <c r="AK83" s="404"/>
      <c r="AL83" s="404"/>
      <c r="AM83" s="404"/>
      <c r="AN83" s="404"/>
      <c r="AO83" s="404"/>
      <c r="AP83" s="404"/>
      <c r="AQ83" s="404"/>
      <c r="AR83" s="404"/>
      <c r="AS83" s="404"/>
      <c r="AT83" s="404"/>
      <c r="AU83" s="404"/>
      <c r="AV83" s="404"/>
      <c r="AW83" s="404"/>
      <c r="AX83" s="404"/>
      <c r="AY83" s="404"/>
      <c r="AZ83" s="404"/>
      <c r="BA83" s="404"/>
      <c r="BB83" s="404"/>
      <c r="BC83" s="404"/>
      <c r="BD83" s="404"/>
      <c r="BE83" s="404"/>
      <c r="BF83" s="404"/>
      <c r="BG83" s="404"/>
      <c r="BH83" s="404"/>
      <c r="BI83" s="404"/>
      <c r="BJ83" s="404"/>
      <c r="BK83" s="404"/>
      <c r="BL83" s="404"/>
      <c r="BM83" s="404"/>
      <c r="BN83" s="404"/>
      <c r="BO83" s="404"/>
      <c r="BP83" s="404"/>
      <c r="BQ83" s="404"/>
      <c r="BR83" s="404"/>
      <c r="BS83" s="404"/>
      <c r="BT83" s="404"/>
      <c r="BU83" s="404"/>
      <c r="BV83" s="404"/>
      <c r="BW83" s="404"/>
      <c r="BX83" s="404"/>
      <c r="BY83" s="404"/>
    </row>
    <row r="84" spans="2:84" x14ac:dyDescent="0.25">
      <c r="B84" s="23"/>
      <c r="C84" s="23"/>
      <c r="D84" s="23"/>
      <c r="E84" s="23"/>
      <c r="F84" s="404"/>
      <c r="G84" s="404"/>
      <c r="H84" s="404"/>
      <c r="I84" s="404"/>
      <c r="J84" s="404"/>
      <c r="K84" s="404"/>
      <c r="L84" s="404"/>
      <c r="M84" s="404"/>
      <c r="N84" s="404"/>
      <c r="O84" s="404"/>
      <c r="P84" s="404"/>
      <c r="Q84" s="404"/>
      <c r="R84" s="404"/>
      <c r="S84" s="404"/>
      <c r="T84" s="404"/>
      <c r="U84" s="404"/>
      <c r="V84" s="404"/>
      <c r="W84" s="404"/>
      <c r="X84" s="404"/>
      <c r="Y84" s="404"/>
      <c r="Z84" s="404"/>
      <c r="AA84" s="404"/>
      <c r="AB84" s="404"/>
      <c r="AC84" s="404"/>
      <c r="AD84" s="404"/>
      <c r="AE84" s="404"/>
      <c r="AF84" s="404"/>
      <c r="AG84" s="404"/>
      <c r="AH84" s="404"/>
      <c r="AI84" s="404"/>
      <c r="AJ84" s="404"/>
      <c r="AK84" s="404"/>
      <c r="AL84" s="404"/>
      <c r="AM84" s="404"/>
      <c r="AN84" s="404"/>
      <c r="AO84" s="404"/>
      <c r="AP84" s="404"/>
      <c r="AQ84" s="404"/>
      <c r="AR84" s="404"/>
      <c r="AS84" s="404"/>
      <c r="AT84" s="404"/>
      <c r="AU84" s="404"/>
      <c r="AV84" s="404"/>
      <c r="AW84" s="404"/>
      <c r="AX84" s="404"/>
      <c r="AY84" s="404"/>
      <c r="AZ84" s="404"/>
      <c r="BA84" s="404"/>
      <c r="BB84" s="404"/>
      <c r="BC84" s="404"/>
      <c r="BD84" s="404"/>
      <c r="BE84" s="404"/>
      <c r="BF84" s="404"/>
      <c r="BG84" s="404"/>
      <c r="BH84" s="404"/>
      <c r="BI84" s="404"/>
      <c r="BJ84" s="404"/>
      <c r="BK84" s="404"/>
      <c r="BL84" s="404"/>
      <c r="BM84" s="404"/>
      <c r="BN84" s="404"/>
      <c r="BO84" s="404"/>
      <c r="BP84" s="404"/>
      <c r="BQ84" s="404"/>
      <c r="BR84" s="404"/>
      <c r="BS84" s="404"/>
      <c r="BT84" s="404"/>
      <c r="BU84" s="404"/>
      <c r="BV84" s="404"/>
      <c r="BW84" s="404"/>
      <c r="BX84" s="404"/>
      <c r="BY84" s="404"/>
    </row>
    <row r="85" spans="2:84" x14ac:dyDescent="0.25">
      <c r="B85" s="23"/>
      <c r="C85" s="23"/>
      <c r="D85" s="23"/>
      <c r="E85" s="23"/>
      <c r="F85" s="404"/>
      <c r="G85" s="404"/>
      <c r="H85" s="404"/>
      <c r="I85" s="404"/>
      <c r="J85" s="404"/>
      <c r="K85" s="404"/>
      <c r="L85" s="404"/>
      <c r="M85" s="404"/>
      <c r="N85" s="404"/>
      <c r="O85" s="404"/>
      <c r="P85" s="404"/>
      <c r="Q85" s="404"/>
      <c r="R85" s="404"/>
      <c r="S85" s="404"/>
      <c r="T85" s="404"/>
      <c r="U85" s="404"/>
      <c r="V85" s="404"/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404"/>
      <c r="AL85" s="404"/>
      <c r="AM85" s="404"/>
      <c r="AN85" s="404"/>
      <c r="AO85" s="404"/>
      <c r="AP85" s="404"/>
      <c r="AQ85" s="404"/>
      <c r="AR85" s="404"/>
      <c r="AS85" s="404"/>
      <c r="AT85" s="404"/>
      <c r="AU85" s="404"/>
      <c r="AV85" s="404"/>
      <c r="AW85" s="404"/>
      <c r="AX85" s="404"/>
      <c r="AY85" s="404"/>
      <c r="AZ85" s="404"/>
      <c r="BA85" s="404"/>
      <c r="BB85" s="404"/>
      <c r="BC85" s="404"/>
      <c r="BD85" s="404"/>
      <c r="BE85" s="404"/>
      <c r="BF85" s="404"/>
      <c r="BG85" s="404"/>
      <c r="BH85" s="404"/>
      <c r="BI85" s="404"/>
      <c r="BJ85" s="404"/>
      <c r="BK85" s="404"/>
      <c r="BL85" s="404"/>
      <c r="BM85" s="404"/>
      <c r="BN85" s="404"/>
      <c r="BO85" s="404"/>
      <c r="BP85" s="404"/>
      <c r="BQ85" s="404"/>
      <c r="BR85" s="404"/>
      <c r="BS85" s="404"/>
      <c r="BT85" s="404"/>
      <c r="BU85" s="404"/>
      <c r="BV85" s="404"/>
      <c r="BW85" s="404"/>
      <c r="BX85" s="404"/>
      <c r="BY85" s="404"/>
    </row>
    <row r="86" spans="2:84" x14ac:dyDescent="0.25">
      <c r="B86" s="23"/>
      <c r="C86" s="23"/>
      <c r="D86" s="23"/>
      <c r="E86" s="23"/>
      <c r="F86" s="404"/>
      <c r="G86" s="404"/>
      <c r="H86" s="404"/>
      <c r="I86" s="404"/>
      <c r="J86" s="404"/>
      <c r="K86" s="404"/>
      <c r="L86" s="404"/>
      <c r="M86" s="404"/>
      <c r="N86" s="404"/>
      <c r="O86" s="404"/>
      <c r="P86" s="404"/>
      <c r="Q86" s="404"/>
      <c r="R86" s="404"/>
      <c r="S86" s="404"/>
      <c r="T86" s="404"/>
      <c r="U86" s="404"/>
      <c r="V86" s="404"/>
      <c r="W86" s="404"/>
      <c r="X86" s="404"/>
      <c r="Y86" s="404"/>
      <c r="Z86" s="404"/>
      <c r="AA86" s="404"/>
      <c r="AB86" s="404"/>
      <c r="AC86" s="404"/>
      <c r="AD86" s="404"/>
      <c r="AE86" s="404"/>
      <c r="AF86" s="404"/>
      <c r="AG86" s="404"/>
      <c r="AH86" s="404"/>
      <c r="AI86" s="404"/>
      <c r="AJ86" s="404"/>
      <c r="AK86" s="404"/>
      <c r="AL86" s="404"/>
      <c r="AM86" s="404"/>
      <c r="AN86" s="404"/>
      <c r="AO86" s="404"/>
      <c r="AP86" s="404"/>
      <c r="AQ86" s="404"/>
      <c r="AR86" s="404"/>
      <c r="AS86" s="404"/>
      <c r="AT86" s="404"/>
      <c r="AU86" s="404"/>
      <c r="AV86" s="404"/>
      <c r="AW86" s="404"/>
      <c r="AX86" s="404"/>
      <c r="AY86" s="404"/>
      <c r="AZ86" s="404"/>
      <c r="BA86" s="404"/>
      <c r="BB86" s="404"/>
      <c r="BC86" s="404"/>
      <c r="BD86" s="404"/>
      <c r="BE86" s="404"/>
      <c r="BF86" s="404"/>
      <c r="BG86" s="404"/>
      <c r="BH86" s="404"/>
      <c r="BI86" s="404"/>
      <c r="BJ86" s="404"/>
      <c r="BK86" s="404"/>
      <c r="BL86" s="404"/>
      <c r="BM86" s="404"/>
      <c r="BN86" s="404"/>
      <c r="BO86" s="404"/>
      <c r="BP86" s="404"/>
      <c r="BQ86" s="404"/>
      <c r="BR86" s="404"/>
      <c r="BS86" s="404"/>
      <c r="BT86" s="404"/>
      <c r="BU86" s="404"/>
      <c r="BV86" s="404"/>
      <c r="BW86" s="404"/>
      <c r="BX86" s="404"/>
      <c r="BY86" s="404"/>
    </row>
    <row r="87" spans="2:84" x14ac:dyDescent="0.25">
      <c r="B87" s="23"/>
      <c r="C87" s="23"/>
      <c r="D87" s="23"/>
      <c r="E87" s="23"/>
      <c r="F87" s="404"/>
      <c r="G87" s="404"/>
      <c r="H87" s="404"/>
      <c r="I87" s="404"/>
      <c r="J87" s="404"/>
      <c r="K87" s="404"/>
      <c r="L87" s="404"/>
      <c r="M87" s="404"/>
      <c r="N87" s="404"/>
      <c r="O87" s="404"/>
      <c r="P87" s="404"/>
      <c r="Q87" s="404"/>
      <c r="R87" s="404"/>
      <c r="S87" s="404"/>
      <c r="T87" s="404"/>
      <c r="U87" s="404"/>
      <c r="V87" s="404"/>
      <c r="W87" s="404"/>
      <c r="X87" s="404"/>
      <c r="Y87" s="404"/>
      <c r="Z87" s="404"/>
      <c r="AA87" s="404"/>
      <c r="AB87" s="404"/>
      <c r="AC87" s="404"/>
      <c r="AD87" s="404"/>
      <c r="AE87" s="404"/>
      <c r="AF87" s="404"/>
      <c r="AG87" s="404"/>
      <c r="AH87" s="404"/>
      <c r="AI87" s="404"/>
      <c r="AJ87" s="404"/>
      <c r="AK87" s="404"/>
      <c r="AL87" s="404"/>
      <c r="AM87" s="404"/>
      <c r="AN87" s="404"/>
      <c r="AO87" s="404"/>
      <c r="AP87" s="404"/>
      <c r="AQ87" s="404"/>
      <c r="AR87" s="404"/>
      <c r="AS87" s="404"/>
      <c r="AT87" s="404"/>
      <c r="AU87" s="404"/>
      <c r="AV87" s="404"/>
      <c r="AW87" s="404"/>
      <c r="AX87" s="404"/>
      <c r="AY87" s="404"/>
      <c r="AZ87" s="404"/>
      <c r="BA87" s="404"/>
      <c r="BB87" s="404"/>
      <c r="BC87" s="404"/>
      <c r="BD87" s="404"/>
      <c r="BE87" s="404"/>
      <c r="BF87" s="404"/>
      <c r="BG87" s="404"/>
      <c r="BH87" s="404"/>
      <c r="BI87" s="404"/>
      <c r="BJ87" s="404"/>
      <c r="BK87" s="404"/>
      <c r="BL87" s="404"/>
      <c r="BM87" s="404"/>
      <c r="BN87" s="404"/>
      <c r="BO87" s="404"/>
      <c r="BP87" s="404"/>
      <c r="BQ87" s="404"/>
      <c r="BR87" s="404"/>
      <c r="BS87" s="404"/>
      <c r="BT87" s="404"/>
      <c r="BU87" s="404"/>
      <c r="BV87" s="404"/>
      <c r="BW87" s="404"/>
      <c r="BX87" s="404"/>
      <c r="BY87" s="404"/>
    </row>
    <row r="88" spans="2:84" x14ac:dyDescent="0.25">
      <c r="B88" s="23"/>
      <c r="C88" s="23"/>
      <c r="D88" s="23"/>
      <c r="E88" s="23"/>
      <c r="F88" s="404"/>
      <c r="G88" s="404"/>
      <c r="H88" s="404"/>
      <c r="I88" s="404"/>
      <c r="J88" s="404"/>
      <c r="K88" s="404"/>
      <c r="L88" s="404"/>
      <c r="M88" s="404"/>
      <c r="N88" s="404"/>
      <c r="O88" s="404"/>
      <c r="P88" s="404"/>
      <c r="Q88" s="404"/>
      <c r="R88" s="404"/>
      <c r="S88" s="404"/>
      <c r="T88" s="404"/>
      <c r="U88" s="404"/>
      <c r="V88" s="404"/>
      <c r="W88" s="404"/>
      <c r="X88" s="404"/>
      <c r="Y88" s="404"/>
      <c r="Z88" s="404"/>
      <c r="AA88" s="404"/>
      <c r="AB88" s="404"/>
      <c r="AC88" s="404"/>
      <c r="AD88" s="404"/>
      <c r="AE88" s="404"/>
      <c r="AF88" s="404"/>
      <c r="AG88" s="404"/>
      <c r="AH88" s="404"/>
      <c r="AI88" s="404"/>
      <c r="AJ88" s="404"/>
      <c r="AK88" s="404"/>
      <c r="AL88" s="404"/>
      <c r="AM88" s="404"/>
      <c r="AN88" s="404"/>
      <c r="AO88" s="404"/>
      <c r="AP88" s="404"/>
      <c r="AQ88" s="404"/>
      <c r="AR88" s="404"/>
      <c r="AS88" s="404"/>
      <c r="AT88" s="404"/>
      <c r="AU88" s="404"/>
      <c r="AV88" s="404"/>
      <c r="AW88" s="404"/>
      <c r="AX88" s="404"/>
      <c r="AY88" s="404"/>
      <c r="AZ88" s="404"/>
      <c r="BA88" s="404"/>
      <c r="BB88" s="404"/>
      <c r="BC88" s="404"/>
      <c r="BD88" s="404"/>
      <c r="BE88" s="404"/>
      <c r="BF88" s="404"/>
      <c r="BG88" s="404"/>
      <c r="BH88" s="404"/>
      <c r="BI88" s="404"/>
      <c r="BJ88" s="404"/>
      <c r="BK88" s="404"/>
      <c r="BL88" s="404"/>
      <c r="BM88" s="404"/>
      <c r="BN88" s="404"/>
      <c r="BO88" s="404"/>
      <c r="BP88" s="404"/>
      <c r="BQ88" s="404"/>
      <c r="BR88" s="404"/>
      <c r="BS88" s="404"/>
      <c r="BT88" s="404"/>
      <c r="BU88" s="404"/>
      <c r="BV88" s="404"/>
      <c r="BW88" s="404"/>
      <c r="BX88" s="404"/>
      <c r="BY88" s="404"/>
    </row>
    <row r="89" spans="2:84" x14ac:dyDescent="0.25">
      <c r="B89" s="23"/>
      <c r="C89" s="23"/>
      <c r="D89" s="23"/>
      <c r="E89" s="23"/>
      <c r="F89" s="404"/>
      <c r="G89" s="404"/>
      <c r="H89" s="404"/>
      <c r="I89" s="404"/>
      <c r="J89" s="404"/>
      <c r="K89" s="404"/>
      <c r="L89" s="404"/>
      <c r="M89" s="404"/>
      <c r="N89" s="404"/>
      <c r="O89" s="404"/>
      <c r="P89" s="404"/>
      <c r="Q89" s="404"/>
      <c r="R89" s="404"/>
      <c r="S89" s="404"/>
      <c r="T89" s="404"/>
      <c r="U89" s="404"/>
      <c r="V89" s="404"/>
      <c r="W89" s="404"/>
      <c r="X89" s="404"/>
      <c r="Y89" s="404"/>
      <c r="Z89" s="404"/>
      <c r="AA89" s="404"/>
      <c r="AB89" s="404"/>
      <c r="AC89" s="404"/>
      <c r="AD89" s="404"/>
      <c r="AE89" s="404"/>
      <c r="AF89" s="404"/>
      <c r="AG89" s="404"/>
      <c r="AH89" s="404"/>
      <c r="AI89" s="404"/>
      <c r="AJ89" s="404"/>
      <c r="AK89" s="404"/>
      <c r="AL89" s="404"/>
      <c r="AM89" s="404"/>
      <c r="AN89" s="404"/>
      <c r="AO89" s="404"/>
      <c r="AP89" s="404"/>
      <c r="AQ89" s="404"/>
      <c r="AR89" s="404"/>
      <c r="AS89" s="404"/>
      <c r="AT89" s="404"/>
      <c r="AU89" s="404"/>
      <c r="AV89" s="404"/>
      <c r="AW89" s="404"/>
      <c r="AX89" s="404"/>
      <c r="AY89" s="404"/>
      <c r="AZ89" s="404"/>
      <c r="BA89" s="404"/>
      <c r="BB89" s="404"/>
      <c r="BC89" s="404"/>
      <c r="BD89" s="404"/>
      <c r="BE89" s="404"/>
      <c r="BF89" s="404"/>
      <c r="BG89" s="404"/>
      <c r="BH89" s="404"/>
      <c r="BI89" s="404"/>
      <c r="BJ89" s="404"/>
      <c r="BK89" s="404"/>
      <c r="BL89" s="404"/>
      <c r="BM89" s="404"/>
      <c r="BN89" s="404"/>
      <c r="BO89" s="404"/>
      <c r="BP89" s="404"/>
      <c r="BQ89" s="404"/>
      <c r="BR89" s="404"/>
      <c r="BS89" s="404"/>
      <c r="BT89" s="404"/>
      <c r="BU89" s="404"/>
      <c r="BV89" s="404"/>
      <c r="BW89" s="404"/>
      <c r="BX89" s="404"/>
      <c r="BY89" s="404"/>
    </row>
    <row r="90" spans="2:84" x14ac:dyDescent="0.25">
      <c r="B90" s="23"/>
      <c r="C90" s="23"/>
      <c r="D90" s="23"/>
      <c r="E90" s="23"/>
      <c r="F90" s="404"/>
      <c r="G90" s="404"/>
      <c r="H90" s="404"/>
      <c r="I90" s="404"/>
      <c r="J90" s="404"/>
      <c r="K90" s="404"/>
      <c r="L90" s="404"/>
      <c r="M90" s="404"/>
      <c r="N90" s="404"/>
      <c r="O90" s="404"/>
      <c r="P90" s="404"/>
      <c r="Q90" s="404"/>
      <c r="R90" s="404"/>
      <c r="S90" s="404"/>
      <c r="T90" s="404"/>
      <c r="U90" s="404"/>
      <c r="V90" s="404"/>
      <c r="W90" s="404"/>
      <c r="X90" s="404"/>
      <c r="Y90" s="404"/>
      <c r="Z90" s="404"/>
      <c r="AA90" s="404"/>
      <c r="AB90" s="404"/>
      <c r="AC90" s="404"/>
      <c r="AD90" s="404"/>
      <c r="AE90" s="404"/>
      <c r="AF90" s="404"/>
      <c r="AG90" s="404"/>
      <c r="AH90" s="404"/>
      <c r="AI90" s="404"/>
      <c r="AJ90" s="404"/>
      <c r="AK90" s="404"/>
      <c r="AL90" s="404"/>
      <c r="AM90" s="404"/>
      <c r="AN90" s="404"/>
      <c r="AO90" s="404"/>
      <c r="AP90" s="404"/>
      <c r="AQ90" s="404"/>
      <c r="AR90" s="404"/>
      <c r="AS90" s="404"/>
      <c r="AT90" s="404"/>
      <c r="AU90" s="404"/>
      <c r="AV90" s="404"/>
      <c r="AW90" s="404"/>
      <c r="AX90" s="404"/>
      <c r="AY90" s="404"/>
      <c r="AZ90" s="404"/>
      <c r="BA90" s="404"/>
      <c r="BB90" s="404"/>
      <c r="BC90" s="404"/>
      <c r="BD90" s="404"/>
      <c r="BE90" s="404"/>
      <c r="BF90" s="404"/>
      <c r="BG90" s="404"/>
      <c r="BH90" s="404"/>
      <c r="BI90" s="404"/>
      <c r="BJ90" s="404"/>
      <c r="BK90" s="404"/>
      <c r="BL90" s="404"/>
      <c r="BM90" s="404"/>
      <c r="BN90" s="404"/>
      <c r="BO90" s="404"/>
      <c r="BP90" s="404"/>
      <c r="BQ90" s="404"/>
      <c r="BR90" s="404"/>
      <c r="BS90" s="404"/>
      <c r="BT90" s="404"/>
      <c r="BU90" s="404"/>
      <c r="BV90" s="404"/>
      <c r="BW90" s="404"/>
      <c r="BX90" s="404"/>
      <c r="BY90" s="404"/>
    </row>
    <row r="91" spans="2:84" x14ac:dyDescent="0.25">
      <c r="B91" s="23"/>
      <c r="C91" s="23"/>
      <c r="D91" s="23"/>
      <c r="E91" s="23"/>
      <c r="F91" s="404"/>
      <c r="G91" s="404"/>
      <c r="H91" s="404"/>
      <c r="I91" s="404"/>
      <c r="J91" s="404"/>
      <c r="K91" s="404"/>
      <c r="L91" s="404"/>
      <c r="M91" s="404"/>
      <c r="N91" s="404"/>
      <c r="O91" s="404"/>
      <c r="P91" s="404"/>
      <c r="Q91" s="404"/>
      <c r="R91" s="404"/>
      <c r="S91" s="404"/>
      <c r="T91" s="404"/>
      <c r="U91" s="404"/>
      <c r="V91" s="404"/>
      <c r="W91" s="404"/>
      <c r="X91" s="404"/>
      <c r="Y91" s="404"/>
      <c r="Z91" s="404"/>
      <c r="AA91" s="404"/>
      <c r="AB91" s="404"/>
      <c r="AC91" s="404"/>
      <c r="AD91" s="404"/>
      <c r="AE91" s="404"/>
      <c r="AF91" s="404"/>
      <c r="AG91" s="404"/>
      <c r="AH91" s="404"/>
      <c r="AI91" s="404"/>
      <c r="AJ91" s="404"/>
      <c r="AK91" s="404"/>
      <c r="AL91" s="404"/>
      <c r="AM91" s="404"/>
      <c r="AN91" s="404"/>
      <c r="AO91" s="404"/>
      <c r="AP91" s="404"/>
      <c r="AQ91" s="404"/>
      <c r="AR91" s="404"/>
      <c r="AS91" s="404"/>
      <c r="AT91" s="404"/>
      <c r="AU91" s="404"/>
      <c r="AV91" s="404"/>
      <c r="AW91" s="404"/>
      <c r="AX91" s="404"/>
      <c r="AY91" s="404"/>
      <c r="AZ91" s="404"/>
      <c r="BA91" s="404"/>
      <c r="BB91" s="404"/>
      <c r="BC91" s="404"/>
      <c r="BD91" s="404"/>
      <c r="BE91" s="404"/>
      <c r="BF91" s="404"/>
      <c r="BG91" s="404"/>
      <c r="BH91" s="404"/>
      <c r="BI91" s="404"/>
      <c r="BJ91" s="404"/>
      <c r="BK91" s="404"/>
      <c r="BL91" s="404"/>
      <c r="BM91" s="404"/>
      <c r="BN91" s="404"/>
      <c r="BO91" s="404"/>
      <c r="BP91" s="404"/>
      <c r="BQ91" s="404"/>
      <c r="BR91" s="404"/>
      <c r="BS91" s="404"/>
      <c r="BT91" s="404"/>
      <c r="BU91" s="404"/>
      <c r="BV91" s="404"/>
      <c r="BW91" s="404"/>
      <c r="BX91" s="404"/>
      <c r="BY91" s="404"/>
    </row>
    <row r="92" spans="2:84" x14ac:dyDescent="0.25">
      <c r="B92" s="23"/>
      <c r="C92" s="23"/>
      <c r="D92" s="23"/>
      <c r="E92" s="23"/>
      <c r="F92" s="404"/>
      <c r="G92" s="404"/>
      <c r="H92" s="404"/>
      <c r="I92" s="404"/>
      <c r="J92" s="404"/>
      <c r="K92" s="404"/>
      <c r="L92" s="404"/>
      <c r="M92" s="404"/>
      <c r="N92" s="404"/>
      <c r="O92" s="404"/>
      <c r="P92" s="404"/>
      <c r="Q92" s="404"/>
      <c r="R92" s="404"/>
      <c r="S92" s="404"/>
      <c r="T92" s="404"/>
      <c r="U92" s="404"/>
      <c r="V92" s="404"/>
      <c r="W92" s="404"/>
      <c r="X92" s="404"/>
      <c r="Y92" s="404"/>
      <c r="Z92" s="404"/>
      <c r="AA92" s="404"/>
      <c r="AB92" s="404"/>
      <c r="AC92" s="404"/>
      <c r="AD92" s="404"/>
      <c r="AE92" s="404"/>
      <c r="AF92" s="404"/>
      <c r="AG92" s="404"/>
      <c r="AH92" s="404"/>
      <c r="AI92" s="404"/>
      <c r="AJ92" s="404"/>
      <c r="AK92" s="404"/>
      <c r="AL92" s="404"/>
      <c r="AM92" s="404"/>
      <c r="AN92" s="404"/>
      <c r="AO92" s="404"/>
      <c r="AP92" s="404"/>
      <c r="AQ92" s="404"/>
      <c r="AR92" s="404"/>
      <c r="AS92" s="404"/>
      <c r="AT92" s="404"/>
      <c r="AU92" s="404"/>
      <c r="AV92" s="404"/>
      <c r="AW92" s="404"/>
      <c r="AX92" s="404"/>
      <c r="AY92" s="404"/>
      <c r="AZ92" s="404"/>
      <c r="BA92" s="404"/>
      <c r="BB92" s="404"/>
      <c r="BC92" s="404"/>
      <c r="BD92" s="404"/>
      <c r="BE92" s="404"/>
      <c r="BF92" s="404"/>
      <c r="BG92" s="404"/>
      <c r="BH92" s="404"/>
      <c r="BI92" s="404"/>
      <c r="BJ92" s="404"/>
      <c r="BK92" s="404"/>
      <c r="BL92" s="404"/>
      <c r="BM92" s="404"/>
      <c r="BN92" s="404"/>
      <c r="BO92" s="404"/>
      <c r="BP92" s="404"/>
      <c r="BQ92" s="404"/>
      <c r="BR92" s="404"/>
      <c r="BS92" s="404"/>
      <c r="BT92" s="404"/>
      <c r="BU92" s="404"/>
      <c r="BV92" s="404"/>
      <c r="BW92" s="404"/>
      <c r="BX92" s="404"/>
      <c r="BY92" s="404"/>
    </row>
    <row r="93" spans="2:84" x14ac:dyDescent="0.25">
      <c r="B93" s="23"/>
      <c r="C93" s="23"/>
      <c r="D93" s="23"/>
      <c r="E93" s="23"/>
      <c r="F93" s="404"/>
      <c r="G93" s="404"/>
      <c r="H93" s="404"/>
      <c r="I93" s="404"/>
      <c r="J93" s="404"/>
      <c r="K93" s="404"/>
      <c r="L93" s="404"/>
      <c r="M93" s="404"/>
      <c r="N93" s="404"/>
      <c r="O93" s="404"/>
      <c r="P93" s="404"/>
      <c r="Q93" s="404"/>
      <c r="R93" s="404"/>
      <c r="S93" s="404"/>
      <c r="T93" s="404"/>
      <c r="U93" s="404"/>
      <c r="V93" s="404"/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404"/>
      <c r="AL93" s="404"/>
      <c r="AM93" s="404"/>
      <c r="AN93" s="404"/>
      <c r="AO93" s="404"/>
      <c r="AP93" s="404"/>
      <c r="AQ93" s="404"/>
      <c r="AR93" s="404"/>
      <c r="AS93" s="404"/>
      <c r="AT93" s="404"/>
      <c r="AU93" s="404"/>
      <c r="AV93" s="404"/>
      <c r="AW93" s="404"/>
      <c r="AX93" s="404"/>
      <c r="AY93" s="404"/>
      <c r="AZ93" s="404"/>
      <c r="BA93" s="404"/>
      <c r="BB93" s="404"/>
      <c r="BC93" s="404"/>
      <c r="BD93" s="404"/>
      <c r="BE93" s="404"/>
      <c r="BF93" s="404"/>
      <c r="BG93" s="404"/>
      <c r="BH93" s="404"/>
      <c r="BI93" s="404"/>
      <c r="BJ93" s="404"/>
      <c r="BK93" s="404"/>
      <c r="BL93" s="404"/>
      <c r="BM93" s="404"/>
      <c r="BN93" s="404"/>
      <c r="BO93" s="404"/>
      <c r="BP93" s="404"/>
      <c r="BQ93" s="404"/>
      <c r="BR93" s="404"/>
      <c r="BS93" s="404"/>
      <c r="BT93" s="404"/>
      <c r="BU93" s="404"/>
      <c r="BV93" s="404"/>
      <c r="BW93" s="404"/>
      <c r="BX93" s="404"/>
      <c r="BY93" s="404"/>
    </row>
    <row r="94" spans="2:84" x14ac:dyDescent="0.25">
      <c r="B94" s="23"/>
      <c r="C94" s="23"/>
      <c r="D94" s="23"/>
      <c r="E94" s="23"/>
      <c r="F94" s="404"/>
      <c r="G94" s="404"/>
      <c r="H94" s="404"/>
      <c r="I94" s="404"/>
      <c r="J94" s="404"/>
      <c r="K94" s="404"/>
      <c r="L94" s="404"/>
      <c r="M94" s="404"/>
      <c r="N94" s="404"/>
      <c r="O94" s="404"/>
      <c r="P94" s="404"/>
      <c r="Q94" s="404"/>
      <c r="R94" s="404"/>
      <c r="S94" s="404"/>
      <c r="T94" s="404"/>
      <c r="U94" s="404"/>
      <c r="V94" s="404"/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404"/>
      <c r="AL94" s="404"/>
      <c r="AM94" s="404"/>
      <c r="AN94" s="404"/>
      <c r="AO94" s="404"/>
      <c r="AP94" s="404"/>
      <c r="AQ94" s="404"/>
      <c r="AR94" s="404"/>
      <c r="AS94" s="404"/>
      <c r="AT94" s="404"/>
      <c r="AU94" s="404"/>
      <c r="AV94" s="404"/>
      <c r="AW94" s="404"/>
      <c r="AX94" s="404"/>
      <c r="AY94" s="404"/>
      <c r="AZ94" s="404"/>
      <c r="BA94" s="404"/>
      <c r="BB94" s="404"/>
      <c r="BC94" s="404"/>
      <c r="BD94" s="404"/>
      <c r="BE94" s="404"/>
      <c r="BF94" s="404"/>
      <c r="BG94" s="404"/>
      <c r="BH94" s="404"/>
      <c r="BI94" s="404"/>
      <c r="BJ94" s="404"/>
      <c r="BK94" s="404"/>
      <c r="BL94" s="404"/>
      <c r="BM94" s="404"/>
      <c r="BN94" s="404"/>
      <c r="BO94" s="404"/>
      <c r="BP94" s="404"/>
      <c r="BQ94" s="404"/>
      <c r="BR94" s="404"/>
      <c r="BS94" s="404"/>
      <c r="BT94" s="404"/>
      <c r="BU94" s="404"/>
      <c r="BV94" s="404"/>
      <c r="BW94" s="404"/>
      <c r="BX94" s="404"/>
      <c r="BY94" s="404"/>
    </row>
    <row r="95" spans="2:84" x14ac:dyDescent="0.25">
      <c r="B95" s="23"/>
      <c r="C95" s="23"/>
      <c r="D95" s="23"/>
      <c r="E95" s="23"/>
      <c r="F95" s="404"/>
      <c r="G95" s="404"/>
      <c r="H95" s="404"/>
      <c r="I95" s="404"/>
      <c r="J95" s="404"/>
      <c r="K95" s="404"/>
      <c r="L95" s="404"/>
      <c r="M95" s="404"/>
      <c r="N95" s="404"/>
      <c r="O95" s="404"/>
      <c r="P95" s="404"/>
      <c r="Q95" s="404"/>
      <c r="R95" s="404"/>
      <c r="S95" s="404"/>
      <c r="T95" s="404"/>
      <c r="U95" s="404"/>
      <c r="V95" s="404"/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404"/>
      <c r="AL95" s="404"/>
      <c r="AM95" s="404"/>
      <c r="AN95" s="404"/>
      <c r="AO95" s="404"/>
      <c r="AP95" s="404"/>
      <c r="AQ95" s="404"/>
      <c r="AR95" s="404"/>
      <c r="AS95" s="404"/>
      <c r="AT95" s="404"/>
      <c r="AU95" s="404"/>
      <c r="AV95" s="404"/>
      <c r="AW95" s="404"/>
      <c r="AX95" s="404"/>
      <c r="AY95" s="404"/>
      <c r="AZ95" s="404"/>
      <c r="BA95" s="404"/>
      <c r="BB95" s="404"/>
      <c r="BC95" s="404"/>
      <c r="BD95" s="404"/>
      <c r="BE95" s="404"/>
      <c r="BF95" s="404"/>
      <c r="BG95" s="404"/>
      <c r="BH95" s="404"/>
      <c r="BI95" s="404"/>
      <c r="BJ95" s="404"/>
      <c r="BK95" s="404"/>
      <c r="BL95" s="404"/>
      <c r="BM95" s="404"/>
      <c r="BN95" s="404"/>
      <c r="BO95" s="404"/>
      <c r="BP95" s="404"/>
      <c r="BQ95" s="404"/>
      <c r="BR95" s="404"/>
      <c r="BS95" s="404"/>
      <c r="BT95" s="404"/>
      <c r="BU95" s="404"/>
      <c r="BV95" s="404"/>
      <c r="BW95" s="404"/>
      <c r="BX95" s="404"/>
      <c r="BY95" s="404"/>
    </row>
    <row r="96" spans="2:84" x14ac:dyDescent="0.25">
      <c r="B96" s="23"/>
      <c r="C96" s="23"/>
      <c r="D96" s="23"/>
      <c r="E96" s="23"/>
      <c r="F96" s="404"/>
      <c r="G96" s="404"/>
      <c r="H96" s="404"/>
      <c r="I96" s="404"/>
      <c r="J96" s="404"/>
      <c r="K96" s="404"/>
      <c r="L96" s="404"/>
      <c r="M96" s="404"/>
      <c r="N96" s="404"/>
      <c r="O96" s="404"/>
      <c r="P96" s="404"/>
      <c r="Q96" s="404"/>
      <c r="R96" s="404"/>
      <c r="S96" s="404"/>
      <c r="T96" s="404"/>
      <c r="U96" s="404"/>
      <c r="V96" s="404"/>
      <c r="W96" s="404"/>
      <c r="X96" s="404"/>
      <c r="Y96" s="404"/>
      <c r="Z96" s="404"/>
      <c r="AA96" s="404"/>
      <c r="AB96" s="404"/>
      <c r="AC96" s="404"/>
      <c r="AD96" s="404"/>
      <c r="AE96" s="404"/>
      <c r="AF96" s="404"/>
      <c r="AG96" s="404"/>
      <c r="AH96" s="404"/>
      <c r="AI96" s="404"/>
      <c r="AJ96" s="404"/>
      <c r="AK96" s="404"/>
      <c r="AL96" s="404"/>
      <c r="AM96" s="404"/>
      <c r="AN96" s="404"/>
      <c r="AO96" s="404"/>
      <c r="AP96" s="404"/>
      <c r="AQ96" s="404"/>
      <c r="AR96" s="404"/>
      <c r="AS96" s="404"/>
      <c r="AT96" s="404"/>
      <c r="AU96" s="404"/>
      <c r="AV96" s="404"/>
      <c r="AW96" s="404"/>
      <c r="AX96" s="404"/>
      <c r="AY96" s="404"/>
      <c r="AZ96" s="404"/>
      <c r="BA96" s="404"/>
      <c r="BB96" s="404"/>
      <c r="BC96" s="404"/>
      <c r="BD96" s="404"/>
      <c r="BE96" s="404"/>
      <c r="BF96" s="404"/>
      <c r="BG96" s="404"/>
      <c r="BH96" s="404"/>
      <c r="BI96" s="404"/>
      <c r="BJ96" s="404"/>
      <c r="BK96" s="404"/>
      <c r="BL96" s="404"/>
      <c r="BM96" s="404"/>
      <c r="BN96" s="404"/>
      <c r="BO96" s="404"/>
      <c r="BP96" s="404"/>
      <c r="BQ96" s="404"/>
      <c r="BR96" s="404"/>
      <c r="BS96" s="404"/>
      <c r="BT96" s="404"/>
      <c r="BU96" s="404"/>
      <c r="BV96" s="404"/>
      <c r="BW96" s="404"/>
      <c r="BX96" s="404"/>
      <c r="BY96" s="404"/>
    </row>
    <row r="97" spans="2:84" x14ac:dyDescent="0.25">
      <c r="B97" s="23"/>
      <c r="C97" s="23"/>
      <c r="D97" s="23"/>
      <c r="E97" s="23"/>
      <c r="F97" s="404"/>
      <c r="G97" s="404"/>
      <c r="H97" s="404"/>
      <c r="I97" s="404"/>
      <c r="J97" s="404"/>
      <c r="K97" s="404"/>
      <c r="L97" s="404"/>
      <c r="M97" s="404"/>
      <c r="N97" s="404"/>
      <c r="O97" s="404"/>
      <c r="P97" s="404"/>
      <c r="Q97" s="404"/>
      <c r="R97" s="404"/>
      <c r="S97" s="404"/>
      <c r="T97" s="404"/>
      <c r="U97" s="404"/>
      <c r="V97" s="404"/>
      <c r="W97" s="404"/>
      <c r="X97" s="404"/>
      <c r="Y97" s="404"/>
      <c r="Z97" s="404"/>
      <c r="AA97" s="404"/>
      <c r="AB97" s="404"/>
      <c r="AC97" s="404"/>
      <c r="AD97" s="404"/>
      <c r="AE97" s="404"/>
      <c r="AF97" s="404"/>
      <c r="AG97" s="404"/>
      <c r="AH97" s="404"/>
      <c r="AI97" s="404"/>
      <c r="AJ97" s="404"/>
      <c r="AK97" s="404"/>
      <c r="AL97" s="404"/>
      <c r="AM97" s="404"/>
      <c r="AN97" s="404"/>
      <c r="AO97" s="404"/>
      <c r="AP97" s="404"/>
      <c r="AQ97" s="404"/>
      <c r="AR97" s="404"/>
      <c r="AS97" s="404"/>
      <c r="AT97" s="404"/>
      <c r="AU97" s="404"/>
      <c r="AV97" s="404"/>
      <c r="AW97" s="404"/>
      <c r="AX97" s="404"/>
      <c r="AY97" s="404"/>
      <c r="AZ97" s="404"/>
      <c r="BA97" s="404"/>
      <c r="BB97" s="404"/>
      <c r="BC97" s="404"/>
      <c r="BD97" s="404"/>
      <c r="BE97" s="404"/>
      <c r="BF97" s="404"/>
      <c r="BG97" s="404"/>
      <c r="BH97" s="404"/>
      <c r="BI97" s="404"/>
      <c r="BJ97" s="404"/>
      <c r="BK97" s="404"/>
      <c r="BL97" s="404"/>
      <c r="BM97" s="404"/>
      <c r="BN97" s="404"/>
      <c r="BO97" s="404"/>
      <c r="BP97" s="404"/>
      <c r="BQ97" s="404"/>
      <c r="BR97" s="404"/>
      <c r="BS97" s="404"/>
      <c r="BT97" s="404"/>
      <c r="BU97" s="404"/>
      <c r="BV97" s="404"/>
      <c r="BW97" s="404"/>
      <c r="BX97" s="404"/>
      <c r="BY97" s="404"/>
    </row>
    <row r="98" spans="2:84" x14ac:dyDescent="0.25">
      <c r="B98" s="23"/>
      <c r="C98" s="23"/>
      <c r="D98" s="23"/>
      <c r="E98" s="23"/>
      <c r="F98" s="404"/>
      <c r="G98" s="404"/>
      <c r="H98" s="404"/>
      <c r="I98" s="404"/>
      <c r="J98" s="404"/>
      <c r="K98" s="404"/>
      <c r="L98" s="404"/>
      <c r="M98" s="404"/>
      <c r="N98" s="404"/>
      <c r="O98" s="404"/>
      <c r="P98" s="404"/>
      <c r="Q98" s="404"/>
      <c r="R98" s="404"/>
      <c r="S98" s="404"/>
      <c r="T98" s="404"/>
      <c r="U98" s="404"/>
      <c r="V98" s="404"/>
      <c r="W98" s="404"/>
      <c r="X98" s="404"/>
      <c r="Y98" s="404"/>
      <c r="Z98" s="404"/>
      <c r="AA98" s="404"/>
      <c r="AB98" s="404"/>
      <c r="AC98" s="404"/>
      <c r="AD98" s="404"/>
      <c r="AE98" s="404"/>
      <c r="AF98" s="404"/>
      <c r="AG98" s="404"/>
      <c r="AH98" s="404"/>
      <c r="AI98" s="404"/>
      <c r="AJ98" s="404"/>
      <c r="AK98" s="404"/>
      <c r="AL98" s="404"/>
      <c r="AM98" s="404"/>
      <c r="AN98" s="404"/>
      <c r="AO98" s="404"/>
      <c r="AP98" s="404"/>
      <c r="AQ98" s="404"/>
      <c r="AR98" s="404"/>
      <c r="AS98" s="404"/>
      <c r="AT98" s="404"/>
      <c r="AU98" s="404"/>
      <c r="AV98" s="404"/>
      <c r="AW98" s="404"/>
      <c r="AX98" s="404"/>
      <c r="AY98" s="404"/>
      <c r="AZ98" s="404"/>
      <c r="BA98" s="404"/>
      <c r="BB98" s="404"/>
      <c r="BC98" s="404"/>
      <c r="BD98" s="404"/>
      <c r="BE98" s="404"/>
      <c r="BF98" s="404"/>
      <c r="BG98" s="404"/>
      <c r="BH98" s="404"/>
      <c r="BI98" s="404"/>
      <c r="BJ98" s="404"/>
      <c r="BK98" s="404"/>
      <c r="BL98" s="404"/>
      <c r="BM98" s="404"/>
      <c r="BN98" s="404"/>
      <c r="BO98" s="404"/>
      <c r="BP98" s="404"/>
      <c r="BQ98" s="404"/>
      <c r="BR98" s="404"/>
      <c r="BS98" s="404"/>
      <c r="BT98" s="404"/>
      <c r="BU98" s="404"/>
      <c r="BV98" s="404"/>
      <c r="BW98" s="404"/>
      <c r="BX98" s="404"/>
      <c r="BY98" s="404"/>
    </row>
    <row r="99" spans="2:84" x14ac:dyDescent="0.25">
      <c r="B99" s="23"/>
      <c r="C99" s="23"/>
      <c r="D99" s="23"/>
      <c r="E99" s="23"/>
      <c r="F99" s="404"/>
      <c r="G99" s="404"/>
      <c r="H99" s="404"/>
      <c r="I99" s="404"/>
      <c r="J99" s="404"/>
      <c r="K99" s="404"/>
      <c r="L99" s="404"/>
      <c r="M99" s="404"/>
      <c r="N99" s="404"/>
      <c r="O99" s="404"/>
      <c r="P99" s="404"/>
      <c r="Q99" s="404"/>
      <c r="R99" s="404"/>
      <c r="S99" s="404"/>
      <c r="T99" s="404"/>
      <c r="U99" s="404"/>
      <c r="V99" s="404"/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404"/>
      <c r="AL99" s="404"/>
      <c r="AM99" s="404"/>
      <c r="AN99" s="404"/>
      <c r="AO99" s="404"/>
      <c r="AP99" s="404"/>
      <c r="AQ99" s="404"/>
      <c r="AR99" s="404"/>
      <c r="AS99" s="404"/>
      <c r="AT99" s="404"/>
      <c r="AU99" s="404"/>
      <c r="AV99" s="404"/>
      <c r="AW99" s="404"/>
      <c r="AX99" s="404"/>
      <c r="AY99" s="404"/>
      <c r="AZ99" s="404"/>
      <c r="BA99" s="404"/>
      <c r="BB99" s="404"/>
      <c r="BC99" s="404"/>
      <c r="BD99" s="404"/>
      <c r="BE99" s="404"/>
      <c r="BF99" s="404"/>
      <c r="BG99" s="404"/>
      <c r="BH99" s="404"/>
      <c r="BI99" s="404"/>
      <c r="BJ99" s="404"/>
      <c r="BK99" s="404"/>
      <c r="BL99" s="404"/>
      <c r="BM99" s="404"/>
      <c r="BN99" s="404"/>
      <c r="BO99" s="404"/>
      <c r="BP99" s="404"/>
      <c r="BQ99" s="404"/>
      <c r="BR99" s="404"/>
      <c r="BS99" s="404"/>
      <c r="BT99" s="404"/>
      <c r="BU99" s="404"/>
      <c r="BV99" s="404"/>
      <c r="BW99" s="404"/>
      <c r="BX99" s="404"/>
      <c r="BY99" s="404"/>
    </row>
    <row r="101" spans="2:84" ht="30" customHeight="1" x14ac:dyDescent="0.25">
      <c r="B101" s="423" t="s">
        <v>1190</v>
      </c>
      <c r="C101" s="424" t="s">
        <v>1179</v>
      </c>
      <c r="D101" s="424">
        <v>1946</v>
      </c>
      <c r="E101" s="424">
        <v>1947</v>
      </c>
      <c r="F101" s="424">
        <v>1948</v>
      </c>
      <c r="G101" s="424">
        <v>1949</v>
      </c>
      <c r="H101" s="424">
        <v>1950</v>
      </c>
      <c r="I101" s="424">
        <v>1951</v>
      </c>
      <c r="J101" s="424">
        <v>1952</v>
      </c>
      <c r="K101" s="424">
        <v>1953</v>
      </c>
      <c r="L101" s="424">
        <v>1954</v>
      </c>
      <c r="M101" s="424">
        <v>1955</v>
      </c>
      <c r="N101" s="424">
        <v>1956</v>
      </c>
      <c r="O101" s="424">
        <v>1957</v>
      </c>
      <c r="P101" s="424">
        <v>1958</v>
      </c>
      <c r="Q101" s="424">
        <v>1959</v>
      </c>
      <c r="R101" s="424">
        <v>1960</v>
      </c>
      <c r="S101" s="424">
        <v>1961</v>
      </c>
      <c r="T101" s="424">
        <v>1962</v>
      </c>
      <c r="U101" s="424">
        <v>1963</v>
      </c>
      <c r="V101" s="424">
        <v>1964</v>
      </c>
      <c r="W101" s="424">
        <v>1965</v>
      </c>
      <c r="X101" s="424">
        <v>1966</v>
      </c>
      <c r="Y101" s="424">
        <v>1967</v>
      </c>
      <c r="Z101" s="424">
        <v>1968</v>
      </c>
      <c r="AA101" s="424">
        <v>1969</v>
      </c>
      <c r="AB101" s="424">
        <v>1970</v>
      </c>
      <c r="AC101" s="424">
        <v>1971</v>
      </c>
      <c r="AD101" s="424">
        <v>1972</v>
      </c>
      <c r="AE101" s="424">
        <v>1973</v>
      </c>
      <c r="AF101" s="424">
        <v>1974</v>
      </c>
      <c r="AG101" s="424">
        <v>1975</v>
      </c>
      <c r="AH101" s="424">
        <v>1976</v>
      </c>
      <c r="AI101" s="424">
        <v>1977</v>
      </c>
      <c r="AJ101" s="424">
        <v>1978</v>
      </c>
      <c r="AK101" s="424">
        <v>1979</v>
      </c>
      <c r="AL101" s="424">
        <v>1980</v>
      </c>
      <c r="AM101" s="424">
        <v>1981</v>
      </c>
      <c r="AN101" s="424">
        <v>1982</v>
      </c>
      <c r="AO101" s="424">
        <v>1983</v>
      </c>
      <c r="AP101" s="424">
        <v>1984</v>
      </c>
      <c r="AQ101" s="424">
        <v>1985</v>
      </c>
      <c r="AR101" s="424">
        <v>1986</v>
      </c>
      <c r="AS101" s="424">
        <v>1987</v>
      </c>
      <c r="AT101" s="424">
        <v>1988</v>
      </c>
      <c r="AU101" s="424">
        <v>1989</v>
      </c>
      <c r="AV101" s="424">
        <v>1990</v>
      </c>
      <c r="AW101" s="424">
        <v>1991</v>
      </c>
      <c r="AX101" s="424">
        <v>1992</v>
      </c>
      <c r="AY101" s="424">
        <v>1993</v>
      </c>
      <c r="AZ101" s="424">
        <v>1994</v>
      </c>
      <c r="BA101" s="424">
        <v>1995</v>
      </c>
      <c r="BB101" s="424">
        <v>1996</v>
      </c>
      <c r="BC101" s="424">
        <v>1997</v>
      </c>
      <c r="BD101" s="424">
        <v>1998</v>
      </c>
      <c r="BE101" s="424">
        <v>1999</v>
      </c>
      <c r="BF101" s="424">
        <v>2000</v>
      </c>
      <c r="BG101" s="424">
        <v>2001</v>
      </c>
      <c r="BH101" s="424">
        <v>2002</v>
      </c>
      <c r="BI101" s="424">
        <v>2003</v>
      </c>
      <c r="BJ101" s="424">
        <v>2004</v>
      </c>
      <c r="BK101" s="424">
        <v>2005</v>
      </c>
      <c r="BL101" s="424">
        <v>2006</v>
      </c>
      <c r="BM101" s="424">
        <v>2007</v>
      </c>
      <c r="BN101" s="424">
        <v>2008</v>
      </c>
      <c r="BO101" s="424">
        <v>2009</v>
      </c>
      <c r="BP101" s="424">
        <v>2010</v>
      </c>
      <c r="BQ101" s="424">
        <v>2011</v>
      </c>
      <c r="BR101" s="424">
        <v>2012</v>
      </c>
      <c r="BS101" s="424">
        <v>2013</v>
      </c>
      <c r="BT101" s="424">
        <v>2014</v>
      </c>
      <c r="BU101" s="424">
        <v>2015</v>
      </c>
      <c r="BV101" s="424">
        <v>2016</v>
      </c>
      <c r="BW101" s="424">
        <v>2017</v>
      </c>
      <c r="BX101" s="424">
        <v>2018</v>
      </c>
      <c r="BY101" s="424">
        <v>2019</v>
      </c>
      <c r="BZ101" s="424">
        <v>2020</v>
      </c>
      <c r="CA101" s="424">
        <v>2021</v>
      </c>
      <c r="CB101" s="424">
        <v>2022</v>
      </c>
      <c r="CC101" s="425">
        <v>2023</v>
      </c>
      <c r="CD101" s="399"/>
      <c r="CE101" s="399"/>
      <c r="CF101" s="399"/>
    </row>
    <row r="102" spans="2:84" x14ac:dyDescent="0.25">
      <c r="B102" s="431" t="s">
        <v>1191</v>
      </c>
      <c r="C102" s="21" cm="1">
        <f t="array" ref="C102">SUMPRODUCT((evolution_postes_par_typologie[[client]:[client]]=syndicat_etude)*(evolution_postes_par_typologie[[annee]:[annee]]=Exercice[[Exercice N]:[Exercice N]])*(evolution_postes_par_typologie[[annee_mes]:[annee_mes]]&lt;1946)*(evolution_postes_par_typologie[[postes_poteau]:[postes_poteau]]))</f>
        <v>0</v>
      </c>
      <c r="D102" s="21" cm="1">
        <f t="array" ref="D102">SUMPRODUCT((evolution_postes_par_typologie[[client]:[client]]=syndicat_etude)*(evolution_postes_par_typologie[[annee]:[annee]]=Exercice[[Exercice N]:[Exercice N]])*(evolution_postes_par_typologie[[annee_mes]:[annee_mes]]=D$53)*(evolution_postes_par_typologie[[postes_poteau]:[postes_poteau]]))</f>
        <v>2</v>
      </c>
      <c r="E102" s="21" cm="1">
        <f t="array" ref="E102">SUMPRODUCT((evolution_postes_par_typologie[[client]:[client]]=syndicat_etude)*(evolution_postes_par_typologie[[annee]:[annee]]=Exercice[[Exercice N]:[Exercice N]])*(evolution_postes_par_typologie[[annee_mes]:[annee_mes]]=E$53)*(evolution_postes_par_typologie[[postes_poteau]:[postes_poteau]]))</f>
        <v>0</v>
      </c>
      <c r="F102" s="21" cm="1">
        <f t="array" ref="F102">SUMPRODUCT((evolution_postes_par_typologie[[client]:[client]]=syndicat_etude)*(evolution_postes_par_typologie[[annee]:[annee]]=Exercice[[Exercice N]:[Exercice N]])*(evolution_postes_par_typologie[[annee_mes]:[annee_mes]]=F$53)*(evolution_postes_par_typologie[[postes_poteau]:[postes_poteau]]))</f>
        <v>1</v>
      </c>
      <c r="G102" s="21" cm="1">
        <f t="array" ref="G102">SUMPRODUCT((evolution_postes_par_typologie[[client]:[client]]=syndicat_etude)*(evolution_postes_par_typologie[[annee]:[annee]]=Exercice[[Exercice N]:[Exercice N]])*(evolution_postes_par_typologie[[annee_mes]:[annee_mes]]=G$53)*(evolution_postes_par_typologie[[postes_poteau]:[postes_poteau]]))</f>
        <v>0</v>
      </c>
      <c r="H102" s="21" cm="1">
        <f t="array" ref="H102">SUMPRODUCT((evolution_postes_par_typologie[[client]:[client]]=syndicat_etude)*(evolution_postes_par_typologie[[annee]:[annee]]=Exercice[[Exercice N]:[Exercice N]])*(evolution_postes_par_typologie[[annee_mes]:[annee_mes]]=H$53)*(evolution_postes_par_typologie[[postes_poteau]:[postes_poteau]]))</f>
        <v>0</v>
      </c>
      <c r="I102" s="21" cm="1">
        <f t="array" ref="I102">SUMPRODUCT((evolution_postes_par_typologie[[client]:[client]]=syndicat_etude)*(evolution_postes_par_typologie[[annee]:[annee]]=Exercice[[Exercice N]:[Exercice N]])*(evolution_postes_par_typologie[[annee_mes]:[annee_mes]]=I$53)*(evolution_postes_par_typologie[[postes_poteau]:[postes_poteau]]))</f>
        <v>0</v>
      </c>
      <c r="J102" s="21" cm="1">
        <f t="array" ref="J102">SUMPRODUCT((evolution_postes_par_typologie[[client]:[client]]=syndicat_etude)*(evolution_postes_par_typologie[[annee]:[annee]]=Exercice[[Exercice N]:[Exercice N]])*(evolution_postes_par_typologie[[annee_mes]:[annee_mes]]=J$53)*(evolution_postes_par_typologie[[postes_poteau]:[postes_poteau]]))</f>
        <v>1</v>
      </c>
      <c r="K102" s="21" cm="1">
        <f t="array" ref="K102">SUMPRODUCT((evolution_postes_par_typologie[[client]:[client]]=syndicat_etude)*(evolution_postes_par_typologie[[annee]:[annee]]=Exercice[[Exercice N]:[Exercice N]])*(evolution_postes_par_typologie[[annee_mes]:[annee_mes]]=K$53)*(evolution_postes_par_typologie[[postes_poteau]:[postes_poteau]]))</f>
        <v>0</v>
      </c>
      <c r="L102" s="21" cm="1">
        <f t="array" ref="L102">SUMPRODUCT((evolution_postes_par_typologie[[client]:[client]]=syndicat_etude)*(evolution_postes_par_typologie[[annee]:[annee]]=Exercice[[Exercice N]:[Exercice N]])*(evolution_postes_par_typologie[[annee_mes]:[annee_mes]]=L$53)*(evolution_postes_par_typologie[[postes_poteau]:[postes_poteau]]))</f>
        <v>0</v>
      </c>
      <c r="M102" s="21" cm="1">
        <f t="array" ref="M102">SUMPRODUCT((evolution_postes_par_typologie[[client]:[client]]=syndicat_etude)*(evolution_postes_par_typologie[[annee]:[annee]]=Exercice[[Exercice N]:[Exercice N]])*(evolution_postes_par_typologie[[annee_mes]:[annee_mes]]=M$53)*(evolution_postes_par_typologie[[postes_poteau]:[postes_poteau]]))</f>
        <v>0</v>
      </c>
      <c r="N102" s="21" cm="1">
        <f t="array" ref="N102">SUMPRODUCT((evolution_postes_par_typologie[[client]:[client]]=syndicat_etude)*(evolution_postes_par_typologie[[annee]:[annee]]=Exercice[[Exercice N]:[Exercice N]])*(evolution_postes_par_typologie[[annee_mes]:[annee_mes]]=N$53)*(evolution_postes_par_typologie[[postes_poteau]:[postes_poteau]]))</f>
        <v>0</v>
      </c>
      <c r="O102" s="21" cm="1">
        <f t="array" ref="O102">SUMPRODUCT((evolution_postes_par_typologie[[client]:[client]]=syndicat_etude)*(evolution_postes_par_typologie[[annee]:[annee]]=Exercice[[Exercice N]:[Exercice N]])*(evolution_postes_par_typologie[[annee_mes]:[annee_mes]]=O$53)*(evolution_postes_par_typologie[[postes_poteau]:[postes_poteau]]))</f>
        <v>0</v>
      </c>
      <c r="P102" s="21" cm="1">
        <f t="array" ref="P102">SUMPRODUCT((evolution_postes_par_typologie[[client]:[client]]=syndicat_etude)*(evolution_postes_par_typologie[[annee]:[annee]]=Exercice[[Exercice N]:[Exercice N]])*(evolution_postes_par_typologie[[annee_mes]:[annee_mes]]=P$53)*(evolution_postes_par_typologie[[postes_poteau]:[postes_poteau]]))</f>
        <v>0</v>
      </c>
      <c r="Q102" s="21" cm="1">
        <f t="array" ref="Q102">SUMPRODUCT((evolution_postes_par_typologie[[client]:[client]]=syndicat_etude)*(evolution_postes_par_typologie[[annee]:[annee]]=Exercice[[Exercice N]:[Exercice N]])*(evolution_postes_par_typologie[[annee_mes]:[annee_mes]]=Q$53)*(evolution_postes_par_typologie[[postes_poteau]:[postes_poteau]]))</f>
        <v>0</v>
      </c>
      <c r="R102" s="21" cm="1">
        <f t="array" ref="R102">SUMPRODUCT((evolution_postes_par_typologie[[client]:[client]]=syndicat_etude)*(evolution_postes_par_typologie[[annee]:[annee]]=Exercice[[Exercice N]:[Exercice N]])*(evolution_postes_par_typologie[[annee_mes]:[annee_mes]]=R$53)*(evolution_postes_par_typologie[[postes_poteau]:[postes_poteau]]))</f>
        <v>2</v>
      </c>
      <c r="S102" s="21" cm="1">
        <f t="array" ref="S102">SUMPRODUCT((evolution_postes_par_typologie[[client]:[client]]=syndicat_etude)*(evolution_postes_par_typologie[[annee]:[annee]]=Exercice[[Exercice N]:[Exercice N]])*(evolution_postes_par_typologie[[annee_mes]:[annee_mes]]=S$53)*(evolution_postes_par_typologie[[postes_poteau]:[postes_poteau]]))</f>
        <v>4</v>
      </c>
      <c r="T102" s="21" cm="1">
        <f t="array" ref="T102">SUMPRODUCT((evolution_postes_par_typologie[[client]:[client]]=syndicat_etude)*(evolution_postes_par_typologie[[annee]:[annee]]=Exercice[[Exercice N]:[Exercice N]])*(evolution_postes_par_typologie[[annee_mes]:[annee_mes]]=T$53)*(evolution_postes_par_typologie[[postes_poteau]:[postes_poteau]]))</f>
        <v>10</v>
      </c>
      <c r="U102" s="21" cm="1">
        <f t="array" ref="U102">SUMPRODUCT((evolution_postes_par_typologie[[client]:[client]]=syndicat_etude)*(evolution_postes_par_typologie[[annee]:[annee]]=Exercice[[Exercice N]:[Exercice N]])*(evolution_postes_par_typologie[[annee_mes]:[annee_mes]]=U$53)*(evolution_postes_par_typologie[[postes_poteau]:[postes_poteau]]))</f>
        <v>7</v>
      </c>
      <c r="V102" s="21" cm="1">
        <f t="array" ref="V102">SUMPRODUCT((evolution_postes_par_typologie[[client]:[client]]=syndicat_etude)*(evolution_postes_par_typologie[[annee]:[annee]]=Exercice[[Exercice N]:[Exercice N]])*(evolution_postes_par_typologie[[annee_mes]:[annee_mes]]=V$53)*(evolution_postes_par_typologie[[postes_poteau]:[postes_poteau]]))</f>
        <v>13</v>
      </c>
      <c r="W102" s="21" cm="1">
        <f t="array" ref="W102">SUMPRODUCT((evolution_postes_par_typologie[[client]:[client]]=syndicat_etude)*(evolution_postes_par_typologie[[annee]:[annee]]=Exercice[[Exercice N]:[Exercice N]])*(evolution_postes_par_typologie[[annee_mes]:[annee_mes]]=W$53)*(evolution_postes_par_typologie[[postes_poteau]:[postes_poteau]]))</f>
        <v>21</v>
      </c>
      <c r="X102" s="21" cm="1">
        <f t="array" ref="X102">SUMPRODUCT((evolution_postes_par_typologie[[client]:[client]]=syndicat_etude)*(evolution_postes_par_typologie[[annee]:[annee]]=Exercice[[Exercice N]:[Exercice N]])*(evolution_postes_par_typologie[[annee_mes]:[annee_mes]]=X$53)*(evolution_postes_par_typologie[[postes_poteau]:[postes_poteau]]))</f>
        <v>20</v>
      </c>
      <c r="Y102" s="21" cm="1">
        <f t="array" ref="Y102">SUMPRODUCT((evolution_postes_par_typologie[[client]:[client]]=syndicat_etude)*(evolution_postes_par_typologie[[annee]:[annee]]=Exercice[[Exercice N]:[Exercice N]])*(evolution_postes_par_typologie[[annee_mes]:[annee_mes]]=Y$53)*(evolution_postes_par_typologie[[postes_poteau]:[postes_poteau]]))</f>
        <v>36</v>
      </c>
      <c r="Z102" s="21" cm="1">
        <f t="array" ref="Z102">SUMPRODUCT((evolution_postes_par_typologie[[client]:[client]]=syndicat_etude)*(evolution_postes_par_typologie[[annee]:[annee]]=Exercice[[Exercice N]:[Exercice N]])*(evolution_postes_par_typologie[[annee_mes]:[annee_mes]]=Z$53)*(evolution_postes_par_typologie[[postes_poteau]:[postes_poteau]]))</f>
        <v>16</v>
      </c>
      <c r="AA102" s="21" cm="1">
        <f t="array" ref="AA102">SUMPRODUCT((evolution_postes_par_typologie[[client]:[client]]=syndicat_etude)*(evolution_postes_par_typologie[[annee]:[annee]]=Exercice[[Exercice N]:[Exercice N]])*(evolution_postes_par_typologie[[annee_mes]:[annee_mes]]=AA$53)*(evolution_postes_par_typologie[[postes_poteau]:[postes_poteau]]))</f>
        <v>30</v>
      </c>
      <c r="AB102" s="21" cm="1">
        <f t="array" ref="AB102">SUMPRODUCT((evolution_postes_par_typologie[[client]:[client]]=syndicat_etude)*(evolution_postes_par_typologie[[annee]:[annee]]=Exercice[[Exercice N]:[Exercice N]])*(evolution_postes_par_typologie[[annee_mes]:[annee_mes]]=AB$53)*(evolution_postes_par_typologie[[postes_poteau]:[postes_poteau]]))</f>
        <v>35</v>
      </c>
      <c r="AC102" s="21" cm="1">
        <f t="array" ref="AC102">SUMPRODUCT((evolution_postes_par_typologie[[client]:[client]]=syndicat_etude)*(evolution_postes_par_typologie[[annee]:[annee]]=Exercice[[Exercice N]:[Exercice N]])*(evolution_postes_par_typologie[[annee_mes]:[annee_mes]]=AC$53)*(evolution_postes_par_typologie[[postes_poteau]:[postes_poteau]]))</f>
        <v>52</v>
      </c>
      <c r="AD102" s="21" cm="1">
        <f t="array" ref="AD102">SUMPRODUCT((evolution_postes_par_typologie[[client]:[client]]=syndicat_etude)*(evolution_postes_par_typologie[[annee]:[annee]]=Exercice[[Exercice N]:[Exercice N]])*(evolution_postes_par_typologie[[annee_mes]:[annee_mes]]=AD$53)*(evolution_postes_par_typologie[[postes_poteau]:[postes_poteau]]))</f>
        <v>61</v>
      </c>
      <c r="AE102" s="21" cm="1">
        <f t="array" ref="AE102">SUMPRODUCT((evolution_postes_par_typologie[[client]:[client]]=syndicat_etude)*(evolution_postes_par_typologie[[annee]:[annee]]=Exercice[[Exercice N]:[Exercice N]])*(evolution_postes_par_typologie[[annee_mes]:[annee_mes]]=AE$53)*(evolution_postes_par_typologie[[postes_poteau]:[postes_poteau]]))</f>
        <v>73</v>
      </c>
      <c r="AF102" s="21" cm="1">
        <f t="array" ref="AF102">SUMPRODUCT((evolution_postes_par_typologie[[client]:[client]]=syndicat_etude)*(evolution_postes_par_typologie[[annee]:[annee]]=Exercice[[Exercice N]:[Exercice N]])*(evolution_postes_par_typologie[[annee_mes]:[annee_mes]]=AF$53)*(evolution_postes_par_typologie[[postes_poteau]:[postes_poteau]]))</f>
        <v>62</v>
      </c>
      <c r="AG102" s="21" cm="1">
        <f t="array" ref="AG102">SUMPRODUCT((evolution_postes_par_typologie[[client]:[client]]=syndicat_etude)*(evolution_postes_par_typologie[[annee]:[annee]]=Exercice[[Exercice N]:[Exercice N]])*(evolution_postes_par_typologie[[annee_mes]:[annee_mes]]=AG$53)*(evolution_postes_par_typologie[[postes_poteau]:[postes_poteau]]))</f>
        <v>26</v>
      </c>
      <c r="AH102" s="21" cm="1">
        <f t="array" ref="AH102">SUMPRODUCT((evolution_postes_par_typologie[[client]:[client]]=syndicat_etude)*(evolution_postes_par_typologie[[annee]:[annee]]=Exercice[[Exercice N]:[Exercice N]])*(evolution_postes_par_typologie[[annee_mes]:[annee_mes]]=AH$53)*(evolution_postes_par_typologie[[postes_poteau]:[postes_poteau]]))</f>
        <v>39</v>
      </c>
      <c r="AI102" s="21" cm="1">
        <f t="array" ref="AI102">SUMPRODUCT((evolution_postes_par_typologie[[client]:[client]]=syndicat_etude)*(evolution_postes_par_typologie[[annee]:[annee]]=Exercice[[Exercice N]:[Exercice N]])*(evolution_postes_par_typologie[[annee_mes]:[annee_mes]]=AI$53)*(evolution_postes_par_typologie[[postes_poteau]:[postes_poteau]]))</f>
        <v>32</v>
      </c>
      <c r="AJ102" s="21" cm="1">
        <f t="array" ref="AJ102">SUMPRODUCT((evolution_postes_par_typologie[[client]:[client]]=syndicat_etude)*(evolution_postes_par_typologie[[annee]:[annee]]=Exercice[[Exercice N]:[Exercice N]])*(evolution_postes_par_typologie[[annee_mes]:[annee_mes]]=AJ$53)*(evolution_postes_par_typologie[[postes_poteau]:[postes_poteau]]))</f>
        <v>24</v>
      </c>
      <c r="AK102" s="21" cm="1">
        <f t="array" ref="AK102">SUMPRODUCT((evolution_postes_par_typologie[[client]:[client]]=syndicat_etude)*(evolution_postes_par_typologie[[annee]:[annee]]=Exercice[[Exercice N]:[Exercice N]])*(evolution_postes_par_typologie[[annee_mes]:[annee_mes]]=AK$53)*(evolution_postes_par_typologie[[postes_poteau]:[postes_poteau]]))</f>
        <v>34</v>
      </c>
      <c r="AL102" s="21" cm="1">
        <f t="array" ref="AL102">SUMPRODUCT((evolution_postes_par_typologie[[client]:[client]]=syndicat_etude)*(evolution_postes_par_typologie[[annee]:[annee]]=Exercice[[Exercice N]:[Exercice N]])*(evolution_postes_par_typologie[[annee_mes]:[annee_mes]]=AL$53)*(evolution_postes_par_typologie[[postes_poteau]:[postes_poteau]]))</f>
        <v>26</v>
      </c>
      <c r="AM102" s="21" cm="1">
        <f t="array" ref="AM102">SUMPRODUCT((evolution_postes_par_typologie[[client]:[client]]=syndicat_etude)*(evolution_postes_par_typologie[[annee]:[annee]]=Exercice[[Exercice N]:[Exercice N]])*(evolution_postes_par_typologie[[annee_mes]:[annee_mes]]=AM$53)*(evolution_postes_par_typologie[[postes_poteau]:[postes_poteau]]))</f>
        <v>29</v>
      </c>
      <c r="AN102" s="21" cm="1">
        <f t="array" ref="AN102">SUMPRODUCT((evolution_postes_par_typologie[[client]:[client]]=syndicat_etude)*(evolution_postes_par_typologie[[annee]:[annee]]=Exercice[[Exercice N]:[Exercice N]])*(evolution_postes_par_typologie[[annee_mes]:[annee_mes]]=AN$53)*(evolution_postes_par_typologie[[postes_poteau]:[postes_poteau]]))</f>
        <v>38</v>
      </c>
      <c r="AO102" s="21" cm="1">
        <f t="array" ref="AO102">SUMPRODUCT((evolution_postes_par_typologie[[client]:[client]]=syndicat_etude)*(evolution_postes_par_typologie[[annee]:[annee]]=Exercice[[Exercice N]:[Exercice N]])*(evolution_postes_par_typologie[[annee_mes]:[annee_mes]]=AO$53)*(evolution_postes_par_typologie[[postes_poteau]:[postes_poteau]]))</f>
        <v>37</v>
      </c>
      <c r="AP102" s="21" cm="1">
        <f t="array" ref="AP102">SUMPRODUCT((evolution_postes_par_typologie[[client]:[client]]=syndicat_etude)*(evolution_postes_par_typologie[[annee]:[annee]]=Exercice[[Exercice N]:[Exercice N]])*(evolution_postes_par_typologie[[annee_mes]:[annee_mes]]=AP$53)*(evolution_postes_par_typologie[[postes_poteau]:[postes_poteau]]))</f>
        <v>47</v>
      </c>
      <c r="AQ102" s="21" cm="1">
        <f t="array" ref="AQ102">SUMPRODUCT((evolution_postes_par_typologie[[client]:[client]]=syndicat_etude)*(evolution_postes_par_typologie[[annee]:[annee]]=Exercice[[Exercice N]:[Exercice N]])*(evolution_postes_par_typologie[[annee_mes]:[annee_mes]]=AQ$53)*(evolution_postes_par_typologie[[postes_poteau]:[postes_poteau]]))</f>
        <v>51</v>
      </c>
      <c r="AR102" s="21" cm="1">
        <f t="array" ref="AR102">SUMPRODUCT((evolution_postes_par_typologie[[client]:[client]]=syndicat_etude)*(evolution_postes_par_typologie[[annee]:[annee]]=Exercice[[Exercice N]:[Exercice N]])*(evolution_postes_par_typologie[[annee_mes]:[annee_mes]]=AR$53)*(evolution_postes_par_typologie[[postes_poteau]:[postes_poteau]]))</f>
        <v>31</v>
      </c>
      <c r="AS102" s="21" cm="1">
        <f t="array" ref="AS102">SUMPRODUCT((evolution_postes_par_typologie[[client]:[client]]=syndicat_etude)*(evolution_postes_par_typologie[[annee]:[annee]]=Exercice[[Exercice N]:[Exercice N]])*(evolution_postes_par_typologie[[annee_mes]:[annee_mes]]=AS$53)*(evolution_postes_par_typologie[[postes_poteau]:[postes_poteau]]))</f>
        <v>37</v>
      </c>
      <c r="AT102" s="21" cm="1">
        <f t="array" ref="AT102">SUMPRODUCT((evolution_postes_par_typologie[[client]:[client]]=syndicat_etude)*(evolution_postes_par_typologie[[annee]:[annee]]=Exercice[[Exercice N]:[Exercice N]])*(evolution_postes_par_typologie[[annee_mes]:[annee_mes]]=AT$53)*(evolution_postes_par_typologie[[postes_poteau]:[postes_poteau]]))</f>
        <v>44</v>
      </c>
      <c r="AU102" s="21" cm="1">
        <f t="array" ref="AU102">SUMPRODUCT((evolution_postes_par_typologie[[client]:[client]]=syndicat_etude)*(evolution_postes_par_typologie[[annee]:[annee]]=Exercice[[Exercice N]:[Exercice N]])*(evolution_postes_par_typologie[[annee_mes]:[annee_mes]]=AU$53)*(evolution_postes_par_typologie[[postes_poteau]:[postes_poteau]]))</f>
        <v>32</v>
      </c>
      <c r="AV102" s="21" cm="1">
        <f t="array" ref="AV102">SUMPRODUCT((evolution_postes_par_typologie[[client]:[client]]=syndicat_etude)*(evolution_postes_par_typologie[[annee]:[annee]]=Exercice[[Exercice N]:[Exercice N]])*(evolution_postes_par_typologie[[annee_mes]:[annee_mes]]=AV$53)*(evolution_postes_par_typologie[[postes_poteau]:[postes_poteau]]))</f>
        <v>36</v>
      </c>
      <c r="AW102" s="21" cm="1">
        <f t="array" ref="AW102">SUMPRODUCT((evolution_postes_par_typologie[[client]:[client]]=syndicat_etude)*(evolution_postes_par_typologie[[annee]:[annee]]=Exercice[[Exercice N]:[Exercice N]])*(evolution_postes_par_typologie[[annee_mes]:[annee_mes]]=AW$53)*(evolution_postes_par_typologie[[postes_poteau]:[postes_poteau]]))</f>
        <v>42</v>
      </c>
      <c r="AX102" s="21" cm="1">
        <f t="array" ref="AX102">SUMPRODUCT((evolution_postes_par_typologie[[client]:[client]]=syndicat_etude)*(evolution_postes_par_typologie[[annee]:[annee]]=Exercice[[Exercice N]:[Exercice N]])*(evolution_postes_par_typologie[[annee_mes]:[annee_mes]]=AX$53)*(evolution_postes_par_typologie[[postes_poteau]:[postes_poteau]]))</f>
        <v>38</v>
      </c>
      <c r="AY102" s="21" cm="1">
        <f t="array" ref="AY102">SUMPRODUCT((evolution_postes_par_typologie[[client]:[client]]=syndicat_etude)*(evolution_postes_par_typologie[[annee]:[annee]]=Exercice[[Exercice N]:[Exercice N]])*(evolution_postes_par_typologie[[annee_mes]:[annee_mes]]=AY$53)*(evolution_postes_par_typologie[[postes_poteau]:[postes_poteau]]))</f>
        <v>24</v>
      </c>
      <c r="AZ102" s="21" cm="1">
        <f t="array" ref="AZ102">SUMPRODUCT((evolution_postes_par_typologie[[client]:[client]]=syndicat_etude)*(evolution_postes_par_typologie[[annee]:[annee]]=Exercice[[Exercice N]:[Exercice N]])*(evolution_postes_par_typologie[[annee_mes]:[annee_mes]]=AZ$53)*(evolution_postes_par_typologie[[postes_poteau]:[postes_poteau]]))</f>
        <v>13</v>
      </c>
      <c r="BA102" s="21" cm="1">
        <f t="array" ref="BA102">SUMPRODUCT((evolution_postes_par_typologie[[client]:[client]]=syndicat_etude)*(evolution_postes_par_typologie[[annee]:[annee]]=Exercice[[Exercice N]:[Exercice N]])*(evolution_postes_par_typologie[[annee_mes]:[annee_mes]]=BA$53)*(evolution_postes_par_typologie[[postes_poteau]:[postes_poteau]]))</f>
        <v>19</v>
      </c>
      <c r="BB102" s="21" cm="1">
        <f t="array" ref="BB102">SUMPRODUCT((evolution_postes_par_typologie[[client]:[client]]=syndicat_etude)*(evolution_postes_par_typologie[[annee]:[annee]]=Exercice[[Exercice N]:[Exercice N]])*(evolution_postes_par_typologie[[annee_mes]:[annee_mes]]=BB$53)*(evolution_postes_par_typologie[[postes_poteau]:[postes_poteau]]))</f>
        <v>16</v>
      </c>
      <c r="BC102" s="21" cm="1">
        <f t="array" ref="BC102">SUMPRODUCT((evolution_postes_par_typologie[[client]:[client]]=syndicat_etude)*(evolution_postes_par_typologie[[annee]:[annee]]=Exercice[[Exercice N]:[Exercice N]])*(evolution_postes_par_typologie[[annee_mes]:[annee_mes]]=BC$53)*(evolution_postes_par_typologie[[postes_poteau]:[postes_poteau]]))</f>
        <v>10</v>
      </c>
      <c r="BD102" s="21" cm="1">
        <f t="array" ref="BD102">SUMPRODUCT((evolution_postes_par_typologie[[client]:[client]]=syndicat_etude)*(evolution_postes_par_typologie[[annee]:[annee]]=Exercice[[Exercice N]:[Exercice N]])*(evolution_postes_par_typologie[[annee_mes]:[annee_mes]]=BD$53)*(evolution_postes_par_typologie[[postes_poteau]:[postes_poteau]]))</f>
        <v>10</v>
      </c>
      <c r="BE102" s="21" cm="1">
        <f t="array" ref="BE102">SUMPRODUCT((evolution_postes_par_typologie[[client]:[client]]=syndicat_etude)*(evolution_postes_par_typologie[[annee]:[annee]]=Exercice[[Exercice N]:[Exercice N]])*(evolution_postes_par_typologie[[annee_mes]:[annee_mes]]=BE$53)*(evolution_postes_par_typologie[[postes_poteau]:[postes_poteau]]))</f>
        <v>12</v>
      </c>
      <c r="BF102" s="21" cm="1">
        <f t="array" ref="BF102">SUMPRODUCT((evolution_postes_par_typologie[[client]:[client]]=syndicat_etude)*(evolution_postes_par_typologie[[annee]:[annee]]=Exercice[[Exercice N]:[Exercice N]])*(evolution_postes_par_typologie[[annee_mes]:[annee_mes]]=BF$53)*(evolution_postes_par_typologie[[postes_poteau]:[postes_poteau]]))</f>
        <v>5</v>
      </c>
      <c r="BG102" s="21" cm="1">
        <f t="array" ref="BG102">SUMPRODUCT((evolution_postes_par_typologie[[client]:[client]]=syndicat_etude)*(evolution_postes_par_typologie[[annee]:[annee]]=Exercice[[Exercice N]:[Exercice N]])*(evolution_postes_par_typologie[[annee_mes]:[annee_mes]]=BG$53)*(evolution_postes_par_typologie[[postes_poteau]:[postes_poteau]]))</f>
        <v>3</v>
      </c>
      <c r="BH102" s="21" cm="1">
        <f t="array" ref="BH102">SUMPRODUCT((evolution_postes_par_typologie[[client]:[client]]=syndicat_etude)*(evolution_postes_par_typologie[[annee]:[annee]]=Exercice[[Exercice N]:[Exercice N]])*(evolution_postes_par_typologie[[annee_mes]:[annee_mes]]=BH$53)*(evolution_postes_par_typologie[[postes_poteau]:[postes_poteau]]))</f>
        <v>1</v>
      </c>
      <c r="BI102" s="21" cm="1">
        <f t="array" ref="BI102">SUMPRODUCT((evolution_postes_par_typologie[[client]:[client]]=syndicat_etude)*(evolution_postes_par_typologie[[annee]:[annee]]=Exercice[[Exercice N]:[Exercice N]])*(evolution_postes_par_typologie[[annee_mes]:[annee_mes]]=BI$53)*(evolution_postes_par_typologie[[postes_poteau]:[postes_poteau]]))</f>
        <v>0</v>
      </c>
      <c r="BJ102" s="21" cm="1">
        <f t="array" ref="BJ102">SUMPRODUCT((evolution_postes_par_typologie[[client]:[client]]=syndicat_etude)*(evolution_postes_par_typologie[[annee]:[annee]]=Exercice[[Exercice N]:[Exercice N]])*(evolution_postes_par_typologie[[annee_mes]:[annee_mes]]=BJ$53)*(evolution_postes_par_typologie[[postes_poteau]:[postes_poteau]]))</f>
        <v>4</v>
      </c>
      <c r="BK102" s="21" cm="1">
        <f t="array" ref="BK102">SUMPRODUCT((evolution_postes_par_typologie[[client]:[client]]=syndicat_etude)*(evolution_postes_par_typologie[[annee]:[annee]]=Exercice[[Exercice N]:[Exercice N]])*(evolution_postes_par_typologie[[annee_mes]:[annee_mes]]=BK$53)*(evolution_postes_par_typologie[[postes_poteau]:[postes_poteau]]))</f>
        <v>6</v>
      </c>
      <c r="BL102" s="21" cm="1">
        <f t="array" ref="BL102">SUMPRODUCT((evolution_postes_par_typologie[[client]:[client]]=syndicat_etude)*(evolution_postes_par_typologie[[annee]:[annee]]=Exercice[[Exercice N]:[Exercice N]])*(evolution_postes_par_typologie[[annee_mes]:[annee_mes]]=BL$53)*(evolution_postes_par_typologie[[postes_poteau]:[postes_poteau]]))</f>
        <v>4</v>
      </c>
      <c r="BM102" s="21" cm="1">
        <f t="array" ref="BM102">SUMPRODUCT((evolution_postes_par_typologie[[client]:[client]]=syndicat_etude)*(evolution_postes_par_typologie[[annee]:[annee]]=Exercice[[Exercice N]:[Exercice N]])*(evolution_postes_par_typologie[[annee_mes]:[annee_mes]]=BM$53)*(evolution_postes_par_typologie[[postes_poteau]:[postes_poteau]]))</f>
        <v>5</v>
      </c>
      <c r="BN102" s="21" cm="1">
        <f t="array" ref="BN102">SUMPRODUCT((evolution_postes_par_typologie[[client]:[client]]=syndicat_etude)*(evolution_postes_par_typologie[[annee]:[annee]]=Exercice[[Exercice N]:[Exercice N]])*(evolution_postes_par_typologie[[annee_mes]:[annee_mes]]=BN$53)*(evolution_postes_par_typologie[[postes_poteau]:[postes_poteau]]))</f>
        <v>7</v>
      </c>
      <c r="BO102" s="21" cm="1">
        <f t="array" ref="BO102">SUMPRODUCT((evolution_postes_par_typologie[[client]:[client]]=syndicat_etude)*(evolution_postes_par_typologie[[annee]:[annee]]=Exercice[[Exercice N]:[Exercice N]])*(evolution_postes_par_typologie[[annee_mes]:[annee_mes]]=BO$53)*(evolution_postes_par_typologie[[postes_poteau]:[postes_poteau]]))</f>
        <v>2</v>
      </c>
      <c r="BP102" s="21" cm="1">
        <f t="array" ref="BP102">SUMPRODUCT((evolution_postes_par_typologie[[client]:[client]]=syndicat_etude)*(evolution_postes_par_typologie[[annee]:[annee]]=Exercice[[Exercice N]:[Exercice N]])*(evolution_postes_par_typologie[[annee_mes]:[annee_mes]]=BP$53)*(evolution_postes_par_typologie[[postes_poteau]:[postes_poteau]]))</f>
        <v>4</v>
      </c>
      <c r="BQ102" s="21" cm="1">
        <f t="array" ref="BQ102">SUMPRODUCT((evolution_postes_par_typologie[[client]:[client]]=syndicat_etude)*(evolution_postes_par_typologie[[annee]:[annee]]=Exercice[[Exercice N]:[Exercice N]])*(evolution_postes_par_typologie[[annee_mes]:[annee_mes]]=BQ$53)*(evolution_postes_par_typologie[[postes_poteau]:[postes_poteau]]))</f>
        <v>8</v>
      </c>
      <c r="BR102" s="21" cm="1">
        <f t="array" ref="BR102">SUMPRODUCT((evolution_postes_par_typologie[[client]:[client]]=syndicat_etude)*(evolution_postes_par_typologie[[annee]:[annee]]=Exercice[[Exercice N]:[Exercice N]])*(evolution_postes_par_typologie[[annee_mes]:[annee_mes]]=BR$53)*(evolution_postes_par_typologie[[postes_poteau]:[postes_poteau]]))</f>
        <v>6</v>
      </c>
      <c r="BS102" s="21" cm="1">
        <f t="array" ref="BS102">SUMPRODUCT((evolution_postes_par_typologie[[client]:[client]]=syndicat_etude)*(evolution_postes_par_typologie[[annee]:[annee]]=Exercice[[Exercice N]:[Exercice N]])*(evolution_postes_par_typologie[[annee_mes]:[annee_mes]]=BS$53)*(evolution_postes_par_typologie[[postes_poteau]:[postes_poteau]]))</f>
        <v>3</v>
      </c>
      <c r="BT102" s="21" cm="1">
        <f t="array" ref="BT102">SUMPRODUCT((evolution_postes_par_typologie[[client]:[client]]=syndicat_etude)*(evolution_postes_par_typologie[[annee]:[annee]]=Exercice[[Exercice N]:[Exercice N]])*(evolution_postes_par_typologie[[annee_mes]:[annee_mes]]=BT$53)*(evolution_postes_par_typologie[[postes_poteau]:[postes_poteau]]))</f>
        <v>11</v>
      </c>
      <c r="BU102" s="21" cm="1">
        <f t="array" ref="BU102">SUMPRODUCT((evolution_postes_par_typologie[[client]:[client]]=syndicat_etude)*(evolution_postes_par_typologie[[annee]:[annee]]=Exercice[[Exercice N]:[Exercice N]])*(evolution_postes_par_typologie[[annee_mes]:[annee_mes]]=BU$53)*(evolution_postes_par_typologie[[postes_poteau]:[postes_poteau]]))</f>
        <v>6</v>
      </c>
      <c r="BV102" s="21" cm="1">
        <f t="array" ref="BV102">SUMPRODUCT((evolution_postes_par_typologie[[client]:[client]]=syndicat_etude)*(evolution_postes_par_typologie[[annee]:[annee]]=Exercice[[Exercice N]:[Exercice N]])*(evolution_postes_par_typologie[[annee_mes]:[annee_mes]]=BV$53)*(evolution_postes_par_typologie[[postes_poteau]:[postes_poteau]]))</f>
        <v>4</v>
      </c>
      <c r="BW102" s="21" cm="1">
        <f t="array" ref="BW102">SUMPRODUCT((evolution_postes_par_typologie[[client]:[client]]=syndicat_etude)*(evolution_postes_par_typologie[[annee]:[annee]]=Exercice[[Exercice N]:[Exercice N]])*(evolution_postes_par_typologie[[annee_mes]:[annee_mes]]=BW$53)*(evolution_postes_par_typologie[[postes_poteau]:[postes_poteau]]))</f>
        <v>4</v>
      </c>
      <c r="BX102" s="21" cm="1">
        <f t="array" ref="BX102">SUMPRODUCT((evolution_postes_par_typologie[[client]:[client]]=syndicat_etude)*(evolution_postes_par_typologie[[annee]:[annee]]=Exercice[[Exercice N]:[Exercice N]])*(evolution_postes_par_typologie[[annee_mes]:[annee_mes]]=BX$53)*(evolution_postes_par_typologie[[postes_poteau]:[postes_poteau]]))</f>
        <v>13</v>
      </c>
      <c r="BY102" s="21" cm="1">
        <f t="array" ref="BY102">SUMPRODUCT((evolution_postes_par_typologie[[client]:[client]]=syndicat_etude)*(evolution_postes_par_typologie[[annee]:[annee]]=Exercice[[Exercice N]:[Exercice N]])*(evolution_postes_par_typologie[[annee_mes]:[annee_mes]]=BY$53)*(evolution_postes_par_typologie[[postes_poteau]:[postes_poteau]]))</f>
        <v>5</v>
      </c>
      <c r="BZ102" s="21" cm="1">
        <f t="array" ref="BZ102">SUMPRODUCT((evolution_postes_par_typologie[[client]:[client]]=syndicat_etude)*(evolution_postes_par_typologie[[annee]:[annee]]=Exercice[[Exercice N]:[Exercice N]])*(evolution_postes_par_typologie[[annee_mes]:[annee_mes]]=BZ$53)*(evolution_postes_par_typologie[[postes_poteau]:[postes_poteau]]))</f>
        <v>5</v>
      </c>
      <c r="CA102" s="21" cm="1">
        <f t="array" ref="CA102">SUMPRODUCT((evolution_postes_par_typologie[[client]:[client]]=syndicat_etude)*(evolution_postes_par_typologie[[annee]:[annee]]=Exercice[[Exercice N]:[Exercice N]])*(evolution_postes_par_typologie[[annee_mes]:[annee_mes]]=CA$53)*(evolution_postes_par_typologie[[postes_poteau]:[postes_poteau]]))</f>
        <v>9</v>
      </c>
      <c r="CB102" s="21" cm="1">
        <f t="array" ref="CB102">SUMPRODUCT((evolution_postes_par_typologie[[client]:[client]]=syndicat_etude)*(evolution_postes_par_typologie[[annee]:[annee]]=Exercice[[Exercice N]:[Exercice N]])*(evolution_postes_par_typologie[[annee_mes]:[annee_mes]]=CB$53)*(evolution_postes_par_typologie[[postes_poteau]:[postes_poteau]]))</f>
        <v>3</v>
      </c>
      <c r="CC102" s="432" cm="1">
        <f t="array" ref="CC102">SUMPRODUCT((evolution_postes_par_typologie[[client]:[client]]=syndicat_etude)*(evolution_postes_par_typologie[[annee]:[annee]]=Exercice[[Exercice N]:[Exercice N]])*(evolution_postes_par_typologie[[annee_mes]:[annee_mes]]=CC$53)*(evolution_postes_par_typologie[[postes_poteau]:[postes_poteau]]))</f>
        <v>0</v>
      </c>
      <c r="CD102" s="405"/>
      <c r="CE102" s="405"/>
      <c r="CF102" s="405"/>
    </row>
    <row r="103" spans="2:84" x14ac:dyDescent="0.25">
      <c r="B103" s="431" t="s">
        <v>1192</v>
      </c>
      <c r="C103" s="21" cm="1">
        <f t="array" ref="C103">SUMPRODUCT((evolution_postes_par_typologie[[client]:[client]]=syndicat_etude)*(evolution_postes_par_typologie[[annee]:[annee]]=Exercice[[Exercice N]:[Exercice N]])*(evolution_postes_par_typologie[[annee_mes]:[annee_mes]]&lt;1946)*(evolution_postes_par_typologie[[postes_maconne]:[postes_maconne]]))</f>
        <v>0</v>
      </c>
      <c r="D103" s="21" cm="1">
        <f t="array" ref="D103">SUMPRODUCT((evolution_postes_par_typologie[[client]:[client]]=syndicat_etude)*(evolution_postes_par_typologie[[annee]:[annee]]=Exercice[[Exercice N]:[Exercice N]])*(evolution_postes_par_typologie[[annee_mes]:[annee_mes]]=D$53)*(evolution_postes_par_typologie[[postes_maconne]:[postes_maconne]]))</f>
        <v>3</v>
      </c>
      <c r="E103" s="21" cm="1">
        <f t="array" ref="E103">SUMPRODUCT((evolution_postes_par_typologie[[client]:[client]]=syndicat_etude)*(evolution_postes_par_typologie[[annee]:[annee]]=Exercice[[Exercice N]:[Exercice N]])*(evolution_postes_par_typologie[[annee_mes]:[annee_mes]]=E$53)*(evolution_postes_par_typologie[[postes_maconne]:[postes_maconne]]))</f>
        <v>0</v>
      </c>
      <c r="F103" s="21" cm="1">
        <f t="array" ref="F103">SUMPRODUCT((evolution_postes_par_typologie[[client]:[client]]=syndicat_etude)*(evolution_postes_par_typologie[[annee]:[annee]]=Exercice[[Exercice N]:[Exercice N]])*(evolution_postes_par_typologie[[annee_mes]:[annee_mes]]=F$53)*(evolution_postes_par_typologie[[postes_maconne]:[postes_maconne]]))</f>
        <v>1</v>
      </c>
      <c r="G103" s="21" cm="1">
        <f t="array" ref="G103">SUMPRODUCT((evolution_postes_par_typologie[[client]:[client]]=syndicat_etude)*(evolution_postes_par_typologie[[annee]:[annee]]=Exercice[[Exercice N]:[Exercice N]])*(evolution_postes_par_typologie[[annee_mes]:[annee_mes]]=G$53)*(evolution_postes_par_typologie[[postes_maconne]:[postes_maconne]]))</f>
        <v>4</v>
      </c>
      <c r="H103" s="21" cm="1">
        <f t="array" ref="H103">SUMPRODUCT((evolution_postes_par_typologie[[client]:[client]]=syndicat_etude)*(evolution_postes_par_typologie[[annee]:[annee]]=Exercice[[Exercice N]:[Exercice N]])*(evolution_postes_par_typologie[[annee_mes]:[annee_mes]]=H$53)*(evolution_postes_par_typologie[[postes_maconne]:[postes_maconne]]))</f>
        <v>1</v>
      </c>
      <c r="I103" s="21" cm="1">
        <f t="array" ref="I103">SUMPRODUCT((evolution_postes_par_typologie[[client]:[client]]=syndicat_etude)*(evolution_postes_par_typologie[[annee]:[annee]]=Exercice[[Exercice N]:[Exercice N]])*(evolution_postes_par_typologie[[annee_mes]:[annee_mes]]=I$53)*(evolution_postes_par_typologie[[postes_maconne]:[postes_maconne]]))</f>
        <v>3</v>
      </c>
      <c r="J103" s="21" cm="1">
        <f t="array" ref="J103">SUMPRODUCT((evolution_postes_par_typologie[[client]:[client]]=syndicat_etude)*(evolution_postes_par_typologie[[annee]:[annee]]=Exercice[[Exercice N]:[Exercice N]])*(evolution_postes_par_typologie[[annee_mes]:[annee_mes]]=J$53)*(evolution_postes_par_typologie[[postes_maconne]:[postes_maconne]]))</f>
        <v>7</v>
      </c>
      <c r="K103" s="21" cm="1">
        <f t="array" ref="K103">SUMPRODUCT((evolution_postes_par_typologie[[client]:[client]]=syndicat_etude)*(evolution_postes_par_typologie[[annee]:[annee]]=Exercice[[Exercice N]:[Exercice N]])*(evolution_postes_par_typologie[[annee_mes]:[annee_mes]]=K$53)*(evolution_postes_par_typologie[[postes_maconne]:[postes_maconne]]))</f>
        <v>4</v>
      </c>
      <c r="L103" s="21" cm="1">
        <f t="array" ref="L103">SUMPRODUCT((evolution_postes_par_typologie[[client]:[client]]=syndicat_etude)*(evolution_postes_par_typologie[[annee]:[annee]]=Exercice[[Exercice N]:[Exercice N]])*(evolution_postes_par_typologie[[annee_mes]:[annee_mes]]=L$53)*(evolution_postes_par_typologie[[postes_maconne]:[postes_maconne]]))</f>
        <v>0</v>
      </c>
      <c r="M103" s="21" cm="1">
        <f t="array" ref="M103">SUMPRODUCT((evolution_postes_par_typologie[[client]:[client]]=syndicat_etude)*(evolution_postes_par_typologie[[annee]:[annee]]=Exercice[[Exercice N]:[Exercice N]])*(evolution_postes_par_typologie[[annee_mes]:[annee_mes]]=M$53)*(evolution_postes_par_typologie[[postes_maconne]:[postes_maconne]]))</f>
        <v>1</v>
      </c>
      <c r="N103" s="21" cm="1">
        <f t="array" ref="N103">SUMPRODUCT((evolution_postes_par_typologie[[client]:[client]]=syndicat_etude)*(evolution_postes_par_typologie[[annee]:[annee]]=Exercice[[Exercice N]:[Exercice N]])*(evolution_postes_par_typologie[[annee_mes]:[annee_mes]]=N$53)*(evolution_postes_par_typologie[[postes_maconne]:[postes_maconne]]))</f>
        <v>5</v>
      </c>
      <c r="O103" s="21" cm="1">
        <f t="array" ref="O103">SUMPRODUCT((evolution_postes_par_typologie[[client]:[client]]=syndicat_etude)*(evolution_postes_par_typologie[[annee]:[annee]]=Exercice[[Exercice N]:[Exercice N]])*(evolution_postes_par_typologie[[annee_mes]:[annee_mes]]=O$53)*(evolution_postes_par_typologie[[postes_maconne]:[postes_maconne]]))</f>
        <v>0</v>
      </c>
      <c r="P103" s="21" cm="1">
        <f t="array" ref="P103">SUMPRODUCT((evolution_postes_par_typologie[[client]:[client]]=syndicat_etude)*(evolution_postes_par_typologie[[annee]:[annee]]=Exercice[[Exercice N]:[Exercice N]])*(evolution_postes_par_typologie[[annee_mes]:[annee_mes]]=P$53)*(evolution_postes_par_typologie[[postes_maconne]:[postes_maconne]]))</f>
        <v>2</v>
      </c>
      <c r="Q103" s="21" cm="1">
        <f t="array" ref="Q103">SUMPRODUCT((evolution_postes_par_typologie[[client]:[client]]=syndicat_etude)*(evolution_postes_par_typologie[[annee]:[annee]]=Exercice[[Exercice N]:[Exercice N]])*(evolution_postes_par_typologie[[annee_mes]:[annee_mes]]=Q$53)*(evolution_postes_par_typologie[[postes_maconne]:[postes_maconne]]))</f>
        <v>4</v>
      </c>
      <c r="R103" s="21" cm="1">
        <f t="array" ref="R103">SUMPRODUCT((evolution_postes_par_typologie[[client]:[client]]=syndicat_etude)*(evolution_postes_par_typologie[[annee]:[annee]]=Exercice[[Exercice N]:[Exercice N]])*(evolution_postes_par_typologie[[annee_mes]:[annee_mes]]=R$53)*(evolution_postes_par_typologie[[postes_maconne]:[postes_maconne]]))</f>
        <v>5</v>
      </c>
      <c r="S103" s="21" cm="1">
        <f t="array" ref="S103">SUMPRODUCT((evolution_postes_par_typologie[[client]:[client]]=syndicat_etude)*(evolution_postes_par_typologie[[annee]:[annee]]=Exercice[[Exercice N]:[Exercice N]])*(evolution_postes_par_typologie[[annee_mes]:[annee_mes]]=S$53)*(evolution_postes_par_typologie[[postes_maconne]:[postes_maconne]]))</f>
        <v>8</v>
      </c>
      <c r="T103" s="21" cm="1">
        <f t="array" ref="T103">SUMPRODUCT((evolution_postes_par_typologie[[client]:[client]]=syndicat_etude)*(evolution_postes_par_typologie[[annee]:[annee]]=Exercice[[Exercice N]:[Exercice N]])*(evolution_postes_par_typologie[[annee_mes]:[annee_mes]]=T$53)*(evolution_postes_par_typologie[[postes_maconne]:[postes_maconne]]))</f>
        <v>6</v>
      </c>
      <c r="U103" s="21" cm="1">
        <f t="array" ref="U103">SUMPRODUCT((evolution_postes_par_typologie[[client]:[client]]=syndicat_etude)*(evolution_postes_par_typologie[[annee]:[annee]]=Exercice[[Exercice N]:[Exercice N]])*(evolution_postes_par_typologie[[annee_mes]:[annee_mes]]=U$53)*(evolution_postes_par_typologie[[postes_maconne]:[postes_maconne]]))</f>
        <v>1</v>
      </c>
      <c r="V103" s="21" cm="1">
        <f t="array" ref="V103">SUMPRODUCT((evolution_postes_par_typologie[[client]:[client]]=syndicat_etude)*(evolution_postes_par_typologie[[annee]:[annee]]=Exercice[[Exercice N]:[Exercice N]])*(evolution_postes_par_typologie[[annee_mes]:[annee_mes]]=V$53)*(evolution_postes_par_typologie[[postes_maconne]:[postes_maconne]]))</f>
        <v>11</v>
      </c>
      <c r="W103" s="21" cm="1">
        <f t="array" ref="W103">SUMPRODUCT((evolution_postes_par_typologie[[client]:[client]]=syndicat_etude)*(evolution_postes_par_typologie[[annee]:[annee]]=Exercice[[Exercice N]:[Exercice N]])*(evolution_postes_par_typologie[[annee_mes]:[annee_mes]]=W$53)*(evolution_postes_par_typologie[[postes_maconne]:[postes_maconne]]))</f>
        <v>11</v>
      </c>
      <c r="X103" s="21" cm="1">
        <f t="array" ref="X103">SUMPRODUCT((evolution_postes_par_typologie[[client]:[client]]=syndicat_etude)*(evolution_postes_par_typologie[[annee]:[annee]]=Exercice[[Exercice N]:[Exercice N]])*(evolution_postes_par_typologie[[annee_mes]:[annee_mes]]=X$53)*(evolution_postes_par_typologie[[postes_maconne]:[postes_maconne]]))</f>
        <v>16</v>
      </c>
      <c r="Y103" s="21" cm="1">
        <f t="array" ref="Y103">SUMPRODUCT((evolution_postes_par_typologie[[client]:[client]]=syndicat_etude)*(evolution_postes_par_typologie[[annee]:[annee]]=Exercice[[Exercice N]:[Exercice N]])*(evolution_postes_par_typologie[[annee_mes]:[annee_mes]]=Y$53)*(evolution_postes_par_typologie[[postes_maconne]:[postes_maconne]]))</f>
        <v>16</v>
      </c>
      <c r="Z103" s="21" cm="1">
        <f t="array" ref="Z103">SUMPRODUCT((evolution_postes_par_typologie[[client]:[client]]=syndicat_etude)*(evolution_postes_par_typologie[[annee]:[annee]]=Exercice[[Exercice N]:[Exercice N]])*(evolution_postes_par_typologie[[annee_mes]:[annee_mes]]=Z$53)*(evolution_postes_par_typologie[[postes_maconne]:[postes_maconne]]))</f>
        <v>11</v>
      </c>
      <c r="AA103" s="21" cm="1">
        <f t="array" ref="AA103">SUMPRODUCT((evolution_postes_par_typologie[[client]:[client]]=syndicat_etude)*(evolution_postes_par_typologie[[annee]:[annee]]=Exercice[[Exercice N]:[Exercice N]])*(evolution_postes_par_typologie[[annee_mes]:[annee_mes]]=AA$53)*(evolution_postes_par_typologie[[postes_maconne]:[postes_maconne]]))</f>
        <v>9</v>
      </c>
      <c r="AB103" s="21" cm="1">
        <f t="array" ref="AB103">SUMPRODUCT((evolution_postes_par_typologie[[client]:[client]]=syndicat_etude)*(evolution_postes_par_typologie[[annee]:[annee]]=Exercice[[Exercice N]:[Exercice N]])*(evolution_postes_par_typologie[[annee_mes]:[annee_mes]]=AB$53)*(evolution_postes_par_typologie[[postes_maconne]:[postes_maconne]]))</f>
        <v>10</v>
      </c>
      <c r="AC103" s="21" cm="1">
        <f t="array" ref="AC103">SUMPRODUCT((evolution_postes_par_typologie[[client]:[client]]=syndicat_etude)*(evolution_postes_par_typologie[[annee]:[annee]]=Exercice[[Exercice N]:[Exercice N]])*(evolution_postes_par_typologie[[annee_mes]:[annee_mes]]=AC$53)*(evolution_postes_par_typologie[[postes_maconne]:[postes_maconne]]))</f>
        <v>21</v>
      </c>
      <c r="AD103" s="21" cm="1">
        <f t="array" ref="AD103">SUMPRODUCT((evolution_postes_par_typologie[[client]:[client]]=syndicat_etude)*(evolution_postes_par_typologie[[annee]:[annee]]=Exercice[[Exercice N]:[Exercice N]])*(evolution_postes_par_typologie[[annee_mes]:[annee_mes]]=AD$53)*(evolution_postes_par_typologie[[postes_maconne]:[postes_maconne]]))</f>
        <v>22</v>
      </c>
      <c r="AE103" s="21" cm="1">
        <f t="array" ref="AE103">SUMPRODUCT((evolution_postes_par_typologie[[client]:[client]]=syndicat_etude)*(evolution_postes_par_typologie[[annee]:[annee]]=Exercice[[Exercice N]:[Exercice N]])*(evolution_postes_par_typologie[[annee_mes]:[annee_mes]]=AE$53)*(evolution_postes_par_typologie[[postes_maconne]:[postes_maconne]]))</f>
        <v>16</v>
      </c>
      <c r="AF103" s="21" cm="1">
        <f t="array" ref="AF103">SUMPRODUCT((evolution_postes_par_typologie[[client]:[client]]=syndicat_etude)*(evolution_postes_par_typologie[[annee]:[annee]]=Exercice[[Exercice N]:[Exercice N]])*(evolution_postes_par_typologie[[annee_mes]:[annee_mes]]=AF$53)*(evolution_postes_par_typologie[[postes_maconne]:[postes_maconne]]))</f>
        <v>16</v>
      </c>
      <c r="AG103" s="21" cm="1">
        <f t="array" ref="AG103">SUMPRODUCT((evolution_postes_par_typologie[[client]:[client]]=syndicat_etude)*(evolution_postes_par_typologie[[annee]:[annee]]=Exercice[[Exercice N]:[Exercice N]])*(evolution_postes_par_typologie[[annee_mes]:[annee_mes]]=AG$53)*(evolution_postes_par_typologie[[postes_maconne]:[postes_maconne]]))</f>
        <v>31</v>
      </c>
      <c r="AH103" s="21" cm="1">
        <f t="array" ref="AH103">SUMPRODUCT((evolution_postes_par_typologie[[client]:[client]]=syndicat_etude)*(evolution_postes_par_typologie[[annee]:[annee]]=Exercice[[Exercice N]:[Exercice N]])*(evolution_postes_par_typologie[[annee_mes]:[annee_mes]]=AH$53)*(evolution_postes_par_typologie[[postes_maconne]:[postes_maconne]]))</f>
        <v>22</v>
      </c>
      <c r="AI103" s="21" cm="1">
        <f t="array" ref="AI103">SUMPRODUCT((evolution_postes_par_typologie[[client]:[client]]=syndicat_etude)*(evolution_postes_par_typologie[[annee]:[annee]]=Exercice[[Exercice N]:[Exercice N]])*(evolution_postes_par_typologie[[annee_mes]:[annee_mes]]=AI$53)*(evolution_postes_par_typologie[[postes_maconne]:[postes_maconne]]))</f>
        <v>25</v>
      </c>
      <c r="AJ103" s="21" cm="1">
        <f t="array" ref="AJ103">SUMPRODUCT((evolution_postes_par_typologie[[client]:[client]]=syndicat_etude)*(evolution_postes_par_typologie[[annee]:[annee]]=Exercice[[Exercice N]:[Exercice N]])*(evolution_postes_par_typologie[[annee_mes]:[annee_mes]]=AJ$53)*(evolution_postes_par_typologie[[postes_maconne]:[postes_maconne]]))</f>
        <v>7</v>
      </c>
      <c r="AK103" s="21" cm="1">
        <f t="array" ref="AK103">SUMPRODUCT((evolution_postes_par_typologie[[client]:[client]]=syndicat_etude)*(evolution_postes_par_typologie[[annee]:[annee]]=Exercice[[Exercice N]:[Exercice N]])*(evolution_postes_par_typologie[[annee_mes]:[annee_mes]]=AK$53)*(evolution_postes_par_typologie[[postes_maconne]:[postes_maconne]]))</f>
        <v>4</v>
      </c>
      <c r="AL103" s="21" cm="1">
        <f t="array" ref="AL103">SUMPRODUCT((evolution_postes_par_typologie[[client]:[client]]=syndicat_etude)*(evolution_postes_par_typologie[[annee]:[annee]]=Exercice[[Exercice N]:[Exercice N]])*(evolution_postes_par_typologie[[annee_mes]:[annee_mes]]=AL$53)*(evolution_postes_par_typologie[[postes_maconne]:[postes_maconne]]))</f>
        <v>2</v>
      </c>
      <c r="AM103" s="21" cm="1">
        <f t="array" ref="AM103">SUMPRODUCT((evolution_postes_par_typologie[[client]:[client]]=syndicat_etude)*(evolution_postes_par_typologie[[annee]:[annee]]=Exercice[[Exercice N]:[Exercice N]])*(evolution_postes_par_typologie[[annee_mes]:[annee_mes]]=AM$53)*(evolution_postes_par_typologie[[postes_maconne]:[postes_maconne]]))</f>
        <v>3</v>
      </c>
      <c r="AN103" s="21" cm="1">
        <f t="array" ref="AN103">SUMPRODUCT((evolution_postes_par_typologie[[client]:[client]]=syndicat_etude)*(evolution_postes_par_typologie[[annee]:[annee]]=Exercice[[Exercice N]:[Exercice N]])*(evolution_postes_par_typologie[[annee_mes]:[annee_mes]]=AN$53)*(evolution_postes_par_typologie[[postes_maconne]:[postes_maconne]]))</f>
        <v>4</v>
      </c>
      <c r="AO103" s="21" cm="1">
        <f t="array" ref="AO103">SUMPRODUCT((evolution_postes_par_typologie[[client]:[client]]=syndicat_etude)*(evolution_postes_par_typologie[[annee]:[annee]]=Exercice[[Exercice N]:[Exercice N]])*(evolution_postes_par_typologie[[annee_mes]:[annee_mes]]=AO$53)*(evolution_postes_par_typologie[[postes_maconne]:[postes_maconne]]))</f>
        <v>10</v>
      </c>
      <c r="AP103" s="21" cm="1">
        <f t="array" ref="AP103">SUMPRODUCT((evolution_postes_par_typologie[[client]:[client]]=syndicat_etude)*(evolution_postes_par_typologie[[annee]:[annee]]=Exercice[[Exercice N]:[Exercice N]])*(evolution_postes_par_typologie[[annee_mes]:[annee_mes]]=AP$53)*(evolution_postes_par_typologie[[postes_maconne]:[postes_maconne]]))</f>
        <v>7</v>
      </c>
      <c r="AQ103" s="21" cm="1">
        <f t="array" ref="AQ103">SUMPRODUCT((evolution_postes_par_typologie[[client]:[client]]=syndicat_etude)*(evolution_postes_par_typologie[[annee]:[annee]]=Exercice[[Exercice N]:[Exercice N]])*(evolution_postes_par_typologie[[annee_mes]:[annee_mes]]=AQ$53)*(evolution_postes_par_typologie[[postes_maconne]:[postes_maconne]]))</f>
        <v>7</v>
      </c>
      <c r="AR103" s="21" cm="1">
        <f t="array" ref="AR103">SUMPRODUCT((evolution_postes_par_typologie[[client]:[client]]=syndicat_etude)*(evolution_postes_par_typologie[[annee]:[annee]]=Exercice[[Exercice N]:[Exercice N]])*(evolution_postes_par_typologie[[annee_mes]:[annee_mes]]=AR$53)*(evolution_postes_par_typologie[[postes_maconne]:[postes_maconne]]))</f>
        <v>8</v>
      </c>
      <c r="AS103" s="21" cm="1">
        <f t="array" ref="AS103">SUMPRODUCT((evolution_postes_par_typologie[[client]:[client]]=syndicat_etude)*(evolution_postes_par_typologie[[annee]:[annee]]=Exercice[[Exercice N]:[Exercice N]])*(evolution_postes_par_typologie[[annee_mes]:[annee_mes]]=AS$53)*(evolution_postes_par_typologie[[postes_maconne]:[postes_maconne]]))</f>
        <v>11</v>
      </c>
      <c r="AT103" s="21" cm="1">
        <f t="array" ref="AT103">SUMPRODUCT((evolution_postes_par_typologie[[client]:[client]]=syndicat_etude)*(evolution_postes_par_typologie[[annee]:[annee]]=Exercice[[Exercice N]:[Exercice N]])*(evolution_postes_par_typologie[[annee_mes]:[annee_mes]]=AT$53)*(evolution_postes_par_typologie[[postes_maconne]:[postes_maconne]]))</f>
        <v>3</v>
      </c>
      <c r="AU103" s="21" cm="1">
        <f t="array" ref="AU103">SUMPRODUCT((evolution_postes_par_typologie[[client]:[client]]=syndicat_etude)*(evolution_postes_par_typologie[[annee]:[annee]]=Exercice[[Exercice N]:[Exercice N]])*(evolution_postes_par_typologie[[annee_mes]:[annee_mes]]=AU$53)*(evolution_postes_par_typologie[[postes_maconne]:[postes_maconne]]))</f>
        <v>5</v>
      </c>
      <c r="AV103" s="21" cm="1">
        <f t="array" ref="AV103">SUMPRODUCT((evolution_postes_par_typologie[[client]:[client]]=syndicat_etude)*(evolution_postes_par_typologie[[annee]:[annee]]=Exercice[[Exercice N]:[Exercice N]])*(evolution_postes_par_typologie[[annee_mes]:[annee_mes]]=AV$53)*(evolution_postes_par_typologie[[postes_maconne]:[postes_maconne]]))</f>
        <v>7</v>
      </c>
      <c r="AW103" s="21" cm="1">
        <f t="array" ref="AW103">SUMPRODUCT((evolution_postes_par_typologie[[client]:[client]]=syndicat_etude)*(evolution_postes_par_typologie[[annee]:[annee]]=Exercice[[Exercice N]:[Exercice N]])*(evolution_postes_par_typologie[[annee_mes]:[annee_mes]]=AW$53)*(evolution_postes_par_typologie[[postes_maconne]:[postes_maconne]]))</f>
        <v>12</v>
      </c>
      <c r="AX103" s="21" cm="1">
        <f t="array" ref="AX103">SUMPRODUCT((evolution_postes_par_typologie[[client]:[client]]=syndicat_etude)*(evolution_postes_par_typologie[[annee]:[annee]]=Exercice[[Exercice N]:[Exercice N]])*(evolution_postes_par_typologie[[annee_mes]:[annee_mes]]=AX$53)*(evolution_postes_par_typologie[[postes_maconne]:[postes_maconne]]))</f>
        <v>6</v>
      </c>
      <c r="AY103" s="21" cm="1">
        <f t="array" ref="AY103">SUMPRODUCT((evolution_postes_par_typologie[[client]:[client]]=syndicat_etude)*(evolution_postes_par_typologie[[annee]:[annee]]=Exercice[[Exercice N]:[Exercice N]])*(evolution_postes_par_typologie[[annee_mes]:[annee_mes]]=AY$53)*(evolution_postes_par_typologie[[postes_maconne]:[postes_maconne]]))</f>
        <v>9</v>
      </c>
      <c r="AZ103" s="21" cm="1">
        <f t="array" ref="AZ103">SUMPRODUCT((evolution_postes_par_typologie[[client]:[client]]=syndicat_etude)*(evolution_postes_par_typologie[[annee]:[annee]]=Exercice[[Exercice N]:[Exercice N]])*(evolution_postes_par_typologie[[annee_mes]:[annee_mes]]=AZ$53)*(evolution_postes_par_typologie[[postes_maconne]:[postes_maconne]]))</f>
        <v>8</v>
      </c>
      <c r="BA103" s="21" cm="1">
        <f t="array" ref="BA103">SUMPRODUCT((evolution_postes_par_typologie[[client]:[client]]=syndicat_etude)*(evolution_postes_par_typologie[[annee]:[annee]]=Exercice[[Exercice N]:[Exercice N]])*(evolution_postes_par_typologie[[annee_mes]:[annee_mes]]=BA$53)*(evolution_postes_par_typologie[[postes_maconne]:[postes_maconne]]))</f>
        <v>6</v>
      </c>
      <c r="BB103" s="21" cm="1">
        <f t="array" ref="BB103">SUMPRODUCT((evolution_postes_par_typologie[[client]:[client]]=syndicat_etude)*(evolution_postes_par_typologie[[annee]:[annee]]=Exercice[[Exercice N]:[Exercice N]])*(evolution_postes_par_typologie[[annee_mes]:[annee_mes]]=BB$53)*(evolution_postes_par_typologie[[postes_maconne]:[postes_maconne]]))</f>
        <v>8</v>
      </c>
      <c r="BC103" s="21" cm="1">
        <f t="array" ref="BC103">SUMPRODUCT((evolution_postes_par_typologie[[client]:[client]]=syndicat_etude)*(evolution_postes_par_typologie[[annee]:[annee]]=Exercice[[Exercice N]:[Exercice N]])*(evolution_postes_par_typologie[[annee_mes]:[annee_mes]]=BC$53)*(evolution_postes_par_typologie[[postes_maconne]:[postes_maconne]]))</f>
        <v>4</v>
      </c>
      <c r="BD103" s="21" cm="1">
        <f t="array" ref="BD103">SUMPRODUCT((evolution_postes_par_typologie[[client]:[client]]=syndicat_etude)*(evolution_postes_par_typologie[[annee]:[annee]]=Exercice[[Exercice N]:[Exercice N]])*(evolution_postes_par_typologie[[annee_mes]:[annee_mes]]=BD$53)*(evolution_postes_par_typologie[[postes_maconne]:[postes_maconne]]))</f>
        <v>1</v>
      </c>
      <c r="BE103" s="21" cm="1">
        <f t="array" ref="BE103">SUMPRODUCT((evolution_postes_par_typologie[[client]:[client]]=syndicat_etude)*(evolution_postes_par_typologie[[annee]:[annee]]=Exercice[[Exercice N]:[Exercice N]])*(evolution_postes_par_typologie[[annee_mes]:[annee_mes]]=BE$53)*(evolution_postes_par_typologie[[postes_maconne]:[postes_maconne]]))</f>
        <v>4</v>
      </c>
      <c r="BF103" s="21" cm="1">
        <f t="array" ref="BF103">SUMPRODUCT((evolution_postes_par_typologie[[client]:[client]]=syndicat_etude)*(evolution_postes_par_typologie[[annee]:[annee]]=Exercice[[Exercice N]:[Exercice N]])*(evolution_postes_par_typologie[[annee_mes]:[annee_mes]]=BF$53)*(evolution_postes_par_typologie[[postes_maconne]:[postes_maconne]]))</f>
        <v>1</v>
      </c>
      <c r="BG103" s="21" cm="1">
        <f t="array" ref="BG103">SUMPRODUCT((evolution_postes_par_typologie[[client]:[client]]=syndicat_etude)*(evolution_postes_par_typologie[[annee]:[annee]]=Exercice[[Exercice N]:[Exercice N]])*(evolution_postes_par_typologie[[annee_mes]:[annee_mes]]=BG$53)*(evolution_postes_par_typologie[[postes_maconne]:[postes_maconne]]))</f>
        <v>1</v>
      </c>
      <c r="BH103" s="21" cm="1">
        <f t="array" ref="BH103">SUMPRODUCT((evolution_postes_par_typologie[[client]:[client]]=syndicat_etude)*(evolution_postes_par_typologie[[annee]:[annee]]=Exercice[[Exercice N]:[Exercice N]])*(evolution_postes_par_typologie[[annee_mes]:[annee_mes]]=BH$53)*(evolution_postes_par_typologie[[postes_maconne]:[postes_maconne]]))</f>
        <v>2</v>
      </c>
      <c r="BI103" s="21" cm="1">
        <f t="array" ref="BI103">SUMPRODUCT((evolution_postes_par_typologie[[client]:[client]]=syndicat_etude)*(evolution_postes_par_typologie[[annee]:[annee]]=Exercice[[Exercice N]:[Exercice N]])*(evolution_postes_par_typologie[[annee_mes]:[annee_mes]]=BI$53)*(evolution_postes_par_typologie[[postes_maconne]:[postes_maconne]]))</f>
        <v>1</v>
      </c>
      <c r="BJ103" s="21" cm="1">
        <f t="array" ref="BJ103">SUMPRODUCT((evolution_postes_par_typologie[[client]:[client]]=syndicat_etude)*(evolution_postes_par_typologie[[annee]:[annee]]=Exercice[[Exercice N]:[Exercice N]])*(evolution_postes_par_typologie[[annee_mes]:[annee_mes]]=BJ$53)*(evolution_postes_par_typologie[[postes_maconne]:[postes_maconne]]))</f>
        <v>1</v>
      </c>
      <c r="BK103" s="21" cm="1">
        <f t="array" ref="BK103">SUMPRODUCT((evolution_postes_par_typologie[[client]:[client]]=syndicat_etude)*(evolution_postes_par_typologie[[annee]:[annee]]=Exercice[[Exercice N]:[Exercice N]])*(evolution_postes_par_typologie[[annee_mes]:[annee_mes]]=BK$53)*(evolution_postes_par_typologie[[postes_maconne]:[postes_maconne]]))</f>
        <v>2</v>
      </c>
      <c r="BL103" s="21" cm="1">
        <f t="array" ref="BL103">SUMPRODUCT((evolution_postes_par_typologie[[client]:[client]]=syndicat_etude)*(evolution_postes_par_typologie[[annee]:[annee]]=Exercice[[Exercice N]:[Exercice N]])*(evolution_postes_par_typologie[[annee_mes]:[annee_mes]]=BL$53)*(evolution_postes_par_typologie[[postes_maconne]:[postes_maconne]]))</f>
        <v>0</v>
      </c>
      <c r="BM103" s="21" cm="1">
        <f t="array" ref="BM103">SUMPRODUCT((evolution_postes_par_typologie[[client]:[client]]=syndicat_etude)*(evolution_postes_par_typologie[[annee]:[annee]]=Exercice[[Exercice N]:[Exercice N]])*(evolution_postes_par_typologie[[annee_mes]:[annee_mes]]=BM$53)*(evolution_postes_par_typologie[[postes_maconne]:[postes_maconne]]))</f>
        <v>0</v>
      </c>
      <c r="BN103" s="21" cm="1">
        <f t="array" ref="BN103">SUMPRODUCT((evolution_postes_par_typologie[[client]:[client]]=syndicat_etude)*(evolution_postes_par_typologie[[annee]:[annee]]=Exercice[[Exercice N]:[Exercice N]])*(evolution_postes_par_typologie[[annee_mes]:[annee_mes]]=BN$53)*(evolution_postes_par_typologie[[postes_maconne]:[postes_maconne]]))</f>
        <v>1</v>
      </c>
      <c r="BO103" s="21" cm="1">
        <f t="array" ref="BO103">SUMPRODUCT((evolution_postes_par_typologie[[client]:[client]]=syndicat_etude)*(evolution_postes_par_typologie[[annee]:[annee]]=Exercice[[Exercice N]:[Exercice N]])*(evolution_postes_par_typologie[[annee_mes]:[annee_mes]]=BO$53)*(evolution_postes_par_typologie[[postes_maconne]:[postes_maconne]]))</f>
        <v>0</v>
      </c>
      <c r="BP103" s="21" cm="1">
        <f t="array" ref="BP103">SUMPRODUCT((evolution_postes_par_typologie[[client]:[client]]=syndicat_etude)*(evolution_postes_par_typologie[[annee]:[annee]]=Exercice[[Exercice N]:[Exercice N]])*(evolution_postes_par_typologie[[annee_mes]:[annee_mes]]=BP$53)*(evolution_postes_par_typologie[[postes_maconne]:[postes_maconne]]))</f>
        <v>2</v>
      </c>
      <c r="BQ103" s="21" cm="1">
        <f t="array" ref="BQ103">SUMPRODUCT((evolution_postes_par_typologie[[client]:[client]]=syndicat_etude)*(evolution_postes_par_typologie[[annee]:[annee]]=Exercice[[Exercice N]:[Exercice N]])*(evolution_postes_par_typologie[[annee_mes]:[annee_mes]]=BQ$53)*(evolution_postes_par_typologie[[postes_maconne]:[postes_maconne]]))</f>
        <v>2</v>
      </c>
      <c r="BR103" s="21" cm="1">
        <f t="array" ref="BR103">SUMPRODUCT((evolution_postes_par_typologie[[client]:[client]]=syndicat_etude)*(evolution_postes_par_typologie[[annee]:[annee]]=Exercice[[Exercice N]:[Exercice N]])*(evolution_postes_par_typologie[[annee_mes]:[annee_mes]]=BR$53)*(evolution_postes_par_typologie[[postes_maconne]:[postes_maconne]]))</f>
        <v>7</v>
      </c>
      <c r="BS103" s="21" cm="1">
        <f t="array" ref="BS103">SUMPRODUCT((evolution_postes_par_typologie[[client]:[client]]=syndicat_etude)*(evolution_postes_par_typologie[[annee]:[annee]]=Exercice[[Exercice N]:[Exercice N]])*(evolution_postes_par_typologie[[annee_mes]:[annee_mes]]=BS$53)*(evolution_postes_par_typologie[[postes_maconne]:[postes_maconne]]))</f>
        <v>1</v>
      </c>
      <c r="BT103" s="21" cm="1">
        <f t="array" ref="BT103">SUMPRODUCT((evolution_postes_par_typologie[[client]:[client]]=syndicat_etude)*(evolution_postes_par_typologie[[annee]:[annee]]=Exercice[[Exercice N]:[Exercice N]])*(evolution_postes_par_typologie[[annee_mes]:[annee_mes]]=BT$53)*(evolution_postes_par_typologie[[postes_maconne]:[postes_maconne]]))</f>
        <v>1</v>
      </c>
      <c r="BU103" s="21" cm="1">
        <f t="array" ref="BU103">SUMPRODUCT((evolution_postes_par_typologie[[client]:[client]]=syndicat_etude)*(evolution_postes_par_typologie[[annee]:[annee]]=Exercice[[Exercice N]:[Exercice N]])*(evolution_postes_par_typologie[[annee_mes]:[annee_mes]]=BU$53)*(evolution_postes_par_typologie[[postes_maconne]:[postes_maconne]]))</f>
        <v>2</v>
      </c>
      <c r="BV103" s="21" cm="1">
        <f t="array" ref="BV103">SUMPRODUCT((evolution_postes_par_typologie[[client]:[client]]=syndicat_etude)*(evolution_postes_par_typologie[[annee]:[annee]]=Exercice[[Exercice N]:[Exercice N]])*(evolution_postes_par_typologie[[annee_mes]:[annee_mes]]=BV$53)*(evolution_postes_par_typologie[[postes_maconne]:[postes_maconne]]))</f>
        <v>0</v>
      </c>
      <c r="BW103" s="21" cm="1">
        <f t="array" ref="BW103">SUMPRODUCT((evolution_postes_par_typologie[[client]:[client]]=syndicat_etude)*(evolution_postes_par_typologie[[annee]:[annee]]=Exercice[[Exercice N]:[Exercice N]])*(evolution_postes_par_typologie[[annee_mes]:[annee_mes]]=BW$53)*(evolution_postes_par_typologie[[postes_maconne]:[postes_maconne]]))</f>
        <v>0</v>
      </c>
      <c r="BX103" s="21" cm="1">
        <f t="array" ref="BX103">SUMPRODUCT((evolution_postes_par_typologie[[client]:[client]]=syndicat_etude)*(evolution_postes_par_typologie[[annee]:[annee]]=Exercice[[Exercice N]:[Exercice N]])*(evolution_postes_par_typologie[[annee_mes]:[annee_mes]]=BX$53)*(evolution_postes_par_typologie[[postes_maconne]:[postes_maconne]]))</f>
        <v>0</v>
      </c>
      <c r="BY103" s="21" cm="1">
        <f t="array" ref="BY103">SUMPRODUCT((evolution_postes_par_typologie[[client]:[client]]=syndicat_etude)*(evolution_postes_par_typologie[[annee]:[annee]]=Exercice[[Exercice N]:[Exercice N]])*(evolution_postes_par_typologie[[annee_mes]:[annee_mes]]=BY$53)*(evolution_postes_par_typologie[[postes_maconne]:[postes_maconne]]))</f>
        <v>0</v>
      </c>
      <c r="BZ103" s="21" cm="1">
        <f t="array" ref="BZ103">SUMPRODUCT((evolution_postes_par_typologie[[client]:[client]]=syndicat_etude)*(evolution_postes_par_typologie[[annee]:[annee]]=Exercice[[Exercice N]:[Exercice N]])*(evolution_postes_par_typologie[[annee_mes]:[annee_mes]]=BZ$53)*(evolution_postes_par_typologie[[postes_maconne]:[postes_maconne]]))</f>
        <v>2</v>
      </c>
      <c r="CA103" s="21" cm="1">
        <f t="array" ref="CA103">SUMPRODUCT((evolution_postes_par_typologie[[client]:[client]]=syndicat_etude)*(evolution_postes_par_typologie[[annee]:[annee]]=Exercice[[Exercice N]:[Exercice N]])*(evolution_postes_par_typologie[[annee_mes]:[annee_mes]]=CA$53)*(evolution_postes_par_typologie[[postes_maconne]:[postes_maconne]]))</f>
        <v>0</v>
      </c>
      <c r="CB103" s="21" cm="1">
        <f t="array" ref="CB103">SUMPRODUCT((evolution_postes_par_typologie[[client]:[client]]=syndicat_etude)*(evolution_postes_par_typologie[[annee]:[annee]]=Exercice[[Exercice N]:[Exercice N]])*(evolution_postes_par_typologie[[annee_mes]:[annee_mes]]=CB$53)*(evolution_postes_par_typologie[[postes_maconne]:[postes_maconne]]))</f>
        <v>0</v>
      </c>
      <c r="CC103" s="432" cm="1">
        <f t="array" ref="CC103">SUMPRODUCT((evolution_postes_par_typologie[[client]:[client]]=syndicat_etude)*(evolution_postes_par_typologie[[annee]:[annee]]=Exercice[[Exercice N]:[Exercice N]])*(evolution_postes_par_typologie[[annee_mes]:[annee_mes]]=CC$53)*(evolution_postes_par_typologie[[postes_maconne]:[postes_maconne]]))</f>
        <v>2</v>
      </c>
      <c r="CD103" s="405"/>
      <c r="CE103" s="405"/>
      <c r="CF103" s="405"/>
    </row>
    <row r="104" spans="2:84" x14ac:dyDescent="0.25">
      <c r="B104" s="431" t="s">
        <v>1193</v>
      </c>
      <c r="C104" s="21" cm="1">
        <f t="array" ref="C104">SUMPRODUCT((evolution_postes_par_typologie[[client]:[client]]=syndicat_etude)*(evolution_postes_par_typologie[[annee]:[annee]]=Exercice[[Exercice N]:[Exercice N]])*(evolution_postes_par_typologie[[annee_mes]:[annee_mes]]&lt;1946)*(evolution_postes_par_typologie[[postes_prefabriques]:[postes_prefabriques]]))</f>
        <v>0</v>
      </c>
      <c r="D104" s="21" cm="1">
        <f t="array" ref="D104">SUMPRODUCT((evolution_postes_par_typologie[[client]:[client]]=syndicat_etude)*(evolution_postes_par_typologie[[annee]:[annee]]=Exercice[[Exercice N]:[Exercice N]])*(evolution_postes_par_typologie[[annee_mes]:[annee_mes]]=D$53)*(evolution_postes_par_typologie[[postes_prefabriques]:[postes_prefabriques]]))</f>
        <v>1</v>
      </c>
      <c r="E104" s="21" cm="1">
        <f t="array" ref="E104">SUMPRODUCT((evolution_postes_par_typologie[[client]:[client]]=syndicat_etude)*(evolution_postes_par_typologie[[annee]:[annee]]=Exercice[[Exercice N]:[Exercice N]])*(evolution_postes_par_typologie[[annee_mes]:[annee_mes]]=E$53)*(evolution_postes_par_typologie[[postes_prefabriques]:[postes_prefabriques]]))</f>
        <v>0</v>
      </c>
      <c r="F104" s="21" cm="1">
        <f t="array" ref="F104">SUMPRODUCT((evolution_postes_par_typologie[[client]:[client]]=syndicat_etude)*(evolution_postes_par_typologie[[annee]:[annee]]=Exercice[[Exercice N]:[Exercice N]])*(evolution_postes_par_typologie[[annee_mes]:[annee_mes]]=F$53)*(evolution_postes_par_typologie[[postes_prefabriques]:[postes_prefabriques]]))</f>
        <v>0</v>
      </c>
      <c r="G104" s="21" cm="1">
        <f t="array" ref="G104">SUMPRODUCT((evolution_postes_par_typologie[[client]:[client]]=syndicat_etude)*(evolution_postes_par_typologie[[annee]:[annee]]=Exercice[[Exercice N]:[Exercice N]])*(evolution_postes_par_typologie[[annee_mes]:[annee_mes]]=G$53)*(evolution_postes_par_typologie[[postes_prefabriques]:[postes_prefabriques]]))</f>
        <v>0</v>
      </c>
      <c r="H104" s="21" cm="1">
        <f t="array" ref="H104">SUMPRODUCT((evolution_postes_par_typologie[[client]:[client]]=syndicat_etude)*(evolution_postes_par_typologie[[annee]:[annee]]=Exercice[[Exercice N]:[Exercice N]])*(evolution_postes_par_typologie[[annee_mes]:[annee_mes]]=H$53)*(evolution_postes_par_typologie[[postes_prefabriques]:[postes_prefabriques]]))</f>
        <v>0</v>
      </c>
      <c r="I104" s="21" cm="1">
        <f t="array" ref="I104">SUMPRODUCT((evolution_postes_par_typologie[[client]:[client]]=syndicat_etude)*(evolution_postes_par_typologie[[annee]:[annee]]=Exercice[[Exercice N]:[Exercice N]])*(evolution_postes_par_typologie[[annee_mes]:[annee_mes]]=I$53)*(evolution_postes_par_typologie[[postes_prefabriques]:[postes_prefabriques]]))</f>
        <v>1</v>
      </c>
      <c r="J104" s="21" cm="1">
        <f t="array" ref="J104">SUMPRODUCT((evolution_postes_par_typologie[[client]:[client]]=syndicat_etude)*(evolution_postes_par_typologie[[annee]:[annee]]=Exercice[[Exercice N]:[Exercice N]])*(evolution_postes_par_typologie[[annee_mes]:[annee_mes]]=J$53)*(evolution_postes_par_typologie[[postes_prefabriques]:[postes_prefabriques]]))</f>
        <v>0</v>
      </c>
      <c r="K104" s="21" cm="1">
        <f t="array" ref="K104">SUMPRODUCT((evolution_postes_par_typologie[[client]:[client]]=syndicat_etude)*(evolution_postes_par_typologie[[annee]:[annee]]=Exercice[[Exercice N]:[Exercice N]])*(evolution_postes_par_typologie[[annee_mes]:[annee_mes]]=K$53)*(evolution_postes_par_typologie[[postes_prefabriques]:[postes_prefabriques]]))</f>
        <v>0</v>
      </c>
      <c r="L104" s="21" cm="1">
        <f t="array" ref="L104">SUMPRODUCT((evolution_postes_par_typologie[[client]:[client]]=syndicat_etude)*(evolution_postes_par_typologie[[annee]:[annee]]=Exercice[[Exercice N]:[Exercice N]])*(evolution_postes_par_typologie[[annee_mes]:[annee_mes]]=L$53)*(evolution_postes_par_typologie[[postes_prefabriques]:[postes_prefabriques]]))</f>
        <v>0</v>
      </c>
      <c r="M104" s="21" cm="1">
        <f t="array" ref="M104">SUMPRODUCT((evolution_postes_par_typologie[[client]:[client]]=syndicat_etude)*(evolution_postes_par_typologie[[annee]:[annee]]=Exercice[[Exercice N]:[Exercice N]])*(evolution_postes_par_typologie[[annee_mes]:[annee_mes]]=M$53)*(evolution_postes_par_typologie[[postes_prefabriques]:[postes_prefabriques]]))</f>
        <v>1</v>
      </c>
      <c r="N104" s="21" cm="1">
        <f t="array" ref="N104">SUMPRODUCT((evolution_postes_par_typologie[[client]:[client]]=syndicat_etude)*(evolution_postes_par_typologie[[annee]:[annee]]=Exercice[[Exercice N]:[Exercice N]])*(evolution_postes_par_typologie[[annee_mes]:[annee_mes]]=N$53)*(evolution_postes_par_typologie[[postes_prefabriques]:[postes_prefabriques]]))</f>
        <v>0</v>
      </c>
      <c r="O104" s="21" cm="1">
        <f t="array" ref="O104">SUMPRODUCT((evolution_postes_par_typologie[[client]:[client]]=syndicat_etude)*(evolution_postes_par_typologie[[annee]:[annee]]=Exercice[[Exercice N]:[Exercice N]])*(evolution_postes_par_typologie[[annee_mes]:[annee_mes]]=O$53)*(evolution_postes_par_typologie[[postes_prefabriques]:[postes_prefabriques]]))</f>
        <v>0</v>
      </c>
      <c r="P104" s="21" cm="1">
        <f t="array" ref="P104">SUMPRODUCT((evolution_postes_par_typologie[[client]:[client]]=syndicat_etude)*(evolution_postes_par_typologie[[annee]:[annee]]=Exercice[[Exercice N]:[Exercice N]])*(evolution_postes_par_typologie[[annee_mes]:[annee_mes]]=P$53)*(evolution_postes_par_typologie[[postes_prefabriques]:[postes_prefabriques]]))</f>
        <v>0</v>
      </c>
      <c r="Q104" s="21" cm="1">
        <f t="array" ref="Q104">SUMPRODUCT((evolution_postes_par_typologie[[client]:[client]]=syndicat_etude)*(evolution_postes_par_typologie[[annee]:[annee]]=Exercice[[Exercice N]:[Exercice N]])*(evolution_postes_par_typologie[[annee_mes]:[annee_mes]]=Q$53)*(evolution_postes_par_typologie[[postes_prefabriques]:[postes_prefabriques]]))</f>
        <v>1</v>
      </c>
      <c r="R104" s="21" cm="1">
        <f t="array" ref="R104">SUMPRODUCT((evolution_postes_par_typologie[[client]:[client]]=syndicat_etude)*(evolution_postes_par_typologie[[annee]:[annee]]=Exercice[[Exercice N]:[Exercice N]])*(evolution_postes_par_typologie[[annee_mes]:[annee_mes]]=R$53)*(evolution_postes_par_typologie[[postes_prefabriques]:[postes_prefabriques]]))</f>
        <v>0</v>
      </c>
      <c r="S104" s="21" cm="1">
        <f t="array" ref="S104">SUMPRODUCT((evolution_postes_par_typologie[[client]:[client]]=syndicat_etude)*(evolution_postes_par_typologie[[annee]:[annee]]=Exercice[[Exercice N]:[Exercice N]])*(evolution_postes_par_typologie[[annee_mes]:[annee_mes]]=S$53)*(evolution_postes_par_typologie[[postes_prefabriques]:[postes_prefabriques]]))</f>
        <v>1</v>
      </c>
      <c r="T104" s="21" cm="1">
        <f t="array" ref="T104">SUMPRODUCT((evolution_postes_par_typologie[[client]:[client]]=syndicat_etude)*(evolution_postes_par_typologie[[annee]:[annee]]=Exercice[[Exercice N]:[Exercice N]])*(evolution_postes_par_typologie[[annee_mes]:[annee_mes]]=T$53)*(evolution_postes_par_typologie[[postes_prefabriques]:[postes_prefabriques]]))</f>
        <v>0</v>
      </c>
      <c r="U104" s="21" cm="1">
        <f t="array" ref="U104">SUMPRODUCT((evolution_postes_par_typologie[[client]:[client]]=syndicat_etude)*(evolution_postes_par_typologie[[annee]:[annee]]=Exercice[[Exercice N]:[Exercice N]])*(evolution_postes_par_typologie[[annee_mes]:[annee_mes]]=U$53)*(evolution_postes_par_typologie[[postes_prefabriques]:[postes_prefabriques]]))</f>
        <v>1</v>
      </c>
      <c r="V104" s="21" cm="1">
        <f t="array" ref="V104">SUMPRODUCT((evolution_postes_par_typologie[[client]:[client]]=syndicat_etude)*(evolution_postes_par_typologie[[annee]:[annee]]=Exercice[[Exercice N]:[Exercice N]])*(evolution_postes_par_typologie[[annee_mes]:[annee_mes]]=V$53)*(evolution_postes_par_typologie[[postes_prefabriques]:[postes_prefabriques]]))</f>
        <v>4</v>
      </c>
      <c r="W104" s="21" cm="1">
        <f t="array" ref="W104">SUMPRODUCT((evolution_postes_par_typologie[[client]:[client]]=syndicat_etude)*(evolution_postes_par_typologie[[annee]:[annee]]=Exercice[[Exercice N]:[Exercice N]])*(evolution_postes_par_typologie[[annee_mes]:[annee_mes]]=W$53)*(evolution_postes_par_typologie[[postes_prefabriques]:[postes_prefabriques]]))</f>
        <v>2</v>
      </c>
      <c r="X104" s="21" cm="1">
        <f t="array" ref="X104">SUMPRODUCT((evolution_postes_par_typologie[[client]:[client]]=syndicat_etude)*(evolution_postes_par_typologie[[annee]:[annee]]=Exercice[[Exercice N]:[Exercice N]])*(evolution_postes_par_typologie[[annee_mes]:[annee_mes]]=X$53)*(evolution_postes_par_typologie[[postes_prefabriques]:[postes_prefabriques]]))</f>
        <v>3</v>
      </c>
      <c r="Y104" s="21" cm="1">
        <f t="array" ref="Y104">SUMPRODUCT((evolution_postes_par_typologie[[client]:[client]]=syndicat_etude)*(evolution_postes_par_typologie[[annee]:[annee]]=Exercice[[Exercice N]:[Exercice N]])*(evolution_postes_par_typologie[[annee_mes]:[annee_mes]]=Y$53)*(evolution_postes_par_typologie[[postes_prefabriques]:[postes_prefabriques]]))</f>
        <v>2</v>
      </c>
      <c r="Z104" s="21" cm="1">
        <f t="array" ref="Z104">SUMPRODUCT((evolution_postes_par_typologie[[client]:[client]]=syndicat_etude)*(evolution_postes_par_typologie[[annee]:[annee]]=Exercice[[Exercice N]:[Exercice N]])*(evolution_postes_par_typologie[[annee_mes]:[annee_mes]]=Z$53)*(evolution_postes_par_typologie[[postes_prefabriques]:[postes_prefabriques]]))</f>
        <v>2</v>
      </c>
      <c r="AA104" s="21" cm="1">
        <f t="array" ref="AA104">SUMPRODUCT((evolution_postes_par_typologie[[client]:[client]]=syndicat_etude)*(evolution_postes_par_typologie[[annee]:[annee]]=Exercice[[Exercice N]:[Exercice N]])*(evolution_postes_par_typologie[[annee_mes]:[annee_mes]]=AA$53)*(evolution_postes_par_typologie[[postes_prefabriques]:[postes_prefabriques]]))</f>
        <v>0</v>
      </c>
      <c r="AB104" s="21" cm="1">
        <f t="array" ref="AB104">SUMPRODUCT((evolution_postes_par_typologie[[client]:[client]]=syndicat_etude)*(evolution_postes_par_typologie[[annee]:[annee]]=Exercice[[Exercice N]:[Exercice N]])*(evolution_postes_par_typologie[[annee_mes]:[annee_mes]]=AB$53)*(evolution_postes_par_typologie[[postes_prefabriques]:[postes_prefabriques]]))</f>
        <v>0</v>
      </c>
      <c r="AC104" s="21" cm="1">
        <f t="array" ref="AC104">SUMPRODUCT((evolution_postes_par_typologie[[client]:[client]]=syndicat_etude)*(evolution_postes_par_typologie[[annee]:[annee]]=Exercice[[Exercice N]:[Exercice N]])*(evolution_postes_par_typologie[[annee_mes]:[annee_mes]]=AC$53)*(evolution_postes_par_typologie[[postes_prefabriques]:[postes_prefabriques]]))</f>
        <v>3</v>
      </c>
      <c r="AD104" s="21" cm="1">
        <f t="array" ref="AD104">SUMPRODUCT((evolution_postes_par_typologie[[client]:[client]]=syndicat_etude)*(evolution_postes_par_typologie[[annee]:[annee]]=Exercice[[Exercice N]:[Exercice N]])*(evolution_postes_par_typologie[[annee_mes]:[annee_mes]]=AD$53)*(evolution_postes_par_typologie[[postes_prefabriques]:[postes_prefabriques]]))</f>
        <v>3</v>
      </c>
      <c r="AE104" s="21" cm="1">
        <f t="array" ref="AE104">SUMPRODUCT((evolution_postes_par_typologie[[client]:[client]]=syndicat_etude)*(evolution_postes_par_typologie[[annee]:[annee]]=Exercice[[Exercice N]:[Exercice N]])*(evolution_postes_par_typologie[[annee_mes]:[annee_mes]]=AE$53)*(evolution_postes_par_typologie[[postes_prefabriques]:[postes_prefabriques]]))</f>
        <v>7</v>
      </c>
      <c r="AF104" s="21" cm="1">
        <f t="array" ref="AF104">SUMPRODUCT((evolution_postes_par_typologie[[client]:[client]]=syndicat_etude)*(evolution_postes_par_typologie[[annee]:[annee]]=Exercice[[Exercice N]:[Exercice N]])*(evolution_postes_par_typologie[[annee_mes]:[annee_mes]]=AF$53)*(evolution_postes_par_typologie[[postes_prefabriques]:[postes_prefabriques]]))</f>
        <v>4</v>
      </c>
      <c r="AG104" s="21" cm="1">
        <f t="array" ref="AG104">SUMPRODUCT((evolution_postes_par_typologie[[client]:[client]]=syndicat_etude)*(evolution_postes_par_typologie[[annee]:[annee]]=Exercice[[Exercice N]:[Exercice N]])*(evolution_postes_par_typologie[[annee_mes]:[annee_mes]]=AG$53)*(evolution_postes_par_typologie[[postes_prefabriques]:[postes_prefabriques]]))</f>
        <v>5</v>
      </c>
      <c r="AH104" s="21" cm="1">
        <f t="array" ref="AH104">SUMPRODUCT((evolution_postes_par_typologie[[client]:[client]]=syndicat_etude)*(evolution_postes_par_typologie[[annee]:[annee]]=Exercice[[Exercice N]:[Exercice N]])*(evolution_postes_par_typologie[[annee_mes]:[annee_mes]]=AH$53)*(evolution_postes_par_typologie[[postes_prefabriques]:[postes_prefabriques]]))</f>
        <v>14</v>
      </c>
      <c r="AI104" s="21" cm="1">
        <f t="array" ref="AI104">SUMPRODUCT((evolution_postes_par_typologie[[client]:[client]]=syndicat_etude)*(evolution_postes_par_typologie[[annee]:[annee]]=Exercice[[Exercice N]:[Exercice N]])*(evolution_postes_par_typologie[[annee_mes]:[annee_mes]]=AI$53)*(evolution_postes_par_typologie[[postes_prefabriques]:[postes_prefabriques]]))</f>
        <v>17</v>
      </c>
      <c r="AJ104" s="21" cm="1">
        <f t="array" ref="AJ104">SUMPRODUCT((evolution_postes_par_typologie[[client]:[client]]=syndicat_etude)*(evolution_postes_par_typologie[[annee]:[annee]]=Exercice[[Exercice N]:[Exercice N]])*(evolution_postes_par_typologie[[annee_mes]:[annee_mes]]=AJ$53)*(evolution_postes_par_typologie[[postes_prefabriques]:[postes_prefabriques]]))</f>
        <v>3</v>
      </c>
      <c r="AK104" s="21" cm="1">
        <f t="array" ref="AK104">SUMPRODUCT((evolution_postes_par_typologie[[client]:[client]]=syndicat_etude)*(evolution_postes_par_typologie[[annee]:[annee]]=Exercice[[Exercice N]:[Exercice N]])*(evolution_postes_par_typologie[[annee_mes]:[annee_mes]]=AK$53)*(evolution_postes_par_typologie[[postes_prefabriques]:[postes_prefabriques]]))</f>
        <v>9</v>
      </c>
      <c r="AL104" s="21" cm="1">
        <f t="array" ref="AL104">SUMPRODUCT((evolution_postes_par_typologie[[client]:[client]]=syndicat_etude)*(evolution_postes_par_typologie[[annee]:[annee]]=Exercice[[Exercice N]:[Exercice N]])*(evolution_postes_par_typologie[[annee_mes]:[annee_mes]]=AL$53)*(evolution_postes_par_typologie[[postes_prefabriques]:[postes_prefabriques]]))</f>
        <v>11</v>
      </c>
      <c r="AM104" s="21" cm="1">
        <f t="array" ref="AM104">SUMPRODUCT((evolution_postes_par_typologie[[client]:[client]]=syndicat_etude)*(evolution_postes_par_typologie[[annee]:[annee]]=Exercice[[Exercice N]:[Exercice N]])*(evolution_postes_par_typologie[[annee_mes]:[annee_mes]]=AM$53)*(evolution_postes_par_typologie[[postes_prefabriques]:[postes_prefabriques]]))</f>
        <v>7</v>
      </c>
      <c r="AN104" s="21" cm="1">
        <f t="array" ref="AN104">SUMPRODUCT((evolution_postes_par_typologie[[client]:[client]]=syndicat_etude)*(evolution_postes_par_typologie[[annee]:[annee]]=Exercice[[Exercice N]:[Exercice N]])*(evolution_postes_par_typologie[[annee_mes]:[annee_mes]]=AN$53)*(evolution_postes_par_typologie[[postes_prefabriques]:[postes_prefabriques]]))</f>
        <v>27</v>
      </c>
      <c r="AO104" s="21" cm="1">
        <f t="array" ref="AO104">SUMPRODUCT((evolution_postes_par_typologie[[client]:[client]]=syndicat_etude)*(evolution_postes_par_typologie[[annee]:[annee]]=Exercice[[Exercice N]:[Exercice N]])*(evolution_postes_par_typologie[[annee_mes]:[annee_mes]]=AO$53)*(evolution_postes_par_typologie[[postes_prefabriques]:[postes_prefabriques]]))</f>
        <v>23</v>
      </c>
      <c r="AP104" s="21" cm="1">
        <f t="array" ref="AP104">SUMPRODUCT((evolution_postes_par_typologie[[client]:[client]]=syndicat_etude)*(evolution_postes_par_typologie[[annee]:[annee]]=Exercice[[Exercice N]:[Exercice N]])*(evolution_postes_par_typologie[[annee_mes]:[annee_mes]]=AP$53)*(evolution_postes_par_typologie[[postes_prefabriques]:[postes_prefabriques]]))</f>
        <v>45</v>
      </c>
      <c r="AQ104" s="21" cm="1">
        <f t="array" ref="AQ104">SUMPRODUCT((evolution_postes_par_typologie[[client]:[client]]=syndicat_etude)*(evolution_postes_par_typologie[[annee]:[annee]]=Exercice[[Exercice N]:[Exercice N]])*(evolution_postes_par_typologie[[annee_mes]:[annee_mes]]=AQ$53)*(evolution_postes_par_typologie[[postes_prefabriques]:[postes_prefabriques]]))</f>
        <v>43</v>
      </c>
      <c r="AR104" s="21" cm="1">
        <f t="array" ref="AR104">SUMPRODUCT((evolution_postes_par_typologie[[client]:[client]]=syndicat_etude)*(evolution_postes_par_typologie[[annee]:[annee]]=Exercice[[Exercice N]:[Exercice N]])*(evolution_postes_par_typologie[[annee_mes]:[annee_mes]]=AR$53)*(evolution_postes_par_typologie[[postes_prefabriques]:[postes_prefabriques]]))</f>
        <v>40</v>
      </c>
      <c r="AS104" s="21" cm="1">
        <f t="array" ref="AS104">SUMPRODUCT((evolution_postes_par_typologie[[client]:[client]]=syndicat_etude)*(evolution_postes_par_typologie[[annee]:[annee]]=Exercice[[Exercice N]:[Exercice N]])*(evolution_postes_par_typologie[[annee_mes]:[annee_mes]]=AS$53)*(evolution_postes_par_typologie[[postes_prefabriques]:[postes_prefabriques]]))</f>
        <v>39</v>
      </c>
      <c r="AT104" s="21" cm="1">
        <f t="array" ref="AT104">SUMPRODUCT((evolution_postes_par_typologie[[client]:[client]]=syndicat_etude)*(evolution_postes_par_typologie[[annee]:[annee]]=Exercice[[Exercice N]:[Exercice N]])*(evolution_postes_par_typologie[[annee_mes]:[annee_mes]]=AT$53)*(evolution_postes_par_typologie[[postes_prefabriques]:[postes_prefabriques]]))</f>
        <v>41</v>
      </c>
      <c r="AU104" s="21" cm="1">
        <f t="array" ref="AU104">SUMPRODUCT((evolution_postes_par_typologie[[client]:[client]]=syndicat_etude)*(evolution_postes_par_typologie[[annee]:[annee]]=Exercice[[Exercice N]:[Exercice N]])*(evolution_postes_par_typologie[[annee_mes]:[annee_mes]]=AU$53)*(evolution_postes_par_typologie[[postes_prefabriques]:[postes_prefabriques]]))</f>
        <v>44</v>
      </c>
      <c r="AV104" s="21" cm="1">
        <f t="array" ref="AV104">SUMPRODUCT((evolution_postes_par_typologie[[client]:[client]]=syndicat_etude)*(evolution_postes_par_typologie[[annee]:[annee]]=Exercice[[Exercice N]:[Exercice N]])*(evolution_postes_par_typologie[[annee_mes]:[annee_mes]]=AV$53)*(evolution_postes_par_typologie[[postes_prefabriques]:[postes_prefabriques]]))</f>
        <v>37</v>
      </c>
      <c r="AW104" s="21" cm="1">
        <f t="array" ref="AW104">SUMPRODUCT((evolution_postes_par_typologie[[client]:[client]]=syndicat_etude)*(evolution_postes_par_typologie[[annee]:[annee]]=Exercice[[Exercice N]:[Exercice N]])*(evolution_postes_par_typologie[[annee_mes]:[annee_mes]]=AW$53)*(evolution_postes_par_typologie[[postes_prefabriques]:[postes_prefabriques]]))</f>
        <v>42</v>
      </c>
      <c r="AX104" s="21" cm="1">
        <f t="array" ref="AX104">SUMPRODUCT((evolution_postes_par_typologie[[client]:[client]]=syndicat_etude)*(evolution_postes_par_typologie[[annee]:[annee]]=Exercice[[Exercice N]:[Exercice N]])*(evolution_postes_par_typologie[[annee_mes]:[annee_mes]]=AX$53)*(evolution_postes_par_typologie[[postes_prefabriques]:[postes_prefabriques]]))</f>
        <v>31</v>
      </c>
      <c r="AY104" s="21" cm="1">
        <f t="array" ref="AY104">SUMPRODUCT((evolution_postes_par_typologie[[client]:[client]]=syndicat_etude)*(evolution_postes_par_typologie[[annee]:[annee]]=Exercice[[Exercice N]:[Exercice N]])*(evolution_postes_par_typologie[[annee_mes]:[annee_mes]]=AY$53)*(evolution_postes_par_typologie[[postes_prefabriques]:[postes_prefabriques]]))</f>
        <v>29</v>
      </c>
      <c r="AZ104" s="21" cm="1">
        <f t="array" ref="AZ104">SUMPRODUCT((evolution_postes_par_typologie[[client]:[client]]=syndicat_etude)*(evolution_postes_par_typologie[[annee]:[annee]]=Exercice[[Exercice N]:[Exercice N]])*(evolution_postes_par_typologie[[annee_mes]:[annee_mes]]=AZ$53)*(evolution_postes_par_typologie[[postes_prefabriques]:[postes_prefabriques]]))</f>
        <v>41</v>
      </c>
      <c r="BA104" s="21" cm="1">
        <f t="array" ref="BA104">SUMPRODUCT((evolution_postes_par_typologie[[client]:[client]]=syndicat_etude)*(evolution_postes_par_typologie[[annee]:[annee]]=Exercice[[Exercice N]:[Exercice N]])*(evolution_postes_par_typologie[[annee_mes]:[annee_mes]]=BA$53)*(evolution_postes_par_typologie[[postes_prefabriques]:[postes_prefabriques]]))</f>
        <v>43</v>
      </c>
      <c r="BB104" s="21" cm="1">
        <f t="array" ref="BB104">SUMPRODUCT((evolution_postes_par_typologie[[client]:[client]]=syndicat_etude)*(evolution_postes_par_typologie[[annee]:[annee]]=Exercice[[Exercice N]:[Exercice N]])*(evolution_postes_par_typologie[[annee_mes]:[annee_mes]]=BB$53)*(evolution_postes_par_typologie[[postes_prefabriques]:[postes_prefabriques]]))</f>
        <v>56</v>
      </c>
      <c r="BC104" s="21" cm="1">
        <f t="array" ref="BC104">SUMPRODUCT((evolution_postes_par_typologie[[client]:[client]]=syndicat_etude)*(evolution_postes_par_typologie[[annee]:[annee]]=Exercice[[Exercice N]:[Exercice N]])*(evolution_postes_par_typologie[[annee_mes]:[annee_mes]]=BC$53)*(evolution_postes_par_typologie[[postes_prefabriques]:[postes_prefabriques]]))</f>
        <v>50</v>
      </c>
      <c r="BD104" s="21" cm="1">
        <f t="array" ref="BD104">SUMPRODUCT((evolution_postes_par_typologie[[client]:[client]]=syndicat_etude)*(evolution_postes_par_typologie[[annee]:[annee]]=Exercice[[Exercice N]:[Exercice N]])*(evolution_postes_par_typologie[[annee_mes]:[annee_mes]]=BD$53)*(evolution_postes_par_typologie[[postes_prefabriques]:[postes_prefabriques]]))</f>
        <v>67</v>
      </c>
      <c r="BE104" s="21" cm="1">
        <f t="array" ref="BE104">SUMPRODUCT((evolution_postes_par_typologie[[client]:[client]]=syndicat_etude)*(evolution_postes_par_typologie[[annee]:[annee]]=Exercice[[Exercice N]:[Exercice N]])*(evolution_postes_par_typologie[[annee_mes]:[annee_mes]]=BE$53)*(evolution_postes_par_typologie[[postes_prefabriques]:[postes_prefabriques]]))</f>
        <v>58</v>
      </c>
      <c r="BF104" s="21" cm="1">
        <f t="array" ref="BF104">SUMPRODUCT((evolution_postes_par_typologie[[client]:[client]]=syndicat_etude)*(evolution_postes_par_typologie[[annee]:[annee]]=Exercice[[Exercice N]:[Exercice N]])*(evolution_postes_par_typologie[[annee_mes]:[annee_mes]]=BF$53)*(evolution_postes_par_typologie[[postes_prefabriques]:[postes_prefabriques]]))</f>
        <v>71</v>
      </c>
      <c r="BG104" s="21" cm="1">
        <f t="array" ref="BG104">SUMPRODUCT((evolution_postes_par_typologie[[client]:[client]]=syndicat_etude)*(evolution_postes_par_typologie[[annee]:[annee]]=Exercice[[Exercice N]:[Exercice N]])*(evolution_postes_par_typologie[[annee_mes]:[annee_mes]]=BG$53)*(evolution_postes_par_typologie[[postes_prefabriques]:[postes_prefabriques]]))</f>
        <v>63</v>
      </c>
      <c r="BH104" s="21" cm="1">
        <f t="array" ref="BH104">SUMPRODUCT((evolution_postes_par_typologie[[client]:[client]]=syndicat_etude)*(evolution_postes_par_typologie[[annee]:[annee]]=Exercice[[Exercice N]:[Exercice N]])*(evolution_postes_par_typologie[[annee_mes]:[annee_mes]]=BH$53)*(evolution_postes_par_typologie[[postes_prefabriques]:[postes_prefabriques]]))</f>
        <v>58</v>
      </c>
      <c r="BI104" s="21" cm="1">
        <f t="array" ref="BI104">SUMPRODUCT((evolution_postes_par_typologie[[client]:[client]]=syndicat_etude)*(evolution_postes_par_typologie[[annee]:[annee]]=Exercice[[Exercice N]:[Exercice N]])*(evolution_postes_par_typologie[[annee_mes]:[annee_mes]]=BI$53)*(evolution_postes_par_typologie[[postes_prefabriques]:[postes_prefabriques]]))</f>
        <v>36</v>
      </c>
      <c r="BJ104" s="21" cm="1">
        <f t="array" ref="BJ104">SUMPRODUCT((evolution_postes_par_typologie[[client]:[client]]=syndicat_etude)*(evolution_postes_par_typologie[[annee]:[annee]]=Exercice[[Exercice N]:[Exercice N]])*(evolution_postes_par_typologie[[annee_mes]:[annee_mes]]=BJ$53)*(evolution_postes_par_typologie[[postes_prefabriques]:[postes_prefabriques]]))</f>
        <v>30</v>
      </c>
      <c r="BK104" s="21" cm="1">
        <f t="array" ref="BK104">SUMPRODUCT((evolution_postes_par_typologie[[client]:[client]]=syndicat_etude)*(evolution_postes_par_typologie[[annee]:[annee]]=Exercice[[Exercice N]:[Exercice N]])*(evolution_postes_par_typologie[[annee_mes]:[annee_mes]]=BK$53)*(evolution_postes_par_typologie[[postes_prefabriques]:[postes_prefabriques]]))</f>
        <v>31</v>
      </c>
      <c r="BL104" s="21" cm="1">
        <f t="array" ref="BL104">SUMPRODUCT((evolution_postes_par_typologie[[client]:[client]]=syndicat_etude)*(evolution_postes_par_typologie[[annee]:[annee]]=Exercice[[Exercice N]:[Exercice N]])*(evolution_postes_par_typologie[[annee_mes]:[annee_mes]]=BL$53)*(evolution_postes_par_typologie[[postes_prefabriques]:[postes_prefabriques]]))</f>
        <v>24</v>
      </c>
      <c r="BM104" s="21" cm="1">
        <f t="array" ref="BM104">SUMPRODUCT((evolution_postes_par_typologie[[client]:[client]]=syndicat_etude)*(evolution_postes_par_typologie[[annee]:[annee]]=Exercice[[Exercice N]:[Exercice N]])*(evolution_postes_par_typologie[[annee_mes]:[annee_mes]]=BM$53)*(evolution_postes_par_typologie[[postes_prefabriques]:[postes_prefabriques]]))</f>
        <v>38</v>
      </c>
      <c r="BN104" s="21" cm="1">
        <f t="array" ref="BN104">SUMPRODUCT((evolution_postes_par_typologie[[client]:[client]]=syndicat_etude)*(evolution_postes_par_typologie[[annee]:[annee]]=Exercice[[Exercice N]:[Exercice N]])*(evolution_postes_par_typologie[[annee_mes]:[annee_mes]]=BN$53)*(evolution_postes_par_typologie[[postes_prefabriques]:[postes_prefabriques]]))</f>
        <v>43</v>
      </c>
      <c r="BO104" s="21" cm="1">
        <f t="array" ref="BO104">SUMPRODUCT((evolution_postes_par_typologie[[client]:[client]]=syndicat_etude)*(evolution_postes_par_typologie[[annee]:[annee]]=Exercice[[Exercice N]:[Exercice N]])*(evolution_postes_par_typologie[[annee_mes]:[annee_mes]]=BO$53)*(evolution_postes_par_typologie[[postes_prefabriques]:[postes_prefabriques]]))</f>
        <v>31</v>
      </c>
      <c r="BP104" s="21" cm="1">
        <f t="array" ref="BP104">SUMPRODUCT((evolution_postes_par_typologie[[client]:[client]]=syndicat_etude)*(evolution_postes_par_typologie[[annee]:[annee]]=Exercice[[Exercice N]:[Exercice N]])*(evolution_postes_par_typologie[[annee_mes]:[annee_mes]]=BP$53)*(evolution_postes_par_typologie[[postes_prefabriques]:[postes_prefabriques]]))</f>
        <v>29</v>
      </c>
      <c r="BQ104" s="21" cm="1">
        <f t="array" ref="BQ104">SUMPRODUCT((evolution_postes_par_typologie[[client]:[client]]=syndicat_etude)*(evolution_postes_par_typologie[[annee]:[annee]]=Exercice[[Exercice N]:[Exercice N]])*(evolution_postes_par_typologie[[annee_mes]:[annee_mes]]=BQ$53)*(evolution_postes_par_typologie[[postes_prefabriques]:[postes_prefabriques]]))</f>
        <v>54</v>
      </c>
      <c r="BR104" s="21" cm="1">
        <f t="array" ref="BR104">SUMPRODUCT((evolution_postes_par_typologie[[client]:[client]]=syndicat_etude)*(evolution_postes_par_typologie[[annee]:[annee]]=Exercice[[Exercice N]:[Exercice N]])*(evolution_postes_par_typologie[[annee_mes]:[annee_mes]]=BR$53)*(evolution_postes_par_typologie[[postes_prefabriques]:[postes_prefabriques]]))</f>
        <v>61</v>
      </c>
      <c r="BS104" s="21" cm="1">
        <f t="array" ref="BS104">SUMPRODUCT((evolution_postes_par_typologie[[client]:[client]]=syndicat_etude)*(evolution_postes_par_typologie[[annee]:[annee]]=Exercice[[Exercice N]:[Exercice N]])*(evolution_postes_par_typologie[[annee_mes]:[annee_mes]]=BS$53)*(evolution_postes_par_typologie[[postes_prefabriques]:[postes_prefabriques]]))</f>
        <v>42</v>
      </c>
      <c r="BT104" s="21" cm="1">
        <f t="array" ref="BT104">SUMPRODUCT((evolution_postes_par_typologie[[client]:[client]]=syndicat_etude)*(evolution_postes_par_typologie[[annee]:[annee]]=Exercice[[Exercice N]:[Exercice N]])*(evolution_postes_par_typologie[[annee_mes]:[annee_mes]]=BT$53)*(evolution_postes_par_typologie[[postes_prefabriques]:[postes_prefabriques]]))</f>
        <v>41</v>
      </c>
      <c r="BU104" s="21" cm="1">
        <f t="array" ref="BU104">SUMPRODUCT((evolution_postes_par_typologie[[client]:[client]]=syndicat_etude)*(evolution_postes_par_typologie[[annee]:[annee]]=Exercice[[Exercice N]:[Exercice N]])*(evolution_postes_par_typologie[[annee_mes]:[annee_mes]]=BU$53)*(evolution_postes_par_typologie[[postes_prefabriques]:[postes_prefabriques]]))</f>
        <v>38</v>
      </c>
      <c r="BV104" s="21" cm="1">
        <f t="array" ref="BV104">SUMPRODUCT((evolution_postes_par_typologie[[client]:[client]]=syndicat_etude)*(evolution_postes_par_typologie[[annee]:[annee]]=Exercice[[Exercice N]:[Exercice N]])*(evolution_postes_par_typologie[[annee_mes]:[annee_mes]]=BV$53)*(evolution_postes_par_typologie[[postes_prefabriques]:[postes_prefabriques]]))</f>
        <v>28</v>
      </c>
      <c r="BW104" s="21" cm="1">
        <f t="array" ref="BW104">SUMPRODUCT((evolution_postes_par_typologie[[client]:[client]]=syndicat_etude)*(evolution_postes_par_typologie[[annee]:[annee]]=Exercice[[Exercice N]:[Exercice N]])*(evolution_postes_par_typologie[[annee_mes]:[annee_mes]]=BW$53)*(evolution_postes_par_typologie[[postes_prefabriques]:[postes_prefabriques]]))</f>
        <v>32</v>
      </c>
      <c r="BX104" s="21" cm="1">
        <f t="array" ref="BX104">SUMPRODUCT((evolution_postes_par_typologie[[client]:[client]]=syndicat_etude)*(evolution_postes_par_typologie[[annee]:[annee]]=Exercice[[Exercice N]:[Exercice N]])*(evolution_postes_par_typologie[[annee_mes]:[annee_mes]]=BX$53)*(evolution_postes_par_typologie[[postes_prefabriques]:[postes_prefabriques]]))</f>
        <v>33</v>
      </c>
      <c r="BY104" s="21" cm="1">
        <f t="array" ref="BY104">SUMPRODUCT((evolution_postes_par_typologie[[client]:[client]]=syndicat_etude)*(evolution_postes_par_typologie[[annee]:[annee]]=Exercice[[Exercice N]:[Exercice N]])*(evolution_postes_par_typologie[[annee_mes]:[annee_mes]]=BY$53)*(evolution_postes_par_typologie[[postes_prefabriques]:[postes_prefabriques]]))</f>
        <v>35</v>
      </c>
      <c r="BZ104" s="21" cm="1">
        <f t="array" ref="BZ104">SUMPRODUCT((evolution_postes_par_typologie[[client]:[client]]=syndicat_etude)*(evolution_postes_par_typologie[[annee]:[annee]]=Exercice[[Exercice N]:[Exercice N]])*(evolution_postes_par_typologie[[annee_mes]:[annee_mes]]=BZ$53)*(evolution_postes_par_typologie[[postes_prefabriques]:[postes_prefabriques]]))</f>
        <v>27</v>
      </c>
      <c r="CA104" s="21" cm="1">
        <f t="array" ref="CA104">SUMPRODUCT((evolution_postes_par_typologie[[client]:[client]]=syndicat_etude)*(evolution_postes_par_typologie[[annee]:[annee]]=Exercice[[Exercice N]:[Exercice N]])*(evolution_postes_par_typologie[[annee_mes]:[annee_mes]]=CA$53)*(evolution_postes_par_typologie[[postes_prefabriques]:[postes_prefabriques]]))</f>
        <v>32</v>
      </c>
      <c r="CB104" s="21" cm="1">
        <f t="array" ref="CB104">SUMPRODUCT((evolution_postes_par_typologie[[client]:[client]]=syndicat_etude)*(evolution_postes_par_typologie[[annee]:[annee]]=Exercice[[Exercice N]:[Exercice N]])*(evolution_postes_par_typologie[[annee_mes]:[annee_mes]]=CB$53)*(evolution_postes_par_typologie[[postes_prefabriques]:[postes_prefabriques]]))</f>
        <v>42</v>
      </c>
      <c r="CC104" s="432" cm="1">
        <f t="array" ref="CC104">SUMPRODUCT((evolution_postes_par_typologie[[client]:[client]]=syndicat_etude)*(evolution_postes_par_typologie[[annee]:[annee]]=Exercice[[Exercice N]:[Exercice N]])*(evolution_postes_par_typologie[[annee_mes]:[annee_mes]]=CC$53)*(evolution_postes_par_typologie[[postes_prefabriques]:[postes_prefabriques]]))</f>
        <v>61</v>
      </c>
      <c r="CD104" s="405"/>
      <c r="CE104" s="405"/>
      <c r="CF104" s="405"/>
    </row>
    <row r="105" spans="2:84" x14ac:dyDescent="0.25">
      <c r="B105" s="433" t="s">
        <v>1194</v>
      </c>
      <c r="C105" s="434" cm="1">
        <f t="array" ref="C105">SUMPRODUCT((evolution_postes_par_typologie[[client]:[client]]=syndicat_etude)*(evolution_postes_par_typologie[[annee]:[annee]]=Exercice[[Exercice N]:[Exercice N]])*(evolution_postes_par_typologie[[annee_mes]:[annee_mes]]&lt;1946)*(evolution_postes_par_typologie[[postes_autre]:[postes_autre]]))</f>
        <v>0</v>
      </c>
      <c r="D105" s="434" cm="1">
        <f t="array" ref="D105">SUMPRODUCT((evolution_postes_par_typologie[[client]:[client]]=syndicat_etude)*(evolution_postes_par_typologie[[annee]:[annee]]=Exercice[[Exercice N]:[Exercice N]])*(evolution_postes_par_typologie[[annee_mes]:[annee_mes]]=D$53)*(evolution_postes_par_typologie[[postes_autre]:[postes_autre]]))</f>
        <v>0</v>
      </c>
      <c r="E105" s="434" cm="1">
        <f t="array" ref="E105">SUMPRODUCT((evolution_postes_par_typologie[[client]:[client]]=syndicat_etude)*(evolution_postes_par_typologie[[annee]:[annee]]=Exercice[[Exercice N]:[Exercice N]])*(evolution_postes_par_typologie[[annee_mes]:[annee_mes]]=E$53)*(evolution_postes_par_typologie[[postes_autre]:[postes_autre]]))</f>
        <v>0</v>
      </c>
      <c r="F105" s="434" cm="1">
        <f t="array" ref="F105">SUMPRODUCT((evolution_postes_par_typologie[[client]:[client]]=syndicat_etude)*(evolution_postes_par_typologie[[annee]:[annee]]=Exercice[[Exercice N]:[Exercice N]])*(evolution_postes_par_typologie[[annee_mes]:[annee_mes]]=F$53)*(evolution_postes_par_typologie[[postes_autre]:[postes_autre]]))</f>
        <v>0</v>
      </c>
      <c r="G105" s="434" cm="1">
        <f t="array" ref="G105">SUMPRODUCT((evolution_postes_par_typologie[[client]:[client]]=syndicat_etude)*(evolution_postes_par_typologie[[annee]:[annee]]=Exercice[[Exercice N]:[Exercice N]])*(evolution_postes_par_typologie[[annee_mes]:[annee_mes]]=G$53)*(evolution_postes_par_typologie[[postes_autre]:[postes_autre]]))</f>
        <v>0</v>
      </c>
      <c r="H105" s="434" cm="1">
        <f t="array" ref="H105">SUMPRODUCT((evolution_postes_par_typologie[[client]:[client]]=syndicat_etude)*(evolution_postes_par_typologie[[annee]:[annee]]=Exercice[[Exercice N]:[Exercice N]])*(evolution_postes_par_typologie[[annee_mes]:[annee_mes]]=H$53)*(evolution_postes_par_typologie[[postes_autre]:[postes_autre]]))</f>
        <v>0</v>
      </c>
      <c r="I105" s="434" cm="1">
        <f t="array" ref="I105">SUMPRODUCT((evolution_postes_par_typologie[[client]:[client]]=syndicat_etude)*(evolution_postes_par_typologie[[annee]:[annee]]=Exercice[[Exercice N]:[Exercice N]])*(evolution_postes_par_typologie[[annee_mes]:[annee_mes]]=I$53)*(evolution_postes_par_typologie[[postes_autre]:[postes_autre]]))</f>
        <v>0</v>
      </c>
      <c r="J105" s="434" cm="1">
        <f t="array" ref="J105">SUMPRODUCT((evolution_postes_par_typologie[[client]:[client]]=syndicat_etude)*(evolution_postes_par_typologie[[annee]:[annee]]=Exercice[[Exercice N]:[Exercice N]])*(evolution_postes_par_typologie[[annee_mes]:[annee_mes]]=J$53)*(evolution_postes_par_typologie[[postes_autre]:[postes_autre]]))</f>
        <v>0</v>
      </c>
      <c r="K105" s="434" cm="1">
        <f t="array" ref="K105">SUMPRODUCT((evolution_postes_par_typologie[[client]:[client]]=syndicat_etude)*(evolution_postes_par_typologie[[annee]:[annee]]=Exercice[[Exercice N]:[Exercice N]])*(evolution_postes_par_typologie[[annee_mes]:[annee_mes]]=K$53)*(evolution_postes_par_typologie[[postes_autre]:[postes_autre]]))</f>
        <v>0</v>
      </c>
      <c r="L105" s="434" cm="1">
        <f t="array" ref="L105">SUMPRODUCT((evolution_postes_par_typologie[[client]:[client]]=syndicat_etude)*(evolution_postes_par_typologie[[annee]:[annee]]=Exercice[[Exercice N]:[Exercice N]])*(evolution_postes_par_typologie[[annee_mes]:[annee_mes]]=L$53)*(evolution_postes_par_typologie[[postes_autre]:[postes_autre]]))</f>
        <v>0</v>
      </c>
      <c r="M105" s="434" cm="1">
        <f t="array" ref="M105">SUMPRODUCT((evolution_postes_par_typologie[[client]:[client]]=syndicat_etude)*(evolution_postes_par_typologie[[annee]:[annee]]=Exercice[[Exercice N]:[Exercice N]])*(evolution_postes_par_typologie[[annee_mes]:[annee_mes]]=M$53)*(evolution_postes_par_typologie[[postes_autre]:[postes_autre]]))</f>
        <v>0</v>
      </c>
      <c r="N105" s="434" cm="1">
        <f t="array" ref="N105">SUMPRODUCT((evolution_postes_par_typologie[[client]:[client]]=syndicat_etude)*(evolution_postes_par_typologie[[annee]:[annee]]=Exercice[[Exercice N]:[Exercice N]])*(evolution_postes_par_typologie[[annee_mes]:[annee_mes]]=N$53)*(evolution_postes_par_typologie[[postes_autre]:[postes_autre]]))</f>
        <v>0</v>
      </c>
      <c r="O105" s="434" cm="1">
        <f t="array" ref="O105">SUMPRODUCT((evolution_postes_par_typologie[[client]:[client]]=syndicat_etude)*(evolution_postes_par_typologie[[annee]:[annee]]=Exercice[[Exercice N]:[Exercice N]])*(evolution_postes_par_typologie[[annee_mes]:[annee_mes]]=O$53)*(evolution_postes_par_typologie[[postes_autre]:[postes_autre]]))</f>
        <v>0</v>
      </c>
      <c r="P105" s="434" cm="1">
        <f t="array" ref="P105">SUMPRODUCT((evolution_postes_par_typologie[[client]:[client]]=syndicat_etude)*(evolution_postes_par_typologie[[annee]:[annee]]=Exercice[[Exercice N]:[Exercice N]])*(evolution_postes_par_typologie[[annee_mes]:[annee_mes]]=P$53)*(evolution_postes_par_typologie[[postes_autre]:[postes_autre]]))</f>
        <v>0</v>
      </c>
      <c r="Q105" s="434" cm="1">
        <f t="array" ref="Q105">SUMPRODUCT((evolution_postes_par_typologie[[client]:[client]]=syndicat_etude)*(evolution_postes_par_typologie[[annee]:[annee]]=Exercice[[Exercice N]:[Exercice N]])*(evolution_postes_par_typologie[[annee_mes]:[annee_mes]]=Q$53)*(evolution_postes_par_typologie[[postes_autre]:[postes_autre]]))</f>
        <v>0</v>
      </c>
      <c r="R105" s="434" cm="1">
        <f t="array" ref="R105">SUMPRODUCT((evolution_postes_par_typologie[[client]:[client]]=syndicat_etude)*(evolution_postes_par_typologie[[annee]:[annee]]=Exercice[[Exercice N]:[Exercice N]])*(evolution_postes_par_typologie[[annee_mes]:[annee_mes]]=R$53)*(evolution_postes_par_typologie[[postes_autre]:[postes_autre]]))</f>
        <v>0</v>
      </c>
      <c r="S105" s="434" cm="1">
        <f t="array" ref="S105">SUMPRODUCT((evolution_postes_par_typologie[[client]:[client]]=syndicat_etude)*(evolution_postes_par_typologie[[annee]:[annee]]=Exercice[[Exercice N]:[Exercice N]])*(evolution_postes_par_typologie[[annee_mes]:[annee_mes]]=S$53)*(evolution_postes_par_typologie[[postes_autre]:[postes_autre]]))</f>
        <v>0</v>
      </c>
      <c r="T105" s="434" cm="1">
        <f t="array" ref="T105">SUMPRODUCT((evolution_postes_par_typologie[[client]:[client]]=syndicat_etude)*(evolution_postes_par_typologie[[annee]:[annee]]=Exercice[[Exercice N]:[Exercice N]])*(evolution_postes_par_typologie[[annee_mes]:[annee_mes]]=T$53)*(evolution_postes_par_typologie[[postes_autre]:[postes_autre]]))</f>
        <v>0</v>
      </c>
      <c r="U105" s="434" cm="1">
        <f t="array" ref="U105">SUMPRODUCT((evolution_postes_par_typologie[[client]:[client]]=syndicat_etude)*(evolution_postes_par_typologie[[annee]:[annee]]=Exercice[[Exercice N]:[Exercice N]])*(evolution_postes_par_typologie[[annee_mes]:[annee_mes]]=U$53)*(evolution_postes_par_typologie[[postes_autre]:[postes_autre]]))</f>
        <v>0</v>
      </c>
      <c r="V105" s="434" cm="1">
        <f t="array" ref="V105">SUMPRODUCT((evolution_postes_par_typologie[[client]:[client]]=syndicat_etude)*(evolution_postes_par_typologie[[annee]:[annee]]=Exercice[[Exercice N]:[Exercice N]])*(evolution_postes_par_typologie[[annee_mes]:[annee_mes]]=V$53)*(evolution_postes_par_typologie[[postes_autre]:[postes_autre]]))</f>
        <v>0</v>
      </c>
      <c r="W105" s="434" cm="1">
        <f t="array" ref="W105">SUMPRODUCT((evolution_postes_par_typologie[[client]:[client]]=syndicat_etude)*(evolution_postes_par_typologie[[annee]:[annee]]=Exercice[[Exercice N]:[Exercice N]])*(evolution_postes_par_typologie[[annee_mes]:[annee_mes]]=W$53)*(evolution_postes_par_typologie[[postes_autre]:[postes_autre]]))</f>
        <v>0</v>
      </c>
      <c r="X105" s="434" cm="1">
        <f t="array" ref="X105">SUMPRODUCT((evolution_postes_par_typologie[[client]:[client]]=syndicat_etude)*(evolution_postes_par_typologie[[annee]:[annee]]=Exercice[[Exercice N]:[Exercice N]])*(evolution_postes_par_typologie[[annee_mes]:[annee_mes]]=X$53)*(evolution_postes_par_typologie[[postes_autre]:[postes_autre]]))</f>
        <v>0</v>
      </c>
      <c r="Y105" s="434" cm="1">
        <f t="array" ref="Y105">SUMPRODUCT((evolution_postes_par_typologie[[client]:[client]]=syndicat_etude)*(evolution_postes_par_typologie[[annee]:[annee]]=Exercice[[Exercice N]:[Exercice N]])*(evolution_postes_par_typologie[[annee_mes]:[annee_mes]]=Y$53)*(evolution_postes_par_typologie[[postes_autre]:[postes_autre]]))</f>
        <v>0</v>
      </c>
      <c r="Z105" s="434" cm="1">
        <f t="array" ref="Z105">SUMPRODUCT((evolution_postes_par_typologie[[client]:[client]]=syndicat_etude)*(evolution_postes_par_typologie[[annee]:[annee]]=Exercice[[Exercice N]:[Exercice N]])*(evolution_postes_par_typologie[[annee_mes]:[annee_mes]]=Z$53)*(evolution_postes_par_typologie[[postes_autre]:[postes_autre]]))</f>
        <v>0</v>
      </c>
      <c r="AA105" s="434" cm="1">
        <f t="array" ref="AA105">SUMPRODUCT((evolution_postes_par_typologie[[client]:[client]]=syndicat_etude)*(evolution_postes_par_typologie[[annee]:[annee]]=Exercice[[Exercice N]:[Exercice N]])*(evolution_postes_par_typologie[[annee_mes]:[annee_mes]]=AA$53)*(evolution_postes_par_typologie[[postes_autre]:[postes_autre]]))</f>
        <v>0</v>
      </c>
      <c r="AB105" s="434" cm="1">
        <f t="array" ref="AB105">SUMPRODUCT((evolution_postes_par_typologie[[client]:[client]]=syndicat_etude)*(evolution_postes_par_typologie[[annee]:[annee]]=Exercice[[Exercice N]:[Exercice N]])*(evolution_postes_par_typologie[[annee_mes]:[annee_mes]]=AB$53)*(evolution_postes_par_typologie[[postes_autre]:[postes_autre]]))</f>
        <v>0</v>
      </c>
      <c r="AC105" s="434" cm="1">
        <f t="array" ref="AC105">SUMPRODUCT((evolution_postes_par_typologie[[client]:[client]]=syndicat_etude)*(evolution_postes_par_typologie[[annee]:[annee]]=Exercice[[Exercice N]:[Exercice N]])*(evolution_postes_par_typologie[[annee_mes]:[annee_mes]]=AC$53)*(evolution_postes_par_typologie[[postes_autre]:[postes_autre]]))</f>
        <v>0</v>
      </c>
      <c r="AD105" s="434" cm="1">
        <f t="array" ref="AD105">SUMPRODUCT((evolution_postes_par_typologie[[client]:[client]]=syndicat_etude)*(evolution_postes_par_typologie[[annee]:[annee]]=Exercice[[Exercice N]:[Exercice N]])*(evolution_postes_par_typologie[[annee_mes]:[annee_mes]]=AD$53)*(evolution_postes_par_typologie[[postes_autre]:[postes_autre]]))</f>
        <v>0</v>
      </c>
      <c r="AE105" s="434" cm="1">
        <f t="array" ref="AE105">SUMPRODUCT((evolution_postes_par_typologie[[client]:[client]]=syndicat_etude)*(evolution_postes_par_typologie[[annee]:[annee]]=Exercice[[Exercice N]:[Exercice N]])*(evolution_postes_par_typologie[[annee_mes]:[annee_mes]]=AE$53)*(evolution_postes_par_typologie[[postes_autre]:[postes_autre]]))</f>
        <v>0</v>
      </c>
      <c r="AF105" s="434" cm="1">
        <f t="array" ref="AF105">SUMPRODUCT((evolution_postes_par_typologie[[client]:[client]]=syndicat_etude)*(evolution_postes_par_typologie[[annee]:[annee]]=Exercice[[Exercice N]:[Exercice N]])*(evolution_postes_par_typologie[[annee_mes]:[annee_mes]]=AF$53)*(evolution_postes_par_typologie[[postes_autre]:[postes_autre]]))</f>
        <v>0</v>
      </c>
      <c r="AG105" s="434" cm="1">
        <f t="array" ref="AG105">SUMPRODUCT((evolution_postes_par_typologie[[client]:[client]]=syndicat_etude)*(evolution_postes_par_typologie[[annee]:[annee]]=Exercice[[Exercice N]:[Exercice N]])*(evolution_postes_par_typologie[[annee_mes]:[annee_mes]]=AG$53)*(evolution_postes_par_typologie[[postes_autre]:[postes_autre]]))</f>
        <v>0</v>
      </c>
      <c r="AH105" s="434" cm="1">
        <f t="array" ref="AH105">SUMPRODUCT((evolution_postes_par_typologie[[client]:[client]]=syndicat_etude)*(evolution_postes_par_typologie[[annee]:[annee]]=Exercice[[Exercice N]:[Exercice N]])*(evolution_postes_par_typologie[[annee_mes]:[annee_mes]]=AH$53)*(evolution_postes_par_typologie[[postes_autre]:[postes_autre]]))</f>
        <v>0</v>
      </c>
      <c r="AI105" s="434" cm="1">
        <f t="array" ref="AI105">SUMPRODUCT((evolution_postes_par_typologie[[client]:[client]]=syndicat_etude)*(evolution_postes_par_typologie[[annee]:[annee]]=Exercice[[Exercice N]:[Exercice N]])*(evolution_postes_par_typologie[[annee_mes]:[annee_mes]]=AI$53)*(evolution_postes_par_typologie[[postes_autre]:[postes_autre]]))</f>
        <v>0</v>
      </c>
      <c r="AJ105" s="434" cm="1">
        <f t="array" ref="AJ105">SUMPRODUCT((evolution_postes_par_typologie[[client]:[client]]=syndicat_etude)*(evolution_postes_par_typologie[[annee]:[annee]]=Exercice[[Exercice N]:[Exercice N]])*(evolution_postes_par_typologie[[annee_mes]:[annee_mes]]=AJ$53)*(evolution_postes_par_typologie[[postes_autre]:[postes_autre]]))</f>
        <v>0</v>
      </c>
      <c r="AK105" s="434" cm="1">
        <f t="array" ref="AK105">SUMPRODUCT((evolution_postes_par_typologie[[client]:[client]]=syndicat_etude)*(evolution_postes_par_typologie[[annee]:[annee]]=Exercice[[Exercice N]:[Exercice N]])*(evolution_postes_par_typologie[[annee_mes]:[annee_mes]]=AK$53)*(evolution_postes_par_typologie[[postes_autre]:[postes_autre]]))</f>
        <v>0</v>
      </c>
      <c r="AL105" s="434" cm="1">
        <f t="array" ref="AL105">SUMPRODUCT((evolution_postes_par_typologie[[client]:[client]]=syndicat_etude)*(evolution_postes_par_typologie[[annee]:[annee]]=Exercice[[Exercice N]:[Exercice N]])*(evolution_postes_par_typologie[[annee_mes]:[annee_mes]]=AL$53)*(evolution_postes_par_typologie[[postes_autre]:[postes_autre]]))</f>
        <v>0</v>
      </c>
      <c r="AM105" s="434" cm="1">
        <f t="array" ref="AM105">SUMPRODUCT((evolution_postes_par_typologie[[client]:[client]]=syndicat_etude)*(evolution_postes_par_typologie[[annee]:[annee]]=Exercice[[Exercice N]:[Exercice N]])*(evolution_postes_par_typologie[[annee_mes]:[annee_mes]]=AM$53)*(evolution_postes_par_typologie[[postes_autre]:[postes_autre]]))</f>
        <v>0</v>
      </c>
      <c r="AN105" s="434" cm="1">
        <f t="array" ref="AN105">SUMPRODUCT((evolution_postes_par_typologie[[client]:[client]]=syndicat_etude)*(evolution_postes_par_typologie[[annee]:[annee]]=Exercice[[Exercice N]:[Exercice N]])*(evolution_postes_par_typologie[[annee_mes]:[annee_mes]]=AN$53)*(evolution_postes_par_typologie[[postes_autre]:[postes_autre]]))</f>
        <v>0</v>
      </c>
      <c r="AO105" s="434" cm="1">
        <f t="array" ref="AO105">SUMPRODUCT((evolution_postes_par_typologie[[client]:[client]]=syndicat_etude)*(evolution_postes_par_typologie[[annee]:[annee]]=Exercice[[Exercice N]:[Exercice N]])*(evolution_postes_par_typologie[[annee_mes]:[annee_mes]]=AO$53)*(evolution_postes_par_typologie[[postes_autre]:[postes_autre]]))</f>
        <v>0</v>
      </c>
      <c r="AP105" s="434" cm="1">
        <f t="array" ref="AP105">SUMPRODUCT((evolution_postes_par_typologie[[client]:[client]]=syndicat_etude)*(evolution_postes_par_typologie[[annee]:[annee]]=Exercice[[Exercice N]:[Exercice N]])*(evolution_postes_par_typologie[[annee_mes]:[annee_mes]]=AP$53)*(evolution_postes_par_typologie[[postes_autre]:[postes_autre]]))</f>
        <v>0</v>
      </c>
      <c r="AQ105" s="434" cm="1">
        <f t="array" ref="AQ105">SUMPRODUCT((evolution_postes_par_typologie[[client]:[client]]=syndicat_etude)*(evolution_postes_par_typologie[[annee]:[annee]]=Exercice[[Exercice N]:[Exercice N]])*(evolution_postes_par_typologie[[annee_mes]:[annee_mes]]=AQ$53)*(evolution_postes_par_typologie[[postes_autre]:[postes_autre]]))</f>
        <v>0</v>
      </c>
      <c r="AR105" s="434" cm="1">
        <f t="array" ref="AR105">SUMPRODUCT((evolution_postes_par_typologie[[client]:[client]]=syndicat_etude)*(evolution_postes_par_typologie[[annee]:[annee]]=Exercice[[Exercice N]:[Exercice N]])*(evolution_postes_par_typologie[[annee_mes]:[annee_mes]]=AR$53)*(evolution_postes_par_typologie[[postes_autre]:[postes_autre]]))</f>
        <v>0</v>
      </c>
      <c r="AS105" s="434" cm="1">
        <f t="array" ref="AS105">SUMPRODUCT((evolution_postes_par_typologie[[client]:[client]]=syndicat_etude)*(evolution_postes_par_typologie[[annee]:[annee]]=Exercice[[Exercice N]:[Exercice N]])*(evolution_postes_par_typologie[[annee_mes]:[annee_mes]]=AS$53)*(evolution_postes_par_typologie[[postes_autre]:[postes_autre]]))</f>
        <v>0</v>
      </c>
      <c r="AT105" s="434" cm="1">
        <f t="array" ref="AT105">SUMPRODUCT((evolution_postes_par_typologie[[client]:[client]]=syndicat_etude)*(evolution_postes_par_typologie[[annee]:[annee]]=Exercice[[Exercice N]:[Exercice N]])*(evolution_postes_par_typologie[[annee_mes]:[annee_mes]]=AT$53)*(evolution_postes_par_typologie[[postes_autre]:[postes_autre]]))</f>
        <v>0</v>
      </c>
      <c r="AU105" s="434" cm="1">
        <f t="array" ref="AU105">SUMPRODUCT((evolution_postes_par_typologie[[client]:[client]]=syndicat_etude)*(evolution_postes_par_typologie[[annee]:[annee]]=Exercice[[Exercice N]:[Exercice N]])*(evolution_postes_par_typologie[[annee_mes]:[annee_mes]]=AU$53)*(evolution_postes_par_typologie[[postes_autre]:[postes_autre]]))</f>
        <v>0</v>
      </c>
      <c r="AV105" s="434" cm="1">
        <f t="array" ref="AV105">SUMPRODUCT((evolution_postes_par_typologie[[client]:[client]]=syndicat_etude)*(evolution_postes_par_typologie[[annee]:[annee]]=Exercice[[Exercice N]:[Exercice N]])*(evolution_postes_par_typologie[[annee_mes]:[annee_mes]]=AV$53)*(evolution_postes_par_typologie[[postes_autre]:[postes_autre]]))</f>
        <v>0</v>
      </c>
      <c r="AW105" s="434" cm="1">
        <f t="array" ref="AW105">SUMPRODUCT((evolution_postes_par_typologie[[client]:[client]]=syndicat_etude)*(evolution_postes_par_typologie[[annee]:[annee]]=Exercice[[Exercice N]:[Exercice N]])*(evolution_postes_par_typologie[[annee_mes]:[annee_mes]]=AW$53)*(evolution_postes_par_typologie[[postes_autre]:[postes_autre]]))</f>
        <v>0</v>
      </c>
      <c r="AX105" s="434" cm="1">
        <f t="array" ref="AX105">SUMPRODUCT((evolution_postes_par_typologie[[client]:[client]]=syndicat_etude)*(evolution_postes_par_typologie[[annee]:[annee]]=Exercice[[Exercice N]:[Exercice N]])*(evolution_postes_par_typologie[[annee_mes]:[annee_mes]]=AX$53)*(evolution_postes_par_typologie[[postes_autre]:[postes_autre]]))</f>
        <v>0</v>
      </c>
      <c r="AY105" s="434" cm="1">
        <f t="array" ref="AY105">SUMPRODUCT((evolution_postes_par_typologie[[client]:[client]]=syndicat_etude)*(evolution_postes_par_typologie[[annee]:[annee]]=Exercice[[Exercice N]:[Exercice N]])*(evolution_postes_par_typologie[[annee_mes]:[annee_mes]]=AY$53)*(evolution_postes_par_typologie[[postes_autre]:[postes_autre]]))</f>
        <v>0</v>
      </c>
      <c r="AZ105" s="434" cm="1">
        <f t="array" ref="AZ105">SUMPRODUCT((evolution_postes_par_typologie[[client]:[client]]=syndicat_etude)*(evolution_postes_par_typologie[[annee]:[annee]]=Exercice[[Exercice N]:[Exercice N]])*(evolution_postes_par_typologie[[annee_mes]:[annee_mes]]=AZ$53)*(evolution_postes_par_typologie[[postes_autre]:[postes_autre]]))</f>
        <v>0</v>
      </c>
      <c r="BA105" s="434" cm="1">
        <f t="array" ref="BA105">SUMPRODUCT((evolution_postes_par_typologie[[client]:[client]]=syndicat_etude)*(evolution_postes_par_typologie[[annee]:[annee]]=Exercice[[Exercice N]:[Exercice N]])*(evolution_postes_par_typologie[[annee_mes]:[annee_mes]]=BA$53)*(evolution_postes_par_typologie[[postes_autre]:[postes_autre]]))</f>
        <v>0</v>
      </c>
      <c r="BB105" s="434" cm="1">
        <f t="array" ref="BB105">SUMPRODUCT((evolution_postes_par_typologie[[client]:[client]]=syndicat_etude)*(evolution_postes_par_typologie[[annee]:[annee]]=Exercice[[Exercice N]:[Exercice N]])*(evolution_postes_par_typologie[[annee_mes]:[annee_mes]]=BB$53)*(evolution_postes_par_typologie[[postes_autre]:[postes_autre]]))</f>
        <v>0</v>
      </c>
      <c r="BC105" s="434" cm="1">
        <f t="array" ref="BC105">SUMPRODUCT((evolution_postes_par_typologie[[client]:[client]]=syndicat_etude)*(evolution_postes_par_typologie[[annee]:[annee]]=Exercice[[Exercice N]:[Exercice N]])*(evolution_postes_par_typologie[[annee_mes]:[annee_mes]]=BC$53)*(evolution_postes_par_typologie[[postes_autre]:[postes_autre]]))</f>
        <v>0</v>
      </c>
      <c r="BD105" s="434" cm="1">
        <f t="array" ref="BD105">SUMPRODUCT((evolution_postes_par_typologie[[client]:[client]]=syndicat_etude)*(evolution_postes_par_typologie[[annee]:[annee]]=Exercice[[Exercice N]:[Exercice N]])*(evolution_postes_par_typologie[[annee_mes]:[annee_mes]]=BD$53)*(evolution_postes_par_typologie[[postes_autre]:[postes_autre]]))</f>
        <v>0</v>
      </c>
      <c r="BE105" s="434" cm="1">
        <f t="array" ref="BE105">SUMPRODUCT((evolution_postes_par_typologie[[client]:[client]]=syndicat_etude)*(evolution_postes_par_typologie[[annee]:[annee]]=Exercice[[Exercice N]:[Exercice N]])*(evolution_postes_par_typologie[[annee_mes]:[annee_mes]]=BE$53)*(evolution_postes_par_typologie[[postes_autre]:[postes_autre]]))</f>
        <v>0</v>
      </c>
      <c r="BF105" s="434" cm="1">
        <f t="array" ref="BF105">SUMPRODUCT((evolution_postes_par_typologie[[client]:[client]]=syndicat_etude)*(evolution_postes_par_typologie[[annee]:[annee]]=Exercice[[Exercice N]:[Exercice N]])*(evolution_postes_par_typologie[[annee_mes]:[annee_mes]]=BF$53)*(evolution_postes_par_typologie[[postes_autre]:[postes_autre]]))</f>
        <v>0</v>
      </c>
      <c r="BG105" s="434" cm="1">
        <f t="array" ref="BG105">SUMPRODUCT((evolution_postes_par_typologie[[client]:[client]]=syndicat_etude)*(evolution_postes_par_typologie[[annee]:[annee]]=Exercice[[Exercice N]:[Exercice N]])*(evolution_postes_par_typologie[[annee_mes]:[annee_mes]]=BG$53)*(evolution_postes_par_typologie[[postes_autre]:[postes_autre]]))</f>
        <v>0</v>
      </c>
      <c r="BH105" s="434" cm="1">
        <f t="array" ref="BH105">SUMPRODUCT((evolution_postes_par_typologie[[client]:[client]]=syndicat_etude)*(evolution_postes_par_typologie[[annee]:[annee]]=Exercice[[Exercice N]:[Exercice N]])*(evolution_postes_par_typologie[[annee_mes]:[annee_mes]]=BH$53)*(evolution_postes_par_typologie[[postes_autre]:[postes_autre]]))</f>
        <v>0</v>
      </c>
      <c r="BI105" s="434" cm="1">
        <f t="array" ref="BI105">SUMPRODUCT((evolution_postes_par_typologie[[client]:[client]]=syndicat_etude)*(evolution_postes_par_typologie[[annee]:[annee]]=Exercice[[Exercice N]:[Exercice N]])*(evolution_postes_par_typologie[[annee_mes]:[annee_mes]]=BI$53)*(evolution_postes_par_typologie[[postes_autre]:[postes_autre]]))</f>
        <v>0</v>
      </c>
      <c r="BJ105" s="434" cm="1">
        <f t="array" ref="BJ105">SUMPRODUCT((evolution_postes_par_typologie[[client]:[client]]=syndicat_etude)*(evolution_postes_par_typologie[[annee]:[annee]]=Exercice[[Exercice N]:[Exercice N]])*(evolution_postes_par_typologie[[annee_mes]:[annee_mes]]=BJ$53)*(evolution_postes_par_typologie[[postes_autre]:[postes_autre]]))</f>
        <v>0</v>
      </c>
      <c r="BK105" s="434" cm="1">
        <f t="array" ref="BK105">SUMPRODUCT((evolution_postes_par_typologie[[client]:[client]]=syndicat_etude)*(evolution_postes_par_typologie[[annee]:[annee]]=Exercice[[Exercice N]:[Exercice N]])*(evolution_postes_par_typologie[[annee_mes]:[annee_mes]]=BK$53)*(evolution_postes_par_typologie[[postes_autre]:[postes_autre]]))</f>
        <v>0</v>
      </c>
      <c r="BL105" s="434" cm="1">
        <f t="array" ref="BL105">SUMPRODUCT((evolution_postes_par_typologie[[client]:[client]]=syndicat_etude)*(evolution_postes_par_typologie[[annee]:[annee]]=Exercice[[Exercice N]:[Exercice N]])*(evolution_postes_par_typologie[[annee_mes]:[annee_mes]]=BL$53)*(evolution_postes_par_typologie[[postes_autre]:[postes_autre]]))</f>
        <v>0</v>
      </c>
      <c r="BM105" s="434" cm="1">
        <f t="array" ref="BM105">SUMPRODUCT((evolution_postes_par_typologie[[client]:[client]]=syndicat_etude)*(evolution_postes_par_typologie[[annee]:[annee]]=Exercice[[Exercice N]:[Exercice N]])*(evolution_postes_par_typologie[[annee_mes]:[annee_mes]]=BM$53)*(evolution_postes_par_typologie[[postes_autre]:[postes_autre]]))</f>
        <v>0</v>
      </c>
      <c r="BN105" s="434" cm="1">
        <f t="array" ref="BN105">SUMPRODUCT((evolution_postes_par_typologie[[client]:[client]]=syndicat_etude)*(evolution_postes_par_typologie[[annee]:[annee]]=Exercice[[Exercice N]:[Exercice N]])*(evolution_postes_par_typologie[[annee_mes]:[annee_mes]]=BN$53)*(evolution_postes_par_typologie[[postes_autre]:[postes_autre]]))</f>
        <v>0</v>
      </c>
      <c r="BO105" s="434" cm="1">
        <f t="array" ref="BO105">SUMPRODUCT((evolution_postes_par_typologie[[client]:[client]]=syndicat_etude)*(evolution_postes_par_typologie[[annee]:[annee]]=Exercice[[Exercice N]:[Exercice N]])*(evolution_postes_par_typologie[[annee_mes]:[annee_mes]]=BO$53)*(evolution_postes_par_typologie[[postes_autre]:[postes_autre]]))</f>
        <v>0</v>
      </c>
      <c r="BP105" s="434" cm="1">
        <f t="array" ref="BP105">SUMPRODUCT((evolution_postes_par_typologie[[client]:[client]]=syndicat_etude)*(evolution_postes_par_typologie[[annee]:[annee]]=Exercice[[Exercice N]:[Exercice N]])*(evolution_postes_par_typologie[[annee_mes]:[annee_mes]]=BP$53)*(evolution_postes_par_typologie[[postes_autre]:[postes_autre]]))</f>
        <v>0</v>
      </c>
      <c r="BQ105" s="434" cm="1">
        <f t="array" ref="BQ105">SUMPRODUCT((evolution_postes_par_typologie[[client]:[client]]=syndicat_etude)*(evolution_postes_par_typologie[[annee]:[annee]]=Exercice[[Exercice N]:[Exercice N]])*(evolution_postes_par_typologie[[annee_mes]:[annee_mes]]=BQ$53)*(evolution_postes_par_typologie[[postes_autre]:[postes_autre]]))</f>
        <v>0</v>
      </c>
      <c r="BR105" s="434" cm="1">
        <f t="array" ref="BR105">SUMPRODUCT((evolution_postes_par_typologie[[client]:[client]]=syndicat_etude)*(evolution_postes_par_typologie[[annee]:[annee]]=Exercice[[Exercice N]:[Exercice N]])*(evolution_postes_par_typologie[[annee_mes]:[annee_mes]]=BR$53)*(evolution_postes_par_typologie[[postes_autre]:[postes_autre]]))</f>
        <v>0</v>
      </c>
      <c r="BS105" s="434" cm="1">
        <f t="array" ref="BS105">SUMPRODUCT((evolution_postes_par_typologie[[client]:[client]]=syndicat_etude)*(evolution_postes_par_typologie[[annee]:[annee]]=Exercice[[Exercice N]:[Exercice N]])*(evolution_postes_par_typologie[[annee_mes]:[annee_mes]]=BS$53)*(evolution_postes_par_typologie[[postes_autre]:[postes_autre]]))</f>
        <v>0</v>
      </c>
      <c r="BT105" s="434" cm="1">
        <f t="array" ref="BT105">SUMPRODUCT((evolution_postes_par_typologie[[client]:[client]]=syndicat_etude)*(evolution_postes_par_typologie[[annee]:[annee]]=Exercice[[Exercice N]:[Exercice N]])*(evolution_postes_par_typologie[[annee_mes]:[annee_mes]]=BT$53)*(evolution_postes_par_typologie[[postes_autre]:[postes_autre]]))</f>
        <v>0</v>
      </c>
      <c r="BU105" s="434" cm="1">
        <f t="array" ref="BU105">SUMPRODUCT((evolution_postes_par_typologie[[client]:[client]]=syndicat_etude)*(evolution_postes_par_typologie[[annee]:[annee]]=Exercice[[Exercice N]:[Exercice N]])*(evolution_postes_par_typologie[[annee_mes]:[annee_mes]]=BU$53)*(evolution_postes_par_typologie[[postes_autre]:[postes_autre]]))</f>
        <v>0</v>
      </c>
      <c r="BV105" s="434" cm="1">
        <f t="array" ref="BV105">SUMPRODUCT((evolution_postes_par_typologie[[client]:[client]]=syndicat_etude)*(evolution_postes_par_typologie[[annee]:[annee]]=Exercice[[Exercice N]:[Exercice N]])*(evolution_postes_par_typologie[[annee_mes]:[annee_mes]]=BV$53)*(evolution_postes_par_typologie[[postes_autre]:[postes_autre]]))</f>
        <v>0</v>
      </c>
      <c r="BW105" s="434" cm="1">
        <f t="array" ref="BW105">SUMPRODUCT((evolution_postes_par_typologie[[client]:[client]]=syndicat_etude)*(evolution_postes_par_typologie[[annee]:[annee]]=Exercice[[Exercice N]:[Exercice N]])*(evolution_postes_par_typologie[[annee_mes]:[annee_mes]]=BW$53)*(evolution_postes_par_typologie[[postes_autre]:[postes_autre]]))</f>
        <v>0</v>
      </c>
      <c r="BX105" s="434" cm="1">
        <f t="array" ref="BX105">SUMPRODUCT((evolution_postes_par_typologie[[client]:[client]]=syndicat_etude)*(evolution_postes_par_typologie[[annee]:[annee]]=Exercice[[Exercice N]:[Exercice N]])*(evolution_postes_par_typologie[[annee_mes]:[annee_mes]]=BX$53)*(evolution_postes_par_typologie[[postes_autre]:[postes_autre]]))</f>
        <v>0</v>
      </c>
      <c r="BY105" s="434" cm="1">
        <f t="array" ref="BY105">SUMPRODUCT((evolution_postes_par_typologie[[client]:[client]]=syndicat_etude)*(evolution_postes_par_typologie[[annee]:[annee]]=Exercice[[Exercice N]:[Exercice N]])*(evolution_postes_par_typologie[[annee_mes]:[annee_mes]]=BY$53)*(evolution_postes_par_typologie[[postes_autre]:[postes_autre]]))</f>
        <v>0</v>
      </c>
      <c r="BZ105" s="434" cm="1">
        <f t="array" ref="BZ105">SUMPRODUCT((evolution_postes_par_typologie[[client]:[client]]=syndicat_etude)*(evolution_postes_par_typologie[[annee]:[annee]]=Exercice[[Exercice N]:[Exercice N]])*(evolution_postes_par_typologie[[annee_mes]:[annee_mes]]=BZ$53)*(evolution_postes_par_typologie[[postes_autre]:[postes_autre]]))</f>
        <v>0</v>
      </c>
      <c r="CA105" s="434" cm="1">
        <f t="array" ref="CA105">SUMPRODUCT((evolution_postes_par_typologie[[client]:[client]]=syndicat_etude)*(evolution_postes_par_typologie[[annee]:[annee]]=Exercice[[Exercice N]:[Exercice N]])*(evolution_postes_par_typologie[[annee_mes]:[annee_mes]]=CA$53)*(evolution_postes_par_typologie[[postes_autre]:[postes_autre]]))</f>
        <v>0</v>
      </c>
      <c r="CB105" s="434" cm="1">
        <f t="array" ref="CB105">SUMPRODUCT((evolution_postes_par_typologie[[client]:[client]]=syndicat_etude)*(evolution_postes_par_typologie[[annee]:[annee]]=Exercice[[Exercice N]:[Exercice N]])*(evolution_postes_par_typologie[[annee_mes]:[annee_mes]]=CB$53)*(evolution_postes_par_typologie[[postes_autre]:[postes_autre]]))</f>
        <v>0</v>
      </c>
      <c r="CC105" s="435" cm="1">
        <f t="array" ref="CC105">SUMPRODUCT((evolution_postes_par_typologie[[client]:[client]]=syndicat_etude)*(evolution_postes_par_typologie[[annee]:[annee]]=Exercice[[Exercice N]:[Exercice N]])*(evolution_postes_par_typologie[[annee_mes]:[annee_mes]]=CC$53)*(evolution_postes_par_typologie[[postes_autre]:[postes_autre]]))</f>
        <v>0</v>
      </c>
      <c r="CD105" s="405"/>
      <c r="CE105" s="405"/>
      <c r="CF105" s="405"/>
    </row>
    <row r="124" spans="2:84" ht="30" customHeight="1" x14ac:dyDescent="0.25">
      <c r="B124" s="423" t="s">
        <v>1195</v>
      </c>
      <c r="C124" s="424" t="s">
        <v>1179</v>
      </c>
      <c r="D124" s="424">
        <v>1946</v>
      </c>
      <c r="E124" s="424">
        <v>1947</v>
      </c>
      <c r="F124" s="424">
        <v>1948</v>
      </c>
      <c r="G124" s="424">
        <v>1949</v>
      </c>
      <c r="H124" s="424">
        <v>1950</v>
      </c>
      <c r="I124" s="424">
        <v>1951</v>
      </c>
      <c r="J124" s="424">
        <v>1952</v>
      </c>
      <c r="K124" s="424">
        <v>1953</v>
      </c>
      <c r="L124" s="424">
        <v>1954</v>
      </c>
      <c r="M124" s="424">
        <v>1955</v>
      </c>
      <c r="N124" s="424">
        <v>1956</v>
      </c>
      <c r="O124" s="424">
        <v>1957</v>
      </c>
      <c r="P124" s="424">
        <v>1958</v>
      </c>
      <c r="Q124" s="424">
        <v>1959</v>
      </c>
      <c r="R124" s="424">
        <v>1960</v>
      </c>
      <c r="S124" s="424">
        <v>1961</v>
      </c>
      <c r="T124" s="424">
        <v>1962</v>
      </c>
      <c r="U124" s="424">
        <v>1963</v>
      </c>
      <c r="V124" s="424">
        <v>1964</v>
      </c>
      <c r="W124" s="424">
        <v>1965</v>
      </c>
      <c r="X124" s="424">
        <v>1966</v>
      </c>
      <c r="Y124" s="424">
        <v>1967</v>
      </c>
      <c r="Z124" s="424">
        <v>1968</v>
      </c>
      <c r="AA124" s="424">
        <v>1969</v>
      </c>
      <c r="AB124" s="424">
        <v>1970</v>
      </c>
      <c r="AC124" s="424">
        <v>1971</v>
      </c>
      <c r="AD124" s="424">
        <v>1972</v>
      </c>
      <c r="AE124" s="424">
        <v>1973</v>
      </c>
      <c r="AF124" s="424">
        <v>1974</v>
      </c>
      <c r="AG124" s="424">
        <v>1975</v>
      </c>
      <c r="AH124" s="424">
        <v>1976</v>
      </c>
      <c r="AI124" s="424">
        <v>1977</v>
      </c>
      <c r="AJ124" s="424">
        <v>1978</v>
      </c>
      <c r="AK124" s="424">
        <v>1979</v>
      </c>
      <c r="AL124" s="424">
        <v>1980</v>
      </c>
      <c r="AM124" s="424">
        <v>1981</v>
      </c>
      <c r="AN124" s="424">
        <v>1982</v>
      </c>
      <c r="AO124" s="424">
        <v>1983</v>
      </c>
      <c r="AP124" s="424">
        <v>1984</v>
      </c>
      <c r="AQ124" s="424">
        <v>1985</v>
      </c>
      <c r="AR124" s="424">
        <v>1986</v>
      </c>
      <c r="AS124" s="424">
        <v>1987</v>
      </c>
      <c r="AT124" s="424">
        <v>1988</v>
      </c>
      <c r="AU124" s="424">
        <v>1989</v>
      </c>
      <c r="AV124" s="424">
        <v>1990</v>
      </c>
      <c r="AW124" s="424">
        <v>1991</v>
      </c>
      <c r="AX124" s="424">
        <v>1992</v>
      </c>
      <c r="AY124" s="424">
        <v>1993</v>
      </c>
      <c r="AZ124" s="424">
        <v>1994</v>
      </c>
      <c r="BA124" s="424">
        <v>1995</v>
      </c>
      <c r="BB124" s="424">
        <v>1996</v>
      </c>
      <c r="BC124" s="424">
        <v>1997</v>
      </c>
      <c r="BD124" s="424">
        <v>1998</v>
      </c>
      <c r="BE124" s="424">
        <v>1999</v>
      </c>
      <c r="BF124" s="424">
        <v>2000</v>
      </c>
      <c r="BG124" s="424">
        <v>2001</v>
      </c>
      <c r="BH124" s="424">
        <v>2002</v>
      </c>
      <c r="BI124" s="424">
        <v>2003</v>
      </c>
      <c r="BJ124" s="424">
        <v>2004</v>
      </c>
      <c r="BK124" s="424">
        <v>2005</v>
      </c>
      <c r="BL124" s="424">
        <v>2006</v>
      </c>
      <c r="BM124" s="424">
        <v>2007</v>
      </c>
      <c r="BN124" s="424">
        <v>2008</v>
      </c>
      <c r="BO124" s="424">
        <v>2009</v>
      </c>
      <c r="BP124" s="424">
        <v>2010</v>
      </c>
      <c r="BQ124" s="424">
        <v>2011</v>
      </c>
      <c r="BR124" s="424">
        <v>2012</v>
      </c>
      <c r="BS124" s="424">
        <v>2013</v>
      </c>
      <c r="BT124" s="424">
        <v>2014</v>
      </c>
      <c r="BU124" s="424">
        <v>2015</v>
      </c>
      <c r="BV124" s="424">
        <v>2016</v>
      </c>
      <c r="BW124" s="424">
        <v>2017</v>
      </c>
      <c r="BX124" s="424">
        <v>2018</v>
      </c>
      <c r="BY124" s="424">
        <v>2019</v>
      </c>
      <c r="BZ124" s="424">
        <v>2020</v>
      </c>
      <c r="CA124" s="424">
        <v>2021</v>
      </c>
      <c r="CB124" s="424">
        <v>2022</v>
      </c>
      <c r="CC124" s="425">
        <v>2023</v>
      </c>
      <c r="CD124" s="399"/>
      <c r="CE124" s="399"/>
      <c r="CF124" s="399"/>
    </row>
    <row r="125" spans="2:84" x14ac:dyDescent="0.25">
      <c r="B125" s="433" t="s">
        <v>1196</v>
      </c>
      <c r="C125" s="434" cm="1">
        <f t="array" ref="C125">SUMPRODUCT((evolution_transfos[[client]:[client]]=syndicat_etude)*(evolution_transfos[[annee]:[annee]]=Exercice[[Exercice N]:[Exercice N]])*(evolution_transfos[[annee_mes]:[annee_mes]]&lt;1946)*(evolution_transfos[[nbr_transfos]:[nbr_transfos]]))</f>
        <v>0</v>
      </c>
      <c r="D125" s="434" cm="1">
        <f t="array" ref="D125">SUMPRODUCT((evolution_transfos[[client]:[client]]=syndicat_etude)*(evolution_transfos[[annee]:[annee]]=Exercice[[Exercice N]:[Exercice N]])*(evolution_transfos[[annee_mes]:[annee_mes]]=D$53)*(evolution_transfos[[nbr_transfos]:[nbr_transfos]]))</f>
        <v>0</v>
      </c>
      <c r="E125" s="434" cm="1">
        <f t="array" ref="E125">SUMPRODUCT((evolution_transfos[[client]:[client]]=syndicat_etude)*(evolution_transfos[[annee]:[annee]]=Exercice[[Exercice N]:[Exercice N]])*(evolution_transfos[[annee_mes]:[annee_mes]]=E$53)*(evolution_transfos[[nbr_transfos]:[nbr_transfos]]))</f>
        <v>0</v>
      </c>
      <c r="F125" s="434" cm="1">
        <f t="array" ref="F125">SUMPRODUCT((evolution_transfos[[client]:[client]]=syndicat_etude)*(evolution_transfos[[annee]:[annee]]=Exercice[[Exercice N]:[Exercice N]])*(evolution_transfos[[annee_mes]:[annee_mes]]=F$53)*(evolution_transfos[[nbr_transfos]:[nbr_transfos]]))</f>
        <v>0</v>
      </c>
      <c r="G125" s="434" cm="1">
        <f t="array" ref="G125">SUMPRODUCT((evolution_transfos[[client]:[client]]=syndicat_etude)*(evolution_transfos[[annee]:[annee]]=Exercice[[Exercice N]:[Exercice N]])*(evolution_transfos[[annee_mes]:[annee_mes]]=G$53)*(evolution_transfos[[nbr_transfos]:[nbr_transfos]]))</f>
        <v>0</v>
      </c>
      <c r="H125" s="434" cm="1">
        <f t="array" ref="H125">SUMPRODUCT((evolution_transfos[[client]:[client]]=syndicat_etude)*(evolution_transfos[[annee]:[annee]]=Exercice[[Exercice N]:[Exercice N]])*(evolution_transfos[[annee_mes]:[annee_mes]]=H$53)*(evolution_transfos[[nbr_transfos]:[nbr_transfos]]))</f>
        <v>0</v>
      </c>
      <c r="I125" s="434" cm="1">
        <f t="array" ref="I125">SUMPRODUCT((evolution_transfos[[client]:[client]]=syndicat_etude)*(evolution_transfos[[annee]:[annee]]=Exercice[[Exercice N]:[Exercice N]])*(evolution_transfos[[annee_mes]:[annee_mes]]=I$53)*(evolution_transfos[[nbr_transfos]:[nbr_transfos]]))</f>
        <v>0</v>
      </c>
      <c r="J125" s="434" cm="1">
        <f t="array" ref="J125">SUMPRODUCT((evolution_transfos[[client]:[client]]=syndicat_etude)*(evolution_transfos[[annee]:[annee]]=Exercice[[Exercice N]:[Exercice N]])*(evolution_transfos[[annee_mes]:[annee_mes]]=J$53)*(evolution_transfos[[nbr_transfos]:[nbr_transfos]]))</f>
        <v>0</v>
      </c>
      <c r="K125" s="434" cm="1">
        <f t="array" ref="K125">SUMPRODUCT((evolution_transfos[[client]:[client]]=syndicat_etude)*(evolution_transfos[[annee]:[annee]]=Exercice[[Exercice N]:[Exercice N]])*(evolution_transfos[[annee_mes]:[annee_mes]]=K$53)*(evolution_transfos[[nbr_transfos]:[nbr_transfos]]))</f>
        <v>0</v>
      </c>
      <c r="L125" s="434" cm="1">
        <f t="array" ref="L125">SUMPRODUCT((evolution_transfos[[client]:[client]]=syndicat_etude)*(evolution_transfos[[annee]:[annee]]=Exercice[[Exercice N]:[Exercice N]])*(evolution_transfos[[annee_mes]:[annee_mes]]=L$53)*(evolution_transfos[[nbr_transfos]:[nbr_transfos]]))</f>
        <v>0</v>
      </c>
      <c r="M125" s="434" cm="1">
        <f t="array" ref="M125">SUMPRODUCT((evolution_transfos[[client]:[client]]=syndicat_etude)*(evolution_transfos[[annee]:[annee]]=Exercice[[Exercice N]:[Exercice N]])*(evolution_transfos[[annee_mes]:[annee_mes]]=M$53)*(evolution_transfos[[nbr_transfos]:[nbr_transfos]]))</f>
        <v>0</v>
      </c>
      <c r="N125" s="434" cm="1">
        <f t="array" ref="N125">SUMPRODUCT((evolution_transfos[[client]:[client]]=syndicat_etude)*(evolution_transfos[[annee]:[annee]]=Exercice[[Exercice N]:[Exercice N]])*(evolution_transfos[[annee_mes]:[annee_mes]]=N$53)*(evolution_transfos[[nbr_transfos]:[nbr_transfos]]))</f>
        <v>0</v>
      </c>
      <c r="O125" s="434" cm="1">
        <f t="array" ref="O125">SUMPRODUCT((evolution_transfos[[client]:[client]]=syndicat_etude)*(evolution_transfos[[annee]:[annee]]=Exercice[[Exercice N]:[Exercice N]])*(evolution_transfos[[annee_mes]:[annee_mes]]=O$53)*(evolution_transfos[[nbr_transfos]:[nbr_transfos]]))</f>
        <v>0</v>
      </c>
      <c r="P125" s="434" cm="1">
        <f t="array" ref="P125">SUMPRODUCT((evolution_transfos[[client]:[client]]=syndicat_etude)*(evolution_transfos[[annee]:[annee]]=Exercice[[Exercice N]:[Exercice N]])*(evolution_transfos[[annee_mes]:[annee_mes]]=P$53)*(evolution_transfos[[nbr_transfos]:[nbr_transfos]]))</f>
        <v>0</v>
      </c>
      <c r="Q125" s="434" cm="1">
        <f t="array" ref="Q125">SUMPRODUCT((evolution_transfos[[client]:[client]]=syndicat_etude)*(evolution_transfos[[annee]:[annee]]=Exercice[[Exercice N]:[Exercice N]])*(evolution_transfos[[annee_mes]:[annee_mes]]=Q$53)*(evolution_transfos[[nbr_transfos]:[nbr_transfos]]))</f>
        <v>0</v>
      </c>
      <c r="R125" s="434" cm="1">
        <f t="array" ref="R125">SUMPRODUCT((evolution_transfos[[client]:[client]]=syndicat_etude)*(evolution_transfos[[annee]:[annee]]=Exercice[[Exercice N]:[Exercice N]])*(evolution_transfos[[annee_mes]:[annee_mes]]=R$53)*(evolution_transfos[[nbr_transfos]:[nbr_transfos]]))</f>
        <v>0</v>
      </c>
      <c r="S125" s="434" cm="1">
        <f t="array" ref="S125">SUMPRODUCT((evolution_transfos[[client]:[client]]=syndicat_etude)*(evolution_transfos[[annee]:[annee]]=Exercice[[Exercice N]:[Exercice N]])*(evolution_transfos[[annee_mes]:[annee_mes]]=S$53)*(evolution_transfos[[nbr_transfos]:[nbr_transfos]]))</f>
        <v>0</v>
      </c>
      <c r="T125" s="434" cm="1">
        <f t="array" ref="T125">SUMPRODUCT((evolution_transfos[[client]:[client]]=syndicat_etude)*(evolution_transfos[[annee]:[annee]]=Exercice[[Exercice N]:[Exercice N]])*(evolution_transfos[[annee_mes]:[annee_mes]]=T$53)*(evolution_transfos[[nbr_transfos]:[nbr_transfos]]))</f>
        <v>0</v>
      </c>
      <c r="U125" s="434" cm="1">
        <f t="array" ref="U125">SUMPRODUCT((evolution_transfos[[client]:[client]]=syndicat_etude)*(evolution_transfos[[annee]:[annee]]=Exercice[[Exercice N]:[Exercice N]])*(evolution_transfos[[annee_mes]:[annee_mes]]=U$53)*(evolution_transfos[[nbr_transfos]:[nbr_transfos]]))</f>
        <v>0</v>
      </c>
      <c r="V125" s="434" cm="1">
        <f t="array" ref="V125">SUMPRODUCT((evolution_transfos[[client]:[client]]=syndicat_etude)*(evolution_transfos[[annee]:[annee]]=Exercice[[Exercice N]:[Exercice N]])*(evolution_transfos[[annee_mes]:[annee_mes]]=V$53)*(evolution_transfos[[nbr_transfos]:[nbr_transfos]]))</f>
        <v>1</v>
      </c>
      <c r="W125" s="434" cm="1">
        <f t="array" ref="W125">SUMPRODUCT((evolution_transfos[[client]:[client]]=syndicat_etude)*(evolution_transfos[[annee]:[annee]]=Exercice[[Exercice N]:[Exercice N]])*(evolution_transfos[[annee_mes]:[annee_mes]]=W$53)*(evolution_transfos[[nbr_transfos]:[nbr_transfos]]))</f>
        <v>0</v>
      </c>
      <c r="X125" s="434" cm="1">
        <f t="array" ref="X125">SUMPRODUCT((evolution_transfos[[client]:[client]]=syndicat_etude)*(evolution_transfos[[annee]:[annee]]=Exercice[[Exercice N]:[Exercice N]])*(evolution_transfos[[annee_mes]:[annee_mes]]=X$53)*(evolution_transfos[[nbr_transfos]:[nbr_transfos]]))</f>
        <v>0</v>
      </c>
      <c r="Y125" s="434" cm="1">
        <f t="array" ref="Y125">SUMPRODUCT((evolution_transfos[[client]:[client]]=syndicat_etude)*(evolution_transfos[[annee]:[annee]]=Exercice[[Exercice N]:[Exercice N]])*(evolution_transfos[[annee_mes]:[annee_mes]]=Y$53)*(evolution_transfos[[nbr_transfos]:[nbr_transfos]]))</f>
        <v>2</v>
      </c>
      <c r="Z125" s="434" cm="1">
        <f t="array" ref="Z125">SUMPRODUCT((evolution_transfos[[client]:[client]]=syndicat_etude)*(evolution_transfos[[annee]:[annee]]=Exercice[[Exercice N]:[Exercice N]])*(evolution_transfos[[annee_mes]:[annee_mes]]=Z$53)*(evolution_transfos[[nbr_transfos]:[nbr_transfos]]))</f>
        <v>0</v>
      </c>
      <c r="AA125" s="434" cm="1">
        <f t="array" ref="AA125">SUMPRODUCT((evolution_transfos[[client]:[client]]=syndicat_etude)*(evolution_transfos[[annee]:[annee]]=Exercice[[Exercice N]:[Exercice N]])*(evolution_transfos[[annee_mes]:[annee_mes]]=AA$53)*(evolution_transfos[[nbr_transfos]:[nbr_transfos]]))</f>
        <v>0</v>
      </c>
      <c r="AB125" s="434" cm="1">
        <f t="array" ref="AB125">SUMPRODUCT((evolution_transfos[[client]:[client]]=syndicat_etude)*(evolution_transfos[[annee]:[annee]]=Exercice[[Exercice N]:[Exercice N]])*(evolution_transfos[[annee_mes]:[annee_mes]]=AB$53)*(evolution_transfos[[nbr_transfos]:[nbr_transfos]]))</f>
        <v>1</v>
      </c>
      <c r="AC125" s="434" cm="1">
        <f t="array" ref="AC125">SUMPRODUCT((evolution_transfos[[client]:[client]]=syndicat_etude)*(evolution_transfos[[annee]:[annee]]=Exercice[[Exercice N]:[Exercice N]])*(evolution_transfos[[annee_mes]:[annee_mes]]=AC$53)*(evolution_transfos[[nbr_transfos]:[nbr_transfos]]))</f>
        <v>0</v>
      </c>
      <c r="AD125" s="434" cm="1">
        <f t="array" ref="AD125">SUMPRODUCT((evolution_transfos[[client]:[client]]=syndicat_etude)*(evolution_transfos[[annee]:[annee]]=Exercice[[Exercice N]:[Exercice N]])*(evolution_transfos[[annee_mes]:[annee_mes]]=AD$53)*(evolution_transfos[[nbr_transfos]:[nbr_transfos]]))</f>
        <v>1</v>
      </c>
      <c r="AE125" s="434" cm="1">
        <f t="array" ref="AE125">SUMPRODUCT((evolution_transfos[[client]:[client]]=syndicat_etude)*(evolution_transfos[[annee]:[annee]]=Exercice[[Exercice N]:[Exercice N]])*(evolution_transfos[[annee_mes]:[annee_mes]]=AE$53)*(evolution_transfos[[nbr_transfos]:[nbr_transfos]]))</f>
        <v>0</v>
      </c>
      <c r="AF125" s="434" cm="1">
        <f t="array" ref="AF125">SUMPRODUCT((evolution_transfos[[client]:[client]]=syndicat_etude)*(evolution_transfos[[annee]:[annee]]=Exercice[[Exercice N]:[Exercice N]])*(evolution_transfos[[annee_mes]:[annee_mes]]=AF$53)*(evolution_transfos[[nbr_transfos]:[nbr_transfos]]))</f>
        <v>2</v>
      </c>
      <c r="AG125" s="434" cm="1">
        <f t="array" ref="AG125">SUMPRODUCT((evolution_transfos[[client]:[client]]=syndicat_etude)*(evolution_transfos[[annee]:[annee]]=Exercice[[Exercice N]:[Exercice N]])*(evolution_transfos[[annee_mes]:[annee_mes]]=AG$53)*(evolution_transfos[[nbr_transfos]:[nbr_transfos]]))</f>
        <v>1</v>
      </c>
      <c r="AH125" s="434" cm="1">
        <f t="array" ref="AH125">SUMPRODUCT((evolution_transfos[[client]:[client]]=syndicat_etude)*(evolution_transfos[[annee]:[annee]]=Exercice[[Exercice N]:[Exercice N]])*(evolution_transfos[[annee_mes]:[annee_mes]]=AH$53)*(evolution_transfos[[nbr_transfos]:[nbr_transfos]]))</f>
        <v>1</v>
      </c>
      <c r="AI125" s="434" cm="1">
        <f t="array" ref="AI125">SUMPRODUCT((evolution_transfos[[client]:[client]]=syndicat_etude)*(evolution_transfos[[annee]:[annee]]=Exercice[[Exercice N]:[Exercice N]])*(evolution_transfos[[annee_mes]:[annee_mes]]=AI$53)*(evolution_transfos[[nbr_transfos]:[nbr_transfos]]))</f>
        <v>3</v>
      </c>
      <c r="AJ125" s="434" cm="1">
        <f t="array" ref="AJ125">SUMPRODUCT((evolution_transfos[[client]:[client]]=syndicat_etude)*(evolution_transfos[[annee]:[annee]]=Exercice[[Exercice N]:[Exercice N]])*(evolution_transfos[[annee_mes]:[annee_mes]]=AJ$53)*(evolution_transfos[[nbr_transfos]:[nbr_transfos]]))</f>
        <v>9</v>
      </c>
      <c r="AK125" s="434" cm="1">
        <f t="array" ref="AK125">SUMPRODUCT((evolution_transfos[[client]:[client]]=syndicat_etude)*(evolution_transfos[[annee]:[annee]]=Exercice[[Exercice N]:[Exercice N]])*(evolution_transfos[[annee_mes]:[annee_mes]]=AK$53)*(evolution_transfos[[nbr_transfos]:[nbr_transfos]]))</f>
        <v>6</v>
      </c>
      <c r="AL125" s="434" cm="1">
        <f t="array" ref="AL125">SUMPRODUCT((evolution_transfos[[client]:[client]]=syndicat_etude)*(evolution_transfos[[annee]:[annee]]=Exercice[[Exercice N]:[Exercice N]])*(evolution_transfos[[annee_mes]:[annee_mes]]=AL$53)*(evolution_transfos[[nbr_transfos]:[nbr_transfos]]))</f>
        <v>11</v>
      </c>
      <c r="AM125" s="434" cm="1">
        <f t="array" ref="AM125">SUMPRODUCT((evolution_transfos[[client]:[client]]=syndicat_etude)*(evolution_transfos[[annee]:[annee]]=Exercice[[Exercice N]:[Exercice N]])*(evolution_transfos[[annee_mes]:[annee_mes]]=AM$53)*(evolution_transfos[[nbr_transfos]:[nbr_transfos]]))</f>
        <v>25</v>
      </c>
      <c r="AN125" s="434" cm="1">
        <f t="array" ref="AN125">SUMPRODUCT((evolution_transfos[[client]:[client]]=syndicat_etude)*(evolution_transfos[[annee]:[annee]]=Exercice[[Exercice N]:[Exercice N]])*(evolution_transfos[[annee_mes]:[annee_mes]]=AN$53)*(evolution_transfos[[nbr_transfos]:[nbr_transfos]]))</f>
        <v>20</v>
      </c>
      <c r="AO125" s="434" cm="1">
        <f t="array" ref="AO125">SUMPRODUCT((evolution_transfos[[client]:[client]]=syndicat_etude)*(evolution_transfos[[annee]:[annee]]=Exercice[[Exercice N]:[Exercice N]])*(evolution_transfos[[annee_mes]:[annee_mes]]=AO$53)*(evolution_transfos[[nbr_transfos]:[nbr_transfos]]))</f>
        <v>35</v>
      </c>
      <c r="AP125" s="434" cm="1">
        <f t="array" ref="AP125">SUMPRODUCT((evolution_transfos[[client]:[client]]=syndicat_etude)*(evolution_transfos[[annee]:[annee]]=Exercice[[Exercice N]:[Exercice N]])*(evolution_transfos[[annee_mes]:[annee_mes]]=AP$53)*(evolution_transfos[[nbr_transfos]:[nbr_transfos]]))</f>
        <v>31</v>
      </c>
      <c r="AQ125" s="434" cm="1">
        <f t="array" ref="AQ125">SUMPRODUCT((evolution_transfos[[client]:[client]]=syndicat_etude)*(evolution_transfos[[annee]:[annee]]=Exercice[[Exercice N]:[Exercice N]])*(evolution_transfos[[annee_mes]:[annee_mes]]=AQ$53)*(evolution_transfos[[nbr_transfos]:[nbr_transfos]]))</f>
        <v>24</v>
      </c>
      <c r="AR125" s="434" cm="1">
        <f t="array" ref="AR125">SUMPRODUCT((evolution_transfos[[client]:[client]]=syndicat_etude)*(evolution_transfos[[annee]:[annee]]=Exercice[[Exercice N]:[Exercice N]])*(evolution_transfos[[annee_mes]:[annee_mes]]=AR$53)*(evolution_transfos[[nbr_transfos]:[nbr_transfos]]))</f>
        <v>36</v>
      </c>
      <c r="AS125" s="434" cm="1">
        <f t="array" ref="AS125">SUMPRODUCT((evolution_transfos[[client]:[client]]=syndicat_etude)*(evolution_transfos[[annee]:[annee]]=Exercice[[Exercice N]:[Exercice N]])*(evolution_transfos[[annee_mes]:[annee_mes]]=AS$53)*(evolution_transfos[[nbr_transfos]:[nbr_transfos]]))</f>
        <v>38</v>
      </c>
      <c r="AT125" s="434" cm="1">
        <f t="array" ref="AT125">SUMPRODUCT((evolution_transfos[[client]:[client]]=syndicat_etude)*(evolution_transfos[[annee]:[annee]]=Exercice[[Exercice N]:[Exercice N]])*(evolution_transfos[[annee_mes]:[annee_mes]]=AT$53)*(evolution_transfos[[nbr_transfos]:[nbr_transfos]]))</f>
        <v>40</v>
      </c>
      <c r="AU125" s="434" cm="1">
        <f t="array" ref="AU125">SUMPRODUCT((evolution_transfos[[client]:[client]]=syndicat_etude)*(evolution_transfos[[annee]:[annee]]=Exercice[[Exercice N]:[Exercice N]])*(evolution_transfos[[annee_mes]:[annee_mes]]=AU$53)*(evolution_transfos[[nbr_transfos]:[nbr_transfos]]))</f>
        <v>41</v>
      </c>
      <c r="AV125" s="434" cm="1">
        <f t="array" ref="AV125">SUMPRODUCT((evolution_transfos[[client]:[client]]=syndicat_etude)*(evolution_transfos[[annee]:[annee]]=Exercice[[Exercice N]:[Exercice N]])*(evolution_transfos[[annee_mes]:[annee_mes]]=AV$53)*(evolution_transfos[[nbr_transfos]:[nbr_transfos]]))</f>
        <v>43</v>
      </c>
      <c r="AW125" s="434" cm="1">
        <f t="array" ref="AW125">SUMPRODUCT((evolution_transfos[[client]:[client]]=syndicat_etude)*(evolution_transfos[[annee]:[annee]]=Exercice[[Exercice N]:[Exercice N]])*(evolution_transfos[[annee_mes]:[annee_mes]]=AW$53)*(evolution_transfos[[nbr_transfos]:[nbr_transfos]]))</f>
        <v>27</v>
      </c>
      <c r="AX125" s="434" cm="1">
        <f t="array" ref="AX125">SUMPRODUCT((evolution_transfos[[client]:[client]]=syndicat_etude)*(evolution_transfos[[annee]:[annee]]=Exercice[[Exercice N]:[Exercice N]])*(evolution_transfos[[annee_mes]:[annee_mes]]=AX$53)*(evolution_transfos[[nbr_transfos]:[nbr_transfos]]))</f>
        <v>51</v>
      </c>
      <c r="AY125" s="434" cm="1">
        <f t="array" ref="AY125">SUMPRODUCT((evolution_transfos[[client]:[client]]=syndicat_etude)*(evolution_transfos[[annee]:[annee]]=Exercice[[Exercice N]:[Exercice N]])*(evolution_transfos[[annee_mes]:[annee_mes]]=AY$53)*(evolution_transfos[[nbr_transfos]:[nbr_transfos]]))</f>
        <v>72</v>
      </c>
      <c r="AZ125" s="434" cm="1">
        <f t="array" ref="AZ125">SUMPRODUCT((evolution_transfos[[client]:[client]]=syndicat_etude)*(evolution_transfos[[annee]:[annee]]=Exercice[[Exercice N]:[Exercice N]])*(evolution_transfos[[annee_mes]:[annee_mes]]=AZ$53)*(evolution_transfos[[nbr_transfos]:[nbr_transfos]]))</f>
        <v>149</v>
      </c>
      <c r="BA125" s="434" cm="1">
        <f t="array" ref="BA125">SUMPRODUCT((evolution_transfos[[client]:[client]]=syndicat_etude)*(evolution_transfos[[annee]:[annee]]=Exercice[[Exercice N]:[Exercice N]])*(evolution_transfos[[annee_mes]:[annee_mes]]=BA$53)*(evolution_transfos[[nbr_transfos]:[nbr_transfos]]))</f>
        <v>94</v>
      </c>
      <c r="BB125" s="434" cm="1">
        <f t="array" ref="BB125">SUMPRODUCT((evolution_transfos[[client]:[client]]=syndicat_etude)*(evolution_transfos[[annee]:[annee]]=Exercice[[Exercice N]:[Exercice N]])*(evolution_transfos[[annee_mes]:[annee_mes]]=BB$53)*(evolution_transfos[[nbr_transfos]:[nbr_transfos]]))</f>
        <v>191</v>
      </c>
      <c r="BC125" s="434" cm="1">
        <f t="array" ref="BC125">SUMPRODUCT((evolution_transfos[[client]:[client]]=syndicat_etude)*(evolution_transfos[[annee]:[annee]]=Exercice[[Exercice N]:[Exercice N]])*(evolution_transfos[[annee_mes]:[annee_mes]]=BC$53)*(evolution_transfos[[nbr_transfos]:[nbr_transfos]]))</f>
        <v>215</v>
      </c>
      <c r="BD125" s="434" cm="1">
        <f t="array" ref="BD125">SUMPRODUCT((evolution_transfos[[client]:[client]]=syndicat_etude)*(evolution_transfos[[annee]:[annee]]=Exercice[[Exercice N]:[Exercice N]])*(evolution_transfos[[annee_mes]:[annee_mes]]=BD$53)*(evolution_transfos[[nbr_transfos]:[nbr_transfos]]))</f>
        <v>298</v>
      </c>
      <c r="BE125" s="434" cm="1">
        <f t="array" ref="BE125">SUMPRODUCT((evolution_transfos[[client]:[client]]=syndicat_etude)*(evolution_transfos[[annee]:[annee]]=Exercice[[Exercice N]:[Exercice N]])*(evolution_transfos[[annee_mes]:[annee_mes]]=BE$53)*(evolution_transfos[[nbr_transfos]:[nbr_transfos]]))</f>
        <v>380</v>
      </c>
      <c r="BF125" s="434" cm="1">
        <f t="array" ref="BF125">SUMPRODUCT((evolution_transfos[[client]:[client]]=syndicat_etude)*(evolution_transfos[[annee]:[annee]]=Exercice[[Exercice N]:[Exercice N]])*(evolution_transfos[[annee_mes]:[annee_mes]]=BF$53)*(evolution_transfos[[nbr_transfos]:[nbr_transfos]]))</f>
        <v>313</v>
      </c>
      <c r="BG125" s="434" cm="1">
        <f t="array" ref="BG125">SUMPRODUCT((evolution_transfos[[client]:[client]]=syndicat_etude)*(evolution_transfos[[annee]:[annee]]=Exercice[[Exercice N]:[Exercice N]])*(evolution_transfos[[annee_mes]:[annee_mes]]=BG$53)*(evolution_transfos[[nbr_transfos]:[nbr_transfos]]))</f>
        <v>452</v>
      </c>
      <c r="BH125" s="434" cm="1">
        <f t="array" ref="BH125">SUMPRODUCT((evolution_transfos[[client]:[client]]=syndicat_etude)*(evolution_transfos[[annee]:[annee]]=Exercice[[Exercice N]:[Exercice N]])*(evolution_transfos[[annee_mes]:[annee_mes]]=BH$53)*(evolution_transfos[[nbr_transfos]:[nbr_transfos]]))</f>
        <v>294</v>
      </c>
      <c r="BI125" s="434" cm="1">
        <f t="array" ref="BI125">SUMPRODUCT((evolution_transfos[[client]:[client]]=syndicat_etude)*(evolution_transfos[[annee]:[annee]]=Exercice[[Exercice N]:[Exercice N]])*(evolution_transfos[[annee_mes]:[annee_mes]]=BI$53)*(evolution_transfos[[nbr_transfos]:[nbr_transfos]]))</f>
        <v>71</v>
      </c>
      <c r="BJ125" s="434" cm="1">
        <f t="array" ref="BJ125">SUMPRODUCT((evolution_transfos[[client]:[client]]=syndicat_etude)*(evolution_transfos[[annee]:[annee]]=Exercice[[Exercice N]:[Exercice N]])*(evolution_transfos[[annee_mes]:[annee_mes]]=BJ$53)*(evolution_transfos[[nbr_transfos]:[nbr_transfos]]))</f>
        <v>59</v>
      </c>
      <c r="BK125" s="434" cm="1">
        <f t="array" ref="BK125">SUMPRODUCT((evolution_transfos[[client]:[client]]=syndicat_etude)*(evolution_transfos[[annee]:[annee]]=Exercice[[Exercice N]:[Exercice N]])*(evolution_transfos[[annee_mes]:[annee_mes]]=BK$53)*(evolution_transfos[[nbr_transfos]:[nbr_transfos]]))</f>
        <v>55</v>
      </c>
      <c r="BL125" s="434" cm="1">
        <f t="array" ref="BL125">SUMPRODUCT((evolution_transfos[[client]:[client]]=syndicat_etude)*(evolution_transfos[[annee]:[annee]]=Exercice[[Exercice N]:[Exercice N]])*(evolution_transfos[[annee_mes]:[annee_mes]]=BL$53)*(evolution_transfos[[nbr_transfos]:[nbr_transfos]]))</f>
        <v>61</v>
      </c>
      <c r="BM125" s="434" cm="1">
        <f t="array" ref="BM125">SUMPRODUCT((evolution_transfos[[client]:[client]]=syndicat_etude)*(evolution_transfos[[annee]:[annee]]=Exercice[[Exercice N]:[Exercice N]])*(evolution_transfos[[annee_mes]:[annee_mes]]=BM$53)*(evolution_transfos[[nbr_transfos]:[nbr_transfos]]))</f>
        <v>66</v>
      </c>
      <c r="BN125" s="434" cm="1">
        <f t="array" ref="BN125">SUMPRODUCT((evolution_transfos[[client]:[client]]=syndicat_etude)*(evolution_transfos[[annee]:[annee]]=Exercice[[Exercice N]:[Exercice N]])*(evolution_transfos[[annee_mes]:[annee_mes]]=BN$53)*(evolution_transfos[[nbr_transfos]:[nbr_transfos]]))</f>
        <v>91</v>
      </c>
      <c r="BO125" s="434" cm="1">
        <f t="array" ref="BO125">SUMPRODUCT((evolution_transfos[[client]:[client]]=syndicat_etude)*(evolution_transfos[[annee]:[annee]]=Exercice[[Exercice N]:[Exercice N]])*(evolution_transfos[[annee_mes]:[annee_mes]]=BO$53)*(evolution_transfos[[nbr_transfos]:[nbr_transfos]]))</f>
        <v>67</v>
      </c>
      <c r="BP125" s="434" cm="1">
        <f t="array" ref="BP125">SUMPRODUCT((evolution_transfos[[client]:[client]]=syndicat_etude)*(evolution_transfos[[annee]:[annee]]=Exercice[[Exercice N]:[Exercice N]])*(evolution_transfos[[annee_mes]:[annee_mes]]=BP$53)*(evolution_transfos[[nbr_transfos]:[nbr_transfos]]))</f>
        <v>52</v>
      </c>
      <c r="BQ125" s="434" cm="1">
        <f t="array" ref="BQ125">SUMPRODUCT((evolution_transfos[[client]:[client]]=syndicat_etude)*(evolution_transfos[[annee]:[annee]]=Exercice[[Exercice N]:[Exercice N]])*(evolution_transfos[[annee_mes]:[annee_mes]]=BQ$53)*(evolution_transfos[[nbr_transfos]:[nbr_transfos]]))</f>
        <v>85</v>
      </c>
      <c r="BR125" s="434" cm="1">
        <f t="array" ref="BR125">SUMPRODUCT((evolution_transfos[[client]:[client]]=syndicat_etude)*(evolution_transfos[[annee]:[annee]]=Exercice[[Exercice N]:[Exercice N]])*(evolution_transfos[[annee_mes]:[annee_mes]]=BR$53)*(evolution_transfos[[nbr_transfos]:[nbr_transfos]]))</f>
        <v>94</v>
      </c>
      <c r="BS125" s="434" cm="1">
        <f t="array" ref="BS125">SUMPRODUCT((evolution_transfos[[client]:[client]]=syndicat_etude)*(evolution_transfos[[annee]:[annee]]=Exercice[[Exercice N]:[Exercice N]])*(evolution_transfos[[annee_mes]:[annee_mes]]=BS$53)*(evolution_transfos[[nbr_transfos]:[nbr_transfos]]))</f>
        <v>59</v>
      </c>
      <c r="BT125" s="434" cm="1">
        <f t="array" ref="BT125">SUMPRODUCT((evolution_transfos[[client]:[client]]=syndicat_etude)*(evolution_transfos[[annee]:[annee]]=Exercice[[Exercice N]:[Exercice N]])*(evolution_transfos[[annee_mes]:[annee_mes]]=BT$53)*(evolution_transfos[[nbr_transfos]:[nbr_transfos]]))</f>
        <v>37</v>
      </c>
      <c r="BU125" s="434" cm="1">
        <f t="array" ref="BU125">SUMPRODUCT((evolution_transfos[[client]:[client]]=syndicat_etude)*(evolution_transfos[[annee]:[annee]]=Exercice[[Exercice N]:[Exercice N]])*(evolution_transfos[[annee_mes]:[annee_mes]]=BU$53)*(evolution_transfos[[nbr_transfos]:[nbr_transfos]]))</f>
        <v>38</v>
      </c>
      <c r="BV125" s="434" cm="1">
        <f t="array" ref="BV125">SUMPRODUCT((evolution_transfos[[client]:[client]]=syndicat_etude)*(evolution_transfos[[annee]:[annee]]=Exercice[[Exercice N]:[Exercice N]])*(evolution_transfos[[annee_mes]:[annee_mes]]=BV$53)*(evolution_transfos[[nbr_transfos]:[nbr_transfos]]))</f>
        <v>59</v>
      </c>
      <c r="BW125" s="434" cm="1">
        <f t="array" ref="BW125">SUMPRODUCT((evolution_transfos[[client]:[client]]=syndicat_etude)*(evolution_transfos[[annee]:[annee]]=Exercice[[Exercice N]:[Exercice N]])*(evolution_transfos[[annee_mes]:[annee_mes]]=BW$53)*(evolution_transfos[[nbr_transfos]:[nbr_transfos]]))</f>
        <v>37</v>
      </c>
      <c r="BX125" s="434" cm="1">
        <f t="array" ref="BX125">SUMPRODUCT((evolution_transfos[[client]:[client]]=syndicat_etude)*(evolution_transfos[[annee]:[annee]]=Exercice[[Exercice N]:[Exercice N]])*(evolution_transfos[[annee_mes]:[annee_mes]]=BX$53)*(evolution_transfos[[nbr_transfos]:[nbr_transfos]]))</f>
        <v>36</v>
      </c>
      <c r="BY125" s="434" cm="1">
        <f t="array" ref="BY125">SUMPRODUCT((evolution_transfos[[client]:[client]]=syndicat_etude)*(evolution_transfos[[annee]:[annee]]=Exercice[[Exercice N]:[Exercice N]])*(evolution_transfos[[annee_mes]:[annee_mes]]=BY$53)*(evolution_transfos[[nbr_transfos]:[nbr_transfos]]))</f>
        <v>54</v>
      </c>
      <c r="BZ125" s="434" cm="1">
        <f t="array" ref="BZ125">SUMPRODUCT((evolution_transfos[[client]:[client]]=syndicat_etude)*(evolution_transfos[[annee]:[annee]]=Exercice[[Exercice N]:[Exercice N]])*(evolution_transfos[[annee_mes]:[annee_mes]]=BZ$53)*(evolution_transfos[[nbr_transfos]:[nbr_transfos]]))</f>
        <v>76</v>
      </c>
      <c r="CA125" s="434" cm="1">
        <f t="array" ref="CA125">SUMPRODUCT((evolution_transfos[[client]:[client]]=syndicat_etude)*(evolution_transfos[[annee]:[annee]]=Exercice[[Exercice N]:[Exercice N]])*(evolution_transfos[[annee_mes]:[annee_mes]]=CA$53)*(evolution_transfos[[nbr_transfos]:[nbr_transfos]]))</f>
        <v>60</v>
      </c>
      <c r="CB125" s="434" cm="1">
        <f t="array" ref="CB125">SUMPRODUCT((evolution_transfos[[client]:[client]]=syndicat_etude)*(evolution_transfos[[annee]:[annee]]=Exercice[[Exercice N]:[Exercice N]])*(evolution_transfos[[annee_mes]:[annee_mes]]=CB$53)*(evolution_transfos[[nbr_transfos]:[nbr_transfos]]))</f>
        <v>54</v>
      </c>
      <c r="CC125" s="435" cm="1">
        <f t="array" ref="CC125">SUMPRODUCT((evolution_transfos[[client]:[client]]=syndicat_etude)*(evolution_transfos[[annee]:[annee]]=Exercice[[Exercice N]:[Exercice N]])*(evolution_transfos[[annee_mes]:[annee_mes]]=CC$53)*(evolution_transfos[[nbr_transfos]:[nbr_transfos]]))</f>
        <v>26</v>
      </c>
      <c r="CD125" s="405"/>
      <c r="CE125" s="405"/>
      <c r="CF125" s="405"/>
    </row>
    <row r="144" spans="2:84" ht="40.15" customHeight="1" x14ac:dyDescent="0.25">
      <c r="B144" s="423" t="s">
        <v>1197</v>
      </c>
      <c r="C144" s="424" t="s">
        <v>1179</v>
      </c>
      <c r="D144" s="424">
        <v>1946</v>
      </c>
      <c r="E144" s="424">
        <v>1947</v>
      </c>
      <c r="F144" s="424">
        <v>1948</v>
      </c>
      <c r="G144" s="424">
        <v>1949</v>
      </c>
      <c r="H144" s="424">
        <v>1950</v>
      </c>
      <c r="I144" s="424">
        <v>1951</v>
      </c>
      <c r="J144" s="424">
        <v>1952</v>
      </c>
      <c r="K144" s="424">
        <v>1953</v>
      </c>
      <c r="L144" s="424">
        <v>1954</v>
      </c>
      <c r="M144" s="424">
        <v>1955</v>
      </c>
      <c r="N144" s="424">
        <v>1956</v>
      </c>
      <c r="O144" s="424">
        <v>1957</v>
      </c>
      <c r="P144" s="424">
        <v>1958</v>
      </c>
      <c r="Q144" s="424">
        <v>1959</v>
      </c>
      <c r="R144" s="424">
        <v>1960</v>
      </c>
      <c r="S144" s="424">
        <v>1961</v>
      </c>
      <c r="T144" s="424">
        <v>1962</v>
      </c>
      <c r="U144" s="424">
        <v>1963</v>
      </c>
      <c r="V144" s="424">
        <v>1964</v>
      </c>
      <c r="W144" s="424">
        <v>1965</v>
      </c>
      <c r="X144" s="424">
        <v>1966</v>
      </c>
      <c r="Y144" s="424">
        <v>1967</v>
      </c>
      <c r="Z144" s="424">
        <v>1968</v>
      </c>
      <c r="AA144" s="424">
        <v>1969</v>
      </c>
      <c r="AB144" s="424">
        <v>1970</v>
      </c>
      <c r="AC144" s="424">
        <v>1971</v>
      </c>
      <c r="AD144" s="424">
        <v>1972</v>
      </c>
      <c r="AE144" s="424">
        <v>1973</v>
      </c>
      <c r="AF144" s="424">
        <v>1974</v>
      </c>
      <c r="AG144" s="424">
        <v>1975</v>
      </c>
      <c r="AH144" s="424">
        <v>1976</v>
      </c>
      <c r="AI144" s="424">
        <v>1977</v>
      </c>
      <c r="AJ144" s="424">
        <v>1978</v>
      </c>
      <c r="AK144" s="424">
        <v>1979</v>
      </c>
      <c r="AL144" s="424">
        <v>1980</v>
      </c>
      <c r="AM144" s="424">
        <v>1981</v>
      </c>
      <c r="AN144" s="424">
        <v>1982</v>
      </c>
      <c r="AO144" s="424">
        <v>1983</v>
      </c>
      <c r="AP144" s="424">
        <v>1984</v>
      </c>
      <c r="AQ144" s="424">
        <v>1985</v>
      </c>
      <c r="AR144" s="424">
        <v>1986</v>
      </c>
      <c r="AS144" s="424">
        <v>1987</v>
      </c>
      <c r="AT144" s="424">
        <v>1988</v>
      </c>
      <c r="AU144" s="424">
        <v>1989</v>
      </c>
      <c r="AV144" s="424">
        <v>1990</v>
      </c>
      <c r="AW144" s="424">
        <v>1991</v>
      </c>
      <c r="AX144" s="424">
        <v>1992</v>
      </c>
      <c r="AY144" s="424">
        <v>1993</v>
      </c>
      <c r="AZ144" s="424">
        <v>1994</v>
      </c>
      <c r="BA144" s="424">
        <v>1995</v>
      </c>
      <c r="BB144" s="424">
        <v>1996</v>
      </c>
      <c r="BC144" s="424">
        <v>1997</v>
      </c>
      <c r="BD144" s="424">
        <v>1998</v>
      </c>
      <c r="BE144" s="424">
        <v>1999</v>
      </c>
      <c r="BF144" s="424">
        <v>2000</v>
      </c>
      <c r="BG144" s="424">
        <v>2001</v>
      </c>
      <c r="BH144" s="424">
        <v>2002</v>
      </c>
      <c r="BI144" s="424">
        <v>2003</v>
      </c>
      <c r="BJ144" s="424">
        <v>2004</v>
      </c>
      <c r="BK144" s="424">
        <v>2005</v>
      </c>
      <c r="BL144" s="424">
        <v>2006</v>
      </c>
      <c r="BM144" s="424">
        <v>2007</v>
      </c>
      <c r="BN144" s="424">
        <v>2008</v>
      </c>
      <c r="BO144" s="424">
        <v>2009</v>
      </c>
      <c r="BP144" s="424">
        <v>2010</v>
      </c>
      <c r="BQ144" s="424">
        <v>2011</v>
      </c>
      <c r="BR144" s="424">
        <v>2012</v>
      </c>
      <c r="BS144" s="424">
        <v>2013</v>
      </c>
      <c r="BT144" s="424">
        <v>2014</v>
      </c>
      <c r="BU144" s="424">
        <v>2015</v>
      </c>
      <c r="BV144" s="424">
        <v>2016</v>
      </c>
      <c r="BW144" s="424">
        <v>2017</v>
      </c>
      <c r="BX144" s="424">
        <v>2018</v>
      </c>
      <c r="BY144" s="424">
        <v>2019</v>
      </c>
      <c r="BZ144" s="424">
        <v>2020</v>
      </c>
      <c r="CA144" s="424">
        <v>2021</v>
      </c>
      <c r="CB144" s="424">
        <v>2022</v>
      </c>
      <c r="CC144" s="425">
        <v>2023</v>
      </c>
      <c r="CD144" s="399"/>
      <c r="CE144" s="399"/>
      <c r="CF144" s="399"/>
    </row>
    <row r="145" spans="2:84" x14ac:dyDescent="0.25">
      <c r="B145" s="431" t="s">
        <v>1198</v>
      </c>
      <c r="C145" s="436" cm="1">
        <f t="array" ref="C145">SUMPRODUCT((pat_tech_hta_11[[client]:[client]]=syndicat_etude)*(pat_tech_hta_11[[annee]:[annee]]=Exercice[[Exercice N]:[Exercice N]])*(pat_tech_hta_11[[Annee de Construction]:[Annee de Construction]]=C$53)*(pat_tech_hta_11[[Type de traitement PDV]:[Type de traitement PDV]]="Traité (immobilisé)")*(pat_tech_hta_11[[longueur_km_hta_pdv]:[longueur_km_hta_pdv]]))</f>
        <v>0</v>
      </c>
      <c r="D145" s="436" cm="1">
        <f t="array" ref="D145">SUMPRODUCT((pat_tech_hta_11[[client]:[client]]=syndicat_etude)*(pat_tech_hta_11[[annee]:[annee]]=Exercice[[Exercice N]:[Exercice N]])*(pat_tech_hta_11[[Annee de Construction]:[Annee de Construction]]=D$53)*(pat_tech_hta_11[[Type de traitement PDV]:[Type de traitement PDV]]="Traité (immobilisé)")*(pat_tech_hta_11[[longueur_km_hta_pdv]:[longueur_km_hta_pdv]]))</f>
        <v>0</v>
      </c>
      <c r="E145" s="436" cm="1">
        <f t="array" ref="E145">SUMPRODUCT((pat_tech_hta_11[[client]:[client]]=syndicat_etude)*(pat_tech_hta_11[[annee]:[annee]]=Exercice[[Exercice N]:[Exercice N]])*(pat_tech_hta_11[[Annee de Construction]:[Annee de Construction]]=E$53)*(pat_tech_hta_11[[Type de traitement PDV]:[Type de traitement PDV]]="Traité (immobilisé)")*(pat_tech_hta_11[[longueur_km_hta_pdv]:[longueur_km_hta_pdv]]))</f>
        <v>2.31</v>
      </c>
      <c r="F145" s="436" cm="1">
        <f t="array" ref="F145">SUMPRODUCT((pat_tech_hta_11[[client]:[client]]=syndicat_etude)*(pat_tech_hta_11[[annee]:[annee]]=Exercice[[Exercice N]:[Exercice N]])*(pat_tech_hta_11[[Annee de Construction]:[Annee de Construction]]=F$53)*(pat_tech_hta_11[[Type de traitement PDV]:[Type de traitement PDV]]="Traité (immobilisé)")*(pat_tech_hta_11[[longueur_km_hta_pdv]:[longueur_km_hta_pdv]]))</f>
        <v>0</v>
      </c>
      <c r="G145" s="436" cm="1">
        <f t="array" ref="G145">SUMPRODUCT((pat_tech_hta_11[[client]:[client]]=syndicat_etude)*(pat_tech_hta_11[[annee]:[annee]]=Exercice[[Exercice N]:[Exercice N]])*(pat_tech_hta_11[[Annee de Construction]:[Annee de Construction]]=G$53)*(pat_tech_hta_11[[Type de traitement PDV]:[Type de traitement PDV]]="Traité (immobilisé)")*(pat_tech_hta_11[[longueur_km_hta_pdv]:[longueur_km_hta_pdv]]))</f>
        <v>0</v>
      </c>
      <c r="H145" s="436" cm="1">
        <f t="array" ref="H145">SUMPRODUCT((pat_tech_hta_11[[client]:[client]]=syndicat_etude)*(pat_tech_hta_11[[annee]:[annee]]=Exercice[[Exercice N]:[Exercice N]])*(pat_tech_hta_11[[Annee de Construction]:[Annee de Construction]]=H$53)*(pat_tech_hta_11[[Type de traitement PDV]:[Type de traitement PDV]]="Traité (immobilisé)")*(pat_tech_hta_11[[longueur_km_hta_pdv]:[longueur_km_hta_pdv]]))</f>
        <v>0</v>
      </c>
      <c r="I145" s="436" cm="1">
        <f t="array" ref="I145">SUMPRODUCT((pat_tech_hta_11[[client]:[client]]=syndicat_etude)*(pat_tech_hta_11[[annee]:[annee]]=Exercice[[Exercice N]:[Exercice N]])*(pat_tech_hta_11[[Annee de Construction]:[Annee de Construction]]=I$53)*(pat_tech_hta_11[[Type de traitement PDV]:[Type de traitement PDV]]="Traité (immobilisé)")*(pat_tech_hta_11[[longueur_km_hta_pdv]:[longueur_km_hta_pdv]]))</f>
        <v>0</v>
      </c>
      <c r="J145" s="436" cm="1">
        <f t="array" ref="J145">SUMPRODUCT((pat_tech_hta_11[[client]:[client]]=syndicat_etude)*(pat_tech_hta_11[[annee]:[annee]]=Exercice[[Exercice N]:[Exercice N]])*(pat_tech_hta_11[[Annee de Construction]:[Annee de Construction]]=J$53)*(pat_tech_hta_11[[Type de traitement PDV]:[Type de traitement PDV]]="Traité (immobilisé)")*(pat_tech_hta_11[[longueur_km_hta_pdv]:[longueur_km_hta_pdv]]))</f>
        <v>0</v>
      </c>
      <c r="K145" s="436" cm="1">
        <f t="array" ref="K145">SUMPRODUCT((pat_tech_hta_11[[client]:[client]]=syndicat_etude)*(pat_tech_hta_11[[annee]:[annee]]=Exercice[[Exercice N]:[Exercice N]])*(pat_tech_hta_11[[Annee de Construction]:[Annee de Construction]]=K$53)*(pat_tech_hta_11[[Type de traitement PDV]:[Type de traitement PDV]]="Traité (immobilisé)")*(pat_tech_hta_11[[longueur_km_hta_pdv]:[longueur_km_hta_pdv]]))</f>
        <v>0</v>
      </c>
      <c r="L145" s="436" cm="1">
        <f t="array" ref="L145">SUMPRODUCT((pat_tech_hta_11[[client]:[client]]=syndicat_etude)*(pat_tech_hta_11[[annee]:[annee]]=Exercice[[Exercice N]:[Exercice N]])*(pat_tech_hta_11[[Annee de Construction]:[Annee de Construction]]=L$53)*(pat_tech_hta_11[[Type de traitement PDV]:[Type de traitement PDV]]="Traité (immobilisé)")*(pat_tech_hta_11[[longueur_km_hta_pdv]:[longueur_km_hta_pdv]]))</f>
        <v>0</v>
      </c>
      <c r="M145" s="436" cm="1">
        <f t="array" ref="M145">SUMPRODUCT((pat_tech_hta_11[[client]:[client]]=syndicat_etude)*(pat_tech_hta_11[[annee]:[annee]]=Exercice[[Exercice N]:[Exercice N]])*(pat_tech_hta_11[[Annee de Construction]:[Annee de Construction]]=M$53)*(pat_tech_hta_11[[Type de traitement PDV]:[Type de traitement PDV]]="Traité (immobilisé)")*(pat_tech_hta_11[[longueur_km_hta_pdv]:[longueur_km_hta_pdv]]))</f>
        <v>1</v>
      </c>
      <c r="N145" s="436" cm="1">
        <f t="array" ref="N145">SUMPRODUCT((pat_tech_hta_11[[client]:[client]]=syndicat_etude)*(pat_tech_hta_11[[annee]:[annee]]=Exercice[[Exercice N]:[Exercice N]])*(pat_tech_hta_11[[Annee de Construction]:[Annee de Construction]]=N$53)*(pat_tech_hta_11[[Type de traitement PDV]:[Type de traitement PDV]]="Traité (immobilisé)")*(pat_tech_hta_11[[longueur_km_hta_pdv]:[longueur_km_hta_pdv]]))</f>
        <v>0.18</v>
      </c>
      <c r="O145" s="436" cm="1">
        <f t="array" ref="O145">SUMPRODUCT((pat_tech_hta_11[[client]:[client]]=syndicat_etude)*(pat_tech_hta_11[[annee]:[annee]]=Exercice[[Exercice N]:[Exercice N]])*(pat_tech_hta_11[[Annee de Construction]:[Annee de Construction]]=O$53)*(pat_tech_hta_11[[Type de traitement PDV]:[Type de traitement PDV]]="Traité (immobilisé)")*(pat_tech_hta_11[[longueur_km_hta_pdv]:[longueur_km_hta_pdv]]))</f>
        <v>0</v>
      </c>
      <c r="P145" s="436" cm="1">
        <f t="array" ref="P145">SUMPRODUCT((pat_tech_hta_11[[client]:[client]]=syndicat_etude)*(pat_tech_hta_11[[annee]:[annee]]=Exercice[[Exercice N]:[Exercice N]])*(pat_tech_hta_11[[Annee de Construction]:[Annee de Construction]]=P$53)*(pat_tech_hta_11[[Type de traitement PDV]:[Type de traitement PDV]]="Traité (immobilisé)")*(pat_tech_hta_11[[longueur_km_hta_pdv]:[longueur_km_hta_pdv]]))</f>
        <v>0</v>
      </c>
      <c r="Q145" s="436" cm="1">
        <f t="array" ref="Q145">SUMPRODUCT((pat_tech_hta_11[[client]:[client]]=syndicat_etude)*(pat_tech_hta_11[[annee]:[annee]]=Exercice[[Exercice N]:[Exercice N]])*(pat_tech_hta_11[[Annee de Construction]:[Annee de Construction]]=Q$53)*(pat_tech_hta_11[[Type de traitement PDV]:[Type de traitement PDV]]="Traité (immobilisé)")*(pat_tech_hta_11[[longueur_km_hta_pdv]:[longueur_km_hta_pdv]]))</f>
        <v>2.74</v>
      </c>
      <c r="R145" s="436" cm="1">
        <f t="array" ref="R145">SUMPRODUCT((pat_tech_hta_11[[client]:[client]]=syndicat_etude)*(pat_tech_hta_11[[annee]:[annee]]=Exercice[[Exercice N]:[Exercice N]])*(pat_tech_hta_11[[Annee de Construction]:[Annee de Construction]]=R$53)*(pat_tech_hta_11[[Type de traitement PDV]:[Type de traitement PDV]]="Traité (immobilisé)")*(pat_tech_hta_11[[longueur_km_hta_pdv]:[longueur_km_hta_pdv]]))</f>
        <v>2.84</v>
      </c>
      <c r="S145" s="436" cm="1">
        <f t="array" ref="S145">SUMPRODUCT((pat_tech_hta_11[[client]:[client]]=syndicat_etude)*(pat_tech_hta_11[[annee]:[annee]]=Exercice[[Exercice N]:[Exercice N]])*(pat_tech_hta_11[[Annee de Construction]:[Annee de Construction]]=S$53)*(pat_tech_hta_11[[Type de traitement PDV]:[Type de traitement PDV]]="Traité (immobilisé)")*(pat_tech_hta_11[[longueur_km_hta_pdv]:[longueur_km_hta_pdv]]))</f>
        <v>0.45</v>
      </c>
      <c r="T145" s="436" cm="1">
        <f t="array" ref="T145">SUMPRODUCT((pat_tech_hta_11[[client]:[client]]=syndicat_etude)*(pat_tech_hta_11[[annee]:[annee]]=Exercice[[Exercice N]:[Exercice N]])*(pat_tech_hta_11[[Annee de Construction]:[Annee de Construction]]=T$53)*(pat_tech_hta_11[[Type de traitement PDV]:[Type de traitement PDV]]="Traité (immobilisé)")*(pat_tech_hta_11[[longueur_km_hta_pdv]:[longueur_km_hta_pdv]]))</f>
        <v>3.02</v>
      </c>
      <c r="U145" s="436" cm="1">
        <f t="array" ref="U145">SUMPRODUCT((pat_tech_hta_11[[client]:[client]]=syndicat_etude)*(pat_tech_hta_11[[annee]:[annee]]=Exercice[[Exercice N]:[Exercice N]])*(pat_tech_hta_11[[Annee de Construction]:[Annee de Construction]]=U$53)*(pat_tech_hta_11[[Type de traitement PDV]:[Type de traitement PDV]]="Traité (immobilisé)")*(pat_tech_hta_11[[longueur_km_hta_pdv]:[longueur_km_hta_pdv]]))</f>
        <v>5.32</v>
      </c>
      <c r="V145" s="436" cm="1">
        <f t="array" ref="V145">SUMPRODUCT((pat_tech_hta_11[[client]:[client]]=syndicat_etude)*(pat_tech_hta_11[[annee]:[annee]]=Exercice[[Exercice N]:[Exercice N]])*(pat_tech_hta_11[[Annee de Construction]:[Annee de Construction]]=V$53)*(pat_tech_hta_11[[Type de traitement PDV]:[Type de traitement PDV]]="Traité (immobilisé)")*(pat_tech_hta_11[[longueur_km_hta_pdv]:[longueur_km_hta_pdv]]))</f>
        <v>17.22</v>
      </c>
      <c r="W145" s="436" cm="1">
        <f t="array" ref="W145">SUMPRODUCT((pat_tech_hta_11[[client]:[client]]=syndicat_etude)*(pat_tech_hta_11[[annee]:[annee]]=Exercice[[Exercice N]:[Exercice N]])*(pat_tech_hta_11[[Annee de Construction]:[Annee de Construction]]=W$53)*(pat_tech_hta_11[[Type de traitement PDV]:[Type de traitement PDV]]="Traité (immobilisé)")*(pat_tech_hta_11[[longueur_km_hta_pdv]:[longueur_km_hta_pdv]]))</f>
        <v>16.170000000000002</v>
      </c>
      <c r="X145" s="436" cm="1">
        <f t="array" ref="X145">SUMPRODUCT((pat_tech_hta_11[[client]:[client]]=syndicat_etude)*(pat_tech_hta_11[[annee]:[annee]]=Exercice[[Exercice N]:[Exercice N]])*(pat_tech_hta_11[[Annee de Construction]:[Annee de Construction]]=X$53)*(pat_tech_hta_11[[Type de traitement PDV]:[Type de traitement PDV]]="Traité (immobilisé)")*(pat_tech_hta_11[[longueur_km_hta_pdv]:[longueur_km_hta_pdv]]))</f>
        <v>14.82</v>
      </c>
      <c r="Y145" s="436" cm="1">
        <f t="array" ref="Y145">SUMPRODUCT((pat_tech_hta_11[[client]:[client]]=syndicat_etude)*(pat_tech_hta_11[[annee]:[annee]]=Exercice[[Exercice N]:[Exercice N]])*(pat_tech_hta_11[[Annee de Construction]:[Annee de Construction]]=Y$53)*(pat_tech_hta_11[[Type de traitement PDV]:[Type de traitement PDV]]="Traité (immobilisé)")*(pat_tech_hta_11[[longueur_km_hta_pdv]:[longueur_km_hta_pdv]]))</f>
        <v>16.29</v>
      </c>
      <c r="Z145" s="436" cm="1">
        <f t="array" ref="Z145">SUMPRODUCT((pat_tech_hta_11[[client]:[client]]=syndicat_etude)*(pat_tech_hta_11[[annee]:[annee]]=Exercice[[Exercice N]:[Exercice N]])*(pat_tech_hta_11[[Annee de Construction]:[Annee de Construction]]=Z$53)*(pat_tech_hta_11[[Type de traitement PDV]:[Type de traitement PDV]]="Traité (immobilisé)")*(pat_tech_hta_11[[longueur_km_hta_pdv]:[longueur_km_hta_pdv]]))</f>
        <v>6.27</v>
      </c>
      <c r="AA145" s="436" cm="1">
        <f t="array" ref="AA145">SUMPRODUCT((pat_tech_hta_11[[client]:[client]]=syndicat_etude)*(pat_tech_hta_11[[annee]:[annee]]=Exercice[[Exercice N]:[Exercice N]])*(pat_tech_hta_11[[Annee de Construction]:[Annee de Construction]]=AA$53)*(pat_tech_hta_11[[Type de traitement PDV]:[Type de traitement PDV]]="Traité (immobilisé)")*(pat_tech_hta_11[[longueur_km_hta_pdv]:[longueur_km_hta_pdv]]))</f>
        <v>2.54</v>
      </c>
      <c r="AB145" s="436" cm="1">
        <f t="array" ref="AB145">SUMPRODUCT((pat_tech_hta_11[[client]:[client]]=syndicat_etude)*(pat_tech_hta_11[[annee]:[annee]]=Exercice[[Exercice N]:[Exercice N]])*(pat_tech_hta_11[[Annee de Construction]:[Annee de Construction]]=AB$53)*(pat_tech_hta_11[[Type de traitement PDV]:[Type de traitement PDV]]="Traité (immobilisé)")*(pat_tech_hta_11[[longueur_km_hta_pdv]:[longueur_km_hta_pdv]]))</f>
        <v>8.75</v>
      </c>
      <c r="AC145" s="436" cm="1">
        <f t="array" ref="AC145">SUMPRODUCT((pat_tech_hta_11[[client]:[client]]=syndicat_etude)*(pat_tech_hta_11[[annee]:[annee]]=Exercice[[Exercice N]:[Exercice N]])*(pat_tech_hta_11[[Annee de Construction]:[Annee de Construction]]=AC$53)*(pat_tech_hta_11[[Type de traitement PDV]:[Type de traitement PDV]]="Traité (immobilisé)")*(pat_tech_hta_11[[longueur_km_hta_pdv]:[longueur_km_hta_pdv]]))</f>
        <v>9.82</v>
      </c>
      <c r="AD145" s="436" cm="1">
        <f t="array" ref="AD145">SUMPRODUCT((pat_tech_hta_11[[client]:[client]]=syndicat_etude)*(pat_tech_hta_11[[annee]:[annee]]=Exercice[[Exercice N]:[Exercice N]])*(pat_tech_hta_11[[Annee de Construction]:[Annee de Construction]]=AD$53)*(pat_tech_hta_11[[Type de traitement PDV]:[Type de traitement PDV]]="Traité (immobilisé)")*(pat_tech_hta_11[[longueur_km_hta_pdv]:[longueur_km_hta_pdv]]))</f>
        <v>9.56</v>
      </c>
      <c r="AE145" s="436" cm="1">
        <f t="array" ref="AE145">SUMPRODUCT((pat_tech_hta_11[[client]:[client]]=syndicat_etude)*(pat_tech_hta_11[[annee]:[annee]]=Exercice[[Exercice N]:[Exercice N]])*(pat_tech_hta_11[[Annee de Construction]:[Annee de Construction]]=AE$53)*(pat_tech_hta_11[[Type de traitement PDV]:[Type de traitement PDV]]="Traité (immobilisé)")*(pat_tech_hta_11[[longueur_km_hta_pdv]:[longueur_km_hta_pdv]]))</f>
        <v>12.15</v>
      </c>
      <c r="AF145" s="436" cm="1">
        <f t="array" ref="AF145">SUMPRODUCT((pat_tech_hta_11[[client]:[client]]=syndicat_etude)*(pat_tech_hta_11[[annee]:[annee]]=Exercice[[Exercice N]:[Exercice N]])*(pat_tech_hta_11[[Annee de Construction]:[Annee de Construction]]=AF$53)*(pat_tech_hta_11[[Type de traitement PDV]:[Type de traitement PDV]]="Traité (immobilisé)")*(pat_tech_hta_11[[longueur_km_hta_pdv]:[longueur_km_hta_pdv]]))</f>
        <v>8.5</v>
      </c>
      <c r="AG145" s="436" cm="1">
        <f t="array" ref="AG145">SUMPRODUCT((pat_tech_hta_11[[client]:[client]]=syndicat_etude)*(pat_tech_hta_11[[annee]:[annee]]=Exercice[[Exercice N]:[Exercice N]])*(pat_tech_hta_11[[Annee de Construction]:[Annee de Construction]]=AG$53)*(pat_tech_hta_11[[Type de traitement PDV]:[Type de traitement PDV]]="Traité (immobilisé)")*(pat_tech_hta_11[[longueur_km_hta_pdv]:[longueur_km_hta_pdv]]))</f>
        <v>4.46</v>
      </c>
      <c r="AH145" s="436" cm="1">
        <f t="array" ref="AH145">SUMPRODUCT((pat_tech_hta_11[[client]:[client]]=syndicat_etude)*(pat_tech_hta_11[[annee]:[annee]]=Exercice[[Exercice N]:[Exercice N]])*(pat_tech_hta_11[[Annee de Construction]:[Annee de Construction]]=AH$53)*(pat_tech_hta_11[[Type de traitement PDV]:[Type de traitement PDV]]="Traité (immobilisé)")*(pat_tech_hta_11[[longueur_km_hta_pdv]:[longueur_km_hta_pdv]]))</f>
        <v>6.53</v>
      </c>
      <c r="AI145" s="436" cm="1">
        <f t="array" ref="AI145">SUMPRODUCT((pat_tech_hta_11[[client]:[client]]=syndicat_etude)*(pat_tech_hta_11[[annee]:[annee]]=Exercice[[Exercice N]:[Exercice N]])*(pat_tech_hta_11[[Annee de Construction]:[Annee de Construction]]=AI$53)*(pat_tech_hta_11[[Type de traitement PDV]:[Type de traitement PDV]]="Traité (immobilisé)")*(pat_tech_hta_11[[longueur_km_hta_pdv]:[longueur_km_hta_pdv]]))</f>
        <v>2.74</v>
      </c>
      <c r="AJ145" s="436" cm="1">
        <f t="array" ref="AJ145">SUMPRODUCT((pat_tech_hta_11[[client]:[client]]=syndicat_etude)*(pat_tech_hta_11[[annee]:[annee]]=Exercice[[Exercice N]:[Exercice N]])*(pat_tech_hta_11[[Annee de Construction]:[Annee de Construction]]=AJ$53)*(pat_tech_hta_11[[Type de traitement PDV]:[Type de traitement PDV]]="Traité (immobilisé)")*(pat_tech_hta_11[[longueur_km_hta_pdv]:[longueur_km_hta_pdv]]))</f>
        <v>5.4</v>
      </c>
      <c r="AK145" s="436" cm="1">
        <f t="array" ref="AK145">SUMPRODUCT((pat_tech_hta_11[[client]:[client]]=syndicat_etude)*(pat_tech_hta_11[[annee]:[annee]]=Exercice[[Exercice N]:[Exercice N]])*(pat_tech_hta_11[[Annee de Construction]:[Annee de Construction]]=AK$53)*(pat_tech_hta_11[[Type de traitement PDV]:[Type de traitement PDV]]="Traité (immobilisé)")*(pat_tech_hta_11[[longueur_km_hta_pdv]:[longueur_km_hta_pdv]]))</f>
        <v>6</v>
      </c>
      <c r="AL145" s="436" cm="1">
        <f t="array" ref="AL145">SUMPRODUCT((pat_tech_hta_11[[client]:[client]]=syndicat_etude)*(pat_tech_hta_11[[annee]:[annee]]=Exercice[[Exercice N]:[Exercice N]])*(pat_tech_hta_11[[Annee de Construction]:[Annee de Construction]]=AL$53)*(pat_tech_hta_11[[Type de traitement PDV]:[Type de traitement PDV]]="Traité (immobilisé)")*(pat_tech_hta_11[[longueur_km_hta_pdv]:[longueur_km_hta_pdv]]))</f>
        <v>4.22</v>
      </c>
      <c r="AM145" s="436" cm="1">
        <f t="array" ref="AM145">SUMPRODUCT((pat_tech_hta_11[[client]:[client]]=syndicat_etude)*(pat_tech_hta_11[[annee]:[annee]]=Exercice[[Exercice N]:[Exercice N]])*(pat_tech_hta_11[[Annee de Construction]:[Annee de Construction]]=AM$53)*(pat_tech_hta_11[[Type de traitement PDV]:[Type de traitement PDV]]="Traité (immobilisé)")*(pat_tech_hta_11[[longueur_km_hta_pdv]:[longueur_km_hta_pdv]]))</f>
        <v>0.16</v>
      </c>
      <c r="AN145" s="436" cm="1">
        <f t="array" ref="AN145">SUMPRODUCT((pat_tech_hta_11[[client]:[client]]=syndicat_etude)*(pat_tech_hta_11[[annee]:[annee]]=Exercice[[Exercice N]:[Exercice N]])*(pat_tech_hta_11[[Annee de Construction]:[Annee de Construction]]=AN$53)*(pat_tech_hta_11[[Type de traitement PDV]:[Type de traitement PDV]]="Traité (immobilisé)")*(pat_tech_hta_11[[longueur_km_hta_pdv]:[longueur_km_hta_pdv]]))</f>
        <v>1.92</v>
      </c>
      <c r="AO145" s="436" cm="1">
        <f t="array" ref="AO145">SUMPRODUCT((pat_tech_hta_11[[client]:[client]]=syndicat_etude)*(pat_tech_hta_11[[annee]:[annee]]=Exercice[[Exercice N]:[Exercice N]])*(pat_tech_hta_11[[Annee de Construction]:[Annee de Construction]]=AO$53)*(pat_tech_hta_11[[Type de traitement PDV]:[Type de traitement PDV]]="Traité (immobilisé)")*(pat_tech_hta_11[[longueur_km_hta_pdv]:[longueur_km_hta_pdv]]))</f>
        <v>2.93</v>
      </c>
      <c r="AP145" s="436" cm="1">
        <f t="array" ref="AP145">SUMPRODUCT((pat_tech_hta_11[[client]:[client]]=syndicat_etude)*(pat_tech_hta_11[[annee]:[annee]]=Exercice[[Exercice N]:[Exercice N]])*(pat_tech_hta_11[[Annee de Construction]:[Annee de Construction]]=AP$53)*(pat_tech_hta_11[[Type de traitement PDV]:[Type de traitement PDV]]="Traité (immobilisé)")*(pat_tech_hta_11[[longueur_km_hta_pdv]:[longueur_km_hta_pdv]]))</f>
        <v>15.03</v>
      </c>
      <c r="AQ145" s="436" cm="1">
        <f t="array" ref="AQ145">SUMPRODUCT((pat_tech_hta_11[[client]:[client]]=syndicat_etude)*(pat_tech_hta_11[[annee]:[annee]]=Exercice[[Exercice N]:[Exercice N]])*(pat_tech_hta_11[[Annee de Construction]:[Annee de Construction]]=AQ$53)*(pat_tech_hta_11[[Type de traitement PDV]:[Type de traitement PDV]]="Traité (immobilisé)")*(pat_tech_hta_11[[longueur_km_hta_pdv]:[longueur_km_hta_pdv]]))</f>
        <v>7.08</v>
      </c>
      <c r="AR145" s="436" cm="1">
        <f t="array" ref="AR145">SUMPRODUCT((pat_tech_hta_11[[client]:[client]]=syndicat_etude)*(pat_tech_hta_11[[annee]:[annee]]=Exercice[[Exercice N]:[Exercice N]])*(pat_tech_hta_11[[Annee de Construction]:[Annee de Construction]]=AR$53)*(pat_tech_hta_11[[Type de traitement PDV]:[Type de traitement PDV]]="Traité (immobilisé)")*(pat_tech_hta_11[[longueur_km_hta_pdv]:[longueur_km_hta_pdv]]))</f>
        <v>7.68</v>
      </c>
      <c r="AS145" s="436" cm="1">
        <f t="array" ref="AS145">SUMPRODUCT((pat_tech_hta_11[[client]:[client]]=syndicat_etude)*(pat_tech_hta_11[[annee]:[annee]]=Exercice[[Exercice N]:[Exercice N]])*(pat_tech_hta_11[[Annee de Construction]:[Annee de Construction]]=AS$53)*(pat_tech_hta_11[[Type de traitement PDV]:[Type de traitement PDV]]="Traité (immobilisé)")*(pat_tech_hta_11[[longueur_km_hta_pdv]:[longueur_km_hta_pdv]]))</f>
        <v>12.51</v>
      </c>
      <c r="AT145" s="436" cm="1">
        <f t="array" ref="AT145">SUMPRODUCT((pat_tech_hta_11[[client]:[client]]=syndicat_etude)*(pat_tech_hta_11[[annee]:[annee]]=Exercice[[Exercice N]:[Exercice N]])*(pat_tech_hta_11[[Annee de Construction]:[Annee de Construction]]=AT$53)*(pat_tech_hta_11[[Type de traitement PDV]:[Type de traitement PDV]]="Traité (immobilisé)")*(pat_tech_hta_11[[longueur_km_hta_pdv]:[longueur_km_hta_pdv]]))</f>
        <v>8.41</v>
      </c>
      <c r="AU145" s="436" cm="1">
        <f t="array" ref="AU145">SUMPRODUCT((pat_tech_hta_11[[client]:[client]]=syndicat_etude)*(pat_tech_hta_11[[annee]:[annee]]=Exercice[[Exercice N]:[Exercice N]])*(pat_tech_hta_11[[Annee de Construction]:[Annee de Construction]]=AU$53)*(pat_tech_hta_11[[Type de traitement PDV]:[Type de traitement PDV]]="Traité (immobilisé)")*(pat_tech_hta_11[[longueur_km_hta_pdv]:[longueur_km_hta_pdv]]))</f>
        <v>9.15</v>
      </c>
      <c r="AV145" s="436" cm="1">
        <f t="array" ref="AV145">SUMPRODUCT((pat_tech_hta_11[[client]:[client]]=syndicat_etude)*(pat_tech_hta_11[[annee]:[annee]]=Exercice[[Exercice N]:[Exercice N]])*(pat_tech_hta_11[[Annee de Construction]:[Annee de Construction]]=AV$53)*(pat_tech_hta_11[[Type de traitement PDV]:[Type de traitement PDV]]="Traité (immobilisé)")*(pat_tech_hta_11[[longueur_km_hta_pdv]:[longueur_km_hta_pdv]]))</f>
        <v>4.28</v>
      </c>
      <c r="AW145" s="436" cm="1">
        <f t="array" ref="AW145">SUMPRODUCT((pat_tech_hta_11[[client]:[client]]=syndicat_etude)*(pat_tech_hta_11[[annee]:[annee]]=Exercice[[Exercice N]:[Exercice N]])*(pat_tech_hta_11[[Annee de Construction]:[Annee de Construction]]=AW$53)*(pat_tech_hta_11[[Type de traitement PDV]:[Type de traitement PDV]]="Traité (immobilisé)")*(pat_tech_hta_11[[longueur_km_hta_pdv]:[longueur_km_hta_pdv]]))</f>
        <v>3.21</v>
      </c>
      <c r="AX145" s="436" cm="1">
        <f t="array" ref="AX145">SUMPRODUCT((pat_tech_hta_11[[client]:[client]]=syndicat_etude)*(pat_tech_hta_11[[annee]:[annee]]=Exercice[[Exercice N]:[Exercice N]])*(pat_tech_hta_11[[Annee de Construction]:[Annee de Construction]]=AX$53)*(pat_tech_hta_11[[Type de traitement PDV]:[Type de traitement PDV]]="Traité (immobilisé)")*(pat_tech_hta_11[[longueur_km_hta_pdv]:[longueur_km_hta_pdv]]))</f>
        <v>2.12</v>
      </c>
      <c r="AY145" s="436" cm="1">
        <f t="array" ref="AY145">SUMPRODUCT((pat_tech_hta_11[[client]:[client]]=syndicat_etude)*(pat_tech_hta_11[[annee]:[annee]]=Exercice[[Exercice N]:[Exercice N]])*(pat_tech_hta_11[[Annee de Construction]:[Annee de Construction]]=AY$53)*(pat_tech_hta_11[[Type de traitement PDV]:[Type de traitement PDV]]="Traité (immobilisé)")*(pat_tech_hta_11[[longueur_km_hta_pdv]:[longueur_km_hta_pdv]]))</f>
        <v>5.95</v>
      </c>
      <c r="AZ145" s="436" cm="1">
        <f t="array" ref="AZ145">SUMPRODUCT((pat_tech_hta_11[[client]:[client]]=syndicat_etude)*(pat_tech_hta_11[[annee]:[annee]]=Exercice[[Exercice N]:[Exercice N]])*(pat_tech_hta_11[[Annee de Construction]:[Annee de Construction]]=AZ$53)*(pat_tech_hta_11[[Type de traitement PDV]:[Type de traitement PDV]]="Traité (immobilisé)")*(pat_tech_hta_11[[longueur_km_hta_pdv]:[longueur_km_hta_pdv]]))</f>
        <v>0.09</v>
      </c>
      <c r="BA145" s="436" cm="1">
        <f t="array" ref="BA145">SUMPRODUCT((pat_tech_hta_11[[client]:[client]]=syndicat_etude)*(pat_tech_hta_11[[annee]:[annee]]=Exercice[[Exercice N]:[Exercice N]])*(pat_tech_hta_11[[Annee de Construction]:[Annee de Construction]]=BA$53)*(pat_tech_hta_11[[Type de traitement PDV]:[Type de traitement PDV]]="Traité (immobilisé)")*(pat_tech_hta_11[[longueur_km_hta_pdv]:[longueur_km_hta_pdv]]))</f>
        <v>0.03</v>
      </c>
      <c r="BB145" s="436" cm="1">
        <f t="array" ref="BB145">SUMPRODUCT((pat_tech_hta_11[[client]:[client]]=syndicat_etude)*(pat_tech_hta_11[[annee]:[annee]]=Exercice[[Exercice N]:[Exercice N]])*(pat_tech_hta_11[[Annee de Construction]:[Annee de Construction]]=BB$53)*(pat_tech_hta_11[[Type de traitement PDV]:[Type de traitement PDV]]="Traité (immobilisé)")*(pat_tech_hta_11[[longueur_km_hta_pdv]:[longueur_km_hta_pdv]]))</f>
        <v>0.01</v>
      </c>
      <c r="BC145" s="436" cm="1">
        <f t="array" ref="BC145">SUMPRODUCT((pat_tech_hta_11[[client]:[client]]=syndicat_etude)*(pat_tech_hta_11[[annee]:[annee]]=Exercice[[Exercice N]:[Exercice N]])*(pat_tech_hta_11[[Annee de Construction]:[Annee de Construction]]=BC$53)*(pat_tech_hta_11[[Type de traitement PDV]:[Type de traitement PDV]]="Traité (immobilisé)")*(pat_tech_hta_11[[longueur_km_hta_pdv]:[longueur_km_hta_pdv]]))</f>
        <v>0</v>
      </c>
      <c r="BD145" s="436" cm="1">
        <f t="array" ref="BD145">SUMPRODUCT((pat_tech_hta_11[[client]:[client]]=syndicat_etude)*(pat_tech_hta_11[[annee]:[annee]]=Exercice[[Exercice N]:[Exercice N]])*(pat_tech_hta_11[[Annee de Construction]:[Annee de Construction]]=BD$53)*(pat_tech_hta_11[[Type de traitement PDV]:[Type de traitement PDV]]="Traité (immobilisé)")*(pat_tech_hta_11[[longueur_km_hta_pdv]:[longueur_km_hta_pdv]]))</f>
        <v>0.52</v>
      </c>
      <c r="BE145" s="436" cm="1">
        <f t="array" ref="BE145">SUMPRODUCT((pat_tech_hta_11[[client]:[client]]=syndicat_etude)*(pat_tech_hta_11[[annee]:[annee]]=Exercice[[Exercice N]:[Exercice N]])*(pat_tech_hta_11[[Annee de Construction]:[Annee de Construction]]=BE$53)*(pat_tech_hta_11[[Type de traitement PDV]:[Type de traitement PDV]]="Traité (immobilisé)")*(pat_tech_hta_11[[longueur_km_hta_pdv]:[longueur_km_hta_pdv]]))</f>
        <v>1.1599999999999999</v>
      </c>
      <c r="BF145" s="436" cm="1">
        <f t="array" ref="BF145">SUMPRODUCT((pat_tech_hta_11[[client]:[client]]=syndicat_etude)*(pat_tech_hta_11[[annee]:[annee]]=Exercice[[Exercice N]:[Exercice N]])*(pat_tech_hta_11[[Annee de Construction]:[Annee de Construction]]=BF$53)*(pat_tech_hta_11[[Type de traitement PDV]:[Type de traitement PDV]]="Traité (immobilisé)")*(pat_tech_hta_11[[longueur_km_hta_pdv]:[longueur_km_hta_pdv]]))</f>
        <v>0</v>
      </c>
      <c r="BG145" s="436" cm="1">
        <f t="array" ref="BG145">SUMPRODUCT((pat_tech_hta_11[[client]:[client]]=syndicat_etude)*(pat_tech_hta_11[[annee]:[annee]]=Exercice[[Exercice N]:[Exercice N]])*(pat_tech_hta_11[[Annee de Construction]:[Annee de Construction]]=BG$53)*(pat_tech_hta_11[[Type de traitement PDV]:[Type de traitement PDV]]="Traité (immobilisé)")*(pat_tech_hta_11[[longueur_km_hta_pdv]:[longueur_km_hta_pdv]]))</f>
        <v>0.89</v>
      </c>
      <c r="BH145" s="436" cm="1">
        <f t="array" ref="BH145">SUMPRODUCT((pat_tech_hta_11[[client]:[client]]=syndicat_etude)*(pat_tech_hta_11[[annee]:[annee]]=Exercice[[Exercice N]:[Exercice N]])*(pat_tech_hta_11[[Annee de Construction]:[Annee de Construction]]=BH$53)*(pat_tech_hta_11[[Type de traitement PDV]:[Type de traitement PDV]]="Traité (immobilisé)")*(pat_tech_hta_11[[longueur_km_hta_pdv]:[longueur_km_hta_pdv]]))</f>
        <v>0</v>
      </c>
      <c r="BI145" s="436" cm="1">
        <f t="array" ref="BI145">SUMPRODUCT((pat_tech_hta_11[[client]:[client]]=syndicat_etude)*(pat_tech_hta_11[[annee]:[annee]]=Exercice[[Exercice N]:[Exercice N]])*(pat_tech_hta_11[[Annee de Construction]:[Annee de Construction]]=BI$53)*(pat_tech_hta_11[[Type de traitement PDV]:[Type de traitement PDV]]="Traité (immobilisé)")*(pat_tech_hta_11[[longueur_km_hta_pdv]:[longueur_km_hta_pdv]]))</f>
        <v>0</v>
      </c>
      <c r="BJ145" s="436" cm="1">
        <f t="array" ref="BJ145">SUMPRODUCT((pat_tech_hta_11[[client]:[client]]=syndicat_etude)*(pat_tech_hta_11[[annee]:[annee]]=Exercice[[Exercice N]:[Exercice N]])*(pat_tech_hta_11[[Annee de Construction]:[Annee de Construction]]=BJ$53)*(pat_tech_hta_11[[Type de traitement PDV]:[Type de traitement PDV]]="Traité (immobilisé)")*(pat_tech_hta_11[[longueur_km_hta_pdv]:[longueur_km_hta_pdv]]))</f>
        <v>0</v>
      </c>
      <c r="BK145" s="436" cm="1">
        <f t="array" ref="BK145">SUMPRODUCT((pat_tech_hta_11[[client]:[client]]=syndicat_etude)*(pat_tech_hta_11[[annee]:[annee]]=Exercice[[Exercice N]:[Exercice N]])*(pat_tech_hta_11[[Annee de Construction]:[Annee de Construction]]=BK$53)*(pat_tech_hta_11[[Type de traitement PDV]:[Type de traitement PDV]]="Traité (immobilisé)")*(pat_tech_hta_11[[longueur_km_hta_pdv]:[longueur_km_hta_pdv]]))</f>
        <v>0</v>
      </c>
      <c r="BL145" s="436" cm="1">
        <f t="array" ref="BL145">SUMPRODUCT((pat_tech_hta_11[[client]:[client]]=syndicat_etude)*(pat_tech_hta_11[[annee]:[annee]]=Exercice[[Exercice N]:[Exercice N]])*(pat_tech_hta_11[[Annee de Construction]:[Annee de Construction]]=BL$53)*(pat_tech_hta_11[[Type de traitement PDV]:[Type de traitement PDV]]="Traité (immobilisé)")*(pat_tech_hta_11[[longueur_km_hta_pdv]:[longueur_km_hta_pdv]]))</f>
        <v>0</v>
      </c>
      <c r="BM145" s="436" cm="1">
        <f t="array" ref="BM145">SUMPRODUCT((pat_tech_hta_11[[client]:[client]]=syndicat_etude)*(pat_tech_hta_11[[annee]:[annee]]=Exercice[[Exercice N]:[Exercice N]])*(pat_tech_hta_11[[Annee de Construction]:[Annee de Construction]]=BM$53)*(pat_tech_hta_11[[Type de traitement PDV]:[Type de traitement PDV]]="Traité (immobilisé)")*(pat_tech_hta_11[[longueur_km_hta_pdv]:[longueur_km_hta_pdv]]))</f>
        <v>0</v>
      </c>
      <c r="BN145" s="436" cm="1">
        <f t="array" ref="BN145">SUMPRODUCT((pat_tech_hta_11[[client]:[client]]=syndicat_etude)*(pat_tech_hta_11[[annee]:[annee]]=Exercice[[Exercice N]:[Exercice N]])*(pat_tech_hta_11[[Annee de Construction]:[Annee de Construction]]=BN$53)*(pat_tech_hta_11[[Type de traitement PDV]:[Type de traitement PDV]]="Traité (immobilisé)")*(pat_tech_hta_11[[longueur_km_hta_pdv]:[longueur_km_hta_pdv]]))</f>
        <v>0.04</v>
      </c>
      <c r="BO145" s="436" cm="1">
        <f t="array" ref="BO145">SUMPRODUCT((pat_tech_hta_11[[client]:[client]]=syndicat_etude)*(pat_tech_hta_11[[annee]:[annee]]=Exercice[[Exercice N]:[Exercice N]])*(pat_tech_hta_11[[Annee de Construction]:[Annee de Construction]]=BO$53)*(pat_tech_hta_11[[Type de traitement PDV]:[Type de traitement PDV]]="Traité (immobilisé)")*(pat_tech_hta_11[[longueur_km_hta_pdv]:[longueur_km_hta_pdv]]))</f>
        <v>0</v>
      </c>
      <c r="BP145" s="436" cm="1">
        <f t="array" ref="BP145">SUMPRODUCT((pat_tech_hta_11[[client]:[client]]=syndicat_etude)*(pat_tech_hta_11[[annee]:[annee]]=Exercice[[Exercice N]:[Exercice N]])*(pat_tech_hta_11[[Annee de Construction]:[Annee de Construction]]=BP$53)*(pat_tech_hta_11[[Type de traitement PDV]:[Type de traitement PDV]]="Traité (immobilisé)")*(pat_tech_hta_11[[longueur_km_hta_pdv]:[longueur_km_hta_pdv]]))</f>
        <v>0</v>
      </c>
      <c r="BQ145" s="436" cm="1">
        <f t="array" ref="BQ145">SUMPRODUCT((pat_tech_hta_11[[client]:[client]]=syndicat_etude)*(pat_tech_hta_11[[annee]:[annee]]=Exercice[[Exercice N]:[Exercice N]])*(pat_tech_hta_11[[Annee de Construction]:[Annee de Construction]]=BQ$53)*(pat_tech_hta_11[[Type de traitement PDV]:[Type de traitement PDV]]="Traité (immobilisé)")*(pat_tech_hta_11[[longueur_km_hta_pdv]:[longueur_km_hta_pdv]]))</f>
        <v>0</v>
      </c>
      <c r="BR145" s="436" cm="1">
        <f t="array" ref="BR145">SUMPRODUCT((pat_tech_hta_11[[client]:[client]]=syndicat_etude)*(pat_tech_hta_11[[annee]:[annee]]=Exercice[[Exercice N]:[Exercice N]])*(pat_tech_hta_11[[Annee de Construction]:[Annee de Construction]]=BR$53)*(pat_tech_hta_11[[Type de traitement PDV]:[Type de traitement PDV]]="Traité (immobilisé)")*(pat_tech_hta_11[[longueur_km_hta_pdv]:[longueur_km_hta_pdv]]))</f>
        <v>0</v>
      </c>
      <c r="BS145" s="436" cm="1">
        <f t="array" ref="BS145">SUMPRODUCT((pat_tech_hta_11[[client]:[client]]=syndicat_etude)*(pat_tech_hta_11[[annee]:[annee]]=Exercice[[Exercice N]:[Exercice N]])*(pat_tech_hta_11[[Annee de Construction]:[Annee de Construction]]=BS$53)*(pat_tech_hta_11[[Type de traitement PDV]:[Type de traitement PDV]]="Traité (immobilisé)")*(pat_tech_hta_11[[longueur_km_hta_pdv]:[longueur_km_hta_pdv]]))</f>
        <v>0</v>
      </c>
      <c r="BT145" s="436" cm="1">
        <f t="array" ref="BT145">SUMPRODUCT((pat_tech_hta_11[[client]:[client]]=syndicat_etude)*(pat_tech_hta_11[[annee]:[annee]]=Exercice[[Exercice N]:[Exercice N]])*(pat_tech_hta_11[[Annee de Construction]:[Annee de Construction]]=BT$53)*(pat_tech_hta_11[[Type de traitement PDV]:[Type de traitement PDV]]="Traité (immobilisé)")*(pat_tech_hta_11[[longueur_km_hta_pdv]:[longueur_km_hta_pdv]]))</f>
        <v>0</v>
      </c>
      <c r="BU145" s="436" cm="1">
        <f t="array" ref="BU145">SUMPRODUCT((pat_tech_hta_11[[client]:[client]]=syndicat_etude)*(pat_tech_hta_11[[annee]:[annee]]=Exercice[[Exercice N]:[Exercice N]])*(pat_tech_hta_11[[Annee de Construction]:[Annee de Construction]]=BU$53)*(pat_tech_hta_11[[Type de traitement PDV]:[Type de traitement PDV]]="Traité (immobilisé)")*(pat_tech_hta_11[[longueur_km_hta_pdv]:[longueur_km_hta_pdv]]))</f>
        <v>0</v>
      </c>
      <c r="BV145" s="436" cm="1">
        <f t="array" ref="BV145">SUMPRODUCT((pat_tech_hta_11[[client]:[client]]=syndicat_etude)*(pat_tech_hta_11[[annee]:[annee]]=Exercice[[Exercice N]:[Exercice N]])*(pat_tech_hta_11[[Annee de Construction]:[Annee de Construction]]=BV$53)*(pat_tech_hta_11[[Type de traitement PDV]:[Type de traitement PDV]]="Traité (immobilisé)")*(pat_tech_hta_11[[longueur_km_hta_pdv]:[longueur_km_hta_pdv]]))</f>
        <v>0</v>
      </c>
      <c r="BW145" s="436" cm="1">
        <f t="array" ref="BW145">SUMPRODUCT((pat_tech_hta_11[[client]:[client]]=syndicat_etude)*(pat_tech_hta_11[[annee]:[annee]]=Exercice[[Exercice N]:[Exercice N]])*(pat_tech_hta_11[[Annee de Construction]:[Annee de Construction]]=BW$53)*(pat_tech_hta_11[[Type de traitement PDV]:[Type de traitement PDV]]="Traité (immobilisé)")*(pat_tech_hta_11[[longueur_km_hta_pdv]:[longueur_km_hta_pdv]]))</f>
        <v>0</v>
      </c>
      <c r="BX145" s="436" cm="1">
        <f t="array" ref="BX145">SUMPRODUCT((pat_tech_hta_11[[client]:[client]]=syndicat_etude)*(pat_tech_hta_11[[annee]:[annee]]=Exercice[[Exercice N]:[Exercice N]])*(pat_tech_hta_11[[Annee de Construction]:[Annee de Construction]]=BX$53)*(pat_tech_hta_11[[Type de traitement PDV]:[Type de traitement PDV]]="Traité (immobilisé)")*(pat_tech_hta_11[[longueur_km_hta_pdv]:[longueur_km_hta_pdv]]))</f>
        <v>0</v>
      </c>
      <c r="BY145" s="436" cm="1">
        <f t="array" ref="BY145">SUMPRODUCT((pat_tech_hta_11[[client]:[client]]=syndicat_etude)*(pat_tech_hta_11[[annee]:[annee]]=Exercice[[Exercice N]:[Exercice N]])*(pat_tech_hta_11[[Annee de Construction]:[Annee de Construction]]=BY$53)*(pat_tech_hta_11[[Type de traitement PDV]:[Type de traitement PDV]]="Traité (immobilisé)")*(pat_tech_hta_11[[longueur_km_hta_pdv]:[longueur_km_hta_pdv]]))</f>
        <v>0</v>
      </c>
      <c r="BZ145" s="436" cm="1">
        <f t="array" ref="BZ145">SUMPRODUCT((pat_tech_hta_11[[client]:[client]]=syndicat_etude)*(pat_tech_hta_11[[annee]:[annee]]=Exercice[[Exercice N]:[Exercice N]])*(pat_tech_hta_11[[Annee de Construction]:[Annee de Construction]]=BZ$53)*(pat_tech_hta_11[[Type de traitement PDV]:[Type de traitement PDV]]="Traité (immobilisé)")*(pat_tech_hta_11[[longueur_km_hta_pdv]:[longueur_km_hta_pdv]]))</f>
        <v>0</v>
      </c>
      <c r="CA145" s="436" cm="1">
        <f t="array" ref="CA145">SUMPRODUCT((pat_tech_hta_11[[client]:[client]]=syndicat_etude)*(pat_tech_hta_11[[annee]:[annee]]=Exercice[[Exercice N]:[Exercice N]])*(pat_tech_hta_11[[Annee de Construction]:[Annee de Construction]]=CA$53)*(pat_tech_hta_11[[Type de traitement PDV]:[Type de traitement PDV]]="Traité (immobilisé)")*(pat_tech_hta_11[[longueur_km_hta_pdv]:[longueur_km_hta_pdv]]))</f>
        <v>0</v>
      </c>
      <c r="CB145" s="436" cm="1">
        <f t="array" ref="CB145">SUMPRODUCT((pat_tech_hta_11[[client]:[client]]=syndicat_etude)*(pat_tech_hta_11[[annee]:[annee]]=Exercice[[Exercice N]:[Exercice N]])*(pat_tech_hta_11[[Annee de Construction]:[Annee de Construction]]=CB$53)*(pat_tech_hta_11[[Type de traitement PDV]:[Type de traitement PDV]]="Traité (immobilisé)")*(pat_tech_hta_11[[longueur_km_hta_pdv]:[longueur_km_hta_pdv]]))</f>
        <v>0</v>
      </c>
      <c r="CC145" s="437" cm="1">
        <f t="array" ref="CC145">SUMPRODUCT((pat_tech_hta_11[[client]:[client]]=syndicat_etude)*(pat_tech_hta_11[[annee]:[annee]]=Exercice[[Exercice N]:[Exercice N]])*(pat_tech_hta_11[[Annee de Construction]:[Annee de Construction]]=CC$53)*(pat_tech_hta_11[[Type de traitement PDV]:[Type de traitement PDV]]="Traité (immobilisé)")*(pat_tech_hta_11[[longueur_km_hta_pdv]:[longueur_km_hta_pdv]]))</f>
        <v>0</v>
      </c>
      <c r="CD145" s="407"/>
      <c r="CE145" s="407"/>
      <c r="CF145" s="407"/>
    </row>
    <row r="146" spans="2:84" x14ac:dyDescent="0.25">
      <c r="B146" s="433" t="s">
        <v>1199</v>
      </c>
      <c r="C146" s="438" cm="1">
        <f t="array" ref="C146">SUMPRODUCT((pat_tech_hta_11[[client]:[client]]=syndicat_etude)*(pat_tech_hta_11[[annee]:[annee]]=Exercice[[Exercice N]:[Exercice N]])*(pat_tech_hta_11[[Annee de Construction]:[Annee de Construction]]=C$53)*(pat_tech_hta_11[[Type de traitement PDV]:[Type de traitement PDV]]="Fiabilisé")*(pat_tech_hta_11[[longueur_km_hta_pdv]:[longueur_km_hta_pdv]]))</f>
        <v>0</v>
      </c>
      <c r="D146" s="438" cm="1">
        <f t="array" ref="D146">SUMPRODUCT((pat_tech_hta_11[[client]:[client]]=syndicat_etude)*(pat_tech_hta_11[[annee]:[annee]]=Exercice[[Exercice N]:[Exercice N]])*(pat_tech_hta_11[[Annee de Construction]:[Annee de Construction]]=D$53)*(pat_tech_hta_11[[Type de traitement PDV]:[Type de traitement PDV]]="Fiabilisé")*(pat_tech_hta_11[[longueur_km_hta_pdv]:[longueur_km_hta_pdv]]))</f>
        <v>0</v>
      </c>
      <c r="E146" s="438" cm="1">
        <f t="array" ref="E146">SUMPRODUCT((pat_tech_hta_11[[client]:[client]]=syndicat_etude)*(pat_tech_hta_11[[annee]:[annee]]=Exercice[[Exercice N]:[Exercice N]])*(pat_tech_hta_11[[Annee de Construction]:[Annee de Construction]]=E$53)*(pat_tech_hta_11[[Type de traitement PDV]:[Type de traitement PDV]]="Fiabilisé")*(pat_tech_hta_11[[longueur_km_hta_pdv]:[longueur_km_hta_pdv]]))</f>
        <v>0</v>
      </c>
      <c r="F146" s="438" cm="1">
        <f t="array" ref="F146">SUMPRODUCT((pat_tech_hta_11[[client]:[client]]=syndicat_etude)*(pat_tech_hta_11[[annee]:[annee]]=Exercice[[Exercice N]:[Exercice N]])*(pat_tech_hta_11[[Annee de Construction]:[Annee de Construction]]=F$53)*(pat_tech_hta_11[[Type de traitement PDV]:[Type de traitement PDV]]="Fiabilisé")*(pat_tech_hta_11[[longueur_km_hta_pdv]:[longueur_km_hta_pdv]]))</f>
        <v>0</v>
      </c>
      <c r="G146" s="438" cm="1">
        <f t="array" ref="G146">SUMPRODUCT((pat_tech_hta_11[[client]:[client]]=syndicat_etude)*(pat_tech_hta_11[[annee]:[annee]]=Exercice[[Exercice N]:[Exercice N]])*(pat_tech_hta_11[[Annee de Construction]:[Annee de Construction]]=G$53)*(pat_tech_hta_11[[Type de traitement PDV]:[Type de traitement PDV]]="Fiabilisé")*(pat_tech_hta_11[[longueur_km_hta_pdv]:[longueur_km_hta_pdv]]))</f>
        <v>0</v>
      </c>
      <c r="H146" s="438" cm="1">
        <f t="array" ref="H146">SUMPRODUCT((pat_tech_hta_11[[client]:[client]]=syndicat_etude)*(pat_tech_hta_11[[annee]:[annee]]=Exercice[[Exercice N]:[Exercice N]])*(pat_tech_hta_11[[Annee de Construction]:[Annee de Construction]]=H$53)*(pat_tech_hta_11[[Type de traitement PDV]:[Type de traitement PDV]]="Fiabilisé")*(pat_tech_hta_11[[longueur_km_hta_pdv]:[longueur_km_hta_pdv]]))</f>
        <v>0</v>
      </c>
      <c r="I146" s="438" cm="1">
        <f t="array" ref="I146">SUMPRODUCT((pat_tech_hta_11[[client]:[client]]=syndicat_etude)*(pat_tech_hta_11[[annee]:[annee]]=Exercice[[Exercice N]:[Exercice N]])*(pat_tech_hta_11[[Annee de Construction]:[Annee de Construction]]=I$53)*(pat_tech_hta_11[[Type de traitement PDV]:[Type de traitement PDV]]="Fiabilisé")*(pat_tech_hta_11[[longueur_km_hta_pdv]:[longueur_km_hta_pdv]]))</f>
        <v>0</v>
      </c>
      <c r="J146" s="438" cm="1">
        <f t="array" ref="J146">SUMPRODUCT((pat_tech_hta_11[[client]:[client]]=syndicat_etude)*(pat_tech_hta_11[[annee]:[annee]]=Exercice[[Exercice N]:[Exercice N]])*(pat_tech_hta_11[[Annee de Construction]:[Annee de Construction]]=J$53)*(pat_tech_hta_11[[Type de traitement PDV]:[Type de traitement PDV]]="Fiabilisé")*(pat_tech_hta_11[[longueur_km_hta_pdv]:[longueur_km_hta_pdv]]))</f>
        <v>0</v>
      </c>
      <c r="K146" s="438" cm="1">
        <f t="array" ref="K146">SUMPRODUCT((pat_tech_hta_11[[client]:[client]]=syndicat_etude)*(pat_tech_hta_11[[annee]:[annee]]=Exercice[[Exercice N]:[Exercice N]])*(pat_tech_hta_11[[Annee de Construction]:[Annee de Construction]]=K$53)*(pat_tech_hta_11[[Type de traitement PDV]:[Type de traitement PDV]]="Fiabilisé")*(pat_tech_hta_11[[longueur_km_hta_pdv]:[longueur_km_hta_pdv]]))</f>
        <v>0</v>
      </c>
      <c r="L146" s="438" cm="1">
        <f t="array" ref="L146">SUMPRODUCT((pat_tech_hta_11[[client]:[client]]=syndicat_etude)*(pat_tech_hta_11[[annee]:[annee]]=Exercice[[Exercice N]:[Exercice N]])*(pat_tech_hta_11[[Annee de Construction]:[Annee de Construction]]=L$53)*(pat_tech_hta_11[[Type de traitement PDV]:[Type de traitement PDV]]="Fiabilisé")*(pat_tech_hta_11[[longueur_km_hta_pdv]:[longueur_km_hta_pdv]]))</f>
        <v>0</v>
      </c>
      <c r="M146" s="438" cm="1">
        <f t="array" ref="M146">SUMPRODUCT((pat_tech_hta_11[[client]:[client]]=syndicat_etude)*(pat_tech_hta_11[[annee]:[annee]]=Exercice[[Exercice N]:[Exercice N]])*(pat_tech_hta_11[[Annee de Construction]:[Annee de Construction]]=M$53)*(pat_tech_hta_11[[Type de traitement PDV]:[Type de traitement PDV]]="Fiabilisé")*(pat_tech_hta_11[[longueur_km_hta_pdv]:[longueur_km_hta_pdv]]))</f>
        <v>0</v>
      </c>
      <c r="N146" s="438" cm="1">
        <f t="array" ref="N146">SUMPRODUCT((pat_tech_hta_11[[client]:[client]]=syndicat_etude)*(pat_tech_hta_11[[annee]:[annee]]=Exercice[[Exercice N]:[Exercice N]])*(pat_tech_hta_11[[Annee de Construction]:[Annee de Construction]]=N$53)*(pat_tech_hta_11[[Type de traitement PDV]:[Type de traitement PDV]]="Fiabilisé")*(pat_tech_hta_11[[longueur_km_hta_pdv]:[longueur_km_hta_pdv]]))</f>
        <v>0</v>
      </c>
      <c r="O146" s="438" cm="1">
        <f t="array" ref="O146">SUMPRODUCT((pat_tech_hta_11[[client]:[client]]=syndicat_etude)*(pat_tech_hta_11[[annee]:[annee]]=Exercice[[Exercice N]:[Exercice N]])*(pat_tech_hta_11[[Annee de Construction]:[Annee de Construction]]=O$53)*(pat_tech_hta_11[[Type de traitement PDV]:[Type de traitement PDV]]="Fiabilisé")*(pat_tech_hta_11[[longueur_km_hta_pdv]:[longueur_km_hta_pdv]]))</f>
        <v>0</v>
      </c>
      <c r="P146" s="438" cm="1">
        <f t="array" ref="P146">SUMPRODUCT((pat_tech_hta_11[[client]:[client]]=syndicat_etude)*(pat_tech_hta_11[[annee]:[annee]]=Exercice[[Exercice N]:[Exercice N]])*(pat_tech_hta_11[[Annee de Construction]:[Annee de Construction]]=P$53)*(pat_tech_hta_11[[Type de traitement PDV]:[Type de traitement PDV]]="Fiabilisé")*(pat_tech_hta_11[[longueur_km_hta_pdv]:[longueur_km_hta_pdv]]))</f>
        <v>0</v>
      </c>
      <c r="Q146" s="438" cm="1">
        <f t="array" ref="Q146">SUMPRODUCT((pat_tech_hta_11[[client]:[client]]=syndicat_etude)*(pat_tech_hta_11[[annee]:[annee]]=Exercice[[Exercice N]:[Exercice N]])*(pat_tech_hta_11[[Annee de Construction]:[Annee de Construction]]=Q$53)*(pat_tech_hta_11[[Type de traitement PDV]:[Type de traitement PDV]]="Fiabilisé")*(pat_tech_hta_11[[longueur_km_hta_pdv]:[longueur_km_hta_pdv]]))</f>
        <v>0</v>
      </c>
      <c r="R146" s="438" cm="1">
        <f t="array" ref="R146">SUMPRODUCT((pat_tech_hta_11[[client]:[client]]=syndicat_etude)*(pat_tech_hta_11[[annee]:[annee]]=Exercice[[Exercice N]:[Exercice N]])*(pat_tech_hta_11[[Annee de Construction]:[Annee de Construction]]=R$53)*(pat_tech_hta_11[[Type de traitement PDV]:[Type de traitement PDV]]="Fiabilisé")*(pat_tech_hta_11[[longueur_km_hta_pdv]:[longueur_km_hta_pdv]]))</f>
        <v>0.11</v>
      </c>
      <c r="S146" s="438" cm="1">
        <f t="array" ref="S146">SUMPRODUCT((pat_tech_hta_11[[client]:[client]]=syndicat_etude)*(pat_tech_hta_11[[annee]:[annee]]=Exercice[[Exercice N]:[Exercice N]])*(pat_tech_hta_11[[Annee de Construction]:[Annee de Construction]]=S$53)*(pat_tech_hta_11[[Type de traitement PDV]:[Type de traitement PDV]]="Fiabilisé")*(pat_tech_hta_11[[longueur_km_hta_pdv]:[longueur_km_hta_pdv]]))</f>
        <v>1.0900000000000001</v>
      </c>
      <c r="T146" s="438" cm="1">
        <f t="array" ref="T146">SUMPRODUCT((pat_tech_hta_11[[client]:[client]]=syndicat_etude)*(pat_tech_hta_11[[annee]:[annee]]=Exercice[[Exercice N]:[Exercice N]])*(pat_tech_hta_11[[Annee de Construction]:[Annee de Construction]]=T$53)*(pat_tech_hta_11[[Type de traitement PDV]:[Type de traitement PDV]]="Fiabilisé")*(pat_tech_hta_11[[longueur_km_hta_pdv]:[longueur_km_hta_pdv]]))</f>
        <v>0.09</v>
      </c>
      <c r="U146" s="438" cm="1">
        <f t="array" ref="U146">SUMPRODUCT((pat_tech_hta_11[[client]:[client]]=syndicat_etude)*(pat_tech_hta_11[[annee]:[annee]]=Exercice[[Exercice N]:[Exercice N]])*(pat_tech_hta_11[[Annee de Construction]:[Annee de Construction]]=U$53)*(pat_tech_hta_11[[Type de traitement PDV]:[Type de traitement PDV]]="Fiabilisé")*(pat_tech_hta_11[[longueur_km_hta_pdv]:[longueur_km_hta_pdv]]))</f>
        <v>0</v>
      </c>
      <c r="V146" s="438" cm="1">
        <f t="array" ref="V146">SUMPRODUCT((pat_tech_hta_11[[client]:[client]]=syndicat_etude)*(pat_tech_hta_11[[annee]:[annee]]=Exercice[[Exercice N]:[Exercice N]])*(pat_tech_hta_11[[Annee de Construction]:[Annee de Construction]]=V$53)*(pat_tech_hta_11[[Type de traitement PDV]:[Type de traitement PDV]]="Fiabilisé")*(pat_tech_hta_11[[longueur_km_hta_pdv]:[longueur_km_hta_pdv]]))</f>
        <v>1.01</v>
      </c>
      <c r="W146" s="438" cm="1">
        <f t="array" ref="W146">SUMPRODUCT((pat_tech_hta_11[[client]:[client]]=syndicat_etude)*(pat_tech_hta_11[[annee]:[annee]]=Exercice[[Exercice N]:[Exercice N]])*(pat_tech_hta_11[[Annee de Construction]:[Annee de Construction]]=W$53)*(pat_tech_hta_11[[Type de traitement PDV]:[Type de traitement PDV]]="Fiabilisé")*(pat_tech_hta_11[[longueur_km_hta_pdv]:[longueur_km_hta_pdv]]))</f>
        <v>0.91</v>
      </c>
      <c r="X146" s="438" cm="1">
        <f t="array" ref="X146">SUMPRODUCT((pat_tech_hta_11[[client]:[client]]=syndicat_etude)*(pat_tech_hta_11[[annee]:[annee]]=Exercice[[Exercice N]:[Exercice N]])*(pat_tech_hta_11[[Annee de Construction]:[Annee de Construction]]=X$53)*(pat_tech_hta_11[[Type de traitement PDV]:[Type de traitement PDV]]="Fiabilisé")*(pat_tech_hta_11[[longueur_km_hta_pdv]:[longueur_km_hta_pdv]]))</f>
        <v>0.11</v>
      </c>
      <c r="Y146" s="438" cm="1">
        <f t="array" ref="Y146">SUMPRODUCT((pat_tech_hta_11[[client]:[client]]=syndicat_etude)*(pat_tech_hta_11[[annee]:[annee]]=Exercice[[Exercice N]:[Exercice N]])*(pat_tech_hta_11[[Annee de Construction]:[Annee de Construction]]=Y$53)*(pat_tech_hta_11[[Type de traitement PDV]:[Type de traitement PDV]]="Fiabilisé")*(pat_tech_hta_11[[longueur_km_hta_pdv]:[longueur_km_hta_pdv]]))</f>
        <v>0.24</v>
      </c>
      <c r="Z146" s="438" cm="1">
        <f t="array" ref="Z146">SUMPRODUCT((pat_tech_hta_11[[client]:[client]]=syndicat_etude)*(pat_tech_hta_11[[annee]:[annee]]=Exercice[[Exercice N]:[Exercice N]])*(pat_tech_hta_11[[Annee de Construction]:[Annee de Construction]]=Z$53)*(pat_tech_hta_11[[Type de traitement PDV]:[Type de traitement PDV]]="Fiabilisé")*(pat_tech_hta_11[[longueur_km_hta_pdv]:[longueur_km_hta_pdv]]))</f>
        <v>0.4</v>
      </c>
      <c r="AA146" s="438" cm="1">
        <f t="array" ref="AA146">SUMPRODUCT((pat_tech_hta_11[[client]:[client]]=syndicat_etude)*(pat_tech_hta_11[[annee]:[annee]]=Exercice[[Exercice N]:[Exercice N]])*(pat_tech_hta_11[[Annee de Construction]:[Annee de Construction]]=AA$53)*(pat_tech_hta_11[[Type de traitement PDV]:[Type de traitement PDV]]="Fiabilisé")*(pat_tech_hta_11[[longueur_km_hta_pdv]:[longueur_km_hta_pdv]]))</f>
        <v>0.08</v>
      </c>
      <c r="AB146" s="438" cm="1">
        <f t="array" ref="AB146">SUMPRODUCT((pat_tech_hta_11[[client]:[client]]=syndicat_etude)*(pat_tech_hta_11[[annee]:[annee]]=Exercice[[Exercice N]:[Exercice N]])*(pat_tech_hta_11[[Annee de Construction]:[Annee de Construction]]=AB$53)*(pat_tech_hta_11[[Type de traitement PDV]:[Type de traitement PDV]]="Fiabilisé")*(pat_tech_hta_11[[longueur_km_hta_pdv]:[longueur_km_hta_pdv]]))</f>
        <v>0.89</v>
      </c>
      <c r="AC146" s="438" cm="1">
        <f t="array" ref="AC146">SUMPRODUCT((pat_tech_hta_11[[client]:[client]]=syndicat_etude)*(pat_tech_hta_11[[annee]:[annee]]=Exercice[[Exercice N]:[Exercice N]])*(pat_tech_hta_11[[Annee de Construction]:[Annee de Construction]]=AC$53)*(pat_tech_hta_11[[Type de traitement PDV]:[Type de traitement PDV]]="Fiabilisé")*(pat_tech_hta_11[[longueur_km_hta_pdv]:[longueur_km_hta_pdv]]))</f>
        <v>4.32</v>
      </c>
      <c r="AD146" s="438" cm="1">
        <f t="array" ref="AD146">SUMPRODUCT((pat_tech_hta_11[[client]:[client]]=syndicat_etude)*(pat_tech_hta_11[[annee]:[annee]]=Exercice[[Exercice N]:[Exercice N]])*(pat_tech_hta_11[[Annee de Construction]:[Annee de Construction]]=AD$53)*(pat_tech_hta_11[[Type de traitement PDV]:[Type de traitement PDV]]="Fiabilisé")*(pat_tech_hta_11[[longueur_km_hta_pdv]:[longueur_km_hta_pdv]]))</f>
        <v>0</v>
      </c>
      <c r="AE146" s="438" cm="1">
        <f t="array" ref="AE146">SUMPRODUCT((pat_tech_hta_11[[client]:[client]]=syndicat_etude)*(pat_tech_hta_11[[annee]:[annee]]=Exercice[[Exercice N]:[Exercice N]])*(pat_tech_hta_11[[Annee de Construction]:[Annee de Construction]]=AE$53)*(pat_tech_hta_11[[Type de traitement PDV]:[Type de traitement PDV]]="Fiabilisé")*(pat_tech_hta_11[[longueur_km_hta_pdv]:[longueur_km_hta_pdv]]))</f>
        <v>0.75</v>
      </c>
      <c r="AF146" s="438" cm="1">
        <f t="array" ref="AF146">SUMPRODUCT((pat_tech_hta_11[[client]:[client]]=syndicat_etude)*(pat_tech_hta_11[[annee]:[annee]]=Exercice[[Exercice N]:[Exercice N]])*(pat_tech_hta_11[[Annee de Construction]:[Annee de Construction]]=AF$53)*(pat_tech_hta_11[[Type de traitement PDV]:[Type de traitement PDV]]="Fiabilisé")*(pat_tech_hta_11[[longueur_km_hta_pdv]:[longueur_km_hta_pdv]]))</f>
        <v>0.1</v>
      </c>
      <c r="AG146" s="438" cm="1">
        <f t="array" ref="AG146">SUMPRODUCT((pat_tech_hta_11[[client]:[client]]=syndicat_etude)*(pat_tech_hta_11[[annee]:[annee]]=Exercice[[Exercice N]:[Exercice N]])*(pat_tech_hta_11[[Annee de Construction]:[Annee de Construction]]=AG$53)*(pat_tech_hta_11[[Type de traitement PDV]:[Type de traitement PDV]]="Fiabilisé")*(pat_tech_hta_11[[longueur_km_hta_pdv]:[longueur_km_hta_pdv]]))</f>
        <v>0.28999999999999998</v>
      </c>
      <c r="AH146" s="438" cm="1">
        <f t="array" ref="AH146">SUMPRODUCT((pat_tech_hta_11[[client]:[client]]=syndicat_etude)*(pat_tech_hta_11[[annee]:[annee]]=Exercice[[Exercice N]:[Exercice N]])*(pat_tech_hta_11[[Annee de Construction]:[Annee de Construction]]=AH$53)*(pat_tech_hta_11[[Type de traitement PDV]:[Type de traitement PDV]]="Fiabilisé")*(pat_tech_hta_11[[longueur_km_hta_pdv]:[longueur_km_hta_pdv]]))</f>
        <v>0.46</v>
      </c>
      <c r="AI146" s="438" cm="1">
        <f t="array" ref="AI146">SUMPRODUCT((pat_tech_hta_11[[client]:[client]]=syndicat_etude)*(pat_tech_hta_11[[annee]:[annee]]=Exercice[[Exercice N]:[Exercice N]])*(pat_tech_hta_11[[Annee de Construction]:[Annee de Construction]]=AI$53)*(pat_tech_hta_11[[Type de traitement PDV]:[Type de traitement PDV]]="Fiabilisé")*(pat_tech_hta_11[[longueur_km_hta_pdv]:[longueur_km_hta_pdv]]))</f>
        <v>0.02</v>
      </c>
      <c r="AJ146" s="438" cm="1">
        <f t="array" ref="AJ146">SUMPRODUCT((pat_tech_hta_11[[client]:[client]]=syndicat_etude)*(pat_tech_hta_11[[annee]:[annee]]=Exercice[[Exercice N]:[Exercice N]])*(pat_tech_hta_11[[Annee de Construction]:[Annee de Construction]]=AJ$53)*(pat_tech_hta_11[[Type de traitement PDV]:[Type de traitement PDV]]="Fiabilisé")*(pat_tech_hta_11[[longueur_km_hta_pdv]:[longueur_km_hta_pdv]]))</f>
        <v>0.46</v>
      </c>
      <c r="AK146" s="438" cm="1">
        <f t="array" ref="AK146">SUMPRODUCT((pat_tech_hta_11[[client]:[client]]=syndicat_etude)*(pat_tech_hta_11[[annee]:[annee]]=Exercice[[Exercice N]:[Exercice N]])*(pat_tech_hta_11[[Annee de Construction]:[Annee de Construction]]=AK$53)*(pat_tech_hta_11[[Type de traitement PDV]:[Type de traitement PDV]]="Fiabilisé")*(pat_tech_hta_11[[longueur_km_hta_pdv]:[longueur_km_hta_pdv]]))</f>
        <v>0.96</v>
      </c>
      <c r="AL146" s="438" cm="1">
        <f t="array" ref="AL146">SUMPRODUCT((pat_tech_hta_11[[client]:[client]]=syndicat_etude)*(pat_tech_hta_11[[annee]:[annee]]=Exercice[[Exercice N]:[Exercice N]])*(pat_tech_hta_11[[Annee de Construction]:[Annee de Construction]]=AL$53)*(pat_tech_hta_11[[Type de traitement PDV]:[Type de traitement PDV]]="Fiabilisé")*(pat_tech_hta_11[[longueur_km_hta_pdv]:[longueur_km_hta_pdv]]))</f>
        <v>0.24</v>
      </c>
      <c r="AM146" s="438" cm="1">
        <f t="array" ref="AM146">SUMPRODUCT((pat_tech_hta_11[[client]:[client]]=syndicat_etude)*(pat_tech_hta_11[[annee]:[annee]]=Exercice[[Exercice N]:[Exercice N]])*(pat_tech_hta_11[[Annee de Construction]:[Annee de Construction]]=AM$53)*(pat_tech_hta_11[[Type de traitement PDV]:[Type de traitement PDV]]="Fiabilisé")*(pat_tech_hta_11[[longueur_km_hta_pdv]:[longueur_km_hta_pdv]]))</f>
        <v>0</v>
      </c>
      <c r="AN146" s="438" cm="1">
        <f t="array" ref="AN146">SUMPRODUCT((pat_tech_hta_11[[client]:[client]]=syndicat_etude)*(pat_tech_hta_11[[annee]:[annee]]=Exercice[[Exercice N]:[Exercice N]])*(pat_tech_hta_11[[Annee de Construction]:[Annee de Construction]]=AN$53)*(pat_tech_hta_11[[Type de traitement PDV]:[Type de traitement PDV]]="Fiabilisé")*(pat_tech_hta_11[[longueur_km_hta_pdv]:[longueur_km_hta_pdv]]))</f>
        <v>3.02</v>
      </c>
      <c r="AO146" s="438" cm="1">
        <f t="array" ref="AO146">SUMPRODUCT((pat_tech_hta_11[[client]:[client]]=syndicat_etude)*(pat_tech_hta_11[[annee]:[annee]]=Exercice[[Exercice N]:[Exercice N]])*(pat_tech_hta_11[[Annee de Construction]:[Annee de Construction]]=AO$53)*(pat_tech_hta_11[[Type de traitement PDV]:[Type de traitement PDV]]="Fiabilisé")*(pat_tech_hta_11[[longueur_km_hta_pdv]:[longueur_km_hta_pdv]]))</f>
        <v>0.01</v>
      </c>
      <c r="AP146" s="438" cm="1">
        <f t="array" ref="AP146">SUMPRODUCT((pat_tech_hta_11[[client]:[client]]=syndicat_etude)*(pat_tech_hta_11[[annee]:[annee]]=Exercice[[Exercice N]:[Exercice N]])*(pat_tech_hta_11[[Annee de Construction]:[Annee de Construction]]=AP$53)*(pat_tech_hta_11[[Type de traitement PDV]:[Type de traitement PDV]]="Fiabilisé")*(pat_tech_hta_11[[longueur_km_hta_pdv]:[longueur_km_hta_pdv]]))</f>
        <v>2.2799999999999998</v>
      </c>
      <c r="AQ146" s="438" cm="1">
        <f t="array" ref="AQ146">SUMPRODUCT((pat_tech_hta_11[[client]:[client]]=syndicat_etude)*(pat_tech_hta_11[[annee]:[annee]]=Exercice[[Exercice N]:[Exercice N]])*(pat_tech_hta_11[[Annee de Construction]:[Annee de Construction]]=AQ$53)*(pat_tech_hta_11[[Type de traitement PDV]:[Type de traitement PDV]]="Fiabilisé")*(pat_tech_hta_11[[longueur_km_hta_pdv]:[longueur_km_hta_pdv]]))</f>
        <v>0.19</v>
      </c>
      <c r="AR146" s="438" cm="1">
        <f t="array" ref="AR146">SUMPRODUCT((pat_tech_hta_11[[client]:[client]]=syndicat_etude)*(pat_tech_hta_11[[annee]:[annee]]=Exercice[[Exercice N]:[Exercice N]])*(pat_tech_hta_11[[Annee de Construction]:[Annee de Construction]]=AR$53)*(pat_tech_hta_11[[Type de traitement PDV]:[Type de traitement PDV]]="Fiabilisé")*(pat_tech_hta_11[[longueur_km_hta_pdv]:[longueur_km_hta_pdv]]))</f>
        <v>0.25</v>
      </c>
      <c r="AS146" s="438" cm="1">
        <f t="array" ref="AS146">SUMPRODUCT((pat_tech_hta_11[[client]:[client]]=syndicat_etude)*(pat_tech_hta_11[[annee]:[annee]]=Exercice[[Exercice N]:[Exercice N]])*(pat_tech_hta_11[[Annee de Construction]:[Annee de Construction]]=AS$53)*(pat_tech_hta_11[[Type de traitement PDV]:[Type de traitement PDV]]="Fiabilisé")*(pat_tech_hta_11[[longueur_km_hta_pdv]:[longueur_km_hta_pdv]]))</f>
        <v>1.21</v>
      </c>
      <c r="AT146" s="438" cm="1">
        <f t="array" ref="AT146">SUMPRODUCT((pat_tech_hta_11[[client]:[client]]=syndicat_etude)*(pat_tech_hta_11[[annee]:[annee]]=Exercice[[Exercice N]:[Exercice N]])*(pat_tech_hta_11[[Annee de Construction]:[Annee de Construction]]=AT$53)*(pat_tech_hta_11[[Type de traitement PDV]:[Type de traitement PDV]]="Fiabilisé")*(pat_tech_hta_11[[longueur_km_hta_pdv]:[longueur_km_hta_pdv]]))</f>
        <v>3</v>
      </c>
      <c r="AU146" s="438" cm="1">
        <f t="array" ref="AU146">SUMPRODUCT((pat_tech_hta_11[[client]:[client]]=syndicat_etude)*(pat_tech_hta_11[[annee]:[annee]]=Exercice[[Exercice N]:[Exercice N]])*(pat_tech_hta_11[[Annee de Construction]:[Annee de Construction]]=AU$53)*(pat_tech_hta_11[[Type de traitement PDV]:[Type de traitement PDV]]="Fiabilisé")*(pat_tech_hta_11[[longueur_km_hta_pdv]:[longueur_km_hta_pdv]]))</f>
        <v>2.92</v>
      </c>
      <c r="AV146" s="438" cm="1">
        <f t="array" ref="AV146">SUMPRODUCT((pat_tech_hta_11[[client]:[client]]=syndicat_etude)*(pat_tech_hta_11[[annee]:[annee]]=Exercice[[Exercice N]:[Exercice N]])*(pat_tech_hta_11[[Annee de Construction]:[Annee de Construction]]=AV$53)*(pat_tech_hta_11[[Type de traitement PDV]:[Type de traitement PDV]]="Fiabilisé")*(pat_tech_hta_11[[longueur_km_hta_pdv]:[longueur_km_hta_pdv]]))</f>
        <v>4.45</v>
      </c>
      <c r="AW146" s="438" cm="1">
        <f t="array" ref="AW146">SUMPRODUCT((pat_tech_hta_11[[client]:[client]]=syndicat_etude)*(pat_tech_hta_11[[annee]:[annee]]=Exercice[[Exercice N]:[Exercice N]])*(pat_tech_hta_11[[Annee de Construction]:[Annee de Construction]]=AW$53)*(pat_tech_hta_11[[Type de traitement PDV]:[Type de traitement PDV]]="Fiabilisé")*(pat_tech_hta_11[[longueur_km_hta_pdv]:[longueur_km_hta_pdv]]))</f>
        <v>3.86</v>
      </c>
      <c r="AX146" s="438" cm="1">
        <f t="array" ref="AX146">SUMPRODUCT((pat_tech_hta_11[[client]:[client]]=syndicat_etude)*(pat_tech_hta_11[[annee]:[annee]]=Exercice[[Exercice N]:[Exercice N]])*(pat_tech_hta_11[[Annee de Construction]:[Annee de Construction]]=AX$53)*(pat_tech_hta_11[[Type de traitement PDV]:[Type de traitement PDV]]="Fiabilisé")*(pat_tech_hta_11[[longueur_km_hta_pdv]:[longueur_km_hta_pdv]]))</f>
        <v>0.48</v>
      </c>
      <c r="AY146" s="438" cm="1">
        <f t="array" ref="AY146">SUMPRODUCT((pat_tech_hta_11[[client]:[client]]=syndicat_etude)*(pat_tech_hta_11[[annee]:[annee]]=Exercice[[Exercice N]:[Exercice N]])*(pat_tech_hta_11[[Annee de Construction]:[Annee de Construction]]=AY$53)*(pat_tech_hta_11[[Type de traitement PDV]:[Type de traitement PDV]]="Fiabilisé")*(pat_tech_hta_11[[longueur_km_hta_pdv]:[longueur_km_hta_pdv]]))</f>
        <v>0.36</v>
      </c>
      <c r="AZ146" s="438" cm="1">
        <f t="array" ref="AZ146">SUMPRODUCT((pat_tech_hta_11[[client]:[client]]=syndicat_etude)*(pat_tech_hta_11[[annee]:[annee]]=Exercice[[Exercice N]:[Exercice N]])*(pat_tech_hta_11[[Annee de Construction]:[Annee de Construction]]=AZ$53)*(pat_tech_hta_11[[Type de traitement PDV]:[Type de traitement PDV]]="Fiabilisé")*(pat_tech_hta_11[[longueur_km_hta_pdv]:[longueur_km_hta_pdv]]))</f>
        <v>0.12</v>
      </c>
      <c r="BA146" s="438" cm="1">
        <f t="array" ref="BA146">SUMPRODUCT((pat_tech_hta_11[[client]:[client]]=syndicat_etude)*(pat_tech_hta_11[[annee]:[annee]]=Exercice[[Exercice N]:[Exercice N]])*(pat_tech_hta_11[[Annee de Construction]:[Annee de Construction]]=BA$53)*(pat_tech_hta_11[[Type de traitement PDV]:[Type de traitement PDV]]="Fiabilisé")*(pat_tech_hta_11[[longueur_km_hta_pdv]:[longueur_km_hta_pdv]]))</f>
        <v>0.14000000000000001</v>
      </c>
      <c r="BB146" s="438" cm="1">
        <f t="array" ref="BB146">SUMPRODUCT((pat_tech_hta_11[[client]:[client]]=syndicat_etude)*(pat_tech_hta_11[[annee]:[annee]]=Exercice[[Exercice N]:[Exercice N]])*(pat_tech_hta_11[[Annee de Construction]:[Annee de Construction]]=BB$53)*(pat_tech_hta_11[[Type de traitement PDV]:[Type de traitement PDV]]="Fiabilisé")*(pat_tech_hta_11[[longueur_km_hta_pdv]:[longueur_km_hta_pdv]]))</f>
        <v>0.83</v>
      </c>
      <c r="BC146" s="438" cm="1">
        <f t="array" ref="BC146">SUMPRODUCT((pat_tech_hta_11[[client]:[client]]=syndicat_etude)*(pat_tech_hta_11[[annee]:[annee]]=Exercice[[Exercice N]:[Exercice N]])*(pat_tech_hta_11[[Annee de Construction]:[Annee de Construction]]=BC$53)*(pat_tech_hta_11[[Type de traitement PDV]:[Type de traitement PDV]]="Fiabilisé")*(pat_tech_hta_11[[longueur_km_hta_pdv]:[longueur_km_hta_pdv]]))</f>
        <v>0.28999999999999998</v>
      </c>
      <c r="BD146" s="438" cm="1">
        <f t="array" ref="BD146">SUMPRODUCT((pat_tech_hta_11[[client]:[client]]=syndicat_etude)*(pat_tech_hta_11[[annee]:[annee]]=Exercice[[Exercice N]:[Exercice N]])*(pat_tech_hta_11[[Annee de Construction]:[Annee de Construction]]=BD$53)*(pat_tech_hta_11[[Type de traitement PDV]:[Type de traitement PDV]]="Fiabilisé")*(pat_tech_hta_11[[longueur_km_hta_pdv]:[longueur_km_hta_pdv]]))</f>
        <v>0.41</v>
      </c>
      <c r="BE146" s="438" cm="1">
        <f t="array" ref="BE146">SUMPRODUCT((pat_tech_hta_11[[client]:[client]]=syndicat_etude)*(pat_tech_hta_11[[annee]:[annee]]=Exercice[[Exercice N]:[Exercice N]])*(pat_tech_hta_11[[Annee de Construction]:[Annee de Construction]]=BE$53)*(pat_tech_hta_11[[Type de traitement PDV]:[Type de traitement PDV]]="Fiabilisé")*(pat_tech_hta_11[[longueur_km_hta_pdv]:[longueur_km_hta_pdv]]))</f>
        <v>1.02</v>
      </c>
      <c r="BF146" s="438" cm="1">
        <f t="array" ref="BF146">SUMPRODUCT((pat_tech_hta_11[[client]:[client]]=syndicat_etude)*(pat_tech_hta_11[[annee]:[annee]]=Exercice[[Exercice N]:[Exercice N]])*(pat_tech_hta_11[[Annee de Construction]:[Annee de Construction]]=BF$53)*(pat_tech_hta_11[[Type de traitement PDV]:[Type de traitement PDV]]="Fiabilisé")*(pat_tech_hta_11[[longueur_km_hta_pdv]:[longueur_km_hta_pdv]]))</f>
        <v>1.78</v>
      </c>
      <c r="BG146" s="438" cm="1">
        <f t="array" ref="BG146">SUMPRODUCT((pat_tech_hta_11[[client]:[client]]=syndicat_etude)*(pat_tech_hta_11[[annee]:[annee]]=Exercice[[Exercice N]:[Exercice N]])*(pat_tech_hta_11[[Annee de Construction]:[Annee de Construction]]=BG$53)*(pat_tech_hta_11[[Type de traitement PDV]:[Type de traitement PDV]]="Fiabilisé")*(pat_tech_hta_11[[longueur_km_hta_pdv]:[longueur_km_hta_pdv]]))</f>
        <v>0.67</v>
      </c>
      <c r="BH146" s="438" cm="1">
        <f t="array" ref="BH146">SUMPRODUCT((pat_tech_hta_11[[client]:[client]]=syndicat_etude)*(pat_tech_hta_11[[annee]:[annee]]=Exercice[[Exercice N]:[Exercice N]])*(pat_tech_hta_11[[Annee de Construction]:[Annee de Construction]]=BH$53)*(pat_tech_hta_11[[Type de traitement PDV]:[Type de traitement PDV]]="Fiabilisé")*(pat_tech_hta_11[[longueur_km_hta_pdv]:[longueur_km_hta_pdv]]))</f>
        <v>0</v>
      </c>
      <c r="BI146" s="438" cm="1">
        <f t="array" ref="BI146">SUMPRODUCT((pat_tech_hta_11[[client]:[client]]=syndicat_etude)*(pat_tech_hta_11[[annee]:[annee]]=Exercice[[Exercice N]:[Exercice N]])*(pat_tech_hta_11[[Annee de Construction]:[Annee de Construction]]=BI$53)*(pat_tech_hta_11[[Type de traitement PDV]:[Type de traitement PDV]]="Fiabilisé")*(pat_tech_hta_11[[longueur_km_hta_pdv]:[longueur_km_hta_pdv]]))</f>
        <v>0.46</v>
      </c>
      <c r="BJ146" s="438" cm="1">
        <f t="array" ref="BJ146">SUMPRODUCT((pat_tech_hta_11[[client]:[client]]=syndicat_etude)*(pat_tech_hta_11[[annee]:[annee]]=Exercice[[Exercice N]:[Exercice N]])*(pat_tech_hta_11[[Annee de Construction]:[Annee de Construction]]=BJ$53)*(pat_tech_hta_11[[Type de traitement PDV]:[Type de traitement PDV]]="Fiabilisé")*(pat_tech_hta_11[[longueur_km_hta_pdv]:[longueur_km_hta_pdv]]))</f>
        <v>0</v>
      </c>
      <c r="BK146" s="438" cm="1">
        <f t="array" ref="BK146">SUMPRODUCT((pat_tech_hta_11[[client]:[client]]=syndicat_etude)*(pat_tech_hta_11[[annee]:[annee]]=Exercice[[Exercice N]:[Exercice N]])*(pat_tech_hta_11[[Annee de Construction]:[Annee de Construction]]=BK$53)*(pat_tech_hta_11[[Type de traitement PDV]:[Type de traitement PDV]]="Fiabilisé")*(pat_tech_hta_11[[longueur_km_hta_pdv]:[longueur_km_hta_pdv]]))</f>
        <v>0</v>
      </c>
      <c r="BL146" s="438" cm="1">
        <f t="array" ref="BL146">SUMPRODUCT((pat_tech_hta_11[[client]:[client]]=syndicat_etude)*(pat_tech_hta_11[[annee]:[annee]]=Exercice[[Exercice N]:[Exercice N]])*(pat_tech_hta_11[[Annee de Construction]:[Annee de Construction]]=BL$53)*(pat_tech_hta_11[[Type de traitement PDV]:[Type de traitement PDV]]="Fiabilisé")*(pat_tech_hta_11[[longueur_km_hta_pdv]:[longueur_km_hta_pdv]]))</f>
        <v>0.23</v>
      </c>
      <c r="BM146" s="438" cm="1">
        <f t="array" ref="BM146">SUMPRODUCT((pat_tech_hta_11[[client]:[client]]=syndicat_etude)*(pat_tech_hta_11[[annee]:[annee]]=Exercice[[Exercice N]:[Exercice N]])*(pat_tech_hta_11[[Annee de Construction]:[Annee de Construction]]=BM$53)*(pat_tech_hta_11[[Type de traitement PDV]:[Type de traitement PDV]]="Fiabilisé")*(pat_tech_hta_11[[longueur_km_hta_pdv]:[longueur_km_hta_pdv]]))</f>
        <v>0.18</v>
      </c>
      <c r="BN146" s="438" cm="1">
        <f t="array" ref="BN146">SUMPRODUCT((pat_tech_hta_11[[client]:[client]]=syndicat_etude)*(pat_tech_hta_11[[annee]:[annee]]=Exercice[[Exercice N]:[Exercice N]])*(pat_tech_hta_11[[Annee de Construction]:[Annee de Construction]]=BN$53)*(pat_tech_hta_11[[Type de traitement PDV]:[Type de traitement PDV]]="Fiabilisé")*(pat_tech_hta_11[[longueur_km_hta_pdv]:[longueur_km_hta_pdv]]))</f>
        <v>0</v>
      </c>
      <c r="BO146" s="438" cm="1">
        <f t="array" ref="BO146">SUMPRODUCT((pat_tech_hta_11[[client]:[client]]=syndicat_etude)*(pat_tech_hta_11[[annee]:[annee]]=Exercice[[Exercice N]:[Exercice N]])*(pat_tech_hta_11[[Annee de Construction]:[Annee de Construction]]=BO$53)*(pat_tech_hta_11[[Type de traitement PDV]:[Type de traitement PDV]]="Fiabilisé")*(pat_tech_hta_11[[longueur_km_hta_pdv]:[longueur_km_hta_pdv]]))</f>
        <v>0</v>
      </c>
      <c r="BP146" s="438" cm="1">
        <f t="array" ref="BP146">SUMPRODUCT((pat_tech_hta_11[[client]:[client]]=syndicat_etude)*(pat_tech_hta_11[[annee]:[annee]]=Exercice[[Exercice N]:[Exercice N]])*(pat_tech_hta_11[[Annee de Construction]:[Annee de Construction]]=BP$53)*(pat_tech_hta_11[[Type de traitement PDV]:[Type de traitement PDV]]="Fiabilisé")*(pat_tech_hta_11[[longueur_km_hta_pdv]:[longueur_km_hta_pdv]]))</f>
        <v>0</v>
      </c>
      <c r="BQ146" s="438" cm="1">
        <f t="array" ref="BQ146">SUMPRODUCT((pat_tech_hta_11[[client]:[client]]=syndicat_etude)*(pat_tech_hta_11[[annee]:[annee]]=Exercice[[Exercice N]:[Exercice N]])*(pat_tech_hta_11[[Annee de Construction]:[Annee de Construction]]=BQ$53)*(pat_tech_hta_11[[Type de traitement PDV]:[Type de traitement PDV]]="Fiabilisé")*(pat_tech_hta_11[[longueur_km_hta_pdv]:[longueur_km_hta_pdv]]))</f>
        <v>0</v>
      </c>
      <c r="BR146" s="438" cm="1">
        <f t="array" ref="BR146">SUMPRODUCT((pat_tech_hta_11[[client]:[client]]=syndicat_etude)*(pat_tech_hta_11[[annee]:[annee]]=Exercice[[Exercice N]:[Exercice N]])*(pat_tech_hta_11[[Annee de Construction]:[Annee de Construction]]=BR$53)*(pat_tech_hta_11[[Type de traitement PDV]:[Type de traitement PDV]]="Fiabilisé")*(pat_tech_hta_11[[longueur_km_hta_pdv]:[longueur_km_hta_pdv]]))</f>
        <v>0</v>
      </c>
      <c r="BS146" s="438" cm="1">
        <f t="array" ref="BS146">SUMPRODUCT((pat_tech_hta_11[[client]:[client]]=syndicat_etude)*(pat_tech_hta_11[[annee]:[annee]]=Exercice[[Exercice N]:[Exercice N]])*(pat_tech_hta_11[[Annee de Construction]:[Annee de Construction]]=BS$53)*(pat_tech_hta_11[[Type de traitement PDV]:[Type de traitement PDV]]="Fiabilisé")*(pat_tech_hta_11[[longueur_km_hta_pdv]:[longueur_km_hta_pdv]]))</f>
        <v>0.01</v>
      </c>
      <c r="BT146" s="438" cm="1">
        <f t="array" ref="BT146">SUMPRODUCT((pat_tech_hta_11[[client]:[client]]=syndicat_etude)*(pat_tech_hta_11[[annee]:[annee]]=Exercice[[Exercice N]:[Exercice N]])*(pat_tech_hta_11[[Annee de Construction]:[Annee de Construction]]=BT$53)*(pat_tech_hta_11[[Type de traitement PDV]:[Type de traitement PDV]]="Fiabilisé")*(pat_tech_hta_11[[longueur_km_hta_pdv]:[longueur_km_hta_pdv]]))</f>
        <v>0</v>
      </c>
      <c r="BU146" s="438" cm="1">
        <f t="array" ref="BU146">SUMPRODUCT((pat_tech_hta_11[[client]:[client]]=syndicat_etude)*(pat_tech_hta_11[[annee]:[annee]]=Exercice[[Exercice N]:[Exercice N]])*(pat_tech_hta_11[[Annee de Construction]:[Annee de Construction]]=BU$53)*(pat_tech_hta_11[[Type de traitement PDV]:[Type de traitement PDV]]="Fiabilisé")*(pat_tech_hta_11[[longueur_km_hta_pdv]:[longueur_km_hta_pdv]]))</f>
        <v>0</v>
      </c>
      <c r="BV146" s="438" cm="1">
        <f t="array" ref="BV146">SUMPRODUCT((pat_tech_hta_11[[client]:[client]]=syndicat_etude)*(pat_tech_hta_11[[annee]:[annee]]=Exercice[[Exercice N]:[Exercice N]])*(pat_tech_hta_11[[Annee de Construction]:[Annee de Construction]]=BV$53)*(pat_tech_hta_11[[Type de traitement PDV]:[Type de traitement PDV]]="Fiabilisé")*(pat_tech_hta_11[[longueur_km_hta_pdv]:[longueur_km_hta_pdv]]))</f>
        <v>0</v>
      </c>
      <c r="BW146" s="438" cm="1">
        <f t="array" ref="BW146">SUMPRODUCT((pat_tech_hta_11[[client]:[client]]=syndicat_etude)*(pat_tech_hta_11[[annee]:[annee]]=Exercice[[Exercice N]:[Exercice N]])*(pat_tech_hta_11[[Annee de Construction]:[Annee de Construction]]=BW$53)*(pat_tech_hta_11[[Type de traitement PDV]:[Type de traitement PDV]]="Fiabilisé")*(pat_tech_hta_11[[longueur_km_hta_pdv]:[longueur_km_hta_pdv]]))</f>
        <v>0</v>
      </c>
      <c r="BX146" s="438" cm="1">
        <f t="array" ref="BX146">SUMPRODUCT((pat_tech_hta_11[[client]:[client]]=syndicat_etude)*(pat_tech_hta_11[[annee]:[annee]]=Exercice[[Exercice N]:[Exercice N]])*(pat_tech_hta_11[[Annee de Construction]:[Annee de Construction]]=BX$53)*(pat_tech_hta_11[[Type de traitement PDV]:[Type de traitement PDV]]="Fiabilisé")*(pat_tech_hta_11[[longueur_km_hta_pdv]:[longueur_km_hta_pdv]]))</f>
        <v>0</v>
      </c>
      <c r="BY146" s="438" cm="1">
        <f t="array" ref="BY146">SUMPRODUCT((pat_tech_hta_11[[client]:[client]]=syndicat_etude)*(pat_tech_hta_11[[annee]:[annee]]=Exercice[[Exercice N]:[Exercice N]])*(pat_tech_hta_11[[Annee de Construction]:[Annee de Construction]]=BY$53)*(pat_tech_hta_11[[Type de traitement PDV]:[Type de traitement PDV]]="Fiabilisé")*(pat_tech_hta_11[[longueur_km_hta_pdv]:[longueur_km_hta_pdv]]))</f>
        <v>0</v>
      </c>
      <c r="BZ146" s="438" cm="1">
        <f t="array" ref="BZ146">SUMPRODUCT((pat_tech_hta_11[[client]:[client]]=syndicat_etude)*(pat_tech_hta_11[[annee]:[annee]]=Exercice[[Exercice N]:[Exercice N]])*(pat_tech_hta_11[[Annee de Construction]:[Annee de Construction]]=BZ$53)*(pat_tech_hta_11[[Type de traitement PDV]:[Type de traitement PDV]]="Fiabilisé")*(pat_tech_hta_11[[longueur_km_hta_pdv]:[longueur_km_hta_pdv]]))</f>
        <v>0</v>
      </c>
      <c r="CA146" s="438" cm="1">
        <f t="array" ref="CA146">SUMPRODUCT((pat_tech_hta_11[[client]:[client]]=syndicat_etude)*(pat_tech_hta_11[[annee]:[annee]]=Exercice[[Exercice N]:[Exercice N]])*(pat_tech_hta_11[[Annee de Construction]:[Annee de Construction]]=CA$53)*(pat_tech_hta_11[[Type de traitement PDV]:[Type de traitement PDV]]="Fiabilisé")*(pat_tech_hta_11[[longueur_km_hta_pdv]:[longueur_km_hta_pdv]]))</f>
        <v>0</v>
      </c>
      <c r="CB146" s="438" cm="1">
        <f t="array" ref="CB146">SUMPRODUCT((pat_tech_hta_11[[client]:[client]]=syndicat_etude)*(pat_tech_hta_11[[annee]:[annee]]=Exercice[[Exercice N]:[Exercice N]])*(pat_tech_hta_11[[Annee de Construction]:[Annee de Construction]]=CB$53)*(pat_tech_hta_11[[Type de traitement PDV]:[Type de traitement PDV]]="Fiabilisé")*(pat_tech_hta_11[[longueur_km_hta_pdv]:[longueur_km_hta_pdv]]))</f>
        <v>0</v>
      </c>
      <c r="CC146" s="439" cm="1">
        <f t="array" ref="CC146">SUMPRODUCT((pat_tech_hta_11[[client]:[client]]=syndicat_etude)*(pat_tech_hta_11[[annee]:[annee]]=Exercice[[Exercice N]:[Exercice N]])*(pat_tech_hta_11[[Annee de Construction]:[Annee de Construction]]=CC$53)*(pat_tech_hta_11[[Type de traitement PDV]:[Type de traitement PDV]]="Fiabilisé")*(pat_tech_hta_11[[longueur_km_hta_pdv]:[longueur_km_hta_pdv]]))</f>
        <v>0</v>
      </c>
      <c r="CD146" s="407"/>
      <c r="CE146" s="407"/>
      <c r="CF146" s="40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04A0-26EE-4A70-AEB5-60A9EAE98527}">
  <sheetPr codeName="Feuil11">
    <tabColor theme="5" tint="0.39997558519241921"/>
  </sheetPr>
  <dimension ref="A1:O59"/>
  <sheetViews>
    <sheetView topLeftCell="A31" zoomScaleNormal="85" workbookViewId="0">
      <selection activeCell="J61" sqref="J61"/>
    </sheetView>
  </sheetViews>
  <sheetFormatPr defaultColWidth="11.7109375" defaultRowHeight="15" customHeight="1" x14ac:dyDescent="0.25"/>
  <cols>
    <col min="1" max="1" width="15.7109375" style="290" customWidth="1"/>
    <col min="2" max="2" width="55.7109375" style="290" customWidth="1"/>
    <col min="3" max="16384" width="11.7109375" style="290"/>
  </cols>
  <sheetData>
    <row r="1" spans="1:15" ht="40.15" customHeight="1" x14ac:dyDescent="0.25">
      <c r="A1" s="97" t="s">
        <v>1200</v>
      </c>
    </row>
    <row r="4" spans="1:15" ht="30" customHeight="1" x14ac:dyDescent="0.25">
      <c r="B4" s="408" t="s">
        <v>1201</v>
      </c>
      <c r="C4" s="409" t="str">
        <f>VLOOKUP(syndicat_etude,tx_enf_par_annee[[perimetre]:[code_departement]],2,FALSE)</f>
        <v>10</v>
      </c>
    </row>
    <row r="6" spans="1:15" ht="30" customHeight="1" x14ac:dyDescent="0.25">
      <c r="B6" s="440" t="s">
        <v>1202</v>
      </c>
      <c r="C6" s="441">
        <v>2011</v>
      </c>
      <c r="D6" s="441">
        <v>2012</v>
      </c>
      <c r="E6" s="441">
        <v>2013</v>
      </c>
      <c r="F6" s="441">
        <v>2014</v>
      </c>
      <c r="G6" s="441">
        <v>2015</v>
      </c>
      <c r="H6" s="441">
        <v>2016</v>
      </c>
      <c r="I6" s="441">
        <v>2017</v>
      </c>
      <c r="J6" s="441">
        <v>2018</v>
      </c>
      <c r="K6" s="441">
        <v>2019</v>
      </c>
      <c r="L6" s="441">
        <v>2020</v>
      </c>
      <c r="M6" s="441">
        <v>2021</v>
      </c>
      <c r="N6" s="441">
        <v>2022</v>
      </c>
      <c r="O6" s="442">
        <v>2023</v>
      </c>
    </row>
    <row r="7" spans="1:15" ht="15" customHeight="1" x14ac:dyDescent="0.25">
      <c r="B7" s="410" t="s">
        <v>1203</v>
      </c>
      <c r="C7" s="411" cm="1">
        <f t="array" ref="C7">SUMPRODUCT((tx_enf_par_annee[[annee]:[annee]]=C$6)*(tx_enf_par_annee[[code_departement]:[code_departement]]="0")*(tx_enf_par_annee[[tx_enf_hta]:[tx_enf_hta]]))</f>
        <v>0.4264</v>
      </c>
      <c r="D7" s="411" cm="1">
        <f t="array" ref="D7">SUMPRODUCT((tx_enf_par_annee[[annee]:[annee]]=D$6)*(tx_enf_par_annee[[code_departement]:[code_departement]]="0")*(tx_enf_par_annee[[tx_enf_hta]:[tx_enf_hta]]))</f>
        <v>0.43790000000000001</v>
      </c>
      <c r="E7" s="411" cm="1">
        <f t="array" ref="E7">SUMPRODUCT((tx_enf_par_annee[[annee]:[annee]]=E$6)*(tx_enf_par_annee[[code_departement]:[code_departement]]="0")*(tx_enf_par_annee[[tx_enf_hta]:[tx_enf_hta]]))</f>
        <v>0.44890000000000002</v>
      </c>
      <c r="F7" s="411" cm="1">
        <f t="array" ref="F7">SUMPRODUCT((tx_enf_par_annee[[annee]:[annee]]=F$6)*(tx_enf_par_annee[[code_departement]:[code_departement]]="0")*(tx_enf_par_annee[[tx_enf_hta]:[tx_enf_hta]]))</f>
        <v>0.45979999999999999</v>
      </c>
      <c r="G7" s="411" cm="1">
        <f t="array" ref="G7">SUMPRODUCT((tx_enf_par_annee[[annee]:[annee]]=G$6)*(tx_enf_par_annee[[code_departement]:[code_departement]]="0")*(tx_enf_par_annee[[tx_enf_hta]:[tx_enf_hta]]))</f>
        <v>0.46929999999999999</v>
      </c>
      <c r="H7" s="411" cm="1">
        <f t="array" ref="H7">SUMPRODUCT((tx_enf_par_annee[[annee]:[annee]]=H$6)*(tx_enf_par_annee[[code_departement]:[code_departement]]="0")*(tx_enf_par_annee[[tx_enf_hta]:[tx_enf_hta]]))</f>
        <v>0.4783</v>
      </c>
      <c r="I7" s="411" cm="1">
        <f t="array" ref="I7">SUMPRODUCT((tx_enf_par_annee[[annee]:[annee]]=I$6)*(tx_enf_par_annee[[code_departement]:[code_departement]]="0")*(tx_enf_par_annee[[tx_enf_hta]:[tx_enf_hta]]))</f>
        <v>0.4879</v>
      </c>
      <c r="J7" s="411" cm="1">
        <f t="array" ref="J7">SUMPRODUCT((tx_enf_par_annee[[annee]:[annee]]=J$6)*(tx_enf_par_annee[[code_departement]:[code_departement]]="0")*(tx_enf_par_annee[[tx_enf_hta]:[tx_enf_hta]]))</f>
        <v>0.49590000000000001</v>
      </c>
      <c r="K7" s="411" cm="1">
        <f t="array" ref="K7">SUMPRODUCT((tx_enf_par_annee[[annee]:[annee]]=K$6)*(tx_enf_par_annee[[code_departement]:[code_departement]]="0")*(tx_enf_par_annee[[tx_enf_hta]:[tx_enf_hta]]))</f>
        <v>0.50429999999999997</v>
      </c>
      <c r="L7" s="411" cm="1">
        <f t="array" ref="L7">SUMPRODUCT((tx_enf_par_annee[[annee]:[annee]]=L$6)*(tx_enf_par_annee[[code_departement]:[code_departement]]="0")*(tx_enf_par_annee[[tx_enf_hta]:[tx_enf_hta]]))</f>
        <v>0.51049999999999995</v>
      </c>
      <c r="M7" s="411" cm="1">
        <f t="array" ref="M7">SUMPRODUCT((tx_enf_par_annee[[annee]:[annee]]=M$6)*(tx_enf_par_annee[[code_departement]:[code_departement]]="0")*(tx_enf_par_annee[[tx_enf_hta]:[tx_enf_hta]]))</f>
        <v>0.5181</v>
      </c>
      <c r="N7" s="411" cm="1">
        <f t="array" ref="N7">SUMPRODUCT((tx_enf_par_annee[[annee]:[annee]]=N$6)*(tx_enf_par_annee[[code_departement]:[code_departement]]="0")*(tx_enf_par_annee[[tx_enf_hta]:[tx_enf_hta]]))</f>
        <v>0.52370000000000005</v>
      </c>
      <c r="O7" s="412" cm="1">
        <f t="array" ref="O7">SUMPRODUCT((tx_enf_par_annee[[annee]:[annee]]=O$6)*(tx_enf_par_annee[[code_departement]:[code_departement]]="0")*(tx_enf_par_annee[[tx_enf_hta]:[tx_enf_hta]]))</f>
        <v>0.53</v>
      </c>
    </row>
    <row r="8" spans="1:15" ht="15" customHeight="1" x14ac:dyDescent="0.25">
      <c r="B8" s="413" t="s">
        <v>1204</v>
      </c>
      <c r="C8" s="414" cm="1">
        <f t="array" ref="C8">SUMPRODUCT((tx_enf_par_annee[[annee]:[annee]]=C$6)*(tx_enf_par_annee[[code_departement]:[code_departement]]="0")*(tx_enf_par_annee[[tx_enf_bt]:[tx_enf_bt]]))</f>
        <v>0.40010000000000001</v>
      </c>
      <c r="D8" s="414" cm="1">
        <f t="array" ref="D8">SUMPRODUCT((tx_enf_par_annee[[annee]:[annee]]=D$6)*(tx_enf_par_annee[[code_departement]:[code_departement]]="0")*(tx_enf_par_annee[[tx_enf_bt]:[tx_enf_bt]]))</f>
        <v>0.41020000000000001</v>
      </c>
      <c r="E8" s="414" cm="1">
        <f t="array" ref="E8">SUMPRODUCT((tx_enf_par_annee[[annee]:[annee]]=E$6)*(tx_enf_par_annee[[code_departement]:[code_departement]]="0")*(tx_enf_par_annee[[tx_enf_bt]:[tx_enf_bt]]))</f>
        <v>0.41949999999999998</v>
      </c>
      <c r="F8" s="414" cm="1">
        <f t="array" ref="F8">SUMPRODUCT((tx_enf_par_annee[[annee]:[annee]]=F$6)*(tx_enf_par_annee[[code_departement]:[code_departement]]="0")*(tx_enf_par_annee[[tx_enf_bt]:[tx_enf_bt]]))</f>
        <v>0.42849999999999999</v>
      </c>
      <c r="G8" s="414" cm="1">
        <f t="array" ref="G8">SUMPRODUCT((tx_enf_par_annee[[annee]:[annee]]=G$6)*(tx_enf_par_annee[[code_departement]:[code_departement]]="0")*(tx_enf_par_annee[[tx_enf_bt]:[tx_enf_bt]]))</f>
        <v>0.43619999999999998</v>
      </c>
      <c r="H8" s="414" cm="1">
        <f t="array" ref="H8">SUMPRODUCT((tx_enf_par_annee[[annee]:[annee]]=H$6)*(tx_enf_par_annee[[code_departement]:[code_departement]]="0")*(tx_enf_par_annee[[tx_enf_bt]:[tx_enf_bt]]))</f>
        <v>0.44330000000000003</v>
      </c>
      <c r="I8" s="414" cm="1">
        <f t="array" ref="I8">SUMPRODUCT((tx_enf_par_annee[[annee]:[annee]]=I$6)*(tx_enf_par_annee[[code_departement]:[code_departement]]="0")*(tx_enf_par_annee[[tx_enf_bt]:[tx_enf_bt]]))</f>
        <v>0.4506</v>
      </c>
      <c r="J8" s="414" cm="1">
        <f t="array" ref="J8">SUMPRODUCT((tx_enf_par_annee[[annee]:[annee]]=J$6)*(tx_enf_par_annee[[code_departement]:[code_departement]]="0")*(tx_enf_par_annee[[tx_enf_bt]:[tx_enf_bt]]))</f>
        <v>0.4577</v>
      </c>
      <c r="K8" s="414" cm="1">
        <f t="array" ref="K8">SUMPRODUCT((tx_enf_par_annee[[annee]:[annee]]=K$6)*(tx_enf_par_annee[[code_departement]:[code_departement]]="0")*(tx_enf_par_annee[[tx_enf_bt]:[tx_enf_bt]]))</f>
        <v>0.46539999999999998</v>
      </c>
      <c r="L8" s="414" cm="1">
        <f t="array" ref="L8">SUMPRODUCT((tx_enf_par_annee[[annee]:[annee]]=L$6)*(tx_enf_par_annee[[code_departement]:[code_departement]]="0")*(tx_enf_par_annee[[tx_enf_bt]:[tx_enf_bt]]))</f>
        <v>0.47239999999999999</v>
      </c>
      <c r="M8" s="414" cm="1">
        <f t="array" ref="M8">SUMPRODUCT((tx_enf_par_annee[[annee]:[annee]]=M$6)*(tx_enf_par_annee[[code_departement]:[code_departement]]="0")*(tx_enf_par_annee[[tx_enf_bt]:[tx_enf_bt]]))</f>
        <v>0.48020000000000002</v>
      </c>
      <c r="N8" s="414" cm="1">
        <f t="array" ref="N8">SUMPRODUCT((tx_enf_par_annee[[annee]:[annee]]=N$6)*(tx_enf_par_annee[[code_departement]:[code_departement]]="0")*(tx_enf_par_annee[[tx_enf_bt]:[tx_enf_bt]]))</f>
        <v>0.48749999999999999</v>
      </c>
      <c r="O8" s="415" cm="1">
        <f t="array" ref="O8">SUMPRODUCT((tx_enf_par_annee[[annee]:[annee]]=O$6)*(tx_enf_par_annee[[code_departement]:[code_departement]]="0")*(tx_enf_par_annee[[tx_enf_bt]:[tx_enf_bt]]))</f>
        <v>0.49440000000000001</v>
      </c>
    </row>
    <row r="9" spans="1:15" ht="15" customHeight="1" x14ac:dyDescent="0.25">
      <c r="B9" s="413" t="s">
        <v>1205</v>
      </c>
      <c r="C9" s="414" cm="1">
        <f t="array" ref="C9">SUMPRODUCT((tx_enf_par_annee[[annee]:[annee]]=C$6)*(tx_enf_par_annee[[code_departement]:[code_departement]]="0")*(tx_enf_par_annee[[tx_enf_hta_bt]:[tx_enf_hta_bt]]))</f>
        <v>0.41249999999999998</v>
      </c>
      <c r="D9" s="414" cm="1">
        <f t="array" ref="D9">SUMPRODUCT((tx_enf_par_annee[[annee]:[annee]]=D$6)*(tx_enf_par_annee[[code_departement]:[code_departement]]="0")*(tx_enf_par_annee[[tx_enf_hta_bt]:[tx_enf_hta_bt]]))</f>
        <v>0.42320000000000002</v>
      </c>
      <c r="E9" s="414" cm="1">
        <f t="array" ref="E9">SUMPRODUCT((tx_enf_par_annee[[annee]:[annee]]=E$6)*(tx_enf_par_annee[[code_departement]:[code_departement]]="0")*(tx_enf_par_annee[[tx_enf_hta_bt]:[tx_enf_hta_bt]]))</f>
        <v>0.43330000000000002</v>
      </c>
      <c r="F9" s="414" cm="1">
        <f t="array" ref="F9">SUMPRODUCT((tx_enf_par_annee[[annee]:[annee]]=F$6)*(tx_enf_par_annee[[code_departement]:[code_departement]]="0")*(tx_enf_par_annee[[tx_enf_hta_bt]:[tx_enf_hta_bt]]))</f>
        <v>0.44319999999999998</v>
      </c>
      <c r="G9" s="414" cm="1">
        <f t="array" ref="G9">SUMPRODUCT((tx_enf_par_annee[[annee]:[annee]]=G$6)*(tx_enf_par_annee[[code_departement]:[code_departement]]="0")*(tx_enf_par_annee[[tx_enf_hta_bt]:[tx_enf_hta_bt]]))</f>
        <v>0.45179999999999998</v>
      </c>
      <c r="H9" s="414" cm="1">
        <f t="array" ref="H9">SUMPRODUCT((tx_enf_par_annee[[annee]:[annee]]=H$6)*(tx_enf_par_annee[[code_departement]:[code_departement]]="0")*(tx_enf_par_annee[[tx_enf_hta_bt]:[tx_enf_hta_bt]]))</f>
        <v>0.45979999999999999</v>
      </c>
      <c r="I9" s="414" cm="1">
        <f t="array" ref="I9">SUMPRODUCT((tx_enf_par_annee[[annee]:[annee]]=I$6)*(tx_enf_par_annee[[code_departement]:[code_departement]]="0")*(tx_enf_par_annee[[tx_enf_hta_bt]:[tx_enf_hta_bt]]))</f>
        <v>0.46820000000000001</v>
      </c>
      <c r="J9" s="414" cm="1">
        <f t="array" ref="J9">SUMPRODUCT((tx_enf_par_annee[[annee]:[annee]]=J$6)*(tx_enf_par_annee[[code_departement]:[code_departement]]="0")*(tx_enf_par_annee[[tx_enf_hta_bt]:[tx_enf_hta_bt]]))</f>
        <v>0.47570000000000001</v>
      </c>
      <c r="K9" s="414" cm="1">
        <f t="array" ref="K9">SUMPRODUCT((tx_enf_par_annee[[annee]:[annee]]=K$6)*(tx_enf_par_annee[[code_departement]:[code_departement]]="0")*(tx_enf_par_annee[[tx_enf_hta_bt]:[tx_enf_hta_bt]]))</f>
        <v>0.48380000000000001</v>
      </c>
      <c r="L9" s="414" cm="1">
        <f t="array" ref="L9">SUMPRODUCT((tx_enf_par_annee[[annee]:[annee]]=L$6)*(tx_enf_par_annee[[code_departement]:[code_departement]]="0")*(tx_enf_par_annee[[tx_enf_hta_bt]:[tx_enf_hta_bt]]))</f>
        <v>0.4904</v>
      </c>
      <c r="M9" s="414" cm="1">
        <f t="array" ref="M9">SUMPRODUCT((tx_enf_par_annee[[annee]:[annee]]=M$6)*(tx_enf_par_annee[[code_departement]:[code_departement]]="0")*(tx_enf_par_annee[[tx_enf_hta_bt]:[tx_enf_hta_bt]]))</f>
        <v>0.49809999999999999</v>
      </c>
      <c r="N9" s="414" cm="1">
        <f t="array" ref="N9">SUMPRODUCT((tx_enf_par_annee[[annee]:[annee]]=N$6)*(tx_enf_par_annee[[code_departement]:[code_departement]]="0")*(tx_enf_par_annee[[tx_enf_hta_bt]:[tx_enf_hta_bt]]))</f>
        <v>0.50470000000000004</v>
      </c>
      <c r="O9" s="415" cm="1">
        <f t="array" ref="O9">SUMPRODUCT((tx_enf_par_annee[[annee]:[annee]]=O$6)*(tx_enf_par_annee[[code_departement]:[code_departement]]="0")*(tx_enf_par_annee[[tx_enf_hta_bt]:[tx_enf_hta_bt]]))</f>
        <v>0.51129999999999998</v>
      </c>
    </row>
    <row r="10" spans="1:15" ht="15" customHeight="1" x14ac:dyDescent="0.25">
      <c r="B10" s="413" t="s">
        <v>1206</v>
      </c>
      <c r="C10" s="414" cm="1">
        <f t="array" ref="C10">SUMPRODUCT((tx_enf_par_annee[[code_departement]:[code_departement]]=$C$4)*(tx_enf_par_annee[[perimetre]:[perimetre]]&lt;&gt;syndicat_etude)*(tx_enf_par_annee[[annee]:[annee]]=C$6)*(tx_enf_par_annee[[tx_enf_hta]:[tx_enf_hta]]))</f>
        <v>0.4118</v>
      </c>
      <c r="D10" s="414" cm="1">
        <f t="array" ref="D10">SUMPRODUCT((tx_enf_par_annee[[code_departement]:[code_departement]]=$C$4)*(tx_enf_par_annee[[perimetre]:[perimetre]]&lt;&gt;syndicat_etude)*(tx_enf_par_annee[[annee]:[annee]]=D$6)*(tx_enf_par_annee[[tx_enf_hta]:[tx_enf_hta]]))</f>
        <v>0.43669999999999998</v>
      </c>
      <c r="E10" s="414" cm="1">
        <f t="array" ref="E10">SUMPRODUCT((tx_enf_par_annee[[code_departement]:[code_departement]]=$C$4)*(tx_enf_par_annee[[perimetre]:[perimetre]]&lt;&gt;syndicat_etude)*(tx_enf_par_annee[[annee]:[annee]]=E$6)*(tx_enf_par_annee[[tx_enf_hta]:[tx_enf_hta]]))</f>
        <v>0.4476</v>
      </c>
      <c r="F10" s="414" cm="1">
        <f t="array" ref="F10">SUMPRODUCT((tx_enf_par_annee[[code_departement]:[code_departement]]=$C$4)*(tx_enf_par_annee[[perimetre]:[perimetre]]&lt;&gt;syndicat_etude)*(tx_enf_par_annee[[annee]:[annee]]=F$6)*(tx_enf_par_annee[[tx_enf_hta]:[tx_enf_hta]]))</f>
        <v>0.45950000000000002</v>
      </c>
      <c r="G10" s="414" cm="1">
        <f t="array" ref="G10">SUMPRODUCT((tx_enf_par_annee[[code_departement]:[code_departement]]=$C$4)*(tx_enf_par_annee[[perimetre]:[perimetre]]&lt;&gt;syndicat_etude)*(tx_enf_par_annee[[annee]:[annee]]=G$6)*(tx_enf_par_annee[[tx_enf_hta]:[tx_enf_hta]]))</f>
        <v>0.46789999999999998</v>
      </c>
      <c r="H10" s="414" cm="1">
        <f t="array" ref="H10">SUMPRODUCT((tx_enf_par_annee[[code_departement]:[code_departement]]=$C$4)*(tx_enf_par_annee[[perimetre]:[perimetre]]&lt;&gt;syndicat_etude)*(tx_enf_par_annee[[annee]:[annee]]=H$6)*(tx_enf_par_annee[[tx_enf_hta]:[tx_enf_hta]]))</f>
        <v>0.48070000000000002</v>
      </c>
      <c r="I10" s="414" cm="1">
        <f t="array" ref="I10">SUMPRODUCT((tx_enf_par_annee[[code_departement]:[code_departement]]=$C$4)*(tx_enf_par_annee[[perimetre]:[perimetre]]&lt;&gt;syndicat_etude)*(tx_enf_par_annee[[annee]:[annee]]=I$6)*(tx_enf_par_annee[[tx_enf_hta]:[tx_enf_hta]]))</f>
        <v>0.49320000000000003</v>
      </c>
      <c r="J10" s="414" cm="1">
        <f t="array" ref="J10">SUMPRODUCT((tx_enf_par_annee[[code_departement]:[code_departement]]=$C$4)*(tx_enf_par_annee[[perimetre]:[perimetre]]&lt;&gt;syndicat_etude)*(tx_enf_par_annee[[annee]:[annee]]=J$6)*(tx_enf_par_annee[[tx_enf_hta]:[tx_enf_hta]]))</f>
        <v>0.50819999999999999</v>
      </c>
      <c r="K10" s="414" cm="1">
        <f t="array" ref="K10">SUMPRODUCT((tx_enf_par_annee[[code_departement]:[code_departement]]=$C$4)*(tx_enf_par_annee[[perimetre]:[perimetre]]&lt;&gt;syndicat_etude)*(tx_enf_par_annee[[annee]:[annee]]=K$6)*(tx_enf_par_annee[[tx_enf_hta]:[tx_enf_hta]]))</f>
        <v>0.51800000000000002</v>
      </c>
      <c r="L10" s="414" cm="1">
        <f t="array" ref="L10">SUMPRODUCT((tx_enf_par_annee[[code_departement]:[code_departement]]=$C$4)*(tx_enf_par_annee[[perimetre]:[perimetre]]&lt;&gt;syndicat_etude)*(tx_enf_par_annee[[annee]:[annee]]=L$6)*(tx_enf_par_annee[[tx_enf_hta]:[tx_enf_hta]]))</f>
        <v>0.52100000000000002</v>
      </c>
      <c r="M10" s="414" cm="1">
        <f t="array" ref="M10">SUMPRODUCT((tx_enf_par_annee[[code_departement]:[code_departement]]=$C$4)*(tx_enf_par_annee[[perimetre]:[perimetre]]&lt;&gt;syndicat_etude)*(tx_enf_par_annee[[annee]:[annee]]=M$6)*(tx_enf_par_annee[[tx_enf_hta]:[tx_enf_hta]]))</f>
        <v>0.53680000000000005</v>
      </c>
      <c r="N10" s="414" cm="1">
        <f t="array" ref="N10">SUMPRODUCT((tx_enf_par_annee[[code_departement]:[code_departement]]=$C$4)*(tx_enf_par_annee[[perimetre]:[perimetre]]&lt;&gt;syndicat_etude)*(tx_enf_par_annee[[annee]:[annee]]=N$6)*(tx_enf_par_annee[[tx_enf_hta]:[tx_enf_hta]]))</f>
        <v>0.54079999999999995</v>
      </c>
      <c r="O10" s="415" cm="1">
        <f t="array" ref="O10">SUMPRODUCT((tx_enf_par_annee[[code_departement]:[code_departement]]=$C$4)*(tx_enf_par_annee[[perimetre]:[perimetre]]&lt;&gt;syndicat_etude)*(tx_enf_par_annee[[annee]:[annee]]=O$6)*(tx_enf_par_annee[[tx_enf_hta]:[tx_enf_hta]]))</f>
        <v>0.54379999999999995</v>
      </c>
    </row>
    <row r="11" spans="1:15" ht="15" customHeight="1" x14ac:dyDescent="0.25">
      <c r="B11" s="413" t="s">
        <v>1207</v>
      </c>
      <c r="C11" s="414" cm="1">
        <f t="array" ref="C11">SUMPRODUCT((tx_enf_par_annee[[code_departement]:[code_departement]]=$C$4)*(tx_enf_par_annee[[perimetre]:[perimetre]]&lt;&gt;syndicat_etude)*(tx_enf_par_annee[[annee]:[annee]]=C$6)*(tx_enf_par_annee[[tx_enf_bt]:[tx_enf_bt]]))</f>
        <v>0.51549999999999996</v>
      </c>
      <c r="D11" s="414" cm="1">
        <f t="array" ref="D11">SUMPRODUCT((tx_enf_par_annee[[code_departement]:[code_departement]]=$C$4)*(tx_enf_par_annee[[perimetre]:[perimetre]]&lt;&gt;syndicat_etude)*(tx_enf_par_annee[[annee]:[annee]]=D$6)*(tx_enf_par_annee[[tx_enf_bt]:[tx_enf_bt]]))</f>
        <v>0.52790000000000004</v>
      </c>
      <c r="E11" s="414" cm="1">
        <f t="array" ref="E11">SUMPRODUCT((tx_enf_par_annee[[code_departement]:[code_departement]]=$C$4)*(tx_enf_par_annee[[perimetre]:[perimetre]]&lt;&gt;syndicat_etude)*(tx_enf_par_annee[[annee]:[annee]]=E$6)*(tx_enf_par_annee[[tx_enf_bt]:[tx_enf_bt]]))</f>
        <v>0.53839999999999999</v>
      </c>
      <c r="F11" s="414" cm="1">
        <f t="array" ref="F11">SUMPRODUCT((tx_enf_par_annee[[code_departement]:[code_departement]]=$C$4)*(tx_enf_par_annee[[perimetre]:[perimetre]]&lt;&gt;syndicat_etude)*(tx_enf_par_annee[[annee]:[annee]]=F$6)*(tx_enf_par_annee[[tx_enf_bt]:[tx_enf_bt]]))</f>
        <v>0.55030000000000001</v>
      </c>
      <c r="G11" s="414" cm="1">
        <f t="array" ref="G11">SUMPRODUCT((tx_enf_par_annee[[code_departement]:[code_departement]]=$C$4)*(tx_enf_par_annee[[perimetre]:[perimetre]]&lt;&gt;syndicat_etude)*(tx_enf_par_annee[[annee]:[annee]]=G$6)*(tx_enf_par_annee[[tx_enf_bt]:[tx_enf_bt]]))</f>
        <v>0.55800000000000005</v>
      </c>
      <c r="H11" s="414" cm="1">
        <f t="array" ref="H11">SUMPRODUCT((tx_enf_par_annee[[code_departement]:[code_departement]]=$C$4)*(tx_enf_par_annee[[perimetre]:[perimetre]]&lt;&gt;syndicat_etude)*(tx_enf_par_annee[[annee]:[annee]]=H$6)*(tx_enf_par_annee[[tx_enf_bt]:[tx_enf_bt]]))</f>
        <v>0.56630000000000003</v>
      </c>
      <c r="I11" s="414" cm="1">
        <f t="array" ref="I11">SUMPRODUCT((tx_enf_par_annee[[code_departement]:[code_departement]]=$C$4)*(tx_enf_par_annee[[perimetre]:[perimetre]]&lt;&gt;syndicat_etude)*(tx_enf_par_annee[[annee]:[annee]]=I$6)*(tx_enf_par_annee[[tx_enf_bt]:[tx_enf_bt]]))</f>
        <v>0.57420000000000004</v>
      </c>
      <c r="J11" s="414" cm="1">
        <f t="array" ref="J11">SUMPRODUCT((tx_enf_par_annee[[code_departement]:[code_departement]]=$C$4)*(tx_enf_par_annee[[perimetre]:[perimetre]]&lt;&gt;syndicat_etude)*(tx_enf_par_annee[[annee]:[annee]]=J$6)*(tx_enf_par_annee[[tx_enf_bt]:[tx_enf_bt]]))</f>
        <v>0.58020000000000005</v>
      </c>
      <c r="K11" s="414" cm="1">
        <f t="array" ref="K11">SUMPRODUCT((tx_enf_par_annee[[code_departement]:[code_departement]]=$C$4)*(tx_enf_par_annee[[perimetre]:[perimetre]]&lt;&gt;syndicat_etude)*(tx_enf_par_annee[[annee]:[annee]]=K$6)*(tx_enf_par_annee[[tx_enf_bt]:[tx_enf_bt]]))</f>
        <v>0.59319999999999995</v>
      </c>
      <c r="L11" s="414" cm="1">
        <f t="array" ref="L11">SUMPRODUCT((tx_enf_par_annee[[code_departement]:[code_departement]]=$C$4)*(tx_enf_par_annee[[perimetre]:[perimetre]]&lt;&gt;syndicat_etude)*(tx_enf_par_annee[[annee]:[annee]]=L$6)*(tx_enf_par_annee[[tx_enf_bt]:[tx_enf_bt]]))</f>
        <v>0.60219999999999996</v>
      </c>
      <c r="M11" s="414" cm="1">
        <f t="array" ref="M11">SUMPRODUCT((tx_enf_par_annee[[code_departement]:[code_departement]]=$C$4)*(tx_enf_par_annee[[perimetre]:[perimetre]]&lt;&gt;syndicat_etude)*(tx_enf_par_annee[[annee]:[annee]]=M$6)*(tx_enf_par_annee[[tx_enf_bt]:[tx_enf_bt]]))</f>
        <v>0.61170000000000002</v>
      </c>
      <c r="N11" s="414" cm="1">
        <f t="array" ref="N11">SUMPRODUCT((tx_enf_par_annee[[code_departement]:[code_departement]]=$C$4)*(tx_enf_par_annee[[perimetre]:[perimetre]]&lt;&gt;syndicat_etude)*(tx_enf_par_annee[[annee]:[annee]]=N$6)*(tx_enf_par_annee[[tx_enf_bt]:[tx_enf_bt]]))</f>
        <v>0.61829999999999996</v>
      </c>
      <c r="O11" s="415" cm="1">
        <f t="array" ref="O11">SUMPRODUCT((tx_enf_par_annee[[code_departement]:[code_departement]]=$C$4)*(tx_enf_par_annee[[perimetre]:[perimetre]]&lt;&gt;syndicat_etude)*(tx_enf_par_annee[[annee]:[annee]]=O$6)*(tx_enf_par_annee[[tx_enf_bt]:[tx_enf_bt]]))</f>
        <v>0.62649999999999995</v>
      </c>
    </row>
    <row r="12" spans="1:15" ht="15" customHeight="1" x14ac:dyDescent="0.25">
      <c r="B12" s="413" t="s">
        <v>1208</v>
      </c>
      <c r="C12" s="414" cm="1">
        <f t="array" ref="C12">SUMPRODUCT((tx_enf_par_annee[[code_departement]:[code_departement]]=$C$4)*(tx_enf_par_annee[[perimetre]:[perimetre]]&lt;&gt;syndicat_etude)*(tx_enf_par_annee[[annee]:[annee]]=C$6)*(tx_enf_par_annee[[tx_enf_hta_bt]:[tx_enf_hta_bt]]))</f>
        <v>0.45900000000000002</v>
      </c>
      <c r="D12" s="414" cm="1">
        <f t="array" ref="D12">SUMPRODUCT((tx_enf_par_annee[[code_departement]:[code_departement]]=$C$4)*(tx_enf_par_annee[[perimetre]:[perimetre]]&lt;&gt;syndicat_etude)*(tx_enf_par_annee[[annee]:[annee]]=D$6)*(tx_enf_par_annee[[tx_enf_hta_bt]:[tx_enf_hta_bt]]))</f>
        <v>0.4778</v>
      </c>
      <c r="E12" s="414" cm="1">
        <f t="array" ref="E12">SUMPRODUCT((tx_enf_par_annee[[code_departement]:[code_departement]]=$C$4)*(tx_enf_par_annee[[perimetre]:[perimetre]]&lt;&gt;syndicat_etude)*(tx_enf_par_annee[[annee]:[annee]]=E$6)*(tx_enf_par_annee[[tx_enf_hta_bt]:[tx_enf_hta_bt]]))</f>
        <v>0.48849999999999999</v>
      </c>
      <c r="F12" s="414" cm="1">
        <f t="array" ref="F12">SUMPRODUCT((tx_enf_par_annee[[code_departement]:[code_departement]]=$C$4)*(tx_enf_par_annee[[perimetre]:[perimetre]]&lt;&gt;syndicat_etude)*(tx_enf_par_annee[[annee]:[annee]]=F$6)*(tx_enf_par_annee[[tx_enf_hta_bt]:[tx_enf_hta_bt]]))</f>
        <v>0.50019999999999998</v>
      </c>
      <c r="G12" s="414" cm="1">
        <f t="array" ref="G12">SUMPRODUCT((tx_enf_par_annee[[code_departement]:[code_departement]]=$C$4)*(tx_enf_par_annee[[perimetre]:[perimetre]]&lt;&gt;syndicat_etude)*(tx_enf_par_annee[[annee]:[annee]]=G$6)*(tx_enf_par_annee[[tx_enf_hta_bt]:[tx_enf_hta_bt]]))</f>
        <v>0.50819999999999999</v>
      </c>
      <c r="H12" s="414" cm="1">
        <f t="array" ref="H12">SUMPRODUCT((tx_enf_par_annee[[code_departement]:[code_departement]]=$C$4)*(tx_enf_par_annee[[perimetre]:[perimetre]]&lt;&gt;syndicat_etude)*(tx_enf_par_annee[[annee]:[annee]]=H$6)*(tx_enf_par_annee[[tx_enf_hta_bt]:[tx_enf_hta_bt]]))</f>
        <v>0.51880000000000004</v>
      </c>
      <c r="I12" s="414" cm="1">
        <f t="array" ref="I12">SUMPRODUCT((tx_enf_par_annee[[code_departement]:[code_departement]]=$C$4)*(tx_enf_par_annee[[perimetre]:[perimetre]]&lt;&gt;syndicat_etude)*(tx_enf_par_annee[[annee]:[annee]]=I$6)*(tx_enf_par_annee[[tx_enf_hta_bt]:[tx_enf_hta_bt]]))</f>
        <v>0.52910000000000001</v>
      </c>
      <c r="J12" s="414" cm="1">
        <f t="array" ref="J12">SUMPRODUCT((tx_enf_par_annee[[code_departement]:[code_departement]]=$C$4)*(tx_enf_par_annee[[perimetre]:[perimetre]]&lt;&gt;syndicat_etude)*(tx_enf_par_annee[[annee]:[annee]]=J$6)*(tx_enf_par_annee[[tx_enf_hta_bt]:[tx_enf_hta_bt]]))</f>
        <v>0.53969999999999996</v>
      </c>
      <c r="K12" s="414" cm="1">
        <f t="array" ref="K12">SUMPRODUCT((tx_enf_par_annee[[code_departement]:[code_departement]]=$C$4)*(tx_enf_par_annee[[perimetre]:[perimetre]]&lt;&gt;syndicat_etude)*(tx_enf_par_annee[[annee]:[annee]]=K$6)*(tx_enf_par_annee[[tx_enf_hta_bt]:[tx_enf_hta_bt]]))</f>
        <v>0.55059999999999998</v>
      </c>
      <c r="L12" s="414" cm="1">
        <f t="array" ref="L12">SUMPRODUCT((tx_enf_par_annee[[code_departement]:[code_departement]]=$C$4)*(tx_enf_par_annee[[perimetre]:[perimetre]]&lt;&gt;syndicat_etude)*(tx_enf_par_annee[[annee]:[annee]]=L$6)*(tx_enf_par_annee[[tx_enf_hta_bt]:[tx_enf_hta_bt]]))</f>
        <v>0.55630000000000002</v>
      </c>
      <c r="M12" s="414" cm="1">
        <f t="array" ref="M12">SUMPRODUCT((tx_enf_par_annee[[code_departement]:[code_departement]]=$C$4)*(tx_enf_par_annee[[perimetre]:[perimetre]]&lt;&gt;syndicat_etude)*(tx_enf_par_annee[[annee]:[annee]]=M$6)*(tx_enf_par_annee[[tx_enf_hta_bt]:[tx_enf_hta_bt]]))</f>
        <v>0.56889999999999996</v>
      </c>
      <c r="N12" s="414" cm="1">
        <f t="array" ref="N12">SUMPRODUCT((tx_enf_par_annee[[code_departement]:[code_departement]]=$C$4)*(tx_enf_par_annee[[perimetre]:[perimetre]]&lt;&gt;syndicat_etude)*(tx_enf_par_annee[[annee]:[annee]]=N$6)*(tx_enf_par_annee[[tx_enf_hta_bt]:[tx_enf_hta_bt]]))</f>
        <v>0.57399999999999995</v>
      </c>
      <c r="O12" s="415" cm="1">
        <f t="array" ref="O12">SUMPRODUCT((tx_enf_par_annee[[code_departement]:[code_departement]]=$C$4)*(tx_enf_par_annee[[perimetre]:[perimetre]]&lt;&gt;syndicat_etude)*(tx_enf_par_annee[[annee]:[annee]]=O$6)*(tx_enf_par_annee[[tx_enf_hta_bt]:[tx_enf_hta_bt]]))</f>
        <v>0.57920000000000005</v>
      </c>
    </row>
    <row r="13" spans="1:15" ht="15" customHeight="1" x14ac:dyDescent="0.25">
      <c r="B13" s="413" t="s">
        <v>1209</v>
      </c>
      <c r="C13" s="414" cm="1">
        <f t="array" ref="C13">SUMPRODUCT((tx_enf_par_annee[[annee]:[annee]]=C$6)*(tx_enf_par_annee[[perimetre]:[perimetre]]=syndicat_etude)*(tx_enf_par_annee[[tx_enf_hta]:[tx_enf_hta]]))</f>
        <v>0</v>
      </c>
      <c r="D13" s="414" cm="1">
        <f t="array" ref="D13">SUMPRODUCT((tx_enf_par_annee[[annee]:[annee]]=D$6)*(tx_enf_par_annee[[perimetre]:[perimetre]]=syndicat_etude)*(tx_enf_par_annee[[tx_enf_hta]:[tx_enf_hta]]))</f>
        <v>0</v>
      </c>
      <c r="E13" s="414" cm="1">
        <f t="array" ref="E13">SUMPRODUCT((tx_enf_par_annee[[annee]:[annee]]=E$6)*(tx_enf_par_annee[[perimetre]:[perimetre]]=syndicat_etude)*(tx_enf_par_annee[[tx_enf_hta]:[tx_enf_hta]]))</f>
        <v>0</v>
      </c>
      <c r="F13" s="414" cm="1">
        <f t="array" ref="F13">SUMPRODUCT((tx_enf_par_annee[[annee]:[annee]]=F$6)*(tx_enf_par_annee[[perimetre]:[perimetre]]=syndicat_etude)*(tx_enf_par_annee[[tx_enf_hta]:[tx_enf_hta]]))</f>
        <v>0</v>
      </c>
      <c r="G13" s="414" cm="1">
        <f t="array" ref="G13">SUMPRODUCT((tx_enf_par_annee[[annee]:[annee]]=G$6)*(tx_enf_par_annee[[perimetre]:[perimetre]]=syndicat_etude)*(tx_enf_par_annee[[tx_enf_hta]:[tx_enf_hta]]))</f>
        <v>0</v>
      </c>
      <c r="H13" s="414" cm="1">
        <f t="array" ref="H13">SUMPRODUCT((tx_enf_par_annee[[annee]:[annee]]=H$6)*(tx_enf_par_annee[[perimetre]:[perimetre]]=syndicat_etude)*(tx_enf_par_annee[[tx_enf_hta]:[tx_enf_hta]]))</f>
        <v>0</v>
      </c>
      <c r="I13" s="414" cm="1">
        <f t="array" ref="I13">SUMPRODUCT((tx_enf_par_annee[[annee]:[annee]]=I$6)*(tx_enf_par_annee[[perimetre]:[perimetre]]=syndicat_etude)*(tx_enf_par_annee[[tx_enf_hta]:[tx_enf_hta]]))</f>
        <v>0</v>
      </c>
      <c r="J13" s="414" cm="1">
        <f t="array" ref="J13">SUMPRODUCT((tx_enf_par_annee[[annee]:[annee]]=J$6)*(tx_enf_par_annee[[perimetre]:[perimetre]]=syndicat_etude)*(tx_enf_par_annee[[tx_enf_hta]:[tx_enf_hta]]))</f>
        <v>0</v>
      </c>
      <c r="K13" s="414" cm="1">
        <f t="array" ref="K13">SUMPRODUCT((tx_enf_par_annee[[annee]:[annee]]=K$6)*(tx_enf_par_annee[[perimetre]:[perimetre]]=syndicat_etude)*(tx_enf_par_annee[[tx_enf_hta]:[tx_enf_hta]]))</f>
        <v>0</v>
      </c>
      <c r="L13" s="414" cm="1">
        <f t="array" ref="L13">SUMPRODUCT((tx_enf_par_annee[[annee]:[annee]]=L$6)*(tx_enf_par_annee[[perimetre]:[perimetre]]=syndicat_etude)*(tx_enf_par_annee[[tx_enf_hta]:[tx_enf_hta]]))</f>
        <v>0.5202</v>
      </c>
      <c r="M13" s="414" cm="1">
        <f t="array" ref="M13">SUMPRODUCT((tx_enf_par_annee[[annee]:[annee]]=M$6)*(tx_enf_par_annee[[perimetre]:[perimetre]]=syndicat_etude)*(tx_enf_par_annee[[tx_enf_hta]:[tx_enf_hta]]))</f>
        <v>0.5363</v>
      </c>
      <c r="N13" s="414" cm="1">
        <f t="array" ref="N13">SUMPRODUCT((tx_enf_par_annee[[annee]:[annee]]=N$6)*(tx_enf_par_annee[[perimetre]:[perimetre]]=syndicat_etude)*(tx_enf_par_annee[[tx_enf_hta]:[tx_enf_hta]]))</f>
        <v>0.54049999999999998</v>
      </c>
      <c r="O13" s="415" cm="1">
        <f t="array" ref="O13">SUMPRODUCT((tx_enf_par_annee[[annee]:[annee]]=O$6)*(tx_enf_par_annee[[perimetre]:[perimetre]]=syndicat_etude)*(tx_enf_par_annee[[tx_enf_hta]:[tx_enf_hta]]))</f>
        <v>0.54300000000000004</v>
      </c>
    </row>
    <row r="14" spans="1:15" ht="15" customHeight="1" x14ac:dyDescent="0.25">
      <c r="B14" s="413" t="s">
        <v>1210</v>
      </c>
      <c r="C14" s="414" cm="1">
        <f t="array" ref="C14">SUMPRODUCT((tx_enf_par_annee[[annee]:[annee]]=C$6)*(tx_enf_par_annee[[perimetre]:[perimetre]]=syndicat_etude)*(tx_enf_par_annee[[tx_enf_bt]:[tx_enf_bt]]))</f>
        <v>0</v>
      </c>
      <c r="D14" s="414" cm="1">
        <f t="array" ref="D14">SUMPRODUCT((tx_enf_par_annee[[annee]:[annee]]=D$6)*(tx_enf_par_annee[[perimetre]:[perimetre]]=syndicat_etude)*(tx_enf_par_annee[[tx_enf_bt]:[tx_enf_bt]]))</f>
        <v>0</v>
      </c>
      <c r="E14" s="414" cm="1">
        <f t="array" ref="E14">SUMPRODUCT((tx_enf_par_annee[[annee]:[annee]]=E$6)*(tx_enf_par_annee[[perimetre]:[perimetre]]=syndicat_etude)*(tx_enf_par_annee[[tx_enf_bt]:[tx_enf_bt]]))</f>
        <v>0</v>
      </c>
      <c r="F14" s="414" cm="1">
        <f t="array" ref="F14">SUMPRODUCT((tx_enf_par_annee[[annee]:[annee]]=F$6)*(tx_enf_par_annee[[perimetre]:[perimetre]]=syndicat_etude)*(tx_enf_par_annee[[tx_enf_bt]:[tx_enf_bt]]))</f>
        <v>0</v>
      </c>
      <c r="G14" s="414" cm="1">
        <f t="array" ref="G14">SUMPRODUCT((tx_enf_par_annee[[annee]:[annee]]=G$6)*(tx_enf_par_annee[[perimetre]:[perimetre]]=syndicat_etude)*(tx_enf_par_annee[[tx_enf_bt]:[tx_enf_bt]]))</f>
        <v>0</v>
      </c>
      <c r="H14" s="414" cm="1">
        <f t="array" ref="H14">SUMPRODUCT((tx_enf_par_annee[[annee]:[annee]]=H$6)*(tx_enf_par_annee[[perimetre]:[perimetre]]=syndicat_etude)*(tx_enf_par_annee[[tx_enf_bt]:[tx_enf_bt]]))</f>
        <v>0</v>
      </c>
      <c r="I14" s="414" cm="1">
        <f t="array" ref="I14">SUMPRODUCT((tx_enf_par_annee[[annee]:[annee]]=I$6)*(tx_enf_par_annee[[perimetre]:[perimetre]]=syndicat_etude)*(tx_enf_par_annee[[tx_enf_bt]:[tx_enf_bt]]))</f>
        <v>0</v>
      </c>
      <c r="J14" s="414" cm="1">
        <f t="array" ref="J14">SUMPRODUCT((tx_enf_par_annee[[annee]:[annee]]=J$6)*(tx_enf_par_annee[[perimetre]:[perimetre]]=syndicat_etude)*(tx_enf_par_annee[[tx_enf_bt]:[tx_enf_bt]]))</f>
        <v>0</v>
      </c>
      <c r="K14" s="414" cm="1">
        <f t="array" ref="K14">SUMPRODUCT((tx_enf_par_annee[[annee]:[annee]]=K$6)*(tx_enf_par_annee[[perimetre]:[perimetre]]=syndicat_etude)*(tx_enf_par_annee[[tx_enf_bt]:[tx_enf_bt]]))</f>
        <v>0.59230000000000005</v>
      </c>
      <c r="L14" s="414" cm="1">
        <f t="array" ref="L14">SUMPRODUCT((tx_enf_par_annee[[annee]:[annee]]=L$6)*(tx_enf_par_annee[[perimetre]:[perimetre]]=syndicat_etude)*(tx_enf_par_annee[[tx_enf_bt]:[tx_enf_bt]]))</f>
        <v>0.59970000000000001</v>
      </c>
      <c r="M14" s="414" cm="1">
        <f t="array" ref="M14">SUMPRODUCT((tx_enf_par_annee[[annee]:[annee]]=M$6)*(tx_enf_par_annee[[perimetre]:[perimetre]]=syndicat_etude)*(tx_enf_par_annee[[tx_enf_bt]:[tx_enf_bt]]))</f>
        <v>0.6079</v>
      </c>
      <c r="N14" s="414" cm="1">
        <f t="array" ref="N14">SUMPRODUCT((tx_enf_par_annee[[annee]:[annee]]=N$6)*(tx_enf_par_annee[[perimetre]:[perimetre]]=syndicat_etude)*(tx_enf_par_annee[[tx_enf_bt]:[tx_enf_bt]]))</f>
        <v>0.61550000000000005</v>
      </c>
      <c r="O14" s="415" cm="1">
        <f t="array" ref="O14">SUMPRODUCT((tx_enf_par_annee[[annee]:[annee]]=O$6)*(tx_enf_par_annee[[perimetre]:[perimetre]]=syndicat_etude)*(tx_enf_par_annee[[tx_enf_bt]:[tx_enf_bt]]))</f>
        <v>0.62260000000000004</v>
      </c>
    </row>
    <row r="15" spans="1:15" ht="15" customHeight="1" x14ac:dyDescent="0.25">
      <c r="B15" s="315" t="s">
        <v>1211</v>
      </c>
      <c r="C15" s="416" cm="1">
        <f t="array" ref="C15">SUMPRODUCT((tx_enf_par_annee[[annee]:[annee]]=C$6)*(tx_enf_par_annee[[perimetre]:[perimetre]]=syndicat_etude)*(tx_enf_par_annee[[tx_enf_hta_bt]:[tx_enf_hta_bt]]))</f>
        <v>0</v>
      </c>
      <c r="D15" s="416" cm="1">
        <f t="array" ref="D15">SUMPRODUCT((tx_enf_par_annee[[annee]:[annee]]=D$6)*(tx_enf_par_annee[[perimetre]:[perimetre]]=syndicat_etude)*(tx_enf_par_annee[[tx_enf_hta_bt]:[tx_enf_hta_bt]]))</f>
        <v>0</v>
      </c>
      <c r="E15" s="416" cm="1">
        <f t="array" ref="E15">SUMPRODUCT((tx_enf_par_annee[[annee]:[annee]]=E$6)*(tx_enf_par_annee[[perimetre]:[perimetre]]=syndicat_etude)*(tx_enf_par_annee[[tx_enf_hta_bt]:[tx_enf_hta_bt]]))</f>
        <v>0</v>
      </c>
      <c r="F15" s="416" cm="1">
        <f t="array" ref="F15">SUMPRODUCT((tx_enf_par_annee[[annee]:[annee]]=F$6)*(tx_enf_par_annee[[perimetre]:[perimetre]]=syndicat_etude)*(tx_enf_par_annee[[tx_enf_hta_bt]:[tx_enf_hta_bt]]))</f>
        <v>0</v>
      </c>
      <c r="G15" s="416" cm="1">
        <f t="array" ref="G15">SUMPRODUCT((tx_enf_par_annee[[annee]:[annee]]=G$6)*(tx_enf_par_annee[[perimetre]:[perimetre]]=syndicat_etude)*(tx_enf_par_annee[[tx_enf_hta_bt]:[tx_enf_hta_bt]]))</f>
        <v>0</v>
      </c>
      <c r="H15" s="416" cm="1">
        <f t="array" ref="H15">SUMPRODUCT((tx_enf_par_annee[[annee]:[annee]]=H$6)*(tx_enf_par_annee[[perimetre]:[perimetre]]=syndicat_etude)*(tx_enf_par_annee[[tx_enf_hta_bt]:[tx_enf_hta_bt]]))</f>
        <v>0</v>
      </c>
      <c r="I15" s="416" cm="1">
        <f t="array" ref="I15">SUMPRODUCT((tx_enf_par_annee[[annee]:[annee]]=I$6)*(tx_enf_par_annee[[perimetre]:[perimetre]]=syndicat_etude)*(tx_enf_par_annee[[tx_enf_hta_bt]:[tx_enf_hta_bt]]))</f>
        <v>0</v>
      </c>
      <c r="J15" s="416" cm="1">
        <f t="array" ref="J15">SUMPRODUCT((tx_enf_par_annee[[annee]:[annee]]=J$6)*(tx_enf_par_annee[[perimetre]:[perimetre]]=syndicat_etude)*(tx_enf_par_annee[[tx_enf_hta_bt]:[tx_enf_hta_bt]]))</f>
        <v>0</v>
      </c>
      <c r="K15" s="416" cm="1">
        <f t="array" ref="K15">SUMPRODUCT((tx_enf_par_annee[[annee]:[annee]]=K$6)*(tx_enf_par_annee[[perimetre]:[perimetre]]=syndicat_etude)*(tx_enf_par_annee[[tx_enf_hta_bt]:[tx_enf_hta_bt]]))</f>
        <v>0.55000000000000004</v>
      </c>
      <c r="L15" s="416" cm="1">
        <f t="array" ref="L15">SUMPRODUCT((tx_enf_par_annee[[annee]:[annee]]=L$6)*(tx_enf_par_annee[[perimetre]:[perimetre]]=syndicat_etude)*(tx_enf_par_annee[[tx_enf_hta_bt]:[tx_enf_hta_bt]]))</f>
        <v>0.55500000000000005</v>
      </c>
      <c r="M15" s="416" cm="1">
        <f t="array" ref="M15">SUMPRODUCT((tx_enf_par_annee[[annee]:[annee]]=M$6)*(tx_enf_par_annee[[perimetre]:[perimetre]]=syndicat_etude)*(tx_enf_par_annee[[tx_enf_hta_bt]:[tx_enf_hta_bt]]))</f>
        <v>0.56720000000000004</v>
      </c>
      <c r="N15" s="416" cm="1">
        <f t="array" ref="N15">SUMPRODUCT((tx_enf_par_annee[[annee]:[annee]]=N$6)*(tx_enf_par_annee[[perimetre]:[perimetre]]=syndicat_etude)*(tx_enf_par_annee[[tx_enf_hta_bt]:[tx_enf_hta_bt]]))</f>
        <v>0.57269999999999999</v>
      </c>
      <c r="O15" s="417" cm="1">
        <f t="array" ref="O15">SUMPRODUCT((tx_enf_par_annee[[annee]:[annee]]=O$6)*(tx_enf_par_annee[[perimetre]:[perimetre]]=syndicat_etude)*(tx_enf_par_annee[[tx_enf_hta_bt]:[tx_enf_hta_bt]]))</f>
        <v>0.57740000000000002</v>
      </c>
    </row>
    <row r="37" spans="2:6" ht="40.15" customHeight="1" x14ac:dyDescent="0.25">
      <c r="B37" s="401" t="s">
        <v>1212</v>
      </c>
      <c r="C37" s="402" t="s">
        <v>1213</v>
      </c>
      <c r="D37" s="418" t="s">
        <v>1214</v>
      </c>
    </row>
    <row r="38" spans="2:6" ht="15" customHeight="1" x14ac:dyDescent="0.25">
      <c r="B38" s="413" t="s">
        <v>1203</v>
      </c>
      <c r="C38" s="420" cm="1">
        <f t="array" ref="C38">SUMPRODUCT((tx_enf_densite_pop[[densite_pop_par_km_ligne_hta]:[densite_pop_par_km_ligne_hta]])*(tx_enf_densite_pop[[code_departement]:[code_departement]]="0"))</f>
        <v>575.02200000000005</v>
      </c>
      <c r="D38" s="415" cm="1">
        <f t="array" ref="D38">SUMPRODUCT((tx_enf_par_annee[[annee]:[annee]]=Exercice[[Exercice N]:[Exercice N]])*(tx_enf_par_annee[[code_departement]:[code_departement]]="0")*(tx_enf_par_annee[[tx_enf_hta]:[tx_enf_hta]]))</f>
        <v>0.53</v>
      </c>
    </row>
    <row r="39" spans="2:6" ht="15" customHeight="1" x14ac:dyDescent="0.25">
      <c r="B39" s="413" t="s">
        <v>1204</v>
      </c>
      <c r="C39" s="420" cm="1">
        <f t="array" ref="C39">SUMPRODUCT((tx_enf_densite_pop[[densite_pop_par_km_ligne_bt]:[densite_pop_par_km_ligne_bt]])*(tx_enf_densite_pop[[code_departement]:[code_departement]]="0"))</f>
        <v>645.08910000000003</v>
      </c>
      <c r="D39" s="415" cm="1">
        <f t="array" ref="D39">SUMPRODUCT((tx_enf_par_annee[[annee]:[annee]]=Exercice[[Exercice N]:[Exercice N]])*(tx_enf_par_annee[[code_departement]:[code_departement]]="0")*(tx_enf_par_annee[[tx_enf_bt]:[tx_enf_bt]]))</f>
        <v>0.49440000000000001</v>
      </c>
    </row>
    <row r="40" spans="2:6" ht="15" customHeight="1" x14ac:dyDescent="0.25">
      <c r="B40" s="413" t="s">
        <v>1206</v>
      </c>
      <c r="C40" s="420" cm="1">
        <f t="array" ref="C40">SUMPRODUCT((tx_enf_densite_pop[[code_departement]:[code_departement]]=VLOOKUP(syndicat_etude,tx_enf_par_annee[[perimetre]:[code_departement]],2,FALSE))*(tx_enf_densite_pop[[densite_pop_par_km_ligne_hta]:[densite_pop_par_km_ligne_hta]]))</f>
        <v>321.1395</v>
      </c>
      <c r="D40" s="415" cm="1">
        <f t="array" ref="D40">SUMPRODUCT((tx_enf_densite_pop[[code_departement]:[code_departement]]=VLOOKUP(syndicat_etude,tx_enf_par_annee[[perimetre]:[code_departement]],2,FALSE))*(tx_enf_densite_pop[[taux_enf_hta_dpt]:[taux_enf_hta_dpt]]))</f>
        <v>2.6604000000000001</v>
      </c>
    </row>
    <row r="41" spans="2:6" ht="15" customHeight="1" x14ac:dyDescent="0.25">
      <c r="B41" s="413" t="s">
        <v>1207</v>
      </c>
      <c r="C41" s="420" cm="1">
        <f t="array" ref="C41">SUMPRODUCT((tx_enf_densite_pop[[code_departement]:[code_departement]]=VLOOKUP(syndicat_etude,tx_enf_par_annee[[perimetre]:[code_departement]],2,FALSE))*(tx_enf_densite_pop[[densite_pop_par_km_ligne_bt]:[densite_pop_par_km_ligne_bt]]))</f>
        <v>428.20749999999998</v>
      </c>
      <c r="D41" s="415" cm="1">
        <f t="array" ref="D41">SUMPRODUCT((tx_enf_densite_pop[[code_departement]:[code_departement]]=VLOOKUP(syndicat_etude,tx_enf_par_annee[[perimetre]:[code_departement]],2,FALSE))*(tx_enf_densite_pop[[taux_secur_bt_dpt]:[taux_secur_bt_dpt]]))</f>
        <v>4.6792999999999996</v>
      </c>
    </row>
    <row r="42" spans="2:6" ht="15" customHeight="1" x14ac:dyDescent="0.25">
      <c r="B42" s="413" t="s">
        <v>1209</v>
      </c>
      <c r="C42" s="421" cm="1">
        <f t="array" ref="C42">SUMPRODUCT((tx_enf_densite_pop[[perimetre]:[perimetre]]=syndicat_etude)*(tx_enf_densite_pop[[densite_pop_par_km_ligne_hta]:[densite_pop_par_km_ligne_hta]]))</f>
        <v>314.68459999999999</v>
      </c>
      <c r="D42" s="415" cm="1">
        <f t="array" ref="D42">SUMPRODUCT((tx_enf_par_annee[[annee]:[annee]]=Exercice[[Exercice N]:[Exercice N]])*(tx_enf_par_annee[[perimetre]:[perimetre]]=syndicat_etude)*(tx_enf_par_annee[[tx_enf_hta]:[tx_enf_hta]]))</f>
        <v>0.54300000000000004</v>
      </c>
    </row>
    <row r="43" spans="2:6" ht="15" customHeight="1" x14ac:dyDescent="0.25">
      <c r="B43" s="315" t="s">
        <v>1210</v>
      </c>
      <c r="C43" s="422" cm="1">
        <f t="array" ref="C43">SUMPRODUCT((tx_enf_densite_pop[[perimetre]:[perimetre]]=syndicat_etude)*(tx_enf_densite_pop[[densite_pop_par_km_ligne_bt]:[densite_pop_par_km_ligne_bt]]))</f>
        <v>410.97669999999999</v>
      </c>
      <c r="D43" s="417" cm="1">
        <f t="array" ref="D43">SUMPRODUCT((tx_enf_densite_pop[[perimetre]:[perimetre]]=syndicat_etude)*(tx_enf_densite_pop[[taux_secur_bt_dpt]:[taux_secur_bt_dpt]]))</f>
        <v>4.6734</v>
      </c>
    </row>
    <row r="48" spans="2:6" ht="15" customHeight="1" x14ac:dyDescent="0.25">
      <c r="B48" s="400"/>
      <c r="C48" s="400"/>
      <c r="D48" s="400"/>
      <c r="E48" s="400"/>
      <c r="F48" s="400"/>
    </row>
    <row r="49" spans="2:6" ht="15" customHeight="1" x14ac:dyDescent="0.25">
      <c r="C49" s="376"/>
      <c r="D49" s="376"/>
      <c r="E49" s="376"/>
      <c r="F49" s="419"/>
    </row>
    <row r="50" spans="2:6" ht="15" customHeight="1" x14ac:dyDescent="0.25">
      <c r="C50" s="376"/>
      <c r="D50" s="376"/>
      <c r="E50" s="376"/>
      <c r="F50" s="419"/>
    </row>
    <row r="51" spans="2:6" ht="15" customHeight="1" x14ac:dyDescent="0.25">
      <c r="C51" s="376"/>
      <c r="D51" s="376"/>
      <c r="E51" s="376"/>
      <c r="F51" s="419"/>
    </row>
    <row r="52" spans="2:6" ht="15" customHeight="1" x14ac:dyDescent="0.25">
      <c r="C52" s="376"/>
      <c r="D52" s="376"/>
      <c r="E52" s="376"/>
      <c r="F52" s="419"/>
    </row>
    <row r="55" spans="2:6" ht="15" customHeight="1" x14ac:dyDescent="0.25">
      <c r="B55" s="400"/>
      <c r="C55" s="400"/>
      <c r="D55" s="400"/>
      <c r="E55" s="400"/>
      <c r="F55" s="400"/>
    </row>
    <row r="56" spans="2:6" ht="15" customHeight="1" x14ac:dyDescent="0.25">
      <c r="C56" s="376"/>
      <c r="D56" s="376"/>
      <c r="E56" s="376"/>
      <c r="F56" s="419"/>
    </row>
    <row r="57" spans="2:6" ht="15" customHeight="1" x14ac:dyDescent="0.25">
      <c r="C57" s="376"/>
      <c r="D57" s="376"/>
      <c r="E57" s="376"/>
      <c r="F57" s="419"/>
    </row>
    <row r="58" spans="2:6" ht="15" customHeight="1" x14ac:dyDescent="0.25">
      <c r="C58" s="376"/>
      <c r="D58" s="376"/>
      <c r="E58" s="376"/>
      <c r="F58" s="419"/>
    </row>
    <row r="59" spans="2:6" ht="15" customHeight="1" x14ac:dyDescent="0.25">
      <c r="C59" s="376"/>
      <c r="D59" s="376"/>
      <c r="E59" s="376"/>
      <c r="F59" s="419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3C5E4-80A3-4BC6-AAD8-12DE4484AD2D}">
  <sheetPr codeName="Feuil12">
    <tabColor theme="5" tint="0.39997558519241921"/>
  </sheetPr>
  <dimension ref="A1:L40"/>
  <sheetViews>
    <sheetView zoomScaleNormal="100" workbookViewId="0">
      <selection activeCell="J17" sqref="J17"/>
    </sheetView>
  </sheetViews>
  <sheetFormatPr defaultColWidth="11.42578125" defaultRowHeight="12" x14ac:dyDescent="0.2"/>
  <cols>
    <col min="1" max="1" width="15.7109375" style="453" customWidth="1"/>
    <col min="2" max="2" width="40.7109375" style="453" customWidth="1"/>
    <col min="3" max="4" width="15.7109375" style="453" customWidth="1"/>
    <col min="5" max="8" width="11.7109375" style="453" customWidth="1"/>
    <col min="9" max="16384" width="11.42578125" style="453"/>
  </cols>
  <sheetData>
    <row r="1" spans="1:12" ht="40.15" customHeight="1" x14ac:dyDescent="0.2">
      <c r="A1" s="97" t="s">
        <v>1215</v>
      </c>
    </row>
    <row r="4" spans="1:12" ht="19.899999999999999" customHeight="1" x14ac:dyDescent="0.2">
      <c r="B4" s="771" t="s">
        <v>590</v>
      </c>
      <c r="C4" s="773" t="s">
        <v>591</v>
      </c>
      <c r="D4" s="773" t="s">
        <v>592</v>
      </c>
      <c r="E4" s="773" t="s">
        <v>593</v>
      </c>
      <c r="F4" s="773"/>
      <c r="G4" s="773" t="s">
        <v>594</v>
      </c>
      <c r="H4" s="775"/>
      <c r="I4" s="26"/>
      <c r="J4" s="26"/>
      <c r="K4" s="26"/>
      <c r="L4" s="26"/>
    </row>
    <row r="5" spans="1:12" ht="19.899999999999999" customHeight="1" x14ac:dyDescent="0.2">
      <c r="B5" s="772"/>
      <c r="C5" s="774"/>
      <c r="D5" s="774"/>
      <c r="E5" s="445" t="s">
        <v>595</v>
      </c>
      <c r="F5" s="446" t="s">
        <v>596</v>
      </c>
      <c r="G5" s="445" t="s">
        <v>595</v>
      </c>
      <c r="H5" s="447" t="s">
        <v>596</v>
      </c>
      <c r="I5" s="26"/>
      <c r="J5" s="26"/>
      <c r="K5" s="26"/>
      <c r="L5" s="26"/>
    </row>
    <row r="6" spans="1:12" x14ac:dyDescent="0.2">
      <c r="B6" s="454" t="s">
        <v>597</v>
      </c>
      <c r="C6" s="398" cm="1">
        <f t="array" ref="C6">SUMPRODUCT((coherence_inventaire_synthese_01[[client]:[client]]=syndicat_etude)*(coherence_inventaire_synthese_01[[annee]:[annee]]=annee_CRAC)*(coherence_inventaire_synthese_01[[lineaire_tot_hta_inv_tech]:[lineaire_tot_hta_inv_tech]]))</f>
        <v>0</v>
      </c>
      <c r="D6" s="592" cm="1">
        <f t="array" ref="D6">SUMPRODUCT((coherence_inventaire_synthese_01[[client]:[client]]=syndicat_etude)*(coherence_inventaire_synthese_01[[annee]:[annee]]=annee_CRAC)*(coherence_inventaire_synthese_01[[lineaire_tot_hta_compt]:[lineaire_tot_hta_compt]]))</f>
        <v>0</v>
      </c>
      <c r="E6" s="398" cm="1">
        <f t="array" ref="E6">SUMPRODUCT((coherence_inventaire_synthese_01[[client]:[client]]=syndicat_etude)*(coherence_inventaire_synthese_01[[annee]:[annee]]=annee_CRAC)*(coherence_inventaire_synthese_01[[ecart_concession_tot_hta_qte]:[ecart_concession_tot_hta_qte]]))</f>
        <v>0</v>
      </c>
      <c r="F6" s="455" cm="1">
        <f t="array" ref="F6">SUMPRODUCT((coherence_inventaire_synthese_01[[client]:[client]]=syndicat_etude)*(coherence_inventaire_synthese_01[[annee]:[annee]]=annee_CRAC)*(coherence_inventaire_synthese_01[[ecart_concession_tot_hta_percent]:[ecart_concession_tot_hta_percent]]))</f>
        <v>0</v>
      </c>
      <c r="G6" s="398" cm="1">
        <f t="array" ref="G6">SUMPRODUCT((coherence_inventaire_synthese_01[[client]:[client]]=syndicat_etude)*(coherence_inventaire_synthese_01[[annee]:[annee]]=annee_CRAC)*(coherence_inventaire_synthese_01[[ecart_commune_tot_hta_qte]:[ecart_commune_tot_hta_qte]]))</f>
        <v>0</v>
      </c>
      <c r="H6" s="456" cm="1">
        <f t="array" ref="H6">SUMPRODUCT((coherence_inventaire_synthese_01[[client]:[client]]=syndicat_etude)*(coherence_inventaire_synthese_01[[annee]:[annee]]=annee_CRAC)*(coherence_inventaire_synthese_01[[ecart_commune_tot_hta_percent]:[ecart_commune_tot_hta_percent]]))</f>
        <v>0</v>
      </c>
      <c r="I6" s="26"/>
      <c r="J6" s="26"/>
      <c r="K6" s="26"/>
      <c r="L6" s="26"/>
    </row>
    <row r="7" spans="1:12" x14ac:dyDescent="0.2">
      <c r="B7" s="454" t="s">
        <v>598</v>
      </c>
      <c r="C7" s="398" cm="1">
        <f t="array" ref="C7">SUMPRODUCT((coherence_inventaire_synthese_01[[client]:[client]]=syndicat_etude)*(coherence_inventaire_synthese_01[[annee]:[annee]]=annee_CRAC)*(coherence_inventaire_synthese_01[[lineaire_tot_bt_inv_tech]:[lineaire_tot_bt_inv_tech]]))</f>
        <v>0</v>
      </c>
      <c r="D7" s="398" cm="1">
        <f t="array" ref="D7">SUMPRODUCT((coherence_inventaire_synthese_01[[client]:[client]]=syndicat_etude)*(coherence_inventaire_synthese_01[[annee]:[annee]]=annee_CRAC)*(coherence_inventaire_synthese_01[[lineaire_tot_bt_compt]:[lineaire_tot_bt_compt]]))</f>
        <v>0</v>
      </c>
      <c r="E7" s="398" cm="1">
        <f t="array" ref="E7">SUMPRODUCT((coherence_inventaire_synthese_01[[client]:[client]]=syndicat_etude)*(coherence_inventaire_synthese_01[[annee]:[annee]]=annee_CRAC)*(coherence_inventaire_synthese_01[[ecart_concession_tot_bt_qte]:[ecart_concession_tot_bt_qte]]))</f>
        <v>0</v>
      </c>
      <c r="F7" s="455" cm="1">
        <f t="array" ref="F7">SUMPRODUCT((coherence_inventaire_synthese_01[[client]:[client]]=syndicat_etude)*(coherence_inventaire_synthese_01[[annee]:[annee]]=annee_CRAC)*(coherence_inventaire_synthese_01[[ecart_concession_tot_bt_percent]:[ecart_concession_tot_bt_percent]]))</f>
        <v>0</v>
      </c>
      <c r="G7" s="398" cm="1">
        <f t="array" ref="G7">SUMPRODUCT((coherence_inventaire_synthese_01[[client]:[client]]=syndicat_etude)*(coherence_inventaire_synthese_01[[annee]:[annee]]=annee_CRAC)*(coherence_inventaire_synthese_01[[ecart_commune_tot_bt_qte]:[ecart_commune_tot_bt_qte]]))</f>
        <v>0</v>
      </c>
      <c r="H7" s="456" cm="1">
        <f t="array" ref="H7">SUMPRODUCT((coherence_inventaire_synthese_01[[client]:[client]]=syndicat_etude)*(coherence_inventaire_synthese_01[[annee]:[annee]]=annee_CRAC)*(coherence_inventaire_synthese_01[[ecart_commune_tot_bt_percent]:[ecart_commune_tot_bt_percent]]))</f>
        <v>0</v>
      </c>
      <c r="I7" s="26"/>
      <c r="J7" s="26"/>
      <c r="K7" s="26"/>
      <c r="L7" s="26"/>
    </row>
    <row r="8" spans="1:12" x14ac:dyDescent="0.2">
      <c r="B8" s="457" t="s">
        <v>599</v>
      </c>
      <c r="C8" s="458" cm="1">
        <f t="array" ref="C8">SUMPRODUCT((coherence_inventaire_synthese_01[[client]:[client]]=syndicat_etude)*(coherence_inventaire_synthese_01[[annee]:[annee]]=annee_CRAC)*(coherence_inventaire_synthese_01[[nbr_transfos_inv_tech]:[nbr_transfos_inv_tech]]))</f>
        <v>0</v>
      </c>
      <c r="D8" s="458" cm="1">
        <f t="array" ref="D8">SUMPRODUCT((coherence_inventaire_synthese_01[[client]:[client]]=syndicat_etude)*(coherence_inventaire_synthese_01[[annee]:[annee]]=annee_CRAC)*(coherence_inventaire_synthese_01[[transfos_compt]:[transfos_compt]]))</f>
        <v>0</v>
      </c>
      <c r="E8" s="458" cm="1">
        <f t="array" ref="E8">SUMPRODUCT((coherence_inventaire_synthese_01[[client]:[client]]=syndicat_etude)*(coherence_inventaire_synthese_01[[annee]:[annee]]=annee_CRAC)*(coherence_inventaire_synthese_01[[ecart_concession_transfos_qte]:[ecart_concession_transfos_qte]]))</f>
        <v>0</v>
      </c>
      <c r="F8" s="459" cm="1">
        <f t="array" ref="F8">SUMPRODUCT((coherence_inventaire_synthese_01[[client]:[client]]=syndicat_etude)*(coherence_inventaire_synthese_01[[annee]:[annee]]=annee_CRAC)*(coherence_inventaire_synthese_01[[ecart_concession_transfos_percent]:[ecart_concession_transfos_percent]]))</f>
        <v>0</v>
      </c>
      <c r="G8" s="458" cm="1">
        <f t="array" ref="G8">SUMPRODUCT((coherence_inventaire_synthese_01[[client]:[client]]=syndicat_etude)*(coherence_inventaire_synthese_01[[annee]:[annee]]=annee_CRAC)*(coherence_inventaire_synthese_01[[ecart_commune_transfos_qte]:[ecart_commune_transfos_qte]]))</f>
        <v>0</v>
      </c>
      <c r="H8" s="460" cm="1">
        <f t="array" ref="H8">SUMPRODUCT((coherence_inventaire_synthese_01[[client]:[client]]=syndicat_etude)*(coherence_inventaire_synthese_01[[annee]:[annee]]=annee_CRAC)*(coherence_inventaire_synthese_01[[ecart_commune_transfos_percent]:[ecart_commune_transfos_percent]]))</f>
        <v>0</v>
      </c>
      <c r="I8" s="26"/>
      <c r="J8" s="26"/>
      <c r="K8" s="26"/>
      <c r="L8" s="26"/>
    </row>
    <row r="9" spans="1:12" x14ac:dyDescent="0.2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1:12" ht="19.899999999999999" customHeight="1" x14ac:dyDescent="0.2">
      <c r="B10" s="771" t="s">
        <v>604</v>
      </c>
      <c r="C10" s="773" t="s">
        <v>605</v>
      </c>
      <c r="D10" s="773" t="s">
        <v>606</v>
      </c>
      <c r="E10" s="773" t="s">
        <v>593</v>
      </c>
      <c r="F10" s="773"/>
      <c r="G10" s="773" t="s">
        <v>594</v>
      </c>
      <c r="H10" s="775"/>
      <c r="I10" s="26"/>
      <c r="J10" s="26"/>
      <c r="K10" s="26"/>
      <c r="L10" s="26"/>
    </row>
    <row r="11" spans="1:12" ht="19.899999999999999" customHeight="1" x14ac:dyDescent="0.2">
      <c r="B11" s="772"/>
      <c r="C11" s="774"/>
      <c r="D11" s="774"/>
      <c r="E11" s="445" t="s">
        <v>607</v>
      </c>
      <c r="F11" s="446" t="s">
        <v>596</v>
      </c>
      <c r="G11" s="445" t="s">
        <v>607</v>
      </c>
      <c r="H11" s="447" t="s">
        <v>596</v>
      </c>
      <c r="I11" s="26"/>
      <c r="J11" s="26"/>
      <c r="K11" s="26"/>
      <c r="L11" s="26"/>
    </row>
    <row r="12" spans="1:12" x14ac:dyDescent="0.2">
      <c r="B12" s="454" t="s">
        <v>113</v>
      </c>
      <c r="C12" s="398" cm="1">
        <f t="array" ref="C12">SUMPRODUCT((coherence_inventaire_synthese_02[[client]:[client]]=syndicat_etude)*(coherence_inventaire_synthese_02[[annee]:[annee]]=annee_CRAC)*(coherence_inventaire_synthese_02[[lineaire_tot_hta_nu_inv_tech]:[lineaire_tot_hta_nu_inv_tech]]))</f>
        <v>0</v>
      </c>
      <c r="D12" s="398" cm="1">
        <f t="array" ref="D12">SUMPRODUCT((coherence_inventaire_synthese_02[[client]:[client]]=syndicat_etude)*(coherence_inventaire_synthese_02[[annee]:[annee]]=annee_CRAC)*(coherence_inventaire_synthese_02[[lineaire_tot_hta_nu_compt]:[lineaire_tot_hta_nu_compt]]))</f>
        <v>0</v>
      </c>
      <c r="E12" s="398" cm="1">
        <f t="array" ref="E12">SUMPRODUCT((coherence_inventaire_synthese_02[[client]:[client]]=syndicat_etude)*(coherence_inventaire_synthese_02[[annee]:[annee]]=annee_CRAC)*(coherence_inventaire_synthese_02[[ecart_concession_tot_hta_nu_qte]:[ecart_concession_tot_hta_nu_qte]]))</f>
        <v>0</v>
      </c>
      <c r="F12" s="455" cm="1">
        <f t="array" ref="F12">SUMPRODUCT((coherence_inventaire_synthese_02[[client]:[client]]=syndicat_etude)*(coherence_inventaire_synthese_02[[annee]:[annee]]=annee_CRAC)*(coherence_inventaire_synthese_02[[ecart_concession_tot_hta_nu_percent]:[ecart_concession_tot_hta_nu_percent]]))</f>
        <v>0</v>
      </c>
      <c r="G12" s="398" cm="1">
        <f t="array" ref="G12">SUMPRODUCT((coherence_inventaire_synthese_02[[client]:[client]]=syndicat_etude)*(coherence_inventaire_synthese_02[[annee]:[annee]]=annee_CRAC)*(coherence_inventaire_synthese_02[[ecart_commune_tot_hta_nu_qte]:[ecart_commune_tot_hta_nu_qte]]))</f>
        <v>0</v>
      </c>
      <c r="H12" s="456" cm="1">
        <f t="array" ref="H12">SUMPRODUCT((coherence_inventaire_synthese_02[[client]:[client]]=syndicat_etude)*(coherence_inventaire_synthese_02[[annee]:[annee]]=annee_CRAC)*(coherence_inventaire_synthese_02[[ecart_commune_tot_hta_nu_percent]:[ecart_commune_tot_hta_nu_percent]]))</f>
        <v>0</v>
      </c>
      <c r="I12" s="26"/>
      <c r="J12" s="26"/>
      <c r="K12" s="26"/>
      <c r="L12" s="26"/>
    </row>
    <row r="13" spans="1:12" x14ac:dyDescent="0.2">
      <c r="B13" s="454" t="s">
        <v>114</v>
      </c>
      <c r="C13" s="398" cm="1">
        <f t="array" ref="C13">SUMPRODUCT((coherence_inventaire_synthese_02[[client]:[client]]=syndicat_etude)*(coherence_inventaire_synthese_02[[annee]:[annee]]=annee_CRAC)*(coherence_inventaire_synthese_02[[lineaire_tot_hta_torsade_inv_tech]:[lineaire_tot_hta_torsade_inv_tech]]))</f>
        <v>0</v>
      </c>
      <c r="D13" s="398" cm="1">
        <f t="array" ref="D13">SUMPRODUCT((coherence_inventaire_synthese_02[[client]:[client]]=syndicat_etude)*(coherence_inventaire_synthese_02[[annee]:[annee]]=annee_CRAC)*(coherence_inventaire_synthese_02[[lineaire_tot_hta_torsade_compt]:[lineaire_tot_hta_torsade_compt]]))</f>
        <v>0</v>
      </c>
      <c r="E13" s="398" cm="1">
        <f t="array" ref="E13">SUMPRODUCT((coherence_inventaire_synthese_02[[client]:[client]]=syndicat_etude)*(coherence_inventaire_synthese_02[[annee]:[annee]]=annee_CRAC)*(coherence_inventaire_synthese_02[[ecart_concession_tot_hta_torsade_qte]:[ecart_concession_tot_hta_torsade_qte]]))</f>
        <v>0</v>
      </c>
      <c r="F13" s="455" cm="1">
        <f t="array" ref="F13">SUMPRODUCT((coherence_inventaire_synthese_02[[client]:[client]]=syndicat_etude)*(coherence_inventaire_synthese_02[[annee]:[annee]]=annee_CRAC)*(coherence_inventaire_synthese_02[[ecart_concession_tot_hta_torsade_percent]:[ecart_concession_tot_hta_torsade_percent]]))</f>
        <v>0</v>
      </c>
      <c r="G13" s="398" cm="1">
        <f t="array" ref="G13">SUMPRODUCT((coherence_inventaire_synthese_02[[client]:[client]]=syndicat_etude)*(coherence_inventaire_synthese_02[[annee]:[annee]]=annee_CRAC)*(coherence_inventaire_synthese_02[[ecart_commune_tot_hta_torsade_qte]:[ecart_commune_tot_hta_torsade_qte]]))</f>
        <v>0</v>
      </c>
      <c r="H13" s="456" cm="1">
        <f t="array" ref="H13">SUMPRODUCT((coherence_inventaire_synthese_02[[client]:[client]]=syndicat_etude)*(coherence_inventaire_synthese_02[[annee]:[annee]]=annee_CRAC)*(coherence_inventaire_synthese_02[[ecart_commune_tot_hta_torsade_percent]:[ecart_commune_tot_hta_torsade_percent]]))</f>
        <v>0</v>
      </c>
      <c r="I13" s="26"/>
      <c r="J13" s="26"/>
      <c r="K13" s="26"/>
      <c r="L13" s="26"/>
    </row>
    <row r="14" spans="1:12" x14ac:dyDescent="0.2">
      <c r="B14" s="454" t="s">
        <v>115</v>
      </c>
      <c r="C14" s="398" cm="1">
        <f t="array" ref="C14">SUMPRODUCT((coherence_inventaire_synthese_02[[client]:[client]]=syndicat_etude)*(coherence_inventaire_synthese_02[[annee]:[annee]]=annee_CRAC)*(coherence_inventaire_synthese_02[[lineaire_tot_hta_souterrain_inv_tech]:[lineaire_tot_hta_souterrain_inv_tech]]))</f>
        <v>0</v>
      </c>
      <c r="D14" s="398" cm="1">
        <f t="array" ref="D14">SUMPRODUCT((coherence_inventaire_synthese_02[[client]:[client]]=syndicat_etude)*(coherence_inventaire_synthese_02[[annee]:[annee]]=annee_CRAC)*(coherence_inventaire_synthese_02[[lineaire_tot_hta_souterrain_compt]:[lineaire_tot_hta_souterrain_compt]]))</f>
        <v>0</v>
      </c>
      <c r="E14" s="398" cm="1">
        <f t="array" ref="E14">SUMPRODUCT((coherence_inventaire_synthese_02[[client]:[client]]=syndicat_etude)*(coherence_inventaire_synthese_02[[annee]:[annee]]=annee_CRAC)*(coherence_inventaire_synthese_02[[ecart_concession_tot_hta_souterrain_qte]:[ecart_concession_tot_hta_souterrain_qte]]))</f>
        <v>0</v>
      </c>
      <c r="F14" s="455" cm="1">
        <f t="array" ref="F14">SUMPRODUCT((coherence_inventaire_synthese_02[[client]:[client]]=syndicat_etude)*(coherence_inventaire_synthese_02[[annee]:[annee]]=annee_CRAC)*(coherence_inventaire_synthese_02[[ecart_concession_tot_hta_souterrain_percent]:[ecart_concession_tot_hta_souterrain_percent]]))</f>
        <v>0</v>
      </c>
      <c r="G14" s="398" cm="1">
        <f t="array" ref="G14">SUMPRODUCT((coherence_inventaire_synthese_02[[client]:[client]]=syndicat_etude)*(coherence_inventaire_synthese_02[[annee]:[annee]]=annee_CRAC)*(coherence_inventaire_synthese_02[[ecart_commune_tot_hta_souterrain_qte]:[ecart_commune_tot_hta_souterrain_qte]]))</f>
        <v>0</v>
      </c>
      <c r="H14" s="456" cm="1">
        <f t="array" ref="H14">SUMPRODUCT((coherence_inventaire_synthese_02[[client]:[client]]=syndicat_etude)*(coherence_inventaire_synthese_02[[annee]:[annee]]=annee_CRAC)*(coherence_inventaire_synthese_02[[ecart_commune_tot_hta_souterrain_percent]:[ecart_commune_tot_hta_souterrain_percent]]))</f>
        <v>0</v>
      </c>
      <c r="I14" s="26"/>
      <c r="J14" s="26"/>
      <c r="K14" s="26"/>
      <c r="L14" s="26"/>
    </row>
    <row r="15" spans="1:12" x14ac:dyDescent="0.2">
      <c r="B15" s="461" t="s">
        <v>608</v>
      </c>
      <c r="C15" s="462" cm="1">
        <f t="array" ref="C15">SUMPRODUCT((coherence_inventaire_synthese_02[[client]:[client]]=syndicat_etude)*(coherence_inventaire_synthese_02[[annee]:[annee]]=annee_CRAC)*(coherence_inventaire_synthese_02[[lineaire_tot_hta_inv_tech]:[lineaire_tot_hta_inv_tech]]))</f>
        <v>0</v>
      </c>
      <c r="D15" s="462" cm="1">
        <f t="array" ref="D15">SUMPRODUCT((coherence_inventaire_synthese_02[[client]:[client]]=syndicat_etude)*(coherence_inventaire_synthese_02[[annee]:[annee]]=annee_CRAC)*(coherence_inventaire_synthese_02[[lineaire_tot_hta_compt]:[lineaire_tot_hta_compt]]))</f>
        <v>0</v>
      </c>
      <c r="E15" s="462" cm="1">
        <f t="array" ref="E15">SUMPRODUCT((coherence_inventaire_synthese_02[[client]:[client]]=syndicat_etude)*(coherence_inventaire_synthese_02[[annee]:[annee]]=annee_CRAC)*(coherence_inventaire_synthese_02[[ecart_concession_tot_hta_qte]:[ecart_concession_tot_hta_qte]]))</f>
        <v>0</v>
      </c>
      <c r="F15" s="463" cm="1">
        <f t="array" ref="F15">SUMPRODUCT((coherence_inventaire_synthese_02[[client]:[client]]=syndicat_etude)*(coherence_inventaire_synthese_02[[annee]:[annee]]=annee_CRAC)*(coherence_inventaire_synthese_02[[ecart_concession_tot_hta_percent]:[ecart_concession_tot_hta_percent]]))</f>
        <v>0</v>
      </c>
      <c r="G15" s="462" cm="1">
        <f t="array" ref="G15">SUMPRODUCT((coherence_inventaire_synthese_02[[client]:[client]]=syndicat_etude)*(coherence_inventaire_synthese_02[[annee]:[annee]]=annee_CRAC)*(coherence_inventaire_synthese_02[[ecart_commune_tot_hta_qte]:[ecart_commune_tot_hta_qte]]))</f>
        <v>0</v>
      </c>
      <c r="H15" s="464" cm="1">
        <f t="array" ref="H15">SUMPRODUCT((coherence_inventaire_synthese_02[[client]:[client]]=syndicat_etude)*(coherence_inventaire_synthese_02[[annee]:[annee]]=annee_CRAC)*(coherence_inventaire_synthese_02[[ecart_commune_tot_hta_percent]:[ecart_commune_tot_hta_percent]]))</f>
        <v>0</v>
      </c>
      <c r="I15" s="26"/>
      <c r="J15" s="26"/>
      <c r="K15" s="26"/>
      <c r="L15" s="26"/>
    </row>
    <row r="16" spans="1:12" x14ac:dyDescent="0.2">
      <c r="B16" s="465"/>
      <c r="C16" s="466"/>
      <c r="D16" s="466"/>
      <c r="E16" s="455"/>
      <c r="F16" s="455"/>
      <c r="G16" s="467"/>
      <c r="H16" s="455"/>
      <c r="I16" s="26"/>
      <c r="J16" s="26"/>
      <c r="K16" s="26"/>
      <c r="L16" s="26"/>
    </row>
    <row r="17" spans="2:12" ht="19.899999999999999" customHeight="1" x14ac:dyDescent="0.2">
      <c r="B17" s="771" t="s">
        <v>610</v>
      </c>
      <c r="C17" s="773" t="s">
        <v>605</v>
      </c>
      <c r="D17" s="773" t="s">
        <v>606</v>
      </c>
      <c r="E17" s="773" t="s">
        <v>593</v>
      </c>
      <c r="F17" s="773"/>
      <c r="G17" s="773" t="s">
        <v>594</v>
      </c>
      <c r="H17" s="775"/>
      <c r="I17" s="26"/>
      <c r="J17" s="26"/>
      <c r="K17" s="26"/>
      <c r="L17" s="26"/>
    </row>
    <row r="18" spans="2:12" ht="19.899999999999999" customHeight="1" x14ac:dyDescent="0.2">
      <c r="B18" s="772"/>
      <c r="C18" s="774"/>
      <c r="D18" s="774"/>
      <c r="E18" s="445" t="s">
        <v>607</v>
      </c>
      <c r="F18" s="446" t="s">
        <v>596</v>
      </c>
      <c r="G18" s="445" t="s">
        <v>607</v>
      </c>
      <c r="H18" s="447" t="s">
        <v>596</v>
      </c>
      <c r="I18" s="26"/>
      <c r="J18" s="26"/>
      <c r="K18" s="26"/>
      <c r="L18" s="26"/>
    </row>
    <row r="19" spans="2:12" x14ac:dyDescent="0.2">
      <c r="B19" s="454" t="s">
        <v>113</v>
      </c>
      <c r="C19" s="398" cm="1">
        <f t="array" ref="C19">SUMPRODUCT((coherence_inventaire_synthese_03[[client]:[client]]=syndicat_etude)*(coherence_inventaire_synthese_03[[annee]:[annee]]=annee_CRAC)*(coherence_inventaire_synthese_03[[lineaire_tot_bt_nu_inv_tech]:[lineaire_tot_bt_nu_inv_tech]]))</f>
        <v>0</v>
      </c>
      <c r="D19" s="398" cm="1">
        <f t="array" ref="D19">SUMPRODUCT((coherence_inventaire_synthese_03[[client]:[client]]=syndicat_etude)*(coherence_inventaire_synthese_03[[annee]:[annee]]=annee_CRAC)*(coherence_inventaire_synthese_03[[lineaire_tot_bt_nu_compt]:[lineaire_tot_bt_nu_compt]]))</f>
        <v>0</v>
      </c>
      <c r="E19" s="398" cm="1">
        <f t="array" ref="E19">SUMPRODUCT((coherence_inventaire_synthese_03[[client]:[client]]=syndicat_etude)*(coherence_inventaire_synthese_03[[annee]:[annee]]=annee_CRAC)*(coherence_inventaire_synthese_03[[ecart_concession_tot_bt_nu_qte]:[ecart_concession_tot_bt_nu_qte]]))</f>
        <v>0</v>
      </c>
      <c r="F19" s="455" cm="1">
        <f t="array" ref="F19">SUMPRODUCT((coherence_inventaire_synthese_03[[client]:[client]]=syndicat_etude)*(coherence_inventaire_synthese_03[[annee]:[annee]]=annee_CRAC)*(coherence_inventaire_synthese_03[[ecart_concession_tot_bt_nu_percent]:[ecart_concession_tot_bt_nu_percent]]))</f>
        <v>0</v>
      </c>
      <c r="G19" s="398" cm="1">
        <f t="array" ref="G19">SUMPRODUCT((coherence_inventaire_synthese_03[[client]:[client]]=syndicat_etude)*(coherence_inventaire_synthese_03[[annee]:[annee]]=annee_CRAC)*(coherence_inventaire_synthese_03[[ecart_commune_tot_bt_nu_qte]:[ecart_commune_tot_bt_nu_percent]]))</f>
        <v>0</v>
      </c>
      <c r="H19" s="456" cm="1">
        <f t="array" ref="H19">SUMPRODUCT((coherence_inventaire_synthese_03[[client]:[client]]=syndicat_etude)*(coherence_inventaire_synthese_03[[annee]:[annee]]=annee_CRAC)*(coherence_inventaire_synthese_03[[ecart_commune_tot_bt_nu_percent]:[ecart_commune_tot_bt_nu_percent]]))</f>
        <v>0</v>
      </c>
      <c r="I19" s="26"/>
      <c r="J19" s="26"/>
      <c r="K19" s="26"/>
      <c r="L19" s="26"/>
    </row>
    <row r="20" spans="2:12" x14ac:dyDescent="0.2">
      <c r="B20" s="454" t="s">
        <v>114</v>
      </c>
      <c r="C20" s="398" cm="1">
        <f t="array" ref="C20">SUMPRODUCT((coherence_inventaire_synthese_03[[client]:[client]]=syndicat_etude)*(coherence_inventaire_synthese_03[[annee]:[annee]]=annee_CRAC)*(coherence_inventaire_synthese_03[[lineaire_tot_bt_torsade_inv_tech]:[lineaire_tot_bt_torsade_inv_tech]]))</f>
        <v>0</v>
      </c>
      <c r="D20" s="398" cm="1">
        <f t="array" ref="D20">SUMPRODUCT((coherence_inventaire_synthese_03[[client]:[client]]=syndicat_etude)*(coherence_inventaire_synthese_03[[annee]:[annee]]=annee_CRAC)*(coherence_inventaire_synthese_03[[lineaire_tot_bt_torsade_compt]:[lineaire_tot_bt_torsade_compt]]))</f>
        <v>0</v>
      </c>
      <c r="E20" s="398" cm="1">
        <f t="array" ref="E20">SUMPRODUCT((coherence_inventaire_synthese_03[[client]:[client]]=syndicat_etude)*(coherence_inventaire_synthese_03[[annee]:[annee]]=annee_CRAC)*(coherence_inventaire_synthese_03[[ecart_concession_tot_bt_torsade_qte]:[ecart_concession_tot_bt_torsade_qte]]))</f>
        <v>0</v>
      </c>
      <c r="F20" s="455" cm="1">
        <f t="array" ref="F20">SUMPRODUCT((coherence_inventaire_synthese_03[[client]:[client]]=syndicat_etude)*(coherence_inventaire_synthese_03[[annee]:[annee]]=annee_CRAC)*(coherence_inventaire_synthese_03[[ecart_concession_tot_bt_torsade_percent]:[ecart_concession_tot_bt_torsade_percent]]))</f>
        <v>0</v>
      </c>
      <c r="G20" s="398" cm="1">
        <f t="array" ref="G20">SUMPRODUCT((coherence_inventaire_synthese_03[[client]:[client]]=syndicat_etude)*(coherence_inventaire_synthese_03[[annee]:[annee]]=annee_CRAC)*(coherence_inventaire_synthese_03[[ecart_commune_tot_bt_torsade_qte]:[ecart_commune_tot_bt_torsade_qte]]))</f>
        <v>0</v>
      </c>
      <c r="H20" s="456" cm="1">
        <f t="array" ref="H20">SUMPRODUCT((coherence_inventaire_synthese_03[[client]:[client]]=syndicat_etude)*(coherence_inventaire_synthese_03[[annee]:[annee]]=annee_CRAC)*(coherence_inventaire_synthese_03[[ecart_commune_tot_bt_torsade_percent]:[ecart_commune_tot_bt_torsade_percent]]))</f>
        <v>0</v>
      </c>
      <c r="I20" s="26"/>
      <c r="J20" s="26"/>
      <c r="K20" s="26"/>
      <c r="L20" s="26"/>
    </row>
    <row r="21" spans="2:12" x14ac:dyDescent="0.2">
      <c r="B21" s="454" t="s">
        <v>115</v>
      </c>
      <c r="C21" s="398" cm="1">
        <f t="array" ref="C21">SUMPRODUCT((coherence_inventaire_synthese_03[[client]:[client]]=syndicat_etude)*(coherence_inventaire_synthese_03[[annee]:[annee]]=annee_CRAC)*(coherence_inventaire_synthese_03[[lineaire_tot_bt_souterrain_inv_tech]:[lineaire_tot_bt_souterrain_inv_tech]]))</f>
        <v>0</v>
      </c>
      <c r="D21" s="398" cm="1">
        <f t="array" ref="D21">SUMPRODUCT((coherence_inventaire_synthese_03[[client]:[client]]=syndicat_etude)*(coherence_inventaire_synthese_03[[annee]:[annee]]=annee_CRAC)*(coherence_inventaire_synthese_03[[lineaire_tot_bt_souterrain_compt]:[lineaire_tot_bt_souterrain_compt]]))</f>
        <v>0</v>
      </c>
      <c r="E21" s="398" cm="1">
        <f t="array" ref="E21">SUMPRODUCT((coherence_inventaire_synthese_03[[client]:[client]]=syndicat_etude)*(coherence_inventaire_synthese_03[[annee]:[annee]]=annee_CRAC)*(coherence_inventaire_synthese_03[[ecart_concession_tot_bt_souterrain_qte]:[ecart_concession_tot_bt_souterrain_qte]]))</f>
        <v>0</v>
      </c>
      <c r="F21" s="455" cm="1">
        <f t="array" ref="F21">SUMPRODUCT((coherence_inventaire_synthese_03[[client]:[client]]=syndicat_etude)*(coherence_inventaire_synthese_03[[annee]:[annee]]=annee_CRAC)*(coherence_inventaire_synthese_03[[ecart_concession_tot_bt_souterrain_percent]:[ecart_concession_tot_bt_souterrain_percent]]))</f>
        <v>0</v>
      </c>
      <c r="G21" s="398" cm="1">
        <f t="array" ref="G21">SUMPRODUCT((coherence_inventaire_synthese_03[[client]:[client]]=syndicat_etude)*(coherence_inventaire_synthese_03[[annee]:[annee]]=annee_CRAC)*(coherence_inventaire_synthese_03[[ecart_commune_tot_bt_souterrain_qte]:[ecart_commune_tot_bt_souterrain_qte]]))</f>
        <v>0</v>
      </c>
      <c r="H21" s="456" cm="1">
        <f t="array" ref="H21">SUMPRODUCT((coherence_inventaire_synthese_03[[client]:[client]]=syndicat_etude)*(coherence_inventaire_synthese_03[[annee]:[annee]]=annee_CRAC)*(coherence_inventaire_synthese_03[[ecart_commune_tot_bt_souterrain_percent]:[ecart_commune_tot_bt_souterrain_percent]]))</f>
        <v>0</v>
      </c>
      <c r="I21" s="26"/>
      <c r="J21" s="26"/>
      <c r="K21" s="26"/>
      <c r="L21" s="26"/>
    </row>
    <row r="22" spans="2:12" x14ac:dyDescent="0.2">
      <c r="B22" s="461" t="s">
        <v>611</v>
      </c>
      <c r="C22" s="462" cm="1">
        <f t="array" ref="C22">SUMPRODUCT((coherence_inventaire_synthese_03[[client]:[client]]=syndicat_etude)*(coherence_inventaire_synthese_03[[annee]:[annee]]=annee_CRAC)*(coherence_inventaire_synthese_03[[lineaire_tot_bt_inv_tech]:[lineaire_tot_bt_inv_tech]]))</f>
        <v>0</v>
      </c>
      <c r="D22" s="462" cm="1">
        <f t="array" ref="D22">SUMPRODUCT((coherence_inventaire_synthese_03[[client]:[client]]=syndicat_etude)*(coherence_inventaire_synthese_03[[annee]:[annee]]=annee_CRAC)*(coherence_inventaire_synthese_03[[lineaire_tot_bt_compt]:[lineaire_tot_bt_compt]]))</f>
        <v>0</v>
      </c>
      <c r="E22" s="462" cm="1">
        <f t="array" ref="E22">SUMPRODUCT((coherence_inventaire_synthese_03[[client]:[client]]=syndicat_etude)*(coherence_inventaire_synthese_03[[annee]:[annee]]=annee_CRAC)*(coherence_inventaire_synthese_03[[ecart_concession_tot_bt_qte]:[ecart_concession_tot_bt_qte]]))</f>
        <v>0</v>
      </c>
      <c r="F22" s="463" cm="1">
        <f t="array" ref="F22">SUMPRODUCT((coherence_inventaire_synthese_03[[client]:[client]]=syndicat_etude)*(coherence_inventaire_synthese_03[[annee]:[annee]]=annee_CRAC)*(coherence_inventaire_synthese_03[[ecart_concession_tot_bt_percent]:[ecart_concession_tot_bt_percent]]))</f>
        <v>0</v>
      </c>
      <c r="G22" s="462" cm="1">
        <f t="array" ref="G22">SUMPRODUCT((coherence_inventaire_synthese_03[[client]:[client]]=syndicat_etude)*(coherence_inventaire_synthese_03[[annee]:[annee]]=annee_CRAC)*(coherence_inventaire_synthese_03[[ecart_commune_tot_bt_qte]:[ecart_commune_tot_bt_qte]]))</f>
        <v>0</v>
      </c>
      <c r="H22" s="464" cm="1">
        <f t="array" ref="H22">SUMPRODUCT((coherence_inventaire_synthese_03[[client]:[client]]=syndicat_etude)*(coherence_inventaire_synthese_03[[annee]:[annee]]=annee_CRAC)*(coherence_inventaire_synthese_03[[ecart_commune_tot_bt_percent]:[ecart_commune_tot_bt_percent]]))</f>
        <v>0</v>
      </c>
      <c r="I22" s="26"/>
      <c r="J22" s="26"/>
      <c r="K22" s="26"/>
      <c r="L22" s="26"/>
    </row>
    <row r="23" spans="2:12" x14ac:dyDescent="0.2">
      <c r="B23" s="465"/>
      <c r="C23" s="466"/>
      <c r="D23" s="466"/>
      <c r="E23" s="466"/>
      <c r="F23" s="455"/>
      <c r="G23" s="466"/>
      <c r="H23" s="455"/>
      <c r="I23" s="26"/>
      <c r="J23" s="26"/>
      <c r="K23" s="26"/>
      <c r="L23" s="26"/>
    </row>
    <row r="24" spans="2:12" ht="19.899999999999999" customHeight="1" x14ac:dyDescent="0.2">
      <c r="B24" s="771" t="s">
        <v>613</v>
      </c>
      <c r="C24" s="773" t="s">
        <v>614</v>
      </c>
      <c r="D24" s="773" t="s">
        <v>615</v>
      </c>
      <c r="E24" s="773" t="s">
        <v>593</v>
      </c>
      <c r="F24" s="773"/>
      <c r="G24" s="773" t="s">
        <v>594</v>
      </c>
      <c r="H24" s="775"/>
      <c r="I24" s="26"/>
      <c r="J24" s="26"/>
      <c r="K24" s="26"/>
      <c r="L24" s="26"/>
    </row>
    <row r="25" spans="2:12" ht="19.899999999999999" customHeight="1" x14ac:dyDescent="0.2">
      <c r="B25" s="772"/>
      <c r="C25" s="774"/>
      <c r="D25" s="774"/>
      <c r="E25" s="445" t="s">
        <v>616</v>
      </c>
      <c r="F25" s="445" t="s">
        <v>596</v>
      </c>
      <c r="G25" s="445" t="s">
        <v>616</v>
      </c>
      <c r="H25" s="448" t="s">
        <v>596</v>
      </c>
      <c r="I25" s="26"/>
      <c r="J25" s="26"/>
      <c r="K25" s="26"/>
      <c r="L25" s="26"/>
    </row>
    <row r="26" spans="2:12" x14ac:dyDescent="0.2">
      <c r="B26" s="468" t="s">
        <v>617</v>
      </c>
      <c r="C26" s="469" cm="1">
        <f t="array" ref="C26">SUMPRODUCT((coherence_inventaire_synthese_05[[client]:[client]]=syndicat_etude)*(coherence_inventaire_synthese_05[[annee]:[annee]]=annee_CRAC)*(coherence_inventaire_synthese_05[[nbr_transfos_inv_tech]:[nbr_transfos_inv_tech]]))</f>
        <v>0</v>
      </c>
      <c r="D26" s="469" cm="1">
        <f t="array" ref="D26">SUMPRODUCT((coherence_inventaire_synthese_05[[client]:[client]]=syndicat_etude)*(coherence_inventaire_synthese_05[[annee]:[annee]]=annee_CRAC)*(coherence_inventaire_synthese_05[[transfos_compt]:[transfos_compt]]))</f>
        <v>0</v>
      </c>
      <c r="E26" s="469" cm="1">
        <f t="array" ref="E26">SUMPRODUCT((coherence_inventaire_synthese_05[[client]:[client]]=syndicat_etude)*(coherence_inventaire_synthese_05[[annee]:[annee]]=annee_CRAC)*(coherence_inventaire_synthese_05[[ecart_concession_transfos_qte]:[ecart_concession_transfos_qte]]))</f>
        <v>0</v>
      </c>
      <c r="F26" s="470" cm="1">
        <f t="array" ref="F26">SUMPRODUCT((coherence_inventaire_synthese_05[[client]:[client]]=syndicat_etude)*(coherence_inventaire_synthese_05[[annee]:[annee]]=annee_CRAC)*(coherence_inventaire_synthese_05[[ecart_concession_transfos_percent]:[ecart_concession_transfos_percent]]))</f>
        <v>0</v>
      </c>
      <c r="G26" s="469" cm="1">
        <f t="array" ref="G26">SUMPRODUCT((coherence_inventaire_synthese_05[[client]:[client]]=syndicat_etude)*(coherence_inventaire_synthese_05[[annee]:[annee]]=annee_CRAC)*(coherence_inventaire_synthese_05[[ecart_commune_transfos_qte]:[ecart_commune_transfos_qte]]))</f>
        <v>0</v>
      </c>
      <c r="H26" s="471" cm="1">
        <f t="array" ref="H26">SUMPRODUCT((coherence_inventaire_synthese_05[[client]:[client]]=syndicat_etude)*(coherence_inventaire_synthese_05[[annee]:[annee]]=annee_CRAC)*(coherence_inventaire_synthese_05[[ecart_commune_transfos_percent]:[ecart_commune_transfos_percent]]))</f>
        <v>0</v>
      </c>
      <c r="I26" s="26"/>
      <c r="J26" s="26"/>
      <c r="K26" s="26"/>
      <c r="L26" s="26"/>
    </row>
    <row r="27" spans="2:12" x14ac:dyDescent="0.2"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</row>
    <row r="28" spans="2:12" x14ac:dyDescent="0.2"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</row>
    <row r="29" spans="2:12" x14ac:dyDescent="0.2"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</row>
    <row r="30" spans="2:12" ht="36" x14ac:dyDescent="0.2">
      <c r="B30" s="452" t="s">
        <v>1216</v>
      </c>
      <c r="C30" s="449" t="s">
        <v>1217</v>
      </c>
      <c r="D30" s="450" t="s">
        <v>1218</v>
      </c>
      <c r="E30" s="449" t="s">
        <v>87</v>
      </c>
      <c r="F30" s="450" t="s">
        <v>599</v>
      </c>
      <c r="G30" s="449" t="s">
        <v>1219</v>
      </c>
      <c r="H30" s="450" t="s">
        <v>1220</v>
      </c>
      <c r="I30" s="449" t="s">
        <v>1221</v>
      </c>
      <c r="J30" s="450" t="s">
        <v>1222</v>
      </c>
      <c r="K30" s="449" t="s">
        <v>1223</v>
      </c>
      <c r="L30" s="451" t="s">
        <v>1224</v>
      </c>
    </row>
    <row r="31" spans="2:12" x14ac:dyDescent="0.2">
      <c r="B31" s="14" t="s">
        <v>1225</v>
      </c>
      <c r="C31" s="11" cm="1">
        <f t="array" ref="C31">SUMPRODUCT((coherence_inventaire_synthese_06[[client]:[client]]=syndicat_etude)*(coherence_inventaire_synthese_06[[annee]:[annee]]=annee_CRAC)*(coherence_inventaire_synthese_06[[lineaire_hta_nul]:[lineaire_hta_nul]]))</f>
        <v>0</v>
      </c>
      <c r="D31" s="21" cm="1">
        <f t="array" ref="D31">SUMPRODUCT((coherence_inventaire_synthese_06[[client]:[client]]=syndicat_etude)*(coherence_inventaire_synthese_06[[annee]:[annee]]=annee_CRAC)*(coherence_inventaire_synthese_06[[lineaire_bt_nul]:[lineaire_bt_nul]]))</f>
        <v>0</v>
      </c>
      <c r="E31" s="11" cm="1">
        <f t="array" ref="E31">SUMPRODUCT((coherence_inventaire_synthese_06[[client]:[client]]=syndicat_etude)*(coherence_inventaire_synthese_06[[annee]:[annee]]=annee_CRAC)*(coherence_inventaire_synthese_06[[lineaire_postes_nul]:[lineaire_postes_nul]]))</f>
        <v>0</v>
      </c>
      <c r="F31" s="21" cm="1">
        <f t="array" ref="F31">SUMPRODUCT((coherence_inventaire_synthese_06[[client]:[client]]=syndicat_etude)*(coherence_inventaire_synthese_06[[annee]:[annee]]=annee_CRAC)*(coherence_inventaire_synthese_06[[lineaire_transfos_nul]:[lineaire_transfos_nul]]))</f>
        <v>0</v>
      </c>
      <c r="G31" s="11" cm="1">
        <f t="array" ref="G31">SUMPRODUCT((coherence_inventaire_synthese_06[[client]:[client]]=syndicat_etude)*(coherence_inventaire_synthese_06[[annee]:[annee]]=annee_CRAC)*(coherence_inventaire_synthese_06[[lineaire_hta_nu_nul]:[lineaire_hta_nu_nul]]))</f>
        <v>0</v>
      </c>
      <c r="H31" s="21" cm="1">
        <f t="array" ref="H31">SUMPRODUCT((coherence_inventaire_synthese_06[[client]:[client]]=syndicat_etude)*(coherence_inventaire_synthese_06[[annee]:[annee]]=annee_CRAC)*(coherence_inventaire_synthese_06[[lineaire_hta_torsade_nul]:[lineaire_hta_torsade_nul]]))</f>
        <v>0</v>
      </c>
      <c r="I31" s="11" cm="1">
        <f t="array" ref="I31">SUMPRODUCT((coherence_inventaire_synthese_06[[client]:[client]]=syndicat_etude)*(coherence_inventaire_synthese_06[[annee]:[annee]]=annee_CRAC)*(coherence_inventaire_synthese_06[[lineaire_hta_souterrain_nul]:[lineaire_hta_souterrain_nul]]))</f>
        <v>0</v>
      </c>
      <c r="J31" s="21" cm="1">
        <f t="array" ref="J31">SUMPRODUCT((coherence_inventaire_synthese_06[[client]:[client]]=syndicat_etude)*(coherence_inventaire_synthese_06[[annee]:[annee]]=annee_CRAC)*(coherence_inventaire_synthese_06[[lineaire_bt_nu_nul]:[lineaire_bt_nu_nul]]))</f>
        <v>0</v>
      </c>
      <c r="K31" s="11" cm="1">
        <f t="array" ref="K31">SUMPRODUCT((coherence_inventaire_synthese_06[[client]:[client]]=syndicat_etude)*(coherence_inventaire_synthese_06[[annee]:[annee]]=annee_CRAC)*(coherence_inventaire_synthese_06[[lineaire_bt_torsade_nul]:[lineaire_bt_torsade_nul]]))</f>
        <v>0</v>
      </c>
      <c r="L31" s="22" cm="1">
        <f t="array" ref="L31">SUMPRODUCT((coherence_inventaire_synthese_06[[client]:[client]]=syndicat_etude)*(coherence_inventaire_synthese_06[[annee]:[annee]]=annee_CRAC)*(coherence_inventaire_synthese_06[[lineaire_bt_souterrain_nul]:[lineaire_bt_souterrain_nul]]))</f>
        <v>0</v>
      </c>
    </row>
    <row r="32" spans="2:12" x14ac:dyDescent="0.2">
      <c r="B32" s="14" t="s">
        <v>1226</v>
      </c>
      <c r="C32" s="11" cm="1">
        <f t="array" ref="C32">SUMPRODUCT((coherence_inventaire_synthese_06[[client]:[client]]=syndicat_etude)*(coherence_inventaire_synthese_06[[annee]:[annee]]=annee_CRAC)*(coherence_inventaire_synthese_06[[lineaire_hta_btw_0_2_percent]:[lineaire_hta_btw_0_2_percent]]))</f>
        <v>0</v>
      </c>
      <c r="D32" s="21" cm="1">
        <f t="array" ref="D32">SUMPRODUCT((coherence_inventaire_synthese_06[[client]:[client]]=syndicat_etude)*(coherence_inventaire_synthese_06[[annee]:[annee]]=annee_CRAC)*(coherence_inventaire_synthese_06[[lineaire_bt_btw_0_2_percent]:[lineaire_bt_btw_0_2_percent]]))</f>
        <v>0</v>
      </c>
      <c r="E32" s="11" cm="1">
        <f t="array" ref="E32">SUMPRODUCT((coherence_inventaire_synthese_06[[client]:[client]]=syndicat_etude)*(coherence_inventaire_synthese_06[[annee]:[annee]]=annee_CRAC)*(coherence_inventaire_synthese_06[[lineaire_postes_btw_0_2_percent]:[lineaire_postes_btw_0_2_percent]]))</f>
        <v>0</v>
      </c>
      <c r="F32" s="21" cm="1">
        <f t="array" ref="F32">SUMPRODUCT((coherence_inventaire_synthese_06[[client]:[client]]=syndicat_etude)*(coherence_inventaire_synthese_06[[annee]:[annee]]=annee_CRAC)*(coherence_inventaire_synthese_06[[lineaire_transfos_btw_0_2_percent]:[lineaire_transfos_btw_0_2_percent]]))</f>
        <v>0</v>
      </c>
      <c r="G32" s="11" cm="1">
        <f t="array" ref="G32">SUMPRODUCT((coherence_inventaire_synthese_06[[client]:[client]]=syndicat_etude)*(coherence_inventaire_synthese_06[[annee]:[annee]]=annee_CRAC)*(coherence_inventaire_synthese_06[[lineaire_hta_nu_btw_0_2_percent]:[lineaire_hta_nu_btw_0_2_percent]]))</f>
        <v>0</v>
      </c>
      <c r="H32" s="21" cm="1">
        <f t="array" ref="H32">SUMPRODUCT((coherence_inventaire_synthese_06[[client]:[client]]=syndicat_etude)*(coherence_inventaire_synthese_06[[annee]:[annee]]=annee_CRAC)*(coherence_inventaire_synthese_06[[lineaire_hta_torsade_btw_0_2_percent]:[lineaire_hta_torsade_btw_0_2_percent]]))</f>
        <v>0</v>
      </c>
      <c r="I32" s="11" cm="1">
        <f t="array" ref="I32">SUMPRODUCT((coherence_inventaire_synthese_06[[client]:[client]]=syndicat_etude)*(coherence_inventaire_synthese_06[[annee]:[annee]]=annee_CRAC)*(coherence_inventaire_synthese_06[[lineaire_hta_souterrain_btw_0_2_percent]:[lineaire_hta_souterrain_btw_0_2_percent]]))</f>
        <v>0</v>
      </c>
      <c r="J32" s="21" cm="1">
        <f t="array" ref="J32">SUMPRODUCT((coherence_inventaire_synthese_06[[client]:[client]]=syndicat_etude)*(coherence_inventaire_synthese_06[[annee]:[annee]]=annee_CRAC)*(coherence_inventaire_synthese_06[[lineaire_bt_nu_btw_0_2_percent]:[lineaire_bt_nu_btw_0_2_percent]]))</f>
        <v>0</v>
      </c>
      <c r="K32" s="11" cm="1">
        <f t="array" ref="K32">SUMPRODUCT((coherence_inventaire_synthese_06[[client]:[client]]=syndicat_etude)*(coherence_inventaire_synthese_06[[annee]:[annee]]=annee_CRAC)*(coherence_inventaire_synthese_06[[lineaire_bt_torsade_btw_0_2_percent]:[lineaire_bt_torsade_btw_0_2_percent]]))</f>
        <v>0</v>
      </c>
      <c r="L32" s="22" cm="1">
        <f t="array" ref="L32">SUMPRODUCT((coherence_inventaire_synthese_06[[client]:[client]]=syndicat_etude)*(coherence_inventaire_synthese_06[[annee]:[annee]]=annee_CRAC)*(coherence_inventaire_synthese_06[[lineaire_bt_souterrain_btw_0_2_percent]:[lineaire_bt_souterrain_btw_0_2_percent]]))</f>
        <v>0</v>
      </c>
    </row>
    <row r="33" spans="2:12" x14ac:dyDescent="0.2">
      <c r="B33" s="14" t="s">
        <v>1227</v>
      </c>
      <c r="C33" s="11" cm="1">
        <f t="array" ref="C33">SUMPRODUCT((coherence_inventaire_synthese_06[[client]:[client]]=syndicat_etude)*(coherence_inventaire_synthese_06[[annee]:[annee]]=annee_CRAC)*(coherence_inventaire_synthese_06[[lineaire_hta_btw_2_5_percent]:[lineaire_hta_btw_2_5_percent]]))</f>
        <v>0</v>
      </c>
      <c r="D33" s="21" cm="1">
        <f t="array" ref="D33">SUMPRODUCT((coherence_inventaire_synthese_06[[client]:[client]]=syndicat_etude)*(coherence_inventaire_synthese_06[[annee]:[annee]]=annee_CRAC)*(coherence_inventaire_synthese_06[[lineaire_bt_btw_2_5_percent]:[lineaire_bt_btw_2_5_percent]]))</f>
        <v>0</v>
      </c>
      <c r="E33" s="11" cm="1">
        <f t="array" ref="E33">SUMPRODUCT((coherence_inventaire_synthese_06[[client]:[client]]=syndicat_etude)*(coherence_inventaire_synthese_06[[annee]:[annee]]=annee_CRAC)*(coherence_inventaire_synthese_06[[lineaire_postes_btw_2_5_percent]:[lineaire_postes_btw_2_5_percent]]))</f>
        <v>0</v>
      </c>
      <c r="F33" s="21" cm="1">
        <f t="array" ref="F33">SUMPRODUCT((coherence_inventaire_synthese_06[[client]:[client]]=syndicat_etude)*(coherence_inventaire_synthese_06[[annee]:[annee]]=annee_CRAC)*(coherence_inventaire_synthese_06[[lineaire_transfos_btw_2_5_percent]:[lineaire_transfos_btw_2_5_percent]]))</f>
        <v>0</v>
      </c>
      <c r="G33" s="11" cm="1">
        <f t="array" ref="G33">SUMPRODUCT((coherence_inventaire_synthese_06[[client]:[client]]=syndicat_etude)*(coherence_inventaire_synthese_06[[annee]:[annee]]=annee_CRAC)*(coherence_inventaire_synthese_06[[lineaire_hta_nu_btw_2_5_percent]:[lineaire_hta_nu_btw_2_5_percent]]))</f>
        <v>0</v>
      </c>
      <c r="H33" s="21" cm="1">
        <f t="array" ref="H33">SUMPRODUCT((coherence_inventaire_synthese_06[[client]:[client]]=syndicat_etude)*(coherence_inventaire_synthese_06[[annee]:[annee]]=annee_CRAC)*(coherence_inventaire_synthese_06[[lineaire_hta_torsade_btw_2_5_percent]:[lineaire_hta_torsade_btw_2_5_percent]]))</f>
        <v>0</v>
      </c>
      <c r="I33" s="11" cm="1">
        <f t="array" ref="I33">SUMPRODUCT((coherence_inventaire_synthese_06[[client]:[client]]=syndicat_etude)*(coherence_inventaire_synthese_06[[annee]:[annee]]=annee_CRAC)*(coherence_inventaire_synthese_06[[lineaire_hta_souterrain_btw_2_5_percent]:[lineaire_hta_souterrain_btw_2_5_percent]]))</f>
        <v>0</v>
      </c>
      <c r="J33" s="21" cm="1">
        <f t="array" ref="J33">SUMPRODUCT((coherence_inventaire_synthese_06[[client]:[client]]=syndicat_etude)*(coherence_inventaire_synthese_06[[annee]:[annee]]=annee_CRAC)*(coherence_inventaire_synthese_06[[lineaire_bt_nu_btw_2_5_percent]:[lineaire_bt_nu_btw_2_5_percent]]))</f>
        <v>0</v>
      </c>
      <c r="K33" s="11" cm="1">
        <f t="array" ref="K33">SUMPRODUCT((coherence_inventaire_synthese_06[[client]:[client]]=syndicat_etude)*(coherence_inventaire_synthese_06[[annee]:[annee]]=annee_CRAC)*(coherence_inventaire_synthese_06[[lineaire_bt_torsade_btw_2_5_percent]:[lineaire_bt_torsade_btw_2_5_percent]]))</f>
        <v>0</v>
      </c>
      <c r="L33" s="22" cm="1">
        <f t="array" ref="L33">SUMPRODUCT((coherence_inventaire_synthese_06[[client]:[client]]=syndicat_etude)*(coherence_inventaire_synthese_06[[annee]:[annee]]=annee_CRAC)*(coherence_inventaire_synthese_06[[lineaire_bt_souterrain_btw_2_5_percent]:[lineaire_bt_souterrain_btw_2_5_percent]]))</f>
        <v>0</v>
      </c>
    </row>
    <row r="34" spans="2:12" x14ac:dyDescent="0.2">
      <c r="B34" s="14" t="s">
        <v>1228</v>
      </c>
      <c r="C34" s="11" cm="1">
        <f t="array" ref="C34">SUMPRODUCT((coherence_inventaire_synthese_06[[client]:[client]]=syndicat_etude)*(coherence_inventaire_synthese_06[[annee]:[annee]]=annee_CRAC)*(coherence_inventaire_synthese_06[[lineaire_hta_btw_5_10_percent]:[lineaire_hta_btw_5_10_percent]]))</f>
        <v>0</v>
      </c>
      <c r="D34" s="21" cm="1">
        <f t="array" ref="D34">SUMPRODUCT((coherence_inventaire_synthese_06[[client]:[client]]=syndicat_etude)*(coherence_inventaire_synthese_06[[annee]:[annee]]=annee_CRAC)*(coherence_inventaire_synthese_06[[lineaire_bt_btw_5_10_percent]:[lineaire_bt_btw_5_10_percent]]))</f>
        <v>0</v>
      </c>
      <c r="E34" s="11" cm="1">
        <f t="array" ref="E34">SUMPRODUCT((coherence_inventaire_synthese_06[[client]:[client]]=syndicat_etude)*(coherence_inventaire_synthese_06[[annee]:[annee]]=annee_CRAC)*(coherence_inventaire_synthese_06[[lineaire_postes_btw_5_10_percent]:[lineaire_postes_btw_5_10_percent]]))</f>
        <v>0</v>
      </c>
      <c r="F34" s="21" cm="1">
        <f t="array" ref="F34">SUMPRODUCT((coherence_inventaire_synthese_06[[client]:[client]]=syndicat_etude)*(coherence_inventaire_synthese_06[[annee]:[annee]]=annee_CRAC)*(coherence_inventaire_synthese_06[[lineaire_transfos_btw_5_10_percent]:[lineaire_transfos_btw_5_10_percent]]))</f>
        <v>0</v>
      </c>
      <c r="G34" s="11" cm="1">
        <f t="array" ref="G34">SUMPRODUCT((coherence_inventaire_synthese_06[[client]:[client]]=syndicat_etude)*(coherence_inventaire_synthese_06[[annee]:[annee]]=annee_CRAC)*(coherence_inventaire_synthese_06[[lineaire_hta_nu_btw_5_10_percent]:[lineaire_hta_nu_btw_5_10_percent]]))</f>
        <v>0</v>
      </c>
      <c r="H34" s="21" cm="1">
        <f t="array" ref="H34">SUMPRODUCT((coherence_inventaire_synthese_06[[client]:[client]]=syndicat_etude)*(coherence_inventaire_synthese_06[[annee]:[annee]]=annee_CRAC)*(coherence_inventaire_synthese_06[[lineaire_hta_torsade_btw_5_10_percent]:[lineaire_hta_torsade_btw_5_10_percent]]))</f>
        <v>0</v>
      </c>
      <c r="I34" s="11" cm="1">
        <f t="array" ref="I34">SUMPRODUCT((coherence_inventaire_synthese_06[[client]:[client]]=syndicat_etude)*(coherence_inventaire_synthese_06[[annee]:[annee]]=annee_CRAC)*(coherence_inventaire_synthese_06[[lineaire_hta_souterrain_btw_5_10_percent]:[lineaire_hta_souterrain_btw_5_10_percent]]))</f>
        <v>0</v>
      </c>
      <c r="J34" s="21" cm="1">
        <f t="array" ref="J34">SUMPRODUCT((coherence_inventaire_synthese_06[[client]:[client]]=syndicat_etude)*(coherence_inventaire_synthese_06[[annee]:[annee]]=annee_CRAC)*(coherence_inventaire_synthese_06[[lineaire_bt_nu_btw_5_10_percent]:[lineaire_bt_nu_btw_5_10_percent]]))</f>
        <v>0</v>
      </c>
      <c r="K34" s="11" cm="1">
        <f t="array" ref="K34">SUMPRODUCT((coherence_inventaire_synthese_06[[client]:[client]]=syndicat_etude)*(coherence_inventaire_synthese_06[[annee]:[annee]]=annee_CRAC)*(coherence_inventaire_synthese_06[[lineaire_bt_torsade_btw_5_10_percent]:[lineaire_bt_torsade_btw_5_10_percent]]))</f>
        <v>0</v>
      </c>
      <c r="L34" s="22" cm="1">
        <f t="array" ref="L34">SUMPRODUCT((coherence_inventaire_synthese_06[[client]:[client]]=syndicat_etude)*(coherence_inventaire_synthese_06[[annee]:[annee]]=annee_CRAC)*(coherence_inventaire_synthese_06[[lineaire_bt_souterrain_btw_5_10_percent]:[lineaire_bt_souterrain_btw_5_10_percent]]))</f>
        <v>0</v>
      </c>
    </row>
    <row r="35" spans="2:12" x14ac:dyDescent="0.2">
      <c r="B35" s="14" t="s">
        <v>1229</v>
      </c>
      <c r="C35" s="11" cm="1">
        <f t="array" ref="C35">SUMPRODUCT((coherence_inventaire_synthese_06[[client]:[client]]=syndicat_etude)*(coherence_inventaire_synthese_06[[annee]:[annee]]=annee_CRAC)*(coherence_inventaire_synthese_06[[lineaire_hta_btw_10_25_percent]:[lineaire_hta_btw_10_25_percent]]))</f>
        <v>0</v>
      </c>
      <c r="D35" s="21" cm="1">
        <f t="array" ref="D35">SUMPRODUCT((coherence_inventaire_synthese_06[[client]:[client]]=syndicat_etude)*(coherence_inventaire_synthese_06[[annee]:[annee]]=annee_CRAC)*(coherence_inventaire_synthese_06[[lineaire_bt_btw_10_25_percent]:[lineaire_bt_btw_10_25_percent]]))</f>
        <v>0</v>
      </c>
      <c r="E35" s="11" cm="1">
        <f t="array" ref="E35">SUMPRODUCT((coherence_inventaire_synthese_06[[client]:[client]]=syndicat_etude)*(coherence_inventaire_synthese_06[[annee]:[annee]]=annee_CRAC)*(coherence_inventaire_synthese_06[[lineaire_postes_btw_10_25_percent]:[lineaire_postes_btw_10_25_percent]]))</f>
        <v>0</v>
      </c>
      <c r="F35" s="21" cm="1">
        <f t="array" ref="F35">SUMPRODUCT((coherence_inventaire_synthese_06[[client]:[client]]=syndicat_etude)*(coherence_inventaire_synthese_06[[annee]:[annee]]=annee_CRAC)*(coherence_inventaire_synthese_06[[lineaire_transfos_btw_10_25_percent]:[lineaire_transfos_btw_10_25_percent]]))</f>
        <v>0</v>
      </c>
      <c r="G35" s="11" cm="1">
        <f t="array" ref="G35">SUMPRODUCT((coherence_inventaire_synthese_06[[client]:[client]]=syndicat_etude)*(coherence_inventaire_synthese_06[[annee]:[annee]]=annee_CRAC)*(coherence_inventaire_synthese_06[[lineaire_hta_nu_btw_10_25_percent]:[lineaire_hta_nu_btw_10_25_percent]]))</f>
        <v>0</v>
      </c>
      <c r="H35" s="21" cm="1">
        <f t="array" ref="H35">SUMPRODUCT((coherence_inventaire_synthese_06[[client]:[client]]=syndicat_etude)*(coherence_inventaire_synthese_06[[annee]:[annee]]=annee_CRAC)*(coherence_inventaire_synthese_06[[lineaire_hta_torsade_btw_10_25_percent]:[lineaire_hta_torsade_btw_10_25_percent]]))</f>
        <v>0</v>
      </c>
      <c r="I35" s="11" cm="1">
        <f t="array" ref="I35">SUMPRODUCT((coherence_inventaire_synthese_06[[client]:[client]]=syndicat_etude)*(coherence_inventaire_synthese_06[[annee]:[annee]]=annee_CRAC)*(coherence_inventaire_synthese_06[[lineaire_hta_souterrain_btw_10_25_percent]:[lineaire_hta_souterrain_btw_10_25_percent]]))</f>
        <v>0</v>
      </c>
      <c r="J35" s="21" cm="1">
        <f t="array" ref="J35">SUMPRODUCT((coherence_inventaire_synthese_06[[client]:[client]]=syndicat_etude)*(coherence_inventaire_synthese_06[[annee]:[annee]]=annee_CRAC)*(coherence_inventaire_synthese_06[[lineaire_bt_nu_btw_10_25_percent]:[lineaire_bt_nu_btw_10_25_percent]]))</f>
        <v>0</v>
      </c>
      <c r="K35" s="11" cm="1">
        <f t="array" ref="K35">SUMPRODUCT((coherence_inventaire_synthese_06[[client]:[client]]=syndicat_etude)*(coherence_inventaire_synthese_06[[annee]:[annee]]=annee_CRAC)*(coherence_inventaire_synthese_06[[lineaire_bt_torsade_btw_10_25_percent]:[lineaire_bt_torsade_btw_10_25_percent]]))</f>
        <v>0</v>
      </c>
      <c r="L35" s="22" cm="1">
        <f t="array" ref="L35">SUMPRODUCT((coherence_inventaire_synthese_06[[client]:[client]]=syndicat_etude)*(coherence_inventaire_synthese_06[[annee]:[annee]]=annee_CRAC)*(coherence_inventaire_synthese_06[[lineaire_bt_souterrain_btw_10_25_percent]:[lineaire_bt_souterrain_btw_10_25_percent]]))</f>
        <v>0</v>
      </c>
    </row>
    <row r="36" spans="2:12" x14ac:dyDescent="0.2">
      <c r="B36" s="14" t="s">
        <v>1230</v>
      </c>
      <c r="C36" s="11" cm="1">
        <f t="array" ref="C36">SUMPRODUCT((coherence_inventaire_synthese_06[[client]:[client]]=syndicat_etude)*(coherence_inventaire_synthese_06[[annee]:[annee]]=annee_CRAC)*(coherence_inventaire_synthese_06[[lineaire_hta_btw_25_50_percent]:[lineaire_hta_btw_25_50_percent]]))</f>
        <v>0</v>
      </c>
      <c r="D36" s="21" cm="1">
        <f t="array" ref="D36">SUMPRODUCT((coherence_inventaire_synthese_06[[client]:[client]]=syndicat_etude)*(coherence_inventaire_synthese_06[[annee]:[annee]]=annee_CRAC)*(coherence_inventaire_synthese_06[[lineaire_bt_btw_25_50_percent]:[lineaire_bt_btw_25_50_percent]]))</f>
        <v>0</v>
      </c>
      <c r="E36" s="11" cm="1">
        <f t="array" ref="E36">SUMPRODUCT((coherence_inventaire_synthese_06[[client]:[client]]=syndicat_etude)*(coherence_inventaire_synthese_06[[annee]:[annee]]=annee_CRAC)*(coherence_inventaire_synthese_06[[lineaire_postes_btw_25_50_percent]:[lineaire_postes_btw_25_50_percent]]))</f>
        <v>0</v>
      </c>
      <c r="F36" s="21" cm="1">
        <f t="array" ref="F36">SUMPRODUCT((coherence_inventaire_synthese_06[[client]:[client]]=syndicat_etude)*(coherence_inventaire_synthese_06[[annee]:[annee]]=annee_CRAC)*(coherence_inventaire_synthese_06[[lineaire_transfos_btw_25_50_percent]:[lineaire_transfos_btw_25_50_percent]]))</f>
        <v>0</v>
      </c>
      <c r="G36" s="11" cm="1">
        <f t="array" ref="G36">SUMPRODUCT((coherence_inventaire_synthese_06[[client]:[client]]=syndicat_etude)*(coherence_inventaire_synthese_06[[annee]:[annee]]=annee_CRAC)*(coherence_inventaire_synthese_06[[lineaire_hta_nu_btw_25_50_percent]:[lineaire_hta_nu_btw_25_50_percent]]))</f>
        <v>0</v>
      </c>
      <c r="H36" s="21" cm="1">
        <f t="array" ref="H36">SUMPRODUCT((coherence_inventaire_synthese_06[[client]:[client]]=syndicat_etude)*(coherence_inventaire_synthese_06[[annee]:[annee]]=annee_CRAC)*(coherence_inventaire_synthese_06[[lineaire_hta_torsade_btw_25_50_percent]:[lineaire_hta_torsade_btw_25_50_percent]]))</f>
        <v>0</v>
      </c>
      <c r="I36" s="11" cm="1">
        <f t="array" ref="I36">SUMPRODUCT((coherence_inventaire_synthese_06[[client]:[client]]=syndicat_etude)*(coherence_inventaire_synthese_06[[annee]:[annee]]=annee_CRAC)*(coherence_inventaire_synthese_06[[lineaire_hta_souterrain_btw_25_50_percent]:[lineaire_hta_souterrain_btw_25_50_percent]]))</f>
        <v>0</v>
      </c>
      <c r="J36" s="21" cm="1">
        <f t="array" ref="J36">SUMPRODUCT((coherence_inventaire_synthese_06[[client]:[client]]=syndicat_etude)*(coherence_inventaire_synthese_06[[annee]:[annee]]=annee_CRAC)*(coherence_inventaire_synthese_06[[lineaire_bt_nu_btw_25_50_percent]:[lineaire_bt_nu_btw_25_50_percent]]))</f>
        <v>0</v>
      </c>
      <c r="K36" s="11" cm="1">
        <f t="array" ref="K36">SUMPRODUCT((coherence_inventaire_synthese_06[[client]:[client]]=syndicat_etude)*(coherence_inventaire_synthese_06[[annee]:[annee]]=annee_CRAC)*(coherence_inventaire_synthese_06[[lineaire_bt_torsade_btw_25_50_percent]:[lineaire_bt_torsade_btw_25_50_percent]]))</f>
        <v>0</v>
      </c>
      <c r="L36" s="22" cm="1">
        <f t="array" ref="L36">SUMPRODUCT((coherence_inventaire_synthese_06[[client]:[client]]=syndicat_etude)*(coherence_inventaire_synthese_06[[annee]:[annee]]=annee_CRAC)*(coherence_inventaire_synthese_06[[lineaire_bt_souterrain_btw_25_50_percent]:[lineaire_bt_souterrain_btw_25_50_percent]]))</f>
        <v>0</v>
      </c>
    </row>
    <row r="37" spans="2:12" x14ac:dyDescent="0.2">
      <c r="B37" s="14" t="s">
        <v>1231</v>
      </c>
      <c r="C37" s="11" cm="1">
        <f t="array" ref="C37">SUMPRODUCT((coherence_inventaire_synthese_06[[client]:[client]]=syndicat_etude)*(coherence_inventaire_synthese_06[[annee]:[annee]]=annee_CRAC)*(coherence_inventaire_synthese_06[[lineaire_hta_sup_50_percent]:[lineaire_hta_sup_50_percent]]))</f>
        <v>0</v>
      </c>
      <c r="D37" s="21" cm="1">
        <f t="array" ref="D37">SUMPRODUCT((coherence_inventaire_synthese_06[[client]:[client]]=syndicat_etude)*(coherence_inventaire_synthese_06[[annee]:[annee]]=annee_CRAC)*(coherence_inventaire_synthese_06[[lineaire_bt_sup_50_percent]:[lineaire_bt_sup_50_percent]]))</f>
        <v>0</v>
      </c>
      <c r="E37" s="11" cm="1">
        <f t="array" ref="E37">SUMPRODUCT((coherence_inventaire_synthese_06[[client]:[client]]=syndicat_etude)*(coherence_inventaire_synthese_06[[annee]:[annee]]=annee_CRAC)*(coherence_inventaire_synthese_06[[lineaire_postes_sup_50_percent]:[lineaire_postes_sup_50_percent]]))</f>
        <v>0</v>
      </c>
      <c r="F37" s="21" cm="1">
        <f t="array" ref="F37">SUMPRODUCT((coherence_inventaire_synthese_06[[client]:[client]]=syndicat_etude)*(coherence_inventaire_synthese_06[[annee]:[annee]]=annee_CRAC)*(coherence_inventaire_synthese_06[[lineaire_transfos_sup_50_percent]:[lineaire_transfos_sup_50_percent]]))</f>
        <v>0</v>
      </c>
      <c r="G37" s="11" cm="1">
        <f t="array" ref="G37">SUMPRODUCT((coherence_inventaire_synthese_06[[client]:[client]]=syndicat_etude)*(coherence_inventaire_synthese_06[[annee]:[annee]]=annee_CRAC)*(coherence_inventaire_synthese_06[[lineaire_hta_nu_sup_50_percent]:[lineaire_hta_nu_sup_50_percent]]))</f>
        <v>0</v>
      </c>
      <c r="H37" s="21" cm="1">
        <f t="array" ref="H37">SUMPRODUCT((coherence_inventaire_synthese_06[[client]:[client]]=syndicat_etude)*(coherence_inventaire_synthese_06[[annee]:[annee]]=annee_CRAC)*(coherence_inventaire_synthese_06[[lineaire_hta_torsade_sup_50_percent]:[lineaire_hta_torsade_sup_50_percent]]))</f>
        <v>0</v>
      </c>
      <c r="I37" s="11" cm="1">
        <f t="array" ref="I37">SUMPRODUCT((coherence_inventaire_synthese_06[[client]:[client]]=syndicat_etude)*(coherence_inventaire_synthese_06[[annee]:[annee]]=annee_CRAC)*(coherence_inventaire_synthese_06[[lineaire_hta_souterrain_sup_50_percent]:[lineaire_hta_souterrain_sup_50_percent]]))</f>
        <v>0</v>
      </c>
      <c r="J37" s="21" cm="1">
        <f t="array" ref="J37">SUMPRODUCT((coherence_inventaire_synthese_06[[client]:[client]]=syndicat_etude)*(coherence_inventaire_synthese_06[[annee]:[annee]]=annee_CRAC)*(coherence_inventaire_synthese_06[[lineaire_bt_nu_sup_50_percent]:[lineaire_bt_nu_sup_50_percent]]))</f>
        <v>0</v>
      </c>
      <c r="K37" s="11" cm="1">
        <f t="array" ref="K37">SUMPRODUCT((coherence_inventaire_synthese_06[[client]:[client]]=syndicat_etude)*(coherence_inventaire_synthese_06[[annee]:[annee]]=annee_CRAC)*(coherence_inventaire_synthese_06[[lineaire_bt_torsade_sup_50_percent]:[lineaire_bt_torsade_sup_50_percent]]))</f>
        <v>0</v>
      </c>
      <c r="L37" s="22" cm="1">
        <f t="array" ref="L37">SUMPRODUCT((coherence_inventaire_synthese_06[[client]:[client]]=syndicat_etude)*(coherence_inventaire_synthese_06[[annee]:[annee]]=annee_CRAC)*(coherence_inventaire_synthese_06[[lineaire_bt_souterrain_sup_50_percent]:[lineaire_bt_souterrain_sup_50_percent]]))</f>
        <v>0</v>
      </c>
    </row>
    <row r="38" spans="2:12" x14ac:dyDescent="0.2">
      <c r="B38" s="332" t="s">
        <v>182</v>
      </c>
      <c r="C38" s="333" cm="1">
        <f t="array" ref="C38">SUMPRODUCT((coherence_inventaire_synthese_06[[client]:[client]]=syndicat_etude)*(coherence_inventaire_synthese_06[[annee]:[annee]]=annee_CRAC)*(coherence_inventaire_synthese_06[[total_hta]:[total_hta]]))</f>
        <v>0</v>
      </c>
      <c r="D38" s="443" cm="1">
        <f t="array" ref="D38">SUMPRODUCT((coherence_inventaire_synthese_06[[client]:[client]]=syndicat_etude)*(coherence_inventaire_synthese_06[[annee]:[annee]]=annee_CRAC)*(coherence_inventaire_synthese_06[[total_bt]:[total_bt]]))</f>
        <v>0</v>
      </c>
      <c r="E38" s="333" cm="1">
        <f t="array" ref="E38">SUMPRODUCT((coherence_inventaire_synthese_06[[client]:[client]]=syndicat_etude)*(coherence_inventaire_synthese_06[[annee]:[annee]]=annee_CRAC)*(coherence_inventaire_synthese_06[[total_postes]:[total_postes]]))</f>
        <v>0</v>
      </c>
      <c r="F38" s="443" cm="1">
        <f t="array" ref="F38">SUMPRODUCT((coherence_inventaire_synthese_06[[client]:[client]]=syndicat_etude)*(coherence_inventaire_synthese_06[[annee]:[annee]]=annee_CRAC)*(coherence_inventaire_synthese_06[[total_transfos]:[total_transfos]]))</f>
        <v>0</v>
      </c>
      <c r="G38" s="333" cm="1">
        <f t="array" ref="G38">SUMPRODUCT((coherence_inventaire_synthese_06[[client]:[client]]=syndicat_etude)*(coherence_inventaire_synthese_06[[annee]:[annee]]=annee_CRAC)*(coherence_inventaire_synthese_06[[total_hta_nu]:[total_hta_nu]]))</f>
        <v>0</v>
      </c>
      <c r="H38" s="443" cm="1">
        <f t="array" ref="H38">SUMPRODUCT((coherence_inventaire_synthese_06[[client]:[client]]=syndicat_etude)*(coherence_inventaire_synthese_06[[annee]:[annee]]=annee_CRAC)*(coherence_inventaire_synthese_06[[total_hta_torsade]:[total_hta_torsade]]))</f>
        <v>0</v>
      </c>
      <c r="I38" s="333" cm="1">
        <f t="array" ref="I38">SUMPRODUCT((coherence_inventaire_synthese_06[[client]:[client]]=syndicat_etude)*(coherence_inventaire_synthese_06[[annee]:[annee]]=annee_CRAC)*(coherence_inventaire_synthese_06[[total_hta_souterrain]:[total_hta_souterrain]]))</f>
        <v>0</v>
      </c>
      <c r="J38" s="443" cm="1">
        <f t="array" ref="J38">SUMPRODUCT((coherence_inventaire_synthese_06[[client]:[client]]=syndicat_etude)*(coherence_inventaire_synthese_06[[annee]:[annee]]=annee_CRAC)*(coherence_inventaire_synthese_06[[total_bt_nu]:[total_bt_nu]]))</f>
        <v>0</v>
      </c>
      <c r="K38" s="333" cm="1">
        <f t="array" ref="K38">SUMPRODUCT((coherence_inventaire_synthese_06[[client]:[client]]=syndicat_etude)*(coherence_inventaire_synthese_06[[annee]:[annee]]=annee_CRAC)*(coherence_inventaire_synthese_06[[total_bt_torsade]:[total_bt_torsade]]))</f>
        <v>0</v>
      </c>
      <c r="L38" s="444" cm="1">
        <f t="array" ref="L38">SUMPRODUCT((coherence_inventaire_synthese_06[[client]:[client]]=syndicat_etude)*(coherence_inventaire_synthese_06[[annee]:[annee]]=annee_CRAC)*(coherence_inventaire_synthese_06[[total_bt_souterrain]:[total_bt_souterrain]]))</f>
        <v>0</v>
      </c>
    </row>
    <row r="39" spans="2:12" x14ac:dyDescent="0.2">
      <c r="B39" s="26"/>
      <c r="C39" s="472"/>
      <c r="D39" s="472"/>
      <c r="E39" s="472"/>
      <c r="F39" s="472"/>
      <c r="G39" s="472"/>
      <c r="H39" s="472"/>
      <c r="I39" s="472"/>
      <c r="J39" s="472"/>
      <c r="K39" s="472"/>
      <c r="L39" s="472"/>
    </row>
    <row r="40" spans="2:12" x14ac:dyDescent="0.2">
      <c r="B40" s="26"/>
      <c r="C40" s="472"/>
      <c r="D40" s="472"/>
      <c r="E40" s="472"/>
      <c r="F40" s="472"/>
      <c r="G40" s="472"/>
      <c r="H40" s="472"/>
      <c r="I40" s="472"/>
      <c r="J40" s="472"/>
      <c r="K40" s="472"/>
      <c r="L40" s="472"/>
    </row>
  </sheetData>
  <mergeCells count="20">
    <mergeCell ref="B24:B25"/>
    <mergeCell ref="C24:C25"/>
    <mergeCell ref="D24:D25"/>
    <mergeCell ref="E24:F24"/>
    <mergeCell ref="G24:H24"/>
    <mergeCell ref="B17:B18"/>
    <mergeCell ref="C17:C18"/>
    <mergeCell ref="D17:D18"/>
    <mergeCell ref="E17:F17"/>
    <mergeCell ref="G17:H17"/>
    <mergeCell ref="B4:B5"/>
    <mergeCell ref="C4:C5"/>
    <mergeCell ref="D4:D5"/>
    <mergeCell ref="E4:F4"/>
    <mergeCell ref="G4:H4"/>
    <mergeCell ref="B10:B11"/>
    <mergeCell ref="C10:C11"/>
    <mergeCell ref="D10:D11"/>
    <mergeCell ref="E10:F10"/>
    <mergeCell ref="G10:H10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73BAD-ABDB-4731-A5E0-454F31A0DD38}">
  <sheetPr codeName="Feuil25">
    <tabColor theme="5" tint="0.39997558519241921"/>
  </sheetPr>
  <dimension ref="A1:I32"/>
  <sheetViews>
    <sheetView zoomScale="85" zoomScaleNormal="85" workbookViewId="0"/>
  </sheetViews>
  <sheetFormatPr defaultColWidth="10.7109375" defaultRowHeight="12.75" x14ac:dyDescent="0.2"/>
  <cols>
    <col min="1" max="1" width="15.7109375" style="33" customWidth="1"/>
    <col min="2" max="2" width="24.7109375" style="33" customWidth="1"/>
    <col min="3" max="3" width="1.42578125" style="33" customWidth="1"/>
    <col min="4" max="4" width="25.5703125" style="33" customWidth="1"/>
    <col min="5" max="5" width="1.42578125" style="33" customWidth="1"/>
    <col min="6" max="6" width="25.5703125" style="33" customWidth="1"/>
    <col min="7" max="7" width="1.42578125" style="33" customWidth="1"/>
    <col min="8" max="8" width="26.28515625" style="33" customWidth="1"/>
    <col min="9" max="9" width="2.7109375" style="33" customWidth="1"/>
    <col min="10" max="16384" width="10.7109375" style="33"/>
  </cols>
  <sheetData>
    <row r="1" spans="1:9" ht="23.25" x14ac:dyDescent="0.2">
      <c r="A1" s="97" t="s">
        <v>1232</v>
      </c>
    </row>
    <row r="2" spans="1:9" x14ac:dyDescent="0.2">
      <c r="A2" s="32"/>
    </row>
    <row r="3" spans="1:9" ht="51" x14ac:dyDescent="0.2">
      <c r="F3" s="474" t="s">
        <v>1233</v>
      </c>
      <c r="G3" s="34"/>
      <c r="H3" s="474" t="s">
        <v>1234</v>
      </c>
    </row>
    <row r="4" spans="1:9" ht="13.5" thickBot="1" x14ac:dyDescent="0.25"/>
    <row r="5" spans="1:9" ht="13.5" thickTop="1" x14ac:dyDescent="0.2">
      <c r="B5" s="777" t="s">
        <v>1235</v>
      </c>
      <c r="C5" s="35"/>
      <c r="D5" s="779" t="s">
        <v>1236</v>
      </c>
      <c r="E5" s="35"/>
      <c r="F5" s="781" t="s">
        <v>1237</v>
      </c>
      <c r="G5" s="36"/>
      <c r="H5" s="783" t="s">
        <v>1238</v>
      </c>
    </row>
    <row r="6" spans="1:9" x14ac:dyDescent="0.2">
      <c r="B6" s="778"/>
      <c r="C6" s="35"/>
      <c r="D6" s="780"/>
      <c r="E6" s="35"/>
      <c r="F6" s="782"/>
      <c r="G6" s="36"/>
      <c r="H6" s="784"/>
      <c r="I6" s="37"/>
    </row>
    <row r="7" spans="1:9" x14ac:dyDescent="0.2">
      <c r="B7" s="778"/>
      <c r="C7" s="35"/>
      <c r="D7" s="780"/>
      <c r="E7" s="35"/>
      <c r="F7" s="782"/>
      <c r="G7" s="36"/>
      <c r="H7" s="784"/>
      <c r="I7" s="37"/>
    </row>
    <row r="8" spans="1:9" x14ac:dyDescent="0.2">
      <c r="B8" s="778"/>
      <c r="C8" s="35"/>
      <c r="D8" s="780"/>
      <c r="E8" s="35"/>
      <c r="F8" s="782"/>
      <c r="G8" s="36"/>
      <c r="H8" s="784"/>
    </row>
    <row r="9" spans="1:9" ht="13.5" thickBot="1" x14ac:dyDescent="0.25">
      <c r="B9" s="778"/>
      <c r="C9" s="35"/>
      <c r="D9" s="780"/>
      <c r="E9" s="35"/>
      <c r="F9" s="782"/>
      <c r="G9" s="36"/>
      <c r="H9" s="38">
        <f>-Pat_fin!G39/1000</f>
        <v>87.765269070081828</v>
      </c>
    </row>
    <row r="10" spans="1:9" ht="14.25" thickTop="1" thickBot="1" x14ac:dyDescent="0.25">
      <c r="B10" s="778"/>
      <c r="C10" s="35"/>
      <c r="D10" s="780"/>
      <c r="E10" s="35"/>
      <c r="F10" s="39"/>
      <c r="G10" s="35"/>
    </row>
    <row r="11" spans="1:9" ht="14.65" customHeight="1" thickTop="1" x14ac:dyDescent="0.2">
      <c r="B11" s="778"/>
      <c r="C11" s="35"/>
      <c r="D11" s="780"/>
      <c r="E11" s="35"/>
      <c r="F11" s="785">
        <f>Pat_fin!G38/1000</f>
        <v>148.0402011020243</v>
      </c>
      <c r="G11" s="35"/>
      <c r="H11" s="794" t="s">
        <v>1239</v>
      </c>
    </row>
    <row r="12" spans="1:9" x14ac:dyDescent="0.2">
      <c r="B12" s="778"/>
      <c r="C12" s="35"/>
      <c r="D12" s="40"/>
      <c r="E12" s="35"/>
      <c r="F12" s="785"/>
      <c r="G12" s="35"/>
      <c r="H12" s="795"/>
    </row>
    <row r="13" spans="1:9" x14ac:dyDescent="0.2">
      <c r="B13" s="778"/>
      <c r="C13" s="35"/>
      <c r="D13" s="40"/>
      <c r="E13" s="35"/>
      <c r="F13" s="785"/>
      <c r="G13" s="35"/>
      <c r="H13" s="795"/>
    </row>
    <row r="14" spans="1:9" ht="13.5" thickBot="1" x14ac:dyDescent="0.25">
      <c r="B14" s="778"/>
      <c r="C14" s="35"/>
      <c r="D14" s="40"/>
      <c r="E14" s="35"/>
      <c r="F14" s="786"/>
      <c r="G14" s="35"/>
      <c r="H14" s="795"/>
    </row>
    <row r="15" spans="1:9" ht="14.25" thickTop="1" thickBot="1" x14ac:dyDescent="0.25">
      <c r="B15" s="778"/>
      <c r="C15" s="35"/>
      <c r="D15" s="787">
        <f>Pat_fin!G71/1000</f>
        <v>322.08836400000001</v>
      </c>
      <c r="E15" s="41"/>
      <c r="F15" s="789" t="s">
        <v>1240</v>
      </c>
      <c r="G15" s="41"/>
      <c r="H15" s="42">
        <f>-Pat_fin!G40/1000</f>
        <v>41.122094754847467</v>
      </c>
    </row>
    <row r="16" spans="1:9" ht="13.5" thickTop="1" x14ac:dyDescent="0.2">
      <c r="B16" s="778"/>
      <c r="C16" s="35"/>
      <c r="D16" s="787"/>
      <c r="E16" s="41"/>
      <c r="F16" s="790"/>
      <c r="G16" s="41"/>
    </row>
    <row r="17" spans="2:8" x14ac:dyDescent="0.2">
      <c r="B17" s="778"/>
      <c r="C17" s="35"/>
      <c r="D17" s="787"/>
      <c r="E17" s="41"/>
      <c r="F17" s="790"/>
      <c r="G17" s="41"/>
      <c r="H17" s="473">
        <f>F11-H9-H15</f>
        <v>19.152837277095003</v>
      </c>
    </row>
    <row r="18" spans="2:8" x14ac:dyDescent="0.2">
      <c r="B18" s="778"/>
      <c r="C18" s="35"/>
      <c r="D18" s="787"/>
      <c r="E18" s="41"/>
      <c r="F18" s="790"/>
      <c r="G18" s="41"/>
      <c r="H18" s="791" t="s">
        <v>1241</v>
      </c>
    </row>
    <row r="19" spans="2:8" x14ac:dyDescent="0.2">
      <c r="B19" s="792">
        <f>Pat_fin!G56/1000</f>
        <v>605.87709999999981</v>
      </c>
      <c r="C19" s="43"/>
      <c r="D19" s="787"/>
      <c r="E19" s="41"/>
      <c r="F19" s="44">
        <f>D15-F11</f>
        <v>174.04816289797571</v>
      </c>
      <c r="G19" s="41"/>
      <c r="H19" s="791"/>
    </row>
    <row r="20" spans="2:8" x14ac:dyDescent="0.2">
      <c r="B20" s="792"/>
      <c r="C20" s="43"/>
      <c r="D20" s="787"/>
      <c r="E20" s="41"/>
      <c r="F20" s="45"/>
      <c r="G20" s="41"/>
      <c r="H20" s="791"/>
    </row>
    <row r="21" spans="2:8" x14ac:dyDescent="0.2">
      <c r="B21" s="792"/>
      <c r="C21" s="43"/>
      <c r="D21" s="787"/>
      <c r="E21" s="45"/>
      <c r="F21" s="45"/>
      <c r="G21" s="45"/>
      <c r="H21" s="791"/>
    </row>
    <row r="22" spans="2:8" x14ac:dyDescent="0.2">
      <c r="B22" s="792"/>
      <c r="C22" s="43"/>
      <c r="D22" s="787"/>
      <c r="E22" s="45"/>
      <c r="F22" s="45"/>
      <c r="G22" s="45"/>
      <c r="H22" s="791"/>
    </row>
    <row r="23" spans="2:8" ht="13.5" thickBot="1" x14ac:dyDescent="0.25">
      <c r="B23" s="792"/>
      <c r="C23" s="43"/>
      <c r="D23" s="788"/>
      <c r="E23" s="45"/>
      <c r="F23" s="45"/>
      <c r="G23" s="45"/>
      <c r="H23" s="45"/>
    </row>
    <row r="24" spans="2:8" ht="13.5" thickTop="1" x14ac:dyDescent="0.2">
      <c r="B24" s="792"/>
      <c r="C24" s="43"/>
      <c r="D24" s="45"/>
      <c r="E24" s="45"/>
      <c r="F24" s="45"/>
      <c r="G24" s="45"/>
      <c r="H24" s="45"/>
    </row>
    <row r="25" spans="2:8" x14ac:dyDescent="0.2">
      <c r="B25" s="792"/>
      <c r="C25" s="43"/>
      <c r="D25" s="45"/>
      <c r="E25" s="45"/>
      <c r="F25" s="45"/>
      <c r="G25" s="45"/>
      <c r="H25" s="45"/>
    </row>
    <row r="26" spans="2:8" x14ac:dyDescent="0.2">
      <c r="B26" s="792"/>
      <c r="C26" s="43"/>
      <c r="D26" s="45"/>
      <c r="E26" s="45"/>
      <c r="F26" s="45"/>
      <c r="G26" s="45"/>
      <c r="H26" s="45"/>
    </row>
    <row r="27" spans="2:8" x14ac:dyDescent="0.2">
      <c r="B27" s="792"/>
      <c r="F27" s="45"/>
      <c r="H27" s="45"/>
    </row>
    <row r="28" spans="2:8" x14ac:dyDescent="0.2">
      <c r="B28" s="792"/>
      <c r="H28" s="45"/>
    </row>
    <row r="29" spans="2:8" x14ac:dyDescent="0.2">
      <c r="B29" s="792"/>
      <c r="H29" s="45"/>
    </row>
    <row r="30" spans="2:8" x14ac:dyDescent="0.2">
      <c r="B30" s="792"/>
    </row>
    <row r="31" spans="2:8" ht="13.5" thickBot="1" x14ac:dyDescent="0.25">
      <c r="B31" s="793"/>
    </row>
    <row r="32" spans="2:8" ht="13.5" thickTop="1" x14ac:dyDescent="0.2"/>
  </sheetData>
  <mergeCells count="10">
    <mergeCell ref="B5:B18"/>
    <mergeCell ref="D5:D11"/>
    <mergeCell ref="F5:F9"/>
    <mergeCell ref="H5:H8"/>
    <mergeCell ref="F11:F14"/>
    <mergeCell ref="D15:D23"/>
    <mergeCell ref="F15:F18"/>
    <mergeCell ref="H18:H22"/>
    <mergeCell ref="B19:B31"/>
    <mergeCell ref="H11:H1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4FF3-DCA4-4036-9ADB-84744F664A58}">
  <sheetPr codeName="Feuil13">
    <tabColor theme="5" tint="0.39997558519241921"/>
  </sheetPr>
  <dimension ref="A1:G55"/>
  <sheetViews>
    <sheetView zoomScaleNormal="100" workbookViewId="0">
      <selection activeCell="B12" sqref="B12"/>
    </sheetView>
  </sheetViews>
  <sheetFormatPr defaultColWidth="11.42578125" defaultRowHeight="15" customHeight="1" x14ac:dyDescent="0.25"/>
  <cols>
    <col min="1" max="1" width="11.42578125" style="25"/>
    <col min="2" max="2" width="55.7109375" style="25" customWidth="1"/>
    <col min="3" max="3" width="17.42578125" style="84" customWidth="1"/>
    <col min="4" max="7" width="17.7109375" style="84" customWidth="1"/>
    <col min="8" max="16384" width="11.42578125" style="25"/>
  </cols>
  <sheetData>
    <row r="1" spans="1:7" ht="40.15" customHeight="1" x14ac:dyDescent="0.25">
      <c r="A1" s="97" t="s">
        <v>1242</v>
      </c>
    </row>
    <row r="4" spans="1:7" s="164" customFormat="1" ht="15" customHeight="1" x14ac:dyDescent="0.25">
      <c r="B4" s="164" t="s">
        <v>1243</v>
      </c>
      <c r="C4" s="475"/>
      <c r="D4" s="475"/>
      <c r="E4" s="475" t="s">
        <v>1244</v>
      </c>
      <c r="F4" s="476" t="s">
        <v>1245</v>
      </c>
      <c r="G4" s="475"/>
    </row>
    <row r="5" spans="1:7" ht="30" customHeight="1" x14ac:dyDescent="0.25">
      <c r="B5" s="477" t="s">
        <v>1246</v>
      </c>
      <c r="C5" s="478" t="s">
        <v>1247</v>
      </c>
      <c r="D5" s="478" t="s">
        <v>1248</v>
      </c>
      <c r="E5" s="478" t="s">
        <v>1249</v>
      </c>
      <c r="F5" s="478" t="s">
        <v>1250</v>
      </c>
      <c r="G5" s="76" t="s">
        <v>1251</v>
      </c>
    </row>
    <row r="6" spans="1:7" ht="15" customHeight="1" x14ac:dyDescent="0.25">
      <c r="B6" s="58" t="s">
        <v>1252</v>
      </c>
      <c r="C6" s="84" t="s">
        <v>1253</v>
      </c>
      <c r="D6" s="84">
        <v>81</v>
      </c>
      <c r="E6" s="11">
        <v>4442704</v>
      </c>
      <c r="F6" s="84">
        <v>0</v>
      </c>
      <c r="G6" s="93">
        <v>0</v>
      </c>
    </row>
    <row r="7" spans="1:7" ht="15" customHeight="1" x14ac:dyDescent="0.25">
      <c r="B7" s="58" t="s">
        <v>1254</v>
      </c>
      <c r="C7" s="84" t="s">
        <v>1253</v>
      </c>
      <c r="D7" s="84">
        <v>39</v>
      </c>
      <c r="E7" s="11">
        <v>2591036</v>
      </c>
      <c r="F7" s="84">
        <v>39</v>
      </c>
      <c r="G7" s="93">
        <v>220058</v>
      </c>
    </row>
    <row r="8" spans="1:7" ht="15" customHeight="1" x14ac:dyDescent="0.25">
      <c r="B8" s="58" t="s">
        <v>1255</v>
      </c>
      <c r="C8" s="84" t="s">
        <v>1253</v>
      </c>
      <c r="D8" s="84">
        <v>16</v>
      </c>
      <c r="E8" s="11">
        <v>1177061</v>
      </c>
      <c r="F8" s="84">
        <v>46</v>
      </c>
      <c r="G8" s="93">
        <v>882321</v>
      </c>
    </row>
    <row r="9" spans="1:7" ht="15" customHeight="1" x14ac:dyDescent="0.25">
      <c r="B9" s="58" t="s">
        <v>1256</v>
      </c>
      <c r="C9" s="84" t="s">
        <v>1253</v>
      </c>
      <c r="D9" s="84">
        <v>23</v>
      </c>
      <c r="E9" s="11">
        <v>955676</v>
      </c>
      <c r="F9" s="84">
        <v>103</v>
      </c>
      <c r="G9" s="93">
        <v>909156</v>
      </c>
    </row>
    <row r="10" spans="1:7" ht="15" customHeight="1" x14ac:dyDescent="0.25">
      <c r="B10" s="58" t="s">
        <v>1257</v>
      </c>
      <c r="C10" s="84" t="s">
        <v>1253</v>
      </c>
      <c r="D10" s="84">
        <v>24</v>
      </c>
      <c r="E10" s="11">
        <v>1636840</v>
      </c>
      <c r="F10" s="84">
        <v>0</v>
      </c>
      <c r="G10" s="93">
        <v>0</v>
      </c>
    </row>
    <row r="11" spans="1:7" ht="15" customHeight="1" x14ac:dyDescent="0.25">
      <c r="B11" s="58" t="s">
        <v>1258</v>
      </c>
      <c r="C11" s="84" t="s">
        <v>1253</v>
      </c>
      <c r="D11" s="84">
        <v>19</v>
      </c>
      <c r="E11" s="11">
        <v>1218142</v>
      </c>
      <c r="F11" s="84">
        <v>0</v>
      </c>
      <c r="G11" s="93">
        <v>0</v>
      </c>
    </row>
    <row r="12" spans="1:7" ht="15" customHeight="1" x14ac:dyDescent="0.25">
      <c r="B12" s="58" t="s">
        <v>1259</v>
      </c>
      <c r="C12" s="84" t="s">
        <v>1253</v>
      </c>
      <c r="D12" s="84">
        <v>9</v>
      </c>
      <c r="E12" s="11">
        <v>553736</v>
      </c>
      <c r="F12" s="84">
        <v>102</v>
      </c>
      <c r="G12" s="93">
        <v>619038</v>
      </c>
    </row>
    <row r="13" spans="1:7" ht="15" customHeight="1" x14ac:dyDescent="0.25">
      <c r="B13" s="58" t="s">
        <v>1260</v>
      </c>
      <c r="C13" s="84" t="s">
        <v>1253</v>
      </c>
      <c r="D13" s="84">
        <v>0</v>
      </c>
      <c r="E13" s="11">
        <v>0</v>
      </c>
      <c r="F13" s="84">
        <v>151</v>
      </c>
      <c r="G13" s="93">
        <v>973841</v>
      </c>
    </row>
    <row r="14" spans="1:7" ht="15" customHeight="1" x14ac:dyDescent="0.25">
      <c r="B14" s="58" t="s">
        <v>1261</v>
      </c>
      <c r="C14" s="84" t="s">
        <v>1253</v>
      </c>
      <c r="D14" s="84">
        <v>13</v>
      </c>
      <c r="E14" s="11">
        <v>883192</v>
      </c>
      <c r="F14" s="84">
        <v>3</v>
      </c>
      <c r="G14" s="93">
        <v>15928</v>
      </c>
    </row>
    <row r="15" spans="1:7" ht="15" customHeight="1" x14ac:dyDescent="0.25">
      <c r="B15" s="58" t="s">
        <v>1262</v>
      </c>
      <c r="C15" s="84" t="s">
        <v>1253</v>
      </c>
      <c r="D15" s="84">
        <v>0</v>
      </c>
      <c r="E15" s="11">
        <v>0</v>
      </c>
      <c r="F15" s="84">
        <v>130</v>
      </c>
      <c r="G15" s="93">
        <v>848155</v>
      </c>
    </row>
    <row r="16" spans="1:7" ht="15" customHeight="1" x14ac:dyDescent="0.25">
      <c r="B16" s="58" t="s">
        <v>1263</v>
      </c>
      <c r="C16" s="84" t="s">
        <v>1253</v>
      </c>
      <c r="D16" s="84">
        <v>6</v>
      </c>
      <c r="E16" s="11">
        <v>796279</v>
      </c>
      <c r="F16" s="84">
        <v>0</v>
      </c>
      <c r="G16" s="93">
        <v>0</v>
      </c>
    </row>
    <row r="17" spans="2:7" ht="15" customHeight="1" x14ac:dyDescent="0.25">
      <c r="B17" s="58" t="s">
        <v>1264</v>
      </c>
      <c r="C17" s="84" t="s">
        <v>1253</v>
      </c>
      <c r="D17" s="84">
        <v>21</v>
      </c>
      <c r="E17" s="11">
        <v>779258</v>
      </c>
      <c r="F17" s="84">
        <v>0</v>
      </c>
      <c r="G17" s="93">
        <v>0</v>
      </c>
    </row>
    <row r="18" spans="2:7" ht="15" customHeight="1" x14ac:dyDescent="0.25">
      <c r="B18" s="58" t="s">
        <v>1265</v>
      </c>
      <c r="C18" s="84" t="s">
        <v>1253</v>
      </c>
      <c r="D18" s="84">
        <v>0</v>
      </c>
      <c r="E18" s="11">
        <v>0</v>
      </c>
      <c r="F18" s="84">
        <v>66</v>
      </c>
      <c r="G18" s="93">
        <v>681329</v>
      </c>
    </row>
    <row r="19" spans="2:7" ht="15" customHeight="1" x14ac:dyDescent="0.25">
      <c r="B19" s="58" t="s">
        <v>1266</v>
      </c>
      <c r="C19" s="84" t="s">
        <v>1253</v>
      </c>
      <c r="D19" s="84">
        <v>1</v>
      </c>
      <c r="E19" s="11">
        <v>659278</v>
      </c>
      <c r="F19" s="84">
        <v>0</v>
      </c>
      <c r="G19" s="93">
        <v>0</v>
      </c>
    </row>
    <row r="20" spans="2:7" ht="15" customHeight="1" x14ac:dyDescent="0.25">
      <c r="B20" s="58" t="s">
        <v>1267</v>
      </c>
      <c r="C20" s="84" t="s">
        <v>1253</v>
      </c>
      <c r="D20" s="84">
        <v>10</v>
      </c>
      <c r="E20" s="11">
        <v>474165</v>
      </c>
      <c r="F20" s="84">
        <v>23</v>
      </c>
      <c r="G20" s="93">
        <v>168245</v>
      </c>
    </row>
    <row r="21" spans="2:7" ht="15" customHeight="1" x14ac:dyDescent="0.25">
      <c r="B21" s="58" t="s">
        <v>1268</v>
      </c>
      <c r="C21" s="84" t="s">
        <v>1253</v>
      </c>
      <c r="D21" s="84">
        <v>4</v>
      </c>
      <c r="E21" s="11">
        <v>453272</v>
      </c>
      <c r="F21" s="84">
        <v>4</v>
      </c>
      <c r="G21" s="93">
        <v>77045</v>
      </c>
    </row>
    <row r="22" spans="2:7" ht="15" customHeight="1" x14ac:dyDescent="0.25">
      <c r="B22" s="58" t="s">
        <v>1269</v>
      </c>
      <c r="C22" s="84" t="s">
        <v>1253</v>
      </c>
      <c r="D22" s="84">
        <v>3</v>
      </c>
      <c r="E22" s="11">
        <v>492609</v>
      </c>
      <c r="F22" s="84">
        <v>0</v>
      </c>
      <c r="G22" s="93">
        <v>0</v>
      </c>
    </row>
    <row r="23" spans="2:7" ht="15" customHeight="1" x14ac:dyDescent="0.25">
      <c r="B23" s="58" t="s">
        <v>1270</v>
      </c>
      <c r="C23" s="84" t="s">
        <v>1253</v>
      </c>
      <c r="D23" s="84">
        <v>0</v>
      </c>
      <c r="E23" s="11">
        <v>0</v>
      </c>
      <c r="F23" s="84">
        <v>107</v>
      </c>
      <c r="G23" s="93">
        <v>472122</v>
      </c>
    </row>
    <row r="24" spans="2:7" ht="15" customHeight="1" x14ac:dyDescent="0.25">
      <c r="B24" s="58" t="s">
        <v>1271</v>
      </c>
      <c r="C24" s="84" t="s">
        <v>1253</v>
      </c>
      <c r="D24" s="84">
        <v>7</v>
      </c>
      <c r="E24" s="11">
        <v>402728</v>
      </c>
      <c r="F24" s="84">
        <v>9</v>
      </c>
      <c r="G24" s="93">
        <v>26614</v>
      </c>
    </row>
    <row r="25" spans="2:7" ht="15" customHeight="1" x14ac:dyDescent="0.25">
      <c r="B25" s="58" t="s">
        <v>1272</v>
      </c>
      <c r="C25" s="84" t="s">
        <v>1253</v>
      </c>
      <c r="D25" s="84">
        <v>0</v>
      </c>
      <c r="E25" s="11">
        <v>0</v>
      </c>
      <c r="F25" s="84">
        <v>70</v>
      </c>
      <c r="G25" s="93">
        <v>368316</v>
      </c>
    </row>
    <row r="26" spans="2:7" ht="15" customHeight="1" x14ac:dyDescent="0.25">
      <c r="B26" s="58" t="s">
        <v>1273</v>
      </c>
      <c r="C26" s="84" t="s">
        <v>1253</v>
      </c>
      <c r="D26" s="84">
        <v>0</v>
      </c>
      <c r="E26" s="11">
        <v>0</v>
      </c>
      <c r="F26" s="84">
        <v>27</v>
      </c>
      <c r="G26" s="93">
        <v>355148</v>
      </c>
    </row>
    <row r="27" spans="2:7" ht="15" customHeight="1" x14ac:dyDescent="0.25">
      <c r="B27" s="58" t="s">
        <v>1274</v>
      </c>
      <c r="C27" s="84" t="s">
        <v>1253</v>
      </c>
      <c r="D27" s="84">
        <v>3</v>
      </c>
      <c r="E27" s="11">
        <v>209154</v>
      </c>
      <c r="F27" s="84">
        <v>28</v>
      </c>
      <c r="G27" s="93">
        <v>123585</v>
      </c>
    </row>
    <row r="28" spans="2:7" ht="15" customHeight="1" x14ac:dyDescent="0.25">
      <c r="B28" s="58" t="s">
        <v>1275</v>
      </c>
      <c r="C28" s="84" t="s">
        <v>1253</v>
      </c>
      <c r="D28" s="84">
        <v>0</v>
      </c>
      <c r="E28" s="11">
        <v>0</v>
      </c>
      <c r="F28" s="84">
        <v>39</v>
      </c>
      <c r="G28" s="93">
        <v>308162</v>
      </c>
    </row>
    <row r="29" spans="2:7" ht="15" customHeight="1" x14ac:dyDescent="0.25">
      <c r="B29" s="58" t="s">
        <v>1276</v>
      </c>
      <c r="C29" s="84" t="s">
        <v>1253</v>
      </c>
      <c r="D29" s="84">
        <v>5</v>
      </c>
      <c r="E29" s="11">
        <v>300929</v>
      </c>
      <c r="F29" s="84">
        <v>0</v>
      </c>
      <c r="G29" s="93">
        <v>0</v>
      </c>
    </row>
    <row r="30" spans="2:7" ht="15" customHeight="1" x14ac:dyDescent="0.25">
      <c r="B30" s="58" t="s">
        <v>1277</v>
      </c>
      <c r="C30" s="84" t="s">
        <v>1253</v>
      </c>
      <c r="D30" s="84">
        <v>6</v>
      </c>
      <c r="E30" s="11">
        <v>289921</v>
      </c>
      <c r="F30" s="84">
        <v>0</v>
      </c>
      <c r="G30" s="93">
        <v>0</v>
      </c>
    </row>
    <row r="31" spans="2:7" ht="15" customHeight="1" x14ac:dyDescent="0.25">
      <c r="B31" s="58" t="s">
        <v>1278</v>
      </c>
      <c r="C31" s="84" t="s">
        <v>1253</v>
      </c>
      <c r="D31" s="84">
        <v>7</v>
      </c>
      <c r="E31" s="11">
        <v>277450</v>
      </c>
      <c r="F31" s="84">
        <v>0</v>
      </c>
      <c r="G31" s="93">
        <v>0</v>
      </c>
    </row>
    <row r="32" spans="2:7" ht="15" customHeight="1" x14ac:dyDescent="0.25">
      <c r="B32" s="58" t="s">
        <v>1279</v>
      </c>
      <c r="C32" s="84" t="s">
        <v>1253</v>
      </c>
      <c r="D32" s="84">
        <v>2</v>
      </c>
      <c r="E32" s="11">
        <v>99416</v>
      </c>
      <c r="F32" s="84">
        <v>29</v>
      </c>
      <c r="G32" s="93">
        <v>176491</v>
      </c>
    </row>
    <row r="33" spans="2:7" ht="15" customHeight="1" x14ac:dyDescent="0.25">
      <c r="B33" s="58" t="s">
        <v>1280</v>
      </c>
      <c r="C33" s="84" t="s">
        <v>1253</v>
      </c>
      <c r="D33" s="84">
        <v>2</v>
      </c>
      <c r="E33" s="11">
        <v>67505</v>
      </c>
      <c r="F33" s="84">
        <v>28</v>
      </c>
      <c r="G33" s="93">
        <v>198140</v>
      </c>
    </row>
    <row r="34" spans="2:7" ht="15" customHeight="1" x14ac:dyDescent="0.25">
      <c r="B34" s="58" t="s">
        <v>1281</v>
      </c>
      <c r="C34" s="84" t="s">
        <v>1253</v>
      </c>
      <c r="D34" s="84">
        <v>1</v>
      </c>
      <c r="E34" s="11">
        <v>37106</v>
      </c>
      <c r="F34" s="84">
        <v>29</v>
      </c>
      <c r="G34" s="93">
        <v>211770</v>
      </c>
    </row>
    <row r="35" spans="2:7" ht="15" customHeight="1" x14ac:dyDescent="0.25">
      <c r="B35" s="58" t="s">
        <v>1282</v>
      </c>
      <c r="C35" s="84" t="s">
        <v>1253</v>
      </c>
      <c r="D35" s="84">
        <v>4</v>
      </c>
      <c r="E35" s="11">
        <v>237692</v>
      </c>
      <c r="F35" s="84">
        <v>1</v>
      </c>
      <c r="G35" s="93">
        <v>639</v>
      </c>
    </row>
    <row r="36" spans="2:7" ht="15" customHeight="1" x14ac:dyDescent="0.25">
      <c r="B36" s="58" t="s">
        <v>1283</v>
      </c>
      <c r="C36" s="84" t="s">
        <v>1253</v>
      </c>
      <c r="D36" s="84">
        <v>0</v>
      </c>
      <c r="E36" s="11">
        <v>0</v>
      </c>
      <c r="F36" s="84">
        <v>36</v>
      </c>
      <c r="G36" s="93">
        <v>227482</v>
      </c>
    </row>
    <row r="37" spans="2:7" ht="15" customHeight="1" x14ac:dyDescent="0.25">
      <c r="B37" s="58" t="s">
        <v>1284</v>
      </c>
      <c r="C37" s="84" t="s">
        <v>1253</v>
      </c>
      <c r="D37" s="84">
        <v>3</v>
      </c>
      <c r="E37" s="11">
        <v>190702</v>
      </c>
      <c r="F37" s="84">
        <v>0</v>
      </c>
      <c r="G37" s="93">
        <v>0</v>
      </c>
    </row>
    <row r="38" spans="2:7" ht="15" customHeight="1" x14ac:dyDescent="0.25">
      <c r="B38" s="58" t="s">
        <v>1285</v>
      </c>
      <c r="C38" s="84" t="s">
        <v>1253</v>
      </c>
      <c r="D38" s="84">
        <v>0</v>
      </c>
      <c r="E38" s="11">
        <v>0</v>
      </c>
      <c r="F38" s="84">
        <v>23</v>
      </c>
      <c r="G38" s="93">
        <v>179506</v>
      </c>
    </row>
    <row r="39" spans="2:7" ht="15" customHeight="1" x14ac:dyDescent="0.25">
      <c r="B39" s="58" t="s">
        <v>1286</v>
      </c>
      <c r="C39" s="84" t="s">
        <v>1253</v>
      </c>
      <c r="D39" s="84">
        <v>2</v>
      </c>
      <c r="E39" s="11">
        <v>173541</v>
      </c>
      <c r="F39" s="84">
        <v>0</v>
      </c>
      <c r="G39" s="93">
        <v>0</v>
      </c>
    </row>
    <row r="40" spans="2:7" ht="15" customHeight="1" x14ac:dyDescent="0.25">
      <c r="B40" s="58" t="s">
        <v>1287</v>
      </c>
      <c r="C40" s="84" t="s">
        <v>1253</v>
      </c>
      <c r="D40" s="84">
        <v>4</v>
      </c>
      <c r="E40" s="11">
        <v>167224</v>
      </c>
      <c r="F40" s="84">
        <v>0</v>
      </c>
      <c r="G40" s="93">
        <v>0</v>
      </c>
    </row>
    <row r="41" spans="2:7" ht="15" customHeight="1" x14ac:dyDescent="0.25">
      <c r="B41" s="58" t="s">
        <v>1288</v>
      </c>
      <c r="C41" s="84" t="s">
        <v>1253</v>
      </c>
      <c r="D41" s="84">
        <v>0</v>
      </c>
      <c r="E41" s="11">
        <v>0</v>
      </c>
      <c r="F41" s="84">
        <v>29</v>
      </c>
      <c r="G41" s="93">
        <v>150944</v>
      </c>
    </row>
    <row r="42" spans="2:7" ht="15" customHeight="1" x14ac:dyDescent="0.25">
      <c r="B42" s="58" t="s">
        <v>1289</v>
      </c>
      <c r="C42" s="84" t="s">
        <v>1253</v>
      </c>
      <c r="D42" s="84">
        <v>5</v>
      </c>
      <c r="E42" s="11">
        <v>127317</v>
      </c>
      <c r="F42" s="84">
        <v>0</v>
      </c>
      <c r="G42" s="93">
        <v>0</v>
      </c>
    </row>
    <row r="43" spans="2:7" ht="15" customHeight="1" x14ac:dyDescent="0.25">
      <c r="B43" s="58" t="s">
        <v>1290</v>
      </c>
      <c r="C43" s="84" t="s">
        <v>1253</v>
      </c>
      <c r="D43" s="84">
        <v>0</v>
      </c>
      <c r="E43" s="11">
        <v>0</v>
      </c>
      <c r="F43" s="84">
        <v>16</v>
      </c>
      <c r="G43" s="93">
        <v>102799</v>
      </c>
    </row>
    <row r="44" spans="2:7" ht="15" customHeight="1" x14ac:dyDescent="0.25">
      <c r="B44" s="58" t="s">
        <v>1291</v>
      </c>
      <c r="C44" s="84" t="s">
        <v>1253</v>
      </c>
      <c r="D44" s="84">
        <v>1</v>
      </c>
      <c r="E44" s="11">
        <v>83257</v>
      </c>
      <c r="F44" s="84">
        <v>2</v>
      </c>
      <c r="G44" s="93">
        <v>9086</v>
      </c>
    </row>
    <row r="45" spans="2:7" ht="15" customHeight="1" x14ac:dyDescent="0.25">
      <c r="B45" s="58" t="s">
        <v>1292</v>
      </c>
      <c r="C45" s="84" t="s">
        <v>1253</v>
      </c>
      <c r="D45" s="84">
        <v>0</v>
      </c>
      <c r="E45" s="11">
        <v>0</v>
      </c>
      <c r="F45" s="84">
        <v>27</v>
      </c>
      <c r="G45" s="93">
        <v>86377</v>
      </c>
    </row>
    <row r="46" spans="2:7" ht="15" customHeight="1" x14ac:dyDescent="0.25">
      <c r="B46" s="58" t="s">
        <v>1293</v>
      </c>
      <c r="C46" s="84" t="s">
        <v>1253</v>
      </c>
      <c r="D46" s="84">
        <v>1</v>
      </c>
      <c r="E46" s="11">
        <v>61527</v>
      </c>
      <c r="F46" s="84">
        <v>0</v>
      </c>
      <c r="G46" s="93">
        <v>0</v>
      </c>
    </row>
    <row r="47" spans="2:7" ht="15" customHeight="1" x14ac:dyDescent="0.25">
      <c r="B47" s="58" t="s">
        <v>1294</v>
      </c>
      <c r="C47" s="84" t="s">
        <v>1253</v>
      </c>
      <c r="D47" s="84">
        <v>0</v>
      </c>
      <c r="E47" s="11">
        <v>0</v>
      </c>
      <c r="F47" s="84">
        <v>14</v>
      </c>
      <c r="G47" s="93">
        <v>53106</v>
      </c>
    </row>
    <row r="48" spans="2:7" ht="15" customHeight="1" x14ac:dyDescent="0.25">
      <c r="B48" s="58" t="s">
        <v>1295</v>
      </c>
      <c r="C48" s="84" t="s">
        <v>1253</v>
      </c>
      <c r="D48" s="84">
        <v>0</v>
      </c>
      <c r="E48" s="11">
        <v>0</v>
      </c>
      <c r="F48" s="84">
        <v>8</v>
      </c>
      <c r="G48" s="93">
        <v>29133</v>
      </c>
    </row>
    <row r="49" spans="2:7" ht="15" customHeight="1" x14ac:dyDescent="0.25">
      <c r="B49" s="58" t="s">
        <v>1296</v>
      </c>
      <c r="C49" s="84" t="s">
        <v>1253</v>
      </c>
      <c r="D49" s="84">
        <v>0</v>
      </c>
      <c r="E49" s="11">
        <v>0</v>
      </c>
      <c r="F49" s="84">
        <v>8</v>
      </c>
      <c r="G49" s="93">
        <v>25379</v>
      </c>
    </row>
    <row r="50" spans="2:7" ht="15" customHeight="1" x14ac:dyDescent="0.25">
      <c r="B50" s="58" t="s">
        <v>1297</v>
      </c>
      <c r="C50" s="84" t="s">
        <v>1253</v>
      </c>
      <c r="D50" s="84">
        <v>1</v>
      </c>
      <c r="E50" s="11">
        <v>9940</v>
      </c>
      <c r="F50" s="84">
        <v>0</v>
      </c>
      <c r="G50" s="93">
        <v>0</v>
      </c>
    </row>
    <row r="51" spans="2:7" ht="15" customHeight="1" x14ac:dyDescent="0.25">
      <c r="B51" s="58" t="s">
        <v>1298</v>
      </c>
      <c r="C51" s="84" t="s">
        <v>1253</v>
      </c>
      <c r="D51" s="84">
        <v>0</v>
      </c>
      <c r="E51" s="11">
        <v>0</v>
      </c>
      <c r="F51" s="84">
        <v>1</v>
      </c>
      <c r="G51" s="93">
        <v>6960</v>
      </c>
    </row>
    <row r="52" spans="2:7" ht="15" customHeight="1" x14ac:dyDescent="0.25">
      <c r="B52" s="58" t="s">
        <v>1299</v>
      </c>
      <c r="C52" s="84" t="s">
        <v>1253</v>
      </c>
      <c r="D52" s="84">
        <v>0</v>
      </c>
      <c r="E52" s="11">
        <v>0</v>
      </c>
      <c r="F52" s="84">
        <v>2</v>
      </c>
      <c r="G52" s="93">
        <v>5680</v>
      </c>
    </row>
    <row r="53" spans="2:7" ht="15" customHeight="1" x14ac:dyDescent="0.25">
      <c r="B53" s="58" t="s">
        <v>1296</v>
      </c>
      <c r="C53" s="84" t="s">
        <v>1253</v>
      </c>
      <c r="D53" s="84">
        <v>0</v>
      </c>
      <c r="E53" s="11">
        <v>0</v>
      </c>
      <c r="F53" s="84">
        <v>8</v>
      </c>
      <c r="G53" s="93">
        <v>56599</v>
      </c>
    </row>
    <row r="54" spans="2:7" ht="15" customHeight="1" x14ac:dyDescent="0.25">
      <c r="B54" s="58" t="s">
        <v>1300</v>
      </c>
      <c r="C54" s="84" t="s">
        <v>1253</v>
      </c>
      <c r="D54" s="84">
        <v>0</v>
      </c>
      <c r="E54" s="11">
        <v>0</v>
      </c>
      <c r="F54" s="84">
        <v>3</v>
      </c>
      <c r="G54" s="93">
        <v>9829</v>
      </c>
    </row>
    <row r="55" spans="2:7" ht="15" customHeight="1" x14ac:dyDescent="0.25">
      <c r="B55" s="190" t="s">
        <v>1299</v>
      </c>
      <c r="C55" s="86" t="s">
        <v>1253</v>
      </c>
      <c r="D55" s="86">
        <v>2</v>
      </c>
      <c r="E55" s="94">
        <v>8426</v>
      </c>
      <c r="F55" s="86">
        <v>0</v>
      </c>
      <c r="G55" s="95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1A87-1959-42C7-8D3C-534806757C01}">
  <sheetPr codeName="Feuil14">
    <tabColor theme="4" tint="0.39997558519241921"/>
  </sheetPr>
  <dimension ref="A2:ABM82"/>
  <sheetViews>
    <sheetView topLeftCell="YJ1" zoomScale="55" zoomScaleNormal="55" workbookViewId="0">
      <selection activeCell="ZA27" sqref="ZA27"/>
    </sheetView>
  </sheetViews>
  <sheetFormatPr defaultColWidth="11.42578125" defaultRowHeight="15" x14ac:dyDescent="0.25"/>
  <cols>
    <col min="1" max="2" width="8.7109375" bestFit="1" customWidth="1"/>
    <col min="3" max="3" width="22.28515625" bestFit="1" customWidth="1"/>
    <col min="4" max="4" width="19.140625" bestFit="1" customWidth="1"/>
    <col min="5" max="5" width="37.85546875" bestFit="1" customWidth="1"/>
    <col min="6" max="6" width="38.85546875" bestFit="1" customWidth="1"/>
    <col min="7" max="7" width="34.42578125" bestFit="1" customWidth="1"/>
    <col min="8" max="8" width="39.5703125" bestFit="1" customWidth="1"/>
    <col min="9" max="9" width="31.5703125" bestFit="1" customWidth="1"/>
    <col min="10" max="11" width="36.7109375" bestFit="1" customWidth="1"/>
    <col min="12" max="12" width="37.85546875" bestFit="1" customWidth="1"/>
    <col min="13" max="13" width="33.140625" bestFit="1" customWidth="1"/>
    <col min="14" max="14" width="38.28515625" bestFit="1" customWidth="1"/>
    <col min="15" max="15" width="30.5703125" bestFit="1" customWidth="1"/>
    <col min="16" max="16" width="35.7109375" bestFit="1" customWidth="1"/>
    <col min="17" max="17" width="44.28515625" bestFit="1" customWidth="1"/>
    <col min="18" max="18" width="45.5703125" bestFit="1" customWidth="1"/>
    <col min="19" max="19" width="40.85546875" bestFit="1" customWidth="1"/>
    <col min="20" max="20" width="46.140625" bestFit="1" customWidth="1"/>
    <col min="21" max="21" width="38" bestFit="1" customWidth="1"/>
    <col min="22" max="22" width="43.28515625" bestFit="1" customWidth="1"/>
    <col min="23" max="23" width="38.5703125" bestFit="1" customWidth="1"/>
    <col min="24" max="24" width="39.85546875" bestFit="1" customWidth="1"/>
    <col min="25" max="25" width="35.140625" bestFit="1" customWidth="1"/>
    <col min="26" max="26" width="40.42578125" bestFit="1" customWidth="1"/>
    <col min="27" max="27" width="32.28515625" bestFit="1" customWidth="1"/>
    <col min="28" max="28" width="37.5703125" bestFit="1" customWidth="1"/>
    <col min="29" max="29" width="15.28515625" bestFit="1" customWidth="1"/>
    <col min="32" max="32" width="8" bestFit="1" customWidth="1"/>
    <col min="33" max="33" width="8.7109375" bestFit="1" customWidth="1"/>
    <col min="34" max="34" width="13" bestFit="1" customWidth="1"/>
    <col min="35" max="35" width="23.140625" bestFit="1" customWidth="1"/>
    <col min="36" max="36" width="18.7109375" bestFit="1" customWidth="1"/>
    <col min="37" max="37" width="13" bestFit="1" customWidth="1"/>
    <col min="38" max="38" width="14.42578125" bestFit="1" customWidth="1"/>
    <col min="39" max="39" width="13.28515625" bestFit="1" customWidth="1"/>
    <col min="40" max="40" width="13.28515625" customWidth="1"/>
    <col min="41" max="41" width="8.7109375" bestFit="1" customWidth="1"/>
    <col min="42" max="42" width="17.42578125" bestFit="1" customWidth="1"/>
    <col min="43" max="43" width="18.140625" bestFit="1" customWidth="1"/>
    <col min="44" max="44" width="46" bestFit="1" customWidth="1"/>
    <col min="45" max="45" width="39.85546875" bestFit="1" customWidth="1"/>
    <col min="48" max="48" width="8" bestFit="1" customWidth="1"/>
    <col min="49" max="49" width="8.7109375" bestFit="1" customWidth="1"/>
    <col min="50" max="50" width="32.42578125" bestFit="1" customWidth="1"/>
    <col min="51" max="51" width="16.28515625" bestFit="1" customWidth="1"/>
    <col min="52" max="52" width="37.140625" bestFit="1" customWidth="1"/>
    <col min="53" max="53" width="30.7109375" bestFit="1" customWidth="1"/>
    <col min="54" max="54" width="37.28515625" bestFit="1" customWidth="1"/>
    <col min="55" max="55" width="27.28515625" bestFit="1" customWidth="1"/>
    <col min="56" max="56" width="54" bestFit="1" customWidth="1"/>
    <col min="57" max="57" width="37.85546875" bestFit="1" customWidth="1"/>
    <col min="58" max="58" width="32.42578125" bestFit="1" customWidth="1"/>
    <col min="59" max="59" width="26.7109375" bestFit="1" customWidth="1"/>
    <col min="60" max="60" width="22.28515625" bestFit="1" customWidth="1"/>
    <col min="64" max="64" width="8" bestFit="1" customWidth="1"/>
    <col min="65" max="65" width="8.7109375" bestFit="1" customWidth="1"/>
    <col min="66" max="66" width="32.42578125" bestFit="1" customWidth="1"/>
    <col min="67" max="67" width="42.85546875" bestFit="1" customWidth="1"/>
    <col min="68" max="68" width="48.28515625" bestFit="1" customWidth="1"/>
    <col min="69" max="70" width="32.42578125" bestFit="1" customWidth="1"/>
    <col min="74" max="74" width="8" bestFit="1" customWidth="1"/>
    <col min="75" max="75" width="8.7109375" bestFit="1" customWidth="1"/>
    <col min="76" max="76" width="16.42578125" bestFit="1" customWidth="1"/>
    <col min="77" max="77" width="29.5703125" bestFit="1" customWidth="1"/>
    <col min="78" max="78" width="36.85546875" bestFit="1" customWidth="1"/>
    <col min="79" max="80" width="29.28515625" customWidth="1"/>
    <col min="81" max="81" width="8.7109375" bestFit="1" customWidth="1"/>
    <col min="82" max="82" width="30" bestFit="1" customWidth="1"/>
    <col min="83" max="83" width="20.5703125" bestFit="1" customWidth="1"/>
    <col min="86" max="86" width="8" bestFit="1" customWidth="1"/>
    <col min="87" max="87" width="8.7109375" bestFit="1" customWidth="1"/>
    <col min="88" max="88" width="13" bestFit="1" customWidth="1"/>
    <col min="89" max="89" width="36.42578125" bestFit="1" customWidth="1"/>
    <col min="90" max="90" width="29.7109375" bestFit="1" customWidth="1"/>
    <col min="94" max="94" width="8" bestFit="1" customWidth="1"/>
    <col min="95" max="95" width="8.7109375" bestFit="1" customWidth="1"/>
    <col min="96" max="96" width="12.28515625" bestFit="1" customWidth="1"/>
    <col min="97" max="97" width="24" bestFit="1" customWidth="1"/>
    <col min="98" max="98" width="12.85546875" bestFit="1" customWidth="1"/>
    <col min="99" max="99" width="24.5703125" bestFit="1" customWidth="1"/>
    <col min="100" max="100" width="10.42578125" bestFit="1" customWidth="1"/>
    <col min="101" max="101" width="22.140625" bestFit="1" customWidth="1"/>
    <col min="102" max="102" width="17.42578125" bestFit="1" customWidth="1"/>
    <col min="103" max="103" width="29.42578125" bestFit="1" customWidth="1"/>
    <col min="104" max="104" width="8.5703125" bestFit="1" customWidth="1"/>
    <col min="105" max="105" width="20.28515625" bestFit="1" customWidth="1"/>
    <col min="106" max="106" width="17.28515625" bestFit="1" customWidth="1"/>
    <col min="110" max="110" width="8" bestFit="1" customWidth="1"/>
    <col min="111" max="111" width="8.7109375" bestFit="1" customWidth="1"/>
    <col min="112" max="112" width="17.7109375" bestFit="1" customWidth="1"/>
    <col min="113" max="113" width="25" bestFit="1" customWidth="1"/>
    <col min="114" max="114" width="31" bestFit="1" customWidth="1"/>
    <col min="115" max="115" width="32" bestFit="1" customWidth="1"/>
    <col min="116" max="116" width="32.7109375" bestFit="1" customWidth="1"/>
    <col min="117" max="117" width="25" bestFit="1" customWidth="1"/>
    <col min="118" max="118" width="31.42578125" bestFit="1" customWidth="1"/>
    <col min="119" max="119" width="26.28515625" bestFit="1" customWidth="1"/>
    <col min="121" max="121" width="8" bestFit="1" customWidth="1"/>
    <col min="122" max="122" width="8.7109375" bestFit="1" customWidth="1"/>
    <col min="123" max="123" width="11" bestFit="1" customWidth="1"/>
    <col min="124" max="124" width="12.42578125" bestFit="1" customWidth="1"/>
    <col min="125" max="125" width="14.7109375" bestFit="1" customWidth="1"/>
    <col min="126" max="126" width="20.28515625" bestFit="1" customWidth="1"/>
    <col min="127" max="127" width="32" bestFit="1" customWidth="1"/>
    <col min="128" max="128" width="25.5703125" bestFit="1" customWidth="1"/>
    <col min="129" max="129" width="37.42578125" bestFit="1" customWidth="1"/>
    <col min="130" max="130" width="26.28515625" bestFit="1" customWidth="1"/>
    <col min="131" max="131" width="37.85546875" bestFit="1" customWidth="1"/>
    <col min="132" max="132" width="26.28515625" bestFit="1" customWidth="1"/>
    <col min="133" max="133" width="37.85546875" bestFit="1" customWidth="1"/>
    <col min="134" max="134" width="26.28515625" bestFit="1" customWidth="1"/>
    <col min="135" max="135" width="37.85546875" bestFit="1" customWidth="1"/>
    <col min="136" max="136" width="26.28515625" bestFit="1" customWidth="1"/>
    <col min="137" max="137" width="37.85546875" bestFit="1" customWidth="1"/>
    <col min="138" max="138" width="21.85546875" bestFit="1" customWidth="1"/>
    <col min="139" max="139" width="27.28515625" bestFit="1" customWidth="1"/>
    <col min="140" max="140" width="21.7109375" bestFit="1" customWidth="1"/>
    <col min="143" max="143" width="8" bestFit="1" customWidth="1"/>
    <col min="144" max="144" width="8.7109375" bestFit="1" customWidth="1"/>
    <col min="145" max="145" width="11" bestFit="1" customWidth="1"/>
    <col min="146" max="146" width="14.7109375" bestFit="1" customWidth="1"/>
    <col min="147" max="147" width="20.28515625" bestFit="1" customWidth="1"/>
    <col min="148" max="148" width="32" bestFit="1" customWidth="1"/>
    <col min="149" max="149" width="25.5703125" bestFit="1" customWidth="1"/>
    <col min="150" max="150" width="37.42578125" bestFit="1" customWidth="1"/>
    <col min="151" max="151" width="26.28515625" bestFit="1" customWidth="1"/>
    <col min="152" max="152" width="37.85546875" bestFit="1" customWidth="1"/>
    <col min="153" max="153" width="26.28515625" bestFit="1" customWidth="1"/>
    <col min="154" max="154" width="37.85546875" bestFit="1" customWidth="1"/>
    <col min="155" max="155" width="26.28515625" bestFit="1" customWidth="1"/>
    <col min="156" max="156" width="37.85546875" bestFit="1" customWidth="1"/>
    <col min="157" max="157" width="26.28515625" bestFit="1" customWidth="1"/>
    <col min="158" max="158" width="37.85546875" bestFit="1" customWidth="1"/>
    <col min="159" max="159" width="21.85546875" bestFit="1" customWidth="1"/>
    <col min="160" max="160" width="27.28515625" bestFit="1" customWidth="1"/>
    <col min="161" max="161" width="21.7109375" bestFit="1" customWidth="1"/>
    <col min="162" max="162" width="21.7109375" customWidth="1"/>
    <col min="163" max="163" width="8" bestFit="1" customWidth="1"/>
    <col min="164" max="164" width="8.7109375" bestFit="1" customWidth="1"/>
    <col min="165" max="165" width="27.7109375" bestFit="1" customWidth="1"/>
    <col min="166" max="166" width="31.28515625" bestFit="1" customWidth="1"/>
    <col min="167" max="167" width="33.7109375" bestFit="1" customWidth="1"/>
    <col min="168" max="168" width="27.7109375" bestFit="1" customWidth="1"/>
    <col min="169" max="169" width="34.42578125" bestFit="1" customWidth="1"/>
    <col min="170" max="170" width="40.28515625" bestFit="1" customWidth="1"/>
    <col min="171" max="171" width="34.42578125" bestFit="1" customWidth="1"/>
    <col min="172" max="173" width="21.7109375" customWidth="1"/>
    <col min="174" max="174" width="8.7109375" bestFit="1" customWidth="1"/>
    <col min="175" max="175" width="28.42578125" bestFit="1" customWidth="1"/>
    <col min="176" max="176" width="25.7109375" bestFit="1" customWidth="1"/>
    <col min="177" max="177" width="24.140625" bestFit="1" customWidth="1"/>
    <col min="178" max="179" width="21.7109375" customWidth="1"/>
    <col min="180" max="180" width="8" bestFit="1" customWidth="1"/>
    <col min="181" max="181" width="8.7109375" bestFit="1" customWidth="1"/>
    <col min="182" max="182" width="13" bestFit="1" customWidth="1"/>
    <col min="183" max="183" width="18.7109375" bestFit="1" customWidth="1"/>
    <col min="184" max="184" width="13" bestFit="1" customWidth="1"/>
    <col min="185" max="185" width="14.42578125" bestFit="1" customWidth="1"/>
    <col min="186" max="186" width="13.28515625" bestFit="1" customWidth="1"/>
    <col min="187" max="187" width="8.7109375" bestFit="1" customWidth="1"/>
    <col min="188" max="188" width="35.7109375" bestFit="1" customWidth="1"/>
    <col min="189" max="189" width="24" bestFit="1" customWidth="1"/>
    <col min="190" max="190" width="13.28515625" customWidth="1"/>
    <col min="193" max="193" width="8" bestFit="1" customWidth="1"/>
    <col min="194" max="194" width="8.7109375" bestFit="1" customWidth="1"/>
    <col min="195" max="195" width="29.28515625" bestFit="1" customWidth="1"/>
    <col min="196" max="196" width="16.28515625" bestFit="1" customWidth="1"/>
    <col min="197" max="197" width="16.85546875" bestFit="1" customWidth="1"/>
    <col min="198" max="199" width="29.28515625" bestFit="1" customWidth="1"/>
    <col min="200" max="200" width="8" bestFit="1" customWidth="1"/>
    <col min="201" max="201" width="8.5703125" bestFit="1" customWidth="1"/>
    <col min="204" max="204" width="8" bestFit="1" customWidth="1"/>
    <col min="205" max="205" width="8.7109375" bestFit="1" customWidth="1"/>
    <col min="206" max="206" width="16.42578125" bestFit="1" customWidth="1"/>
    <col min="207" max="207" width="28.28515625" bestFit="1" customWidth="1"/>
    <col min="208" max="208" width="42.140625" bestFit="1" customWidth="1"/>
    <col min="209" max="209" width="40.140625" bestFit="1" customWidth="1"/>
    <col min="210" max="210" width="31.5703125" customWidth="1"/>
    <col min="211" max="211" width="32.28515625" bestFit="1" customWidth="1"/>
    <col min="213" max="213" width="8" bestFit="1" customWidth="1"/>
    <col min="214" max="214" width="8.7109375" bestFit="1" customWidth="1"/>
    <col min="215" max="215" width="12.28515625" bestFit="1" customWidth="1"/>
    <col min="216" max="216" width="24" bestFit="1" customWidth="1"/>
    <col min="217" max="217" width="12.85546875" bestFit="1" customWidth="1"/>
    <col min="218" max="218" width="24.5703125" bestFit="1" customWidth="1"/>
    <col min="219" max="219" width="10.42578125" bestFit="1" customWidth="1"/>
    <col min="220" max="220" width="22.140625" bestFit="1" customWidth="1"/>
    <col min="221" max="221" width="17.42578125" bestFit="1" customWidth="1"/>
    <col min="222" max="222" width="29.42578125" bestFit="1" customWidth="1"/>
    <col min="223" max="223" width="8.5703125" bestFit="1" customWidth="1"/>
    <col min="224" max="224" width="20.28515625" bestFit="1" customWidth="1"/>
    <col min="225" max="225" width="17.28515625" bestFit="1" customWidth="1"/>
    <col min="229" max="229" width="8" bestFit="1" customWidth="1"/>
    <col min="230" max="230" width="8.7109375" bestFit="1" customWidth="1"/>
    <col min="231" max="231" width="11.7109375" bestFit="1" customWidth="1"/>
    <col min="232" max="232" width="23.28515625" bestFit="1" customWidth="1"/>
    <col min="233" max="233" width="13.85546875" bestFit="1" customWidth="1"/>
    <col min="234" max="234" width="25.5703125" bestFit="1" customWidth="1"/>
    <col min="235" max="235" width="10.7109375" bestFit="1" customWidth="1"/>
    <col min="236" max="236" width="22.28515625" bestFit="1" customWidth="1"/>
    <col min="237" max="237" width="23.140625" bestFit="1" customWidth="1"/>
    <col min="238" max="238" width="18.7109375" bestFit="1" customWidth="1"/>
    <col min="242" max="242" width="8" bestFit="1" customWidth="1"/>
    <col min="243" max="243" width="8.7109375" bestFit="1" customWidth="1"/>
    <col min="244" max="244" width="19.140625" bestFit="1" customWidth="1"/>
    <col min="245" max="245" width="33.42578125" bestFit="1" customWidth="1"/>
    <col min="246" max="246" width="34.42578125" bestFit="1" customWidth="1"/>
    <col min="247" max="247" width="30.28515625" bestFit="1" customWidth="1"/>
    <col min="248" max="248" width="33.28515625" bestFit="1" customWidth="1"/>
    <col min="249" max="249" width="33" bestFit="1" customWidth="1"/>
    <col min="250" max="250" width="26.5703125" bestFit="1" customWidth="1"/>
    <col min="251" max="251" width="55.140625" bestFit="1" customWidth="1"/>
    <col min="252" max="252" width="45" bestFit="1" customWidth="1"/>
    <col min="253" max="253" width="21.85546875" bestFit="1" customWidth="1"/>
    <col min="257" max="257" width="8" bestFit="1" customWidth="1"/>
    <col min="258" max="258" width="8.7109375" bestFit="1" customWidth="1"/>
    <col min="259" max="259" width="11" bestFit="1" customWidth="1"/>
    <col min="260" max="260" width="14.7109375" bestFit="1" customWidth="1"/>
    <col min="261" max="261" width="20.28515625" bestFit="1" customWidth="1"/>
    <col min="262" max="262" width="32" bestFit="1" customWidth="1"/>
    <col min="263" max="263" width="25.5703125" bestFit="1" customWidth="1"/>
    <col min="264" max="264" width="37.42578125" bestFit="1" customWidth="1"/>
    <col min="265" max="265" width="26.28515625" bestFit="1" customWidth="1"/>
    <col min="266" max="266" width="37.85546875" bestFit="1" customWidth="1"/>
    <col min="267" max="267" width="26.28515625" bestFit="1" customWidth="1"/>
    <col min="268" max="268" width="37.85546875" bestFit="1" customWidth="1"/>
    <col min="269" max="269" width="26.28515625" bestFit="1" customWidth="1"/>
    <col min="270" max="270" width="37.85546875" bestFit="1" customWidth="1"/>
    <col min="271" max="271" width="26.28515625" bestFit="1" customWidth="1"/>
    <col min="272" max="272" width="37.85546875" bestFit="1" customWidth="1"/>
    <col min="273" max="273" width="21.85546875" bestFit="1" customWidth="1"/>
    <col min="274" max="274" width="27.28515625" bestFit="1" customWidth="1"/>
    <col min="275" max="275" width="21.7109375" bestFit="1" customWidth="1"/>
    <col min="279" max="279" width="8" bestFit="1" customWidth="1"/>
    <col min="280" max="280" width="8.7109375" bestFit="1" customWidth="1"/>
    <col min="281" max="281" width="11" bestFit="1" customWidth="1"/>
    <col min="282" max="282" width="14.7109375" bestFit="1" customWidth="1"/>
    <col min="283" max="283" width="20.28515625" bestFit="1" customWidth="1"/>
    <col min="284" max="284" width="32" bestFit="1" customWidth="1"/>
    <col min="285" max="285" width="25.5703125" bestFit="1" customWidth="1"/>
    <col min="286" max="286" width="37.42578125" bestFit="1" customWidth="1"/>
    <col min="287" max="287" width="26.28515625" bestFit="1" customWidth="1"/>
    <col min="288" max="288" width="37.85546875" bestFit="1" customWidth="1"/>
    <col min="289" max="289" width="26.28515625" bestFit="1" customWidth="1"/>
    <col min="290" max="290" width="37.85546875" bestFit="1" customWidth="1"/>
    <col min="291" max="291" width="26.28515625" bestFit="1" customWidth="1"/>
    <col min="292" max="292" width="37.85546875" bestFit="1" customWidth="1"/>
    <col min="293" max="293" width="26.28515625" bestFit="1" customWidth="1"/>
    <col min="294" max="294" width="37.85546875" bestFit="1" customWidth="1"/>
    <col min="295" max="295" width="21.85546875" bestFit="1" customWidth="1"/>
    <col min="296" max="296" width="27.28515625" bestFit="1" customWidth="1"/>
    <col min="297" max="297" width="21.7109375" bestFit="1" customWidth="1"/>
    <col min="298" max="298" width="21.7109375" customWidth="1"/>
    <col min="299" max="299" width="8" bestFit="1" customWidth="1"/>
    <col min="300" max="300" width="8.7109375" bestFit="1" customWidth="1"/>
    <col min="301" max="301" width="27.7109375" bestFit="1" customWidth="1"/>
    <col min="302" max="302" width="31.28515625" bestFit="1" customWidth="1"/>
    <col min="303" max="303" width="33.7109375" bestFit="1" customWidth="1"/>
    <col min="304" max="304" width="27.7109375" bestFit="1" customWidth="1"/>
    <col min="305" max="305" width="32.85546875" bestFit="1" customWidth="1"/>
    <col min="306" max="306" width="19.85546875" bestFit="1" customWidth="1"/>
    <col min="307" max="307" width="27.5703125" customWidth="1"/>
    <col min="308" max="308" width="8" bestFit="1" customWidth="1"/>
    <col min="309" max="309" width="8.7109375" bestFit="1" customWidth="1"/>
    <col min="310" max="310" width="14.28515625" bestFit="1" customWidth="1"/>
    <col min="311" max="311" width="25" bestFit="1" customWidth="1"/>
    <col min="312" max="312" width="27" bestFit="1" customWidth="1"/>
    <col min="313" max="314" width="27.5703125" customWidth="1"/>
    <col min="315" max="315" width="12" bestFit="1" customWidth="1"/>
    <col min="316" max="316" width="12.85546875" bestFit="1" customWidth="1"/>
    <col min="317" max="317" width="21.7109375" bestFit="1" customWidth="1"/>
    <col min="318" max="318" width="28.42578125" bestFit="1" customWidth="1"/>
    <col min="319" max="319" width="11.7109375" bestFit="1" customWidth="1"/>
    <col min="320" max="320" width="18.140625" bestFit="1" customWidth="1"/>
    <col min="321" max="321" width="19.7109375" bestFit="1" customWidth="1"/>
    <col min="322" max="322" width="26.5703125" bestFit="1" customWidth="1"/>
    <col min="323" max="323" width="29" bestFit="1" customWidth="1"/>
    <col min="324" max="324" width="31.7109375" bestFit="1" customWidth="1"/>
    <col min="325" max="325" width="24.5703125" bestFit="1" customWidth="1"/>
    <col min="326" max="326" width="10.7109375" bestFit="1" customWidth="1"/>
    <col min="327" max="328" width="11.7109375" customWidth="1"/>
    <col min="329" max="329" width="8.28515625" bestFit="1" customWidth="1"/>
    <col min="330" max="330" width="8" bestFit="1" customWidth="1"/>
    <col min="331" max="331" width="8.7109375" bestFit="1" customWidth="1"/>
    <col min="332" max="332" width="25" bestFit="1" customWidth="1"/>
    <col min="333" max="333" width="8.5703125" bestFit="1" customWidth="1"/>
    <col min="336" max="336" width="8" bestFit="1" customWidth="1"/>
    <col min="337" max="337" width="8.7109375" bestFit="1" customWidth="1"/>
    <col min="338" max="338" width="28.42578125" bestFit="1" customWidth="1"/>
    <col min="339" max="339" width="8.5703125" bestFit="1" customWidth="1"/>
    <col min="340" max="340" width="33.85546875" bestFit="1" customWidth="1"/>
    <col min="341" max="341" width="40.7109375" bestFit="1" customWidth="1"/>
    <col min="342" max="342" width="48.42578125" bestFit="1" customWidth="1"/>
    <col min="343" max="345" width="48.5703125" bestFit="1" customWidth="1"/>
    <col min="346" max="346" width="33.7109375" bestFit="1" customWidth="1"/>
    <col min="347" max="347" width="37.28515625" bestFit="1" customWidth="1"/>
    <col min="351" max="351" width="8" bestFit="1" customWidth="1"/>
    <col min="352" max="352" width="8.7109375" bestFit="1" customWidth="1"/>
    <col min="353" max="353" width="50" bestFit="1" customWidth="1"/>
    <col min="354" max="354" width="14.28515625" bestFit="1" customWidth="1"/>
    <col min="355" max="355" width="14.7109375" bestFit="1" customWidth="1"/>
    <col min="356" max="356" width="32.7109375" bestFit="1" customWidth="1"/>
    <col min="357" max="357" width="26.28515625" bestFit="1" customWidth="1"/>
    <col min="358" max="358" width="21.28515625" bestFit="1" customWidth="1"/>
    <col min="362" max="362" width="8" bestFit="1" customWidth="1"/>
    <col min="363" max="363" width="8.7109375" bestFit="1" customWidth="1"/>
    <col min="364" max="364" width="29" bestFit="1" customWidth="1"/>
    <col min="365" max="365" width="30.7109375" bestFit="1" customWidth="1"/>
    <col min="366" max="366" width="33.42578125" bestFit="1" customWidth="1"/>
    <col min="367" max="367" width="37.28515625" bestFit="1" customWidth="1"/>
    <col min="368" max="368" width="18.140625" bestFit="1" customWidth="1"/>
    <col min="369" max="369" width="20.85546875" bestFit="1" customWidth="1"/>
    <col min="370" max="370" width="15.7109375" bestFit="1" customWidth="1"/>
    <col min="374" max="374" width="8" bestFit="1" customWidth="1"/>
    <col min="375" max="375" width="8.7109375" bestFit="1" customWidth="1"/>
    <col min="376" max="376" width="11.7109375" bestFit="1" customWidth="1"/>
    <col min="377" max="377" width="14.7109375" bestFit="1" customWidth="1"/>
    <col min="378" max="378" width="18.85546875" bestFit="1" customWidth="1"/>
    <col min="379" max="379" width="30.7109375" bestFit="1" customWidth="1"/>
    <col min="380" max="380" width="24.28515625" bestFit="1" customWidth="1"/>
    <col min="381" max="381" width="36.28515625" bestFit="1" customWidth="1"/>
    <col min="382" max="382" width="24.7109375" bestFit="1" customWidth="1"/>
    <col min="383" max="383" width="36.7109375" bestFit="1" customWidth="1"/>
    <col min="384" max="384" width="24.7109375" bestFit="1" customWidth="1"/>
    <col min="385" max="385" width="36.7109375" bestFit="1" customWidth="1"/>
    <col min="386" max="386" width="24.7109375" bestFit="1" customWidth="1"/>
    <col min="387" max="387" width="36.7109375" bestFit="1" customWidth="1"/>
    <col min="388" max="388" width="24.7109375" bestFit="1" customWidth="1"/>
    <col min="389" max="389" width="36.7109375" bestFit="1" customWidth="1"/>
    <col min="390" max="390" width="20.7109375" bestFit="1" customWidth="1"/>
    <col min="391" max="391" width="27.28515625" bestFit="1" customWidth="1"/>
    <col min="392" max="393" width="21.85546875" customWidth="1"/>
    <col min="394" max="394" width="8" bestFit="1" customWidth="1"/>
    <col min="395" max="395" width="8.7109375" bestFit="1" customWidth="1"/>
    <col min="396" max="396" width="11.7109375" bestFit="1" customWidth="1"/>
    <col min="397" max="397" width="19.28515625" bestFit="1" customWidth="1"/>
    <col min="398" max="398" width="6.28515625" bestFit="1" customWidth="1"/>
    <col min="399" max="399" width="9.42578125" bestFit="1" customWidth="1"/>
    <col min="400" max="400" width="8" bestFit="1" customWidth="1"/>
    <col min="401" max="401" width="8.5703125" bestFit="1" customWidth="1"/>
    <col min="402" max="402" width="13.7109375" bestFit="1" customWidth="1"/>
    <col min="403" max="403" width="12.28515625" bestFit="1" customWidth="1"/>
    <col min="404" max="404" width="14.85546875" bestFit="1" customWidth="1"/>
    <col min="405" max="405" width="8.7109375" bestFit="1" customWidth="1"/>
    <col min="406" max="407" width="8.7109375" customWidth="1"/>
    <col min="408" max="408" width="8" bestFit="1" customWidth="1"/>
    <col min="409" max="409" width="8.7109375" bestFit="1" customWidth="1"/>
    <col min="410" max="410" width="9.42578125" bestFit="1" customWidth="1"/>
    <col min="411" max="411" width="25.28515625" bestFit="1" customWidth="1"/>
    <col min="412" max="412" width="22.85546875" bestFit="1" customWidth="1"/>
    <col min="413" max="413" width="32.42578125" bestFit="1" customWidth="1"/>
    <col min="414" max="414" width="10.28515625" bestFit="1" customWidth="1"/>
    <col min="415" max="415" width="13.28515625" customWidth="1"/>
    <col min="417" max="417" width="8" bestFit="1" customWidth="1"/>
    <col min="418" max="418" width="8.7109375" bestFit="1" customWidth="1"/>
    <col min="419" max="419" width="13.28515625" bestFit="1" customWidth="1"/>
    <col min="420" max="420" width="33.28515625" bestFit="1" customWidth="1"/>
    <col min="421" max="421" width="26.7109375" bestFit="1" customWidth="1"/>
    <col min="425" max="425" width="8" bestFit="1" customWidth="1"/>
    <col min="426" max="426" width="8.7109375" bestFit="1" customWidth="1"/>
    <col min="427" max="427" width="14.7109375" bestFit="1" customWidth="1"/>
    <col min="428" max="428" width="28.7109375" bestFit="1" customWidth="1"/>
    <col min="429" max="429" width="18.28515625" bestFit="1" customWidth="1"/>
    <col min="430" max="431" width="28.7109375" bestFit="1" customWidth="1"/>
    <col min="432" max="432" width="23.28515625" bestFit="1" customWidth="1"/>
    <col min="434" max="434" width="12" bestFit="1" customWidth="1"/>
    <col min="435" max="435" width="12.85546875" bestFit="1" customWidth="1"/>
    <col min="436" max="436" width="31.42578125" bestFit="1" customWidth="1"/>
    <col min="437" max="437" width="31" bestFit="1" customWidth="1"/>
    <col min="438" max="438" width="28" bestFit="1" customWidth="1"/>
    <col min="439" max="439" width="26.7109375" bestFit="1" customWidth="1"/>
    <col min="440" max="440" width="10.7109375" bestFit="1" customWidth="1"/>
    <col min="441" max="441" width="8" bestFit="1" customWidth="1"/>
    <col min="443" max="443" width="8" bestFit="1" customWidth="1"/>
    <col min="444" max="444" width="8.7109375" bestFit="1" customWidth="1"/>
    <col min="445" max="445" width="23.28515625" bestFit="1" customWidth="1"/>
    <col min="446" max="446" width="13" bestFit="1" customWidth="1"/>
    <col min="447" max="447" width="23.140625" bestFit="1" customWidth="1"/>
    <col min="448" max="448" width="18.7109375" bestFit="1" customWidth="1"/>
    <col min="449" max="449" width="13" bestFit="1" customWidth="1"/>
    <col min="450" max="450" width="14.42578125" bestFit="1" customWidth="1"/>
    <col min="453" max="453" width="8" bestFit="1" customWidth="1"/>
    <col min="454" max="454" width="8.7109375" bestFit="1" customWidth="1"/>
    <col min="455" max="455" width="23.28515625" bestFit="1" customWidth="1"/>
    <col min="456" max="456" width="32.42578125" bestFit="1" customWidth="1"/>
    <col min="457" max="457" width="16.28515625" bestFit="1" customWidth="1"/>
    <col min="458" max="458" width="37.140625" bestFit="1" customWidth="1"/>
    <col min="459" max="459" width="30.7109375" bestFit="1" customWidth="1"/>
    <col min="460" max="460" width="37.28515625" bestFit="1" customWidth="1"/>
    <col min="461" max="461" width="27.28515625" bestFit="1" customWidth="1"/>
    <col min="462" max="462" width="54" bestFit="1" customWidth="1"/>
    <col min="463" max="463" width="37.85546875" bestFit="1" customWidth="1"/>
    <col min="464" max="464" width="32.42578125" bestFit="1" customWidth="1"/>
    <col min="465" max="465" width="26.7109375" bestFit="1" customWidth="1"/>
    <col min="466" max="466" width="22.28515625" bestFit="1" customWidth="1"/>
    <col min="469" max="469" width="8" bestFit="1" customWidth="1"/>
    <col min="470" max="470" width="8.7109375" bestFit="1" customWidth="1"/>
    <col min="471" max="471" width="23.28515625" bestFit="1" customWidth="1"/>
    <col min="472" max="472" width="32.42578125" bestFit="1" customWidth="1"/>
    <col min="473" max="473" width="42.85546875" bestFit="1" customWidth="1"/>
    <col min="474" max="475" width="32.42578125" bestFit="1" customWidth="1"/>
    <col min="479" max="479" width="8" bestFit="1" customWidth="1"/>
    <col min="480" max="480" width="8.7109375" bestFit="1" customWidth="1"/>
    <col min="481" max="481" width="23.28515625" bestFit="1" customWidth="1"/>
    <col min="482" max="482" width="16.42578125" bestFit="1" customWidth="1"/>
    <col min="483" max="483" width="29.5703125" bestFit="1" customWidth="1"/>
    <col min="484" max="484" width="36.85546875" bestFit="1" customWidth="1"/>
    <col min="488" max="488" width="8" bestFit="1" customWidth="1"/>
    <col min="489" max="489" width="8.7109375" bestFit="1" customWidth="1"/>
    <col min="490" max="490" width="23.28515625" bestFit="1" customWidth="1"/>
    <col min="491" max="491" width="13" bestFit="1" customWidth="1"/>
    <col min="492" max="492" width="36.42578125" bestFit="1" customWidth="1"/>
    <col min="496" max="496" width="8" bestFit="1" customWidth="1"/>
    <col min="497" max="497" width="8.7109375" bestFit="1" customWidth="1"/>
    <col min="498" max="498" width="6.7109375" bestFit="1" customWidth="1"/>
    <col min="499" max="499" width="12.28515625" bestFit="1" customWidth="1"/>
    <col min="500" max="500" width="24" bestFit="1" customWidth="1"/>
    <col min="501" max="501" width="12.85546875" bestFit="1" customWidth="1"/>
    <col min="502" max="502" width="24.5703125" bestFit="1" customWidth="1"/>
    <col min="503" max="503" width="10.42578125" bestFit="1" customWidth="1"/>
    <col min="504" max="504" width="22.140625" bestFit="1" customWidth="1"/>
    <col min="505" max="505" width="17.42578125" bestFit="1" customWidth="1"/>
    <col min="506" max="506" width="29.42578125" bestFit="1" customWidth="1"/>
    <col min="507" max="507" width="8.5703125" bestFit="1" customWidth="1"/>
    <col min="508" max="508" width="20.28515625" bestFit="1" customWidth="1"/>
    <col min="512" max="512" width="8" bestFit="1" customWidth="1"/>
    <col min="513" max="513" width="8.7109375" bestFit="1" customWidth="1"/>
    <col min="514" max="514" width="6.7109375" bestFit="1" customWidth="1"/>
    <col min="515" max="515" width="17.7109375" bestFit="1" customWidth="1"/>
    <col min="516" max="516" width="25" bestFit="1" customWidth="1"/>
    <col min="517" max="517" width="31" bestFit="1" customWidth="1"/>
    <col min="518" max="518" width="32" bestFit="1" customWidth="1"/>
    <col min="519" max="519" width="32.7109375" bestFit="1" customWidth="1"/>
    <col min="520" max="520" width="25" bestFit="1" customWidth="1"/>
    <col min="521" max="521" width="31.42578125" bestFit="1" customWidth="1"/>
    <col min="522" max="522" width="14" customWidth="1"/>
    <col min="523" max="523" width="16.28515625" customWidth="1"/>
    <col min="525" max="525" width="8" bestFit="1" customWidth="1"/>
    <col min="526" max="526" width="8.7109375" bestFit="1" customWidth="1"/>
    <col min="527" max="527" width="6.7109375" bestFit="1" customWidth="1"/>
    <col min="528" max="528" width="11" bestFit="1" customWidth="1"/>
    <col min="529" max="529" width="12.42578125" bestFit="1" customWidth="1"/>
    <col min="530" max="530" width="14.7109375" bestFit="1" customWidth="1"/>
    <col min="531" max="531" width="20.28515625" bestFit="1" customWidth="1"/>
    <col min="532" max="532" width="32" bestFit="1" customWidth="1"/>
    <col min="533" max="533" width="25.5703125" bestFit="1" customWidth="1"/>
    <col min="534" max="534" width="37.42578125" bestFit="1" customWidth="1"/>
    <col min="535" max="535" width="26.28515625" bestFit="1" customWidth="1"/>
    <col min="536" max="536" width="37.85546875" bestFit="1" customWidth="1"/>
    <col min="537" max="537" width="26.28515625" bestFit="1" customWidth="1"/>
    <col min="538" max="538" width="37.85546875" bestFit="1" customWidth="1"/>
    <col min="539" max="539" width="26.28515625" bestFit="1" customWidth="1"/>
    <col min="540" max="540" width="37.85546875" bestFit="1" customWidth="1"/>
    <col min="541" max="541" width="26.28515625" bestFit="1" customWidth="1"/>
    <col min="542" max="542" width="37.85546875" bestFit="1" customWidth="1"/>
    <col min="543" max="543" width="21.85546875" bestFit="1" customWidth="1"/>
    <col min="544" max="544" width="27.28515625" bestFit="1" customWidth="1"/>
    <col min="547" max="547" width="8" bestFit="1" customWidth="1"/>
    <col min="548" max="548" width="8.7109375" bestFit="1" customWidth="1"/>
    <col min="549" max="549" width="6.7109375" bestFit="1" customWidth="1"/>
    <col min="550" max="550" width="11" bestFit="1" customWidth="1"/>
    <col min="551" max="551" width="14.7109375" bestFit="1" customWidth="1"/>
    <col min="552" max="552" width="20.28515625" bestFit="1" customWidth="1"/>
    <col min="553" max="553" width="32" bestFit="1" customWidth="1"/>
    <col min="554" max="554" width="25.5703125" bestFit="1" customWidth="1"/>
    <col min="555" max="555" width="37.42578125" bestFit="1" customWidth="1"/>
    <col min="556" max="556" width="26.28515625" bestFit="1" customWidth="1"/>
    <col min="557" max="557" width="37.85546875" bestFit="1" customWidth="1"/>
    <col min="558" max="558" width="26.28515625" bestFit="1" customWidth="1"/>
    <col min="559" max="559" width="37.85546875" bestFit="1" customWidth="1"/>
    <col min="560" max="560" width="26.28515625" bestFit="1" customWidth="1"/>
    <col min="561" max="561" width="37.85546875" bestFit="1" customWidth="1"/>
    <col min="562" max="562" width="26.28515625" bestFit="1" customWidth="1"/>
    <col min="563" max="563" width="37.85546875" bestFit="1" customWidth="1"/>
    <col min="564" max="564" width="21.85546875" bestFit="1" customWidth="1"/>
    <col min="565" max="565" width="27.28515625" bestFit="1" customWidth="1"/>
    <col min="566" max="566" width="17.42578125" customWidth="1"/>
    <col min="567" max="567" width="15.7109375" customWidth="1"/>
    <col min="569" max="569" width="8" bestFit="1" customWidth="1"/>
    <col min="570" max="570" width="8.7109375" bestFit="1" customWidth="1"/>
    <col min="571" max="571" width="6.7109375" bestFit="1" customWidth="1"/>
    <col min="572" max="572" width="27.7109375" bestFit="1" customWidth="1"/>
    <col min="573" max="573" width="31.28515625" bestFit="1" customWidth="1"/>
    <col min="574" max="574" width="33.7109375" bestFit="1" customWidth="1"/>
    <col min="575" max="575" width="27.7109375" bestFit="1" customWidth="1"/>
    <col min="579" max="579" width="8" bestFit="1" customWidth="1"/>
    <col min="580" max="580" width="8.7109375" bestFit="1" customWidth="1"/>
    <col min="581" max="581" width="17.42578125" bestFit="1" customWidth="1"/>
    <col min="582" max="582" width="16.7109375" bestFit="1" customWidth="1"/>
    <col min="583" max="583" width="15.7109375" bestFit="1" customWidth="1"/>
    <col min="584" max="584" width="14.85546875" bestFit="1" customWidth="1"/>
    <col min="585" max="585" width="10.7109375" bestFit="1" customWidth="1"/>
    <col min="586" max="586" width="14" bestFit="1" customWidth="1"/>
    <col min="590" max="590" width="8" bestFit="1" customWidth="1"/>
    <col min="591" max="591" width="8.7109375" bestFit="1" customWidth="1"/>
    <col min="592" max="592" width="6.7109375" bestFit="1" customWidth="1"/>
    <col min="593" max="593" width="17.42578125" bestFit="1" customWidth="1"/>
    <col min="594" max="594" width="16.7109375" bestFit="1" customWidth="1"/>
    <col min="595" max="595" width="15.7109375" bestFit="1" customWidth="1"/>
    <col min="596" max="596" width="14.85546875" bestFit="1" customWidth="1"/>
    <col min="597" max="597" width="10.7109375" bestFit="1" customWidth="1"/>
    <col min="598" max="598" width="14" bestFit="1" customWidth="1"/>
    <col min="602" max="602" width="8" bestFit="1" customWidth="1"/>
    <col min="603" max="603" width="8.7109375" bestFit="1" customWidth="1"/>
    <col min="604" max="604" width="25" bestFit="1" customWidth="1"/>
    <col min="605" max="605" width="20.5703125" bestFit="1" customWidth="1"/>
    <col min="606" max="606" width="18.140625" bestFit="1" customWidth="1"/>
    <col min="607" max="607" width="15.85546875" bestFit="1" customWidth="1"/>
    <col min="608" max="608" width="18.85546875" bestFit="1" customWidth="1"/>
    <col min="611" max="611" width="8" bestFit="1" customWidth="1"/>
    <col min="612" max="612" width="8.7109375" bestFit="1" customWidth="1"/>
    <col min="613" max="613" width="33.42578125" bestFit="1" customWidth="1"/>
    <col min="614" max="614" width="38.85546875" bestFit="1" customWidth="1"/>
    <col min="615" max="621" width="39.28515625" bestFit="1" customWidth="1"/>
    <col min="622" max="622" width="40.28515625" bestFit="1" customWidth="1"/>
    <col min="623" max="624" width="36.140625" bestFit="1" customWidth="1"/>
    <col min="628" max="628" width="8.28515625" bestFit="1" customWidth="1"/>
    <col min="629" max="629" width="9" bestFit="1" customWidth="1"/>
    <col min="630" max="630" width="24.140625" bestFit="1" customWidth="1"/>
    <col min="631" max="631" width="17.42578125" bestFit="1" customWidth="1"/>
    <col min="632" max="632" width="14.7109375" bestFit="1" customWidth="1"/>
    <col min="633" max="633" width="17.42578125" bestFit="1" customWidth="1"/>
    <col min="634" max="634" width="16.140625" bestFit="1" customWidth="1"/>
    <col min="635" max="635" width="14.28515625" customWidth="1"/>
    <col min="636" max="636" width="8.28515625" bestFit="1" customWidth="1"/>
    <col min="637" max="637" width="9" bestFit="1" customWidth="1"/>
    <col min="638" max="638" width="35.140625" bestFit="1" customWidth="1"/>
    <col min="639" max="639" width="30.7109375" bestFit="1" customWidth="1"/>
    <col min="640" max="640" width="39.7109375" bestFit="1" customWidth="1"/>
    <col min="641" max="641" width="31" bestFit="1" customWidth="1"/>
    <col min="642" max="642" width="37.28515625" bestFit="1" customWidth="1"/>
    <col min="643" max="643" width="10" bestFit="1" customWidth="1"/>
    <col min="644" max="644" width="8.7109375" bestFit="1" customWidth="1"/>
    <col min="645" max="645" width="43.140625" bestFit="1" customWidth="1"/>
    <col min="646" max="646" width="24.28515625" bestFit="1" customWidth="1"/>
    <col min="647" max="647" width="25" bestFit="1" customWidth="1"/>
    <col min="648" max="648" width="28.42578125" customWidth="1"/>
    <col min="649" max="649" width="8.28515625" bestFit="1" customWidth="1"/>
    <col min="650" max="650" width="9" bestFit="1" customWidth="1"/>
    <col min="651" max="651" width="30.42578125" bestFit="1" customWidth="1"/>
    <col min="652" max="652" width="28.7109375" bestFit="1" customWidth="1"/>
    <col min="653" max="653" width="50.7109375" bestFit="1" customWidth="1"/>
    <col min="654" max="654" width="55.42578125" bestFit="1" customWidth="1"/>
    <col min="655" max="655" width="62.7109375" customWidth="1"/>
    <col min="656" max="656" width="8.28515625" bestFit="1" customWidth="1"/>
    <col min="657" max="657" width="9" bestFit="1" customWidth="1"/>
    <col min="658" max="658" width="24" bestFit="1" customWidth="1"/>
    <col min="659" max="659" width="9.7109375" bestFit="1" customWidth="1"/>
    <col min="660" max="660" width="10.28515625" bestFit="1" customWidth="1"/>
    <col min="661" max="662" width="9.5703125" customWidth="1"/>
    <col min="663" max="663" width="12" bestFit="1" customWidth="1"/>
    <col min="664" max="664" width="12.85546875" bestFit="1" customWidth="1"/>
    <col min="665" max="665" width="9.42578125" bestFit="1" customWidth="1"/>
    <col min="666" max="666" width="10" bestFit="1" customWidth="1"/>
    <col min="667" max="671" width="10.42578125" bestFit="1" customWidth="1"/>
    <col min="672" max="672" width="10" bestFit="1" customWidth="1"/>
    <col min="673" max="673" width="10.7109375" customWidth="1"/>
    <col min="674" max="675" width="8.28515625" bestFit="1" customWidth="1"/>
    <col min="676" max="676" width="9" bestFit="1" customWidth="1"/>
    <col min="677" max="677" width="24.140625" bestFit="1" customWidth="1"/>
    <col min="678" max="678" width="17.42578125" bestFit="1" customWidth="1"/>
    <col min="679" max="679" width="14.7109375" bestFit="1" customWidth="1"/>
    <col min="680" max="680" width="17.42578125" bestFit="1" customWidth="1"/>
    <col min="681" max="681" width="16.140625" bestFit="1" customWidth="1"/>
    <col min="682" max="682" width="30.28515625" bestFit="1" customWidth="1"/>
    <col min="683" max="683" width="22.85546875" bestFit="1" customWidth="1"/>
    <col min="685" max="685" width="8" bestFit="1" customWidth="1"/>
    <col min="686" max="686" width="8.7109375" bestFit="1" customWidth="1"/>
    <col min="687" max="687" width="17.42578125" bestFit="1" customWidth="1"/>
    <col min="688" max="688" width="26.28515625" bestFit="1" customWidth="1"/>
    <col min="689" max="689" width="24.140625" bestFit="1" customWidth="1"/>
    <col min="690" max="690" width="29.28515625" bestFit="1" customWidth="1"/>
    <col min="691" max="691" width="37.85546875" bestFit="1" customWidth="1"/>
    <col min="692" max="692" width="35.85546875" bestFit="1" customWidth="1"/>
    <col min="693" max="693" width="21.140625" bestFit="1" customWidth="1"/>
    <col min="694" max="694" width="29.7109375" bestFit="1" customWidth="1"/>
    <col min="695" max="695" width="27.7109375" bestFit="1" customWidth="1"/>
    <col min="696" max="696" width="32.85546875" bestFit="1" customWidth="1"/>
    <col min="697" max="697" width="41.5703125" bestFit="1" customWidth="1"/>
    <col min="698" max="698" width="39.5703125" bestFit="1" customWidth="1"/>
    <col min="699" max="699" width="9" bestFit="1" customWidth="1"/>
    <col min="700" max="700" width="17.42578125" bestFit="1" customWidth="1"/>
    <col min="701" max="701" width="15.42578125" bestFit="1" customWidth="1"/>
    <col min="702" max="702" width="20.5703125" bestFit="1" customWidth="1"/>
    <col min="703" max="703" width="29.28515625" bestFit="1" customWidth="1"/>
    <col min="704" max="704" width="27.28515625" bestFit="1" customWidth="1"/>
    <col min="705" max="705" width="9.5703125" bestFit="1" customWidth="1"/>
    <col min="706" max="706" width="18.140625" bestFit="1" customWidth="1"/>
    <col min="707" max="707" width="16.140625" bestFit="1" customWidth="1"/>
    <col min="708" max="708" width="21.140625" bestFit="1" customWidth="1"/>
    <col min="709" max="709" width="29.7109375" bestFit="1" customWidth="1"/>
    <col min="710" max="710" width="27.7109375" bestFit="1" customWidth="1"/>
    <col min="711" max="711" width="16.85546875" bestFit="1" customWidth="1"/>
    <col min="712" max="712" width="25.5703125" bestFit="1" customWidth="1"/>
    <col min="713" max="713" width="23.5703125" bestFit="1" customWidth="1"/>
    <col min="714" max="714" width="28.5703125" bestFit="1" customWidth="1"/>
    <col min="715" max="715" width="37.28515625" bestFit="1" customWidth="1"/>
    <col min="716" max="716" width="35.28515625" bestFit="1" customWidth="1"/>
    <col min="719" max="719" width="8" bestFit="1" customWidth="1"/>
    <col min="720" max="720" width="8.7109375" bestFit="1" customWidth="1"/>
    <col min="721" max="721" width="16.7109375" bestFit="1" customWidth="1"/>
    <col min="722" max="722" width="30.42578125" bestFit="1" customWidth="1"/>
    <col min="723" max="723" width="27" bestFit="1" customWidth="1"/>
    <col min="724" max="724" width="29.7109375" bestFit="1" customWidth="1"/>
    <col min="725" max="725" width="15.7109375" bestFit="1" customWidth="1"/>
    <col min="726" max="726" width="14.7109375" bestFit="1" customWidth="1"/>
    <col min="728" max="728" width="8" bestFit="1" customWidth="1"/>
    <col min="729" max="729" width="8.7109375" bestFit="1" customWidth="1"/>
    <col min="730" max="730" width="11" bestFit="1" customWidth="1"/>
    <col min="731" max="731" width="25.140625" bestFit="1" customWidth="1"/>
    <col min="732" max="732" width="32" bestFit="1" customWidth="1"/>
    <col min="733" max="733" width="26.28515625" bestFit="1" customWidth="1"/>
    <col min="734" max="735" width="32" bestFit="1" customWidth="1"/>
    <col min="736" max="736" width="24.5703125" bestFit="1" customWidth="1"/>
    <col min="737" max="737" width="25.140625" bestFit="1" customWidth="1"/>
    <col min="738" max="738" width="34.42578125" bestFit="1" customWidth="1"/>
    <col min="739" max="739" width="10.28515625" bestFit="1" customWidth="1"/>
    <col min="740" max="740" width="14.7109375" bestFit="1" customWidth="1"/>
    <col min="741" max="741" width="11.7109375" bestFit="1" customWidth="1"/>
    <col min="742" max="742" width="25.7109375" bestFit="1" customWidth="1"/>
    <col min="743" max="743" width="33.42578125" bestFit="1" customWidth="1"/>
    <col min="744" max="744" width="27.28515625" bestFit="1" customWidth="1"/>
    <col min="745" max="745" width="33.42578125" bestFit="1" customWidth="1"/>
    <col min="746" max="746" width="33.28515625" bestFit="1" customWidth="1"/>
    <col min="747" max="747" width="25.42578125" bestFit="1" customWidth="1"/>
    <col min="748" max="748" width="25.7109375" bestFit="1" customWidth="1"/>
    <col min="749" max="749" width="35.7109375" bestFit="1" customWidth="1"/>
    <col min="750" max="750" width="11" bestFit="1" customWidth="1"/>
    <col min="751" max="751" width="14.7109375" bestFit="1" customWidth="1"/>
  </cols>
  <sheetData>
    <row r="2" spans="1:741" s="4" customFormat="1" ht="15.75" x14ac:dyDescent="0.25">
      <c r="A2" s="796" t="s">
        <v>1301</v>
      </c>
      <c r="B2" s="796"/>
      <c r="AF2" s="796" t="s">
        <v>3242</v>
      </c>
      <c r="AG2" s="796"/>
      <c r="AO2" s="796" t="s">
        <v>1302</v>
      </c>
      <c r="AP2" s="796"/>
      <c r="AV2" s="796" t="s">
        <v>1303</v>
      </c>
      <c r="AW2" s="796"/>
      <c r="BL2" s="796" t="s">
        <v>1304</v>
      </c>
      <c r="BM2" s="796"/>
      <c r="BV2" s="796" t="s">
        <v>1305</v>
      </c>
      <c r="BW2" s="796"/>
      <c r="CC2" s="796" t="s">
        <v>1306</v>
      </c>
      <c r="CD2" s="796"/>
      <c r="CH2" s="796" t="s">
        <v>1307</v>
      </c>
      <c r="CI2" s="796"/>
      <c r="CP2" s="796" t="s">
        <v>1308</v>
      </c>
      <c r="CQ2" s="796"/>
      <c r="DF2" s="796" t="s">
        <v>1309</v>
      </c>
      <c r="DG2" s="796"/>
      <c r="DH2" s="796"/>
      <c r="DQ2" s="796" t="s">
        <v>1310</v>
      </c>
      <c r="DR2" s="796"/>
      <c r="EM2" s="796" t="s">
        <v>1311</v>
      </c>
      <c r="EN2" s="796"/>
      <c r="EO2" s="796"/>
      <c r="FX2" s="796" t="s">
        <v>1312</v>
      </c>
      <c r="FY2" s="796"/>
      <c r="FZ2" s="796"/>
      <c r="GE2" s="796" t="s">
        <v>3199</v>
      </c>
      <c r="GF2" s="796"/>
      <c r="GG2" s="796"/>
      <c r="GK2" s="796" t="s">
        <v>1313</v>
      </c>
      <c r="GL2" s="796"/>
      <c r="GM2" s="796"/>
      <c r="GV2" s="796" t="s">
        <v>1314</v>
      </c>
      <c r="GW2" s="796"/>
      <c r="GX2" s="796"/>
      <c r="HE2" s="796" t="s">
        <v>1315</v>
      </c>
      <c r="HF2" s="796"/>
      <c r="HG2" s="796"/>
      <c r="HU2" s="796" t="s">
        <v>1316</v>
      </c>
      <c r="HV2" s="796"/>
      <c r="HW2" s="796"/>
      <c r="IH2" s="796" t="s">
        <v>1317</v>
      </c>
      <c r="II2" s="796"/>
      <c r="IJ2" s="796"/>
      <c r="IW2" s="796" t="s">
        <v>1318</v>
      </c>
      <c r="IX2" s="796"/>
      <c r="IY2" s="796"/>
      <c r="JS2" s="796" t="s">
        <v>1319</v>
      </c>
      <c r="JT2" s="796"/>
      <c r="JU2" s="796"/>
      <c r="KM2" s="796" t="s">
        <v>1320</v>
      </c>
      <c r="KN2" s="796"/>
      <c r="KO2" s="796"/>
      <c r="KV2" s="796" t="s">
        <v>1321</v>
      </c>
      <c r="KW2" s="796"/>
      <c r="KX2" s="796"/>
      <c r="LC2" s="796" t="s">
        <v>1322</v>
      </c>
      <c r="LD2" s="796"/>
      <c r="LE2" s="796"/>
      <c r="LR2" s="796" t="s">
        <v>1323</v>
      </c>
      <c r="LS2" s="796"/>
      <c r="LT2" s="796"/>
      <c r="LX2" s="796" t="s">
        <v>1324</v>
      </c>
      <c r="LY2" s="796"/>
      <c r="LZ2" s="796"/>
      <c r="MM2" s="796" t="s">
        <v>1325</v>
      </c>
      <c r="MN2" s="796"/>
      <c r="MO2" s="796"/>
      <c r="MX2" s="796" t="s">
        <v>1326</v>
      </c>
      <c r="MY2" s="796"/>
      <c r="MZ2" s="796"/>
      <c r="NJ2" s="796" t="s">
        <v>1327</v>
      </c>
      <c r="NK2" s="796"/>
      <c r="NL2" s="796"/>
      <c r="PA2" s="796" t="s">
        <v>1328</v>
      </c>
      <c r="PB2" s="796"/>
      <c r="PC2" s="796"/>
      <c r="PI2" s="796" t="s">
        <v>1329</v>
      </c>
      <c r="PJ2" s="796"/>
      <c r="PK2" s="796"/>
      <c r="PR2" s="796" t="s">
        <v>1330</v>
      </c>
      <c r="PS2" s="796"/>
      <c r="PT2" s="796"/>
      <c r="QA2" s="796" t="s">
        <v>1331</v>
      </c>
      <c r="QB2" s="796"/>
      <c r="QK2" s="796" t="s">
        <v>1332</v>
      </c>
      <c r="QL2" s="796"/>
      <c r="RA2" s="796" t="s">
        <v>1333</v>
      </c>
      <c r="RB2" s="796"/>
      <c r="RK2" s="796" t="s">
        <v>1334</v>
      </c>
      <c r="RL2" s="796"/>
      <c r="RM2" s="796"/>
      <c r="RT2" s="796" t="s">
        <v>1335</v>
      </c>
      <c r="RU2" s="796"/>
      <c r="SB2" s="796" t="s">
        <v>1336</v>
      </c>
      <c r="SC2" s="796"/>
      <c r="SD2" s="796"/>
      <c r="SR2" s="796" t="s">
        <v>1337</v>
      </c>
      <c r="SS2" s="796"/>
      <c r="ST2" s="796"/>
      <c r="TE2" s="796" t="s">
        <v>1338</v>
      </c>
      <c r="TF2" s="796"/>
      <c r="UA2" s="796" t="s">
        <v>1339</v>
      </c>
      <c r="UB2" s="796"/>
      <c r="UC2" s="796"/>
      <c r="UW2" s="796" t="s">
        <v>1340</v>
      </c>
      <c r="UX2" s="796"/>
      <c r="UY2" s="796"/>
      <c r="VG2" s="796" t="s">
        <v>1341</v>
      </c>
      <c r="VH2" s="796"/>
      <c r="VI2" s="796"/>
      <c r="VR2" s="796" t="s">
        <v>1342</v>
      </c>
      <c r="VS2" s="796"/>
      <c r="VT2" s="796"/>
      <c r="WD2" s="796" t="s">
        <v>1343</v>
      </c>
      <c r="WE2" s="796"/>
      <c r="WF2" s="796"/>
      <c r="WM2" s="796" t="s">
        <v>1344</v>
      </c>
      <c r="WN2" s="796"/>
      <c r="WO2" s="796"/>
      <c r="XD2" s="796" t="s">
        <v>1345</v>
      </c>
      <c r="XE2" s="796"/>
      <c r="XF2" s="796"/>
      <c r="XL2" s="796" t="s">
        <v>3245</v>
      </c>
      <c r="XM2" s="796"/>
      <c r="XN2" s="796"/>
      <c r="XS2" s="796" t="s">
        <v>1346</v>
      </c>
      <c r="XT2" s="796"/>
      <c r="XU2" s="796"/>
      <c r="XZ2" s="796" t="s">
        <v>3254</v>
      </c>
      <c r="YA2" s="796"/>
      <c r="YB2" s="796"/>
      <c r="YC2" s="713"/>
      <c r="YF2" s="796" t="s">
        <v>1347</v>
      </c>
      <c r="YG2" s="796"/>
      <c r="YH2" s="796"/>
      <c r="YM2" s="796" t="s">
        <v>1348</v>
      </c>
      <c r="YN2" s="796"/>
      <c r="YO2" s="796"/>
      <c r="YY2" s="796" t="s">
        <v>1349</v>
      </c>
      <c r="YZ2" s="796"/>
      <c r="ZA2" s="796"/>
      <c r="ZI2" s="796" t="s">
        <v>1350</v>
      </c>
      <c r="ZJ2" s="796"/>
      <c r="ZK2" s="796"/>
      <c r="AAQ2" s="796" t="s">
        <v>1351</v>
      </c>
      <c r="AAR2" s="796"/>
      <c r="AAS2" s="796"/>
      <c r="AAZ2" s="796" t="s">
        <v>1352</v>
      </c>
      <c r="ABA2" s="796"/>
      <c r="ABB2" s="796"/>
      <c r="ABC2"/>
      <c r="ABD2"/>
      <c r="ABE2"/>
      <c r="ABF2"/>
      <c r="ABG2"/>
      <c r="ABH2"/>
      <c r="ABI2"/>
      <c r="ABJ2"/>
      <c r="ABK2"/>
      <c r="ABL2"/>
      <c r="ABM2"/>
    </row>
    <row r="3" spans="1:741" ht="15.75" x14ac:dyDescent="0.25">
      <c r="FR3" s="796" t="s">
        <v>1353</v>
      </c>
      <c r="FS3" s="796"/>
      <c r="FT3" s="713"/>
      <c r="FU3" s="713"/>
      <c r="OD3" s="796" t="s">
        <v>1354</v>
      </c>
      <c r="OE3" s="796"/>
      <c r="OF3" s="796"/>
      <c r="OR3" s="796" t="s">
        <v>1355</v>
      </c>
      <c r="OS3" s="796"/>
      <c r="OT3" s="796"/>
      <c r="OU3" s="694"/>
      <c r="ZK3" s="46"/>
    </row>
    <row r="4" spans="1:741" x14ac:dyDescent="0.25">
      <c r="A4" t="s">
        <v>1356</v>
      </c>
      <c r="B4" t="s">
        <v>1357</v>
      </c>
      <c r="C4" t="s">
        <v>1358</v>
      </c>
      <c r="D4" t="s">
        <v>1359</v>
      </c>
      <c r="E4" t="s">
        <v>3204</v>
      </c>
      <c r="F4" t="s">
        <v>3205</v>
      </c>
      <c r="G4" t="s">
        <v>3206</v>
      </c>
      <c r="H4" t="s">
        <v>3207</v>
      </c>
      <c r="I4" t="s">
        <v>3208</v>
      </c>
      <c r="J4" t="s">
        <v>3209</v>
      </c>
      <c r="K4" t="s">
        <v>3210</v>
      </c>
      <c r="L4" t="s">
        <v>3211</v>
      </c>
      <c r="M4" t="s">
        <v>3212</v>
      </c>
      <c r="N4" t="s">
        <v>3213</v>
      </c>
      <c r="O4" t="s">
        <v>3214</v>
      </c>
      <c r="P4" t="s">
        <v>3215</v>
      </c>
      <c r="Q4" t="s">
        <v>3216</v>
      </c>
      <c r="R4" t="s">
        <v>3217</v>
      </c>
      <c r="S4" t="s">
        <v>3218</v>
      </c>
      <c r="T4" t="s">
        <v>3219</v>
      </c>
      <c r="U4" t="s">
        <v>3220</v>
      </c>
      <c r="V4" t="s">
        <v>3221</v>
      </c>
      <c r="W4" t="s">
        <v>3222</v>
      </c>
      <c r="X4" t="s">
        <v>3223</v>
      </c>
      <c r="Y4" t="s">
        <v>3224</v>
      </c>
      <c r="Z4" t="s">
        <v>3225</v>
      </c>
      <c r="AA4" t="s">
        <v>3226</v>
      </c>
      <c r="AB4" t="s">
        <v>3227</v>
      </c>
      <c r="AF4" t="s">
        <v>1356</v>
      </c>
      <c r="AG4" t="s">
        <v>1357</v>
      </c>
      <c r="AH4" t="s">
        <v>1360</v>
      </c>
      <c r="AI4" t="s">
        <v>1361</v>
      </c>
      <c r="AJ4" t="s">
        <v>1362</v>
      </c>
      <c r="AK4" t="s">
        <v>1363</v>
      </c>
      <c r="AL4" t="s">
        <v>1364</v>
      </c>
      <c r="AO4" t="s">
        <v>1357</v>
      </c>
      <c r="AP4" t="s">
        <v>1365</v>
      </c>
      <c r="AQ4" t="s">
        <v>1366</v>
      </c>
      <c r="AR4" t="s">
        <v>3255</v>
      </c>
      <c r="AS4" t="s">
        <v>3256</v>
      </c>
      <c r="AV4" t="s">
        <v>1356</v>
      </c>
      <c r="AW4" t="s">
        <v>1357</v>
      </c>
      <c r="AX4" t="s">
        <v>1367</v>
      </c>
      <c r="AY4" t="s">
        <v>1368</v>
      </c>
      <c r="AZ4" t="s">
        <v>1369</v>
      </c>
      <c r="BA4" t="s">
        <v>1370</v>
      </c>
      <c r="BB4" t="s">
        <v>1371</v>
      </c>
      <c r="BC4" t="s">
        <v>1372</v>
      </c>
      <c r="BD4" t="s">
        <v>1373</v>
      </c>
      <c r="BE4" t="s">
        <v>1374</v>
      </c>
      <c r="BF4" t="s">
        <v>1375</v>
      </c>
      <c r="BG4" t="s">
        <v>1376</v>
      </c>
      <c r="BL4" t="s">
        <v>1356</v>
      </c>
      <c r="BM4" t="s">
        <v>1357</v>
      </c>
      <c r="BN4" t="s">
        <v>1367</v>
      </c>
      <c r="BO4" t="s">
        <v>1377</v>
      </c>
      <c r="BP4" t="s">
        <v>1378</v>
      </c>
      <c r="BQ4" t="s">
        <v>1375</v>
      </c>
      <c r="BR4" t="s">
        <v>1379</v>
      </c>
      <c r="BV4" t="s">
        <v>1356</v>
      </c>
      <c r="BW4" t="s">
        <v>1357</v>
      </c>
      <c r="BX4" t="s">
        <v>1380</v>
      </c>
      <c r="BY4" t="s">
        <v>1381</v>
      </c>
      <c r="BZ4" t="s">
        <v>1382</v>
      </c>
      <c r="CC4" t="s">
        <v>1357</v>
      </c>
      <c r="CD4" t="s">
        <v>1383</v>
      </c>
      <c r="CE4" t="s">
        <v>1384</v>
      </c>
      <c r="CH4" t="s">
        <v>1356</v>
      </c>
      <c r="CI4" t="s">
        <v>1357</v>
      </c>
      <c r="CJ4" t="s">
        <v>1360</v>
      </c>
      <c r="CK4" t="s">
        <v>1385</v>
      </c>
      <c r="CP4" t="s">
        <v>1356</v>
      </c>
      <c r="CQ4" t="s">
        <v>1357</v>
      </c>
      <c r="CR4" t="s">
        <v>1386</v>
      </c>
      <c r="CS4" t="s">
        <v>1387</v>
      </c>
      <c r="CT4" t="s">
        <v>1388</v>
      </c>
      <c r="CU4" t="s">
        <v>1389</v>
      </c>
      <c r="CV4" t="s">
        <v>1390</v>
      </c>
      <c r="CW4" t="s">
        <v>1391</v>
      </c>
      <c r="CX4" t="s">
        <v>1392</v>
      </c>
      <c r="CY4" t="s">
        <v>1393</v>
      </c>
      <c r="CZ4" t="s">
        <v>1394</v>
      </c>
      <c r="DA4" t="s">
        <v>1395</v>
      </c>
      <c r="DF4" t="s">
        <v>1356</v>
      </c>
      <c r="DG4" t="s">
        <v>1357</v>
      </c>
      <c r="DH4" t="s">
        <v>1396</v>
      </c>
      <c r="DI4" t="s">
        <v>1397</v>
      </c>
      <c r="DJ4" t="s">
        <v>1398</v>
      </c>
      <c r="DK4" t="s">
        <v>1399</v>
      </c>
      <c r="DL4" t="s">
        <v>1400</v>
      </c>
      <c r="DM4" t="s">
        <v>1401</v>
      </c>
      <c r="DN4" t="s">
        <v>1402</v>
      </c>
      <c r="DQ4" t="s">
        <v>1356</v>
      </c>
      <c r="DR4" t="s">
        <v>1357</v>
      </c>
      <c r="DS4" t="s">
        <v>1403</v>
      </c>
      <c r="DT4" t="s">
        <v>1404</v>
      </c>
      <c r="DU4" t="s">
        <v>1405</v>
      </c>
      <c r="DV4" t="s">
        <v>1406</v>
      </c>
      <c r="DW4" t="s">
        <v>1407</v>
      </c>
      <c r="DX4" t="s">
        <v>1408</v>
      </c>
      <c r="DY4" t="s">
        <v>1409</v>
      </c>
      <c r="DZ4" t="s">
        <v>1410</v>
      </c>
      <c r="EA4" t="s">
        <v>1411</v>
      </c>
      <c r="EB4" t="s">
        <v>1412</v>
      </c>
      <c r="EC4" t="s">
        <v>1413</v>
      </c>
      <c r="ED4" t="s">
        <v>1414</v>
      </c>
      <c r="EE4" t="s">
        <v>1415</v>
      </c>
      <c r="EF4" t="s">
        <v>1416</v>
      </c>
      <c r="EG4" t="s">
        <v>1417</v>
      </c>
      <c r="EH4" t="s">
        <v>1418</v>
      </c>
      <c r="EI4" t="s">
        <v>1419</v>
      </c>
      <c r="EM4" t="s">
        <v>1356</v>
      </c>
      <c r="EN4" t="s">
        <v>1357</v>
      </c>
      <c r="EO4" t="s">
        <v>1403</v>
      </c>
      <c r="EP4" t="s">
        <v>1405</v>
      </c>
      <c r="EQ4" t="s">
        <v>1406</v>
      </c>
      <c r="ER4" t="s">
        <v>1407</v>
      </c>
      <c r="ES4" t="s">
        <v>1408</v>
      </c>
      <c r="ET4" t="s">
        <v>1409</v>
      </c>
      <c r="EU4" t="s">
        <v>1410</v>
      </c>
      <c r="EV4" t="s">
        <v>1411</v>
      </c>
      <c r="EW4" t="s">
        <v>1412</v>
      </c>
      <c r="EX4" t="s">
        <v>1413</v>
      </c>
      <c r="EY4" t="s">
        <v>1414</v>
      </c>
      <c r="EZ4" t="s">
        <v>1415</v>
      </c>
      <c r="FA4" t="s">
        <v>1416</v>
      </c>
      <c r="FB4" t="s">
        <v>1417</v>
      </c>
      <c r="FC4" t="s">
        <v>1418</v>
      </c>
      <c r="FD4" t="s">
        <v>1419</v>
      </c>
      <c r="FG4" t="s">
        <v>1356</v>
      </c>
      <c r="FH4" t="s">
        <v>1357</v>
      </c>
      <c r="FI4" t="s">
        <v>1420</v>
      </c>
      <c r="FJ4" t="s">
        <v>1421</v>
      </c>
      <c r="FK4" t="s">
        <v>1422</v>
      </c>
      <c r="FL4" t="s">
        <v>1423</v>
      </c>
      <c r="FM4" t="s">
        <v>1424</v>
      </c>
      <c r="FN4" t="s">
        <v>1425</v>
      </c>
      <c r="FO4" t="s">
        <v>1426</v>
      </c>
      <c r="FX4" t="s">
        <v>1356</v>
      </c>
      <c r="FY4" t="s">
        <v>1357</v>
      </c>
      <c r="FZ4" t="s">
        <v>1360</v>
      </c>
      <c r="GA4" t="s">
        <v>1362</v>
      </c>
      <c r="GB4" t="s">
        <v>1363</v>
      </c>
      <c r="GC4" t="s">
        <v>1364</v>
      </c>
      <c r="GE4" t="s">
        <v>1357</v>
      </c>
      <c r="GF4" t="s">
        <v>3200</v>
      </c>
      <c r="GG4" t="s">
        <v>3201</v>
      </c>
      <c r="GK4" t="s">
        <v>1356</v>
      </c>
      <c r="GL4" t="s">
        <v>1357</v>
      </c>
      <c r="GM4" t="s">
        <v>1427</v>
      </c>
      <c r="GN4" t="s">
        <v>1368</v>
      </c>
      <c r="GO4" t="s">
        <v>1428</v>
      </c>
      <c r="GP4" t="s">
        <v>1429</v>
      </c>
      <c r="GQ4" t="s">
        <v>1430</v>
      </c>
      <c r="GV4" t="s">
        <v>1356</v>
      </c>
      <c r="GW4" t="s">
        <v>1357</v>
      </c>
      <c r="GX4" t="s">
        <v>1380</v>
      </c>
      <c r="GY4" t="s">
        <v>1431</v>
      </c>
      <c r="GZ4" t="s">
        <v>1432</v>
      </c>
      <c r="HA4" t="s">
        <v>1433</v>
      </c>
      <c r="HE4" t="s">
        <v>1356</v>
      </c>
      <c r="HF4" t="s">
        <v>1357</v>
      </c>
      <c r="HG4" t="s">
        <v>1386</v>
      </c>
      <c r="HH4" t="s">
        <v>1387</v>
      </c>
      <c r="HI4" t="s">
        <v>1388</v>
      </c>
      <c r="HJ4" t="s">
        <v>1389</v>
      </c>
      <c r="HK4" t="s">
        <v>1390</v>
      </c>
      <c r="HL4" t="s">
        <v>1391</v>
      </c>
      <c r="HM4" t="s">
        <v>1392</v>
      </c>
      <c r="HN4" t="s">
        <v>1393</v>
      </c>
      <c r="HO4" t="s">
        <v>1394</v>
      </c>
      <c r="HP4" t="s">
        <v>1395</v>
      </c>
      <c r="HU4" t="s">
        <v>1356</v>
      </c>
      <c r="HV4" t="s">
        <v>1357</v>
      </c>
      <c r="HW4" t="s">
        <v>1434</v>
      </c>
      <c r="HX4" t="s">
        <v>1435</v>
      </c>
      <c r="HY4" t="s">
        <v>1436</v>
      </c>
      <c r="HZ4" t="s">
        <v>1437</v>
      </c>
      <c r="IA4" t="s">
        <v>1438</v>
      </c>
      <c r="IB4" t="s">
        <v>1439</v>
      </c>
      <c r="IC4" t="s">
        <v>1440</v>
      </c>
      <c r="IH4" t="s">
        <v>1356</v>
      </c>
      <c r="II4" t="s">
        <v>1357</v>
      </c>
      <c r="IJ4" t="s">
        <v>1441</v>
      </c>
      <c r="IK4" t="s">
        <v>1442</v>
      </c>
      <c r="IL4" t="s">
        <v>1443</v>
      </c>
      <c r="IM4" t="s">
        <v>1444</v>
      </c>
      <c r="IN4" t="s">
        <v>1445</v>
      </c>
      <c r="IO4" t="s">
        <v>1446</v>
      </c>
      <c r="IP4" t="s">
        <v>1447</v>
      </c>
      <c r="IQ4" t="s">
        <v>1448</v>
      </c>
      <c r="IR4" t="s">
        <v>1449</v>
      </c>
      <c r="IS4" t="s">
        <v>1450</v>
      </c>
      <c r="IW4" t="s">
        <v>1356</v>
      </c>
      <c r="IX4" t="s">
        <v>1357</v>
      </c>
      <c r="IY4" t="s">
        <v>1403</v>
      </c>
      <c r="IZ4" t="s">
        <v>1405</v>
      </c>
      <c r="JA4" t="s">
        <v>1406</v>
      </c>
      <c r="JB4" t="s">
        <v>1407</v>
      </c>
      <c r="JC4" t="s">
        <v>1408</v>
      </c>
      <c r="JD4" t="s">
        <v>1409</v>
      </c>
      <c r="JE4" t="s">
        <v>1410</v>
      </c>
      <c r="JF4" t="s">
        <v>1411</v>
      </c>
      <c r="JG4" t="s">
        <v>1412</v>
      </c>
      <c r="JH4" t="s">
        <v>1413</v>
      </c>
      <c r="JI4" t="s">
        <v>1414</v>
      </c>
      <c r="JJ4" t="s">
        <v>1415</v>
      </c>
      <c r="JK4" t="s">
        <v>1416</v>
      </c>
      <c r="JL4" t="s">
        <v>1417</v>
      </c>
      <c r="JM4" t="s">
        <v>1418</v>
      </c>
      <c r="JN4" t="s">
        <v>1419</v>
      </c>
      <c r="JS4" t="s">
        <v>1356</v>
      </c>
      <c r="JT4" t="s">
        <v>1357</v>
      </c>
      <c r="JU4" t="s">
        <v>1403</v>
      </c>
      <c r="JV4" t="s">
        <v>1405</v>
      </c>
      <c r="JW4" t="s">
        <v>1406</v>
      </c>
      <c r="JX4" t="s">
        <v>1407</v>
      </c>
      <c r="JY4" t="s">
        <v>1408</v>
      </c>
      <c r="JZ4" t="s">
        <v>1409</v>
      </c>
      <c r="KA4" t="s">
        <v>1410</v>
      </c>
      <c r="KB4" t="s">
        <v>1411</v>
      </c>
      <c r="KC4" t="s">
        <v>1412</v>
      </c>
      <c r="KD4" t="s">
        <v>1413</v>
      </c>
      <c r="KE4" t="s">
        <v>1414</v>
      </c>
      <c r="KF4" t="s">
        <v>1415</v>
      </c>
      <c r="KG4" t="s">
        <v>1416</v>
      </c>
      <c r="KH4" t="s">
        <v>1417</v>
      </c>
      <c r="KI4" t="s">
        <v>1418</v>
      </c>
      <c r="KJ4" t="s">
        <v>1419</v>
      </c>
      <c r="KM4" t="s">
        <v>1356</v>
      </c>
      <c r="KN4" t="s">
        <v>1357</v>
      </c>
      <c r="KO4" t="s">
        <v>1420</v>
      </c>
      <c r="KP4" t="s">
        <v>1421</v>
      </c>
      <c r="KQ4" t="s">
        <v>1422</v>
      </c>
      <c r="KR4" t="s">
        <v>1423</v>
      </c>
      <c r="KS4" t="s">
        <v>1451</v>
      </c>
      <c r="KT4" t="s">
        <v>1452</v>
      </c>
      <c r="KV4" t="s">
        <v>1356</v>
      </c>
      <c r="KW4" t="s">
        <v>1357</v>
      </c>
      <c r="KX4" t="s">
        <v>1453</v>
      </c>
      <c r="KY4" t="s">
        <v>1454</v>
      </c>
      <c r="KZ4" t="s">
        <v>1455</v>
      </c>
      <c r="LC4" t="s">
        <v>1356</v>
      </c>
      <c r="LD4" t="s">
        <v>1357</v>
      </c>
      <c r="LE4" t="s">
        <v>1456</v>
      </c>
      <c r="LF4" t="s">
        <v>1457</v>
      </c>
      <c r="LG4" t="s">
        <v>1458</v>
      </c>
      <c r="LH4" t="s">
        <v>1459</v>
      </c>
      <c r="LI4" t="s">
        <v>1460</v>
      </c>
      <c r="LJ4" t="s">
        <v>1461</v>
      </c>
      <c r="LK4" t="s">
        <v>1462</v>
      </c>
      <c r="LL4" t="s">
        <v>1463</v>
      </c>
      <c r="LM4" t="s">
        <v>1464</v>
      </c>
      <c r="LN4" t="s">
        <v>1465</v>
      </c>
      <c r="LR4" t="s">
        <v>1356</v>
      </c>
      <c r="LS4" t="s">
        <v>1357</v>
      </c>
      <c r="LT4" t="s">
        <v>1466</v>
      </c>
      <c r="LU4" t="s">
        <v>1467</v>
      </c>
      <c r="LX4" t="s">
        <v>1356</v>
      </c>
      <c r="LY4" t="s">
        <v>1357</v>
      </c>
      <c r="LZ4" t="s">
        <v>1468</v>
      </c>
      <c r="MA4" t="s">
        <v>1467</v>
      </c>
      <c r="MB4" t="s">
        <v>1469</v>
      </c>
      <c r="MC4" t="s">
        <v>1470</v>
      </c>
      <c r="MD4" t="s">
        <v>1471</v>
      </c>
      <c r="ME4" t="s">
        <v>1472</v>
      </c>
      <c r="MF4" t="s">
        <v>1473</v>
      </c>
      <c r="MG4" t="s">
        <v>1474</v>
      </c>
      <c r="MH4" t="s">
        <v>1475</v>
      </c>
      <c r="MM4" t="s">
        <v>1356</v>
      </c>
      <c r="MN4" t="s">
        <v>1357</v>
      </c>
      <c r="MO4" t="s">
        <v>1476</v>
      </c>
      <c r="MP4" t="s">
        <v>1477</v>
      </c>
      <c r="MQ4" t="s">
        <v>1405</v>
      </c>
      <c r="MR4" t="s">
        <v>1478</v>
      </c>
      <c r="MS4" t="s">
        <v>1479</v>
      </c>
      <c r="MX4" t="s">
        <v>1356</v>
      </c>
      <c r="MY4" t="s">
        <v>1357</v>
      </c>
      <c r="MZ4" t="s">
        <v>1480</v>
      </c>
      <c r="NA4" t="s">
        <v>1481</v>
      </c>
      <c r="NB4" t="s">
        <v>1482</v>
      </c>
      <c r="NC4" t="s">
        <v>1483</v>
      </c>
      <c r="ND4" t="s">
        <v>1484</v>
      </c>
      <c r="NE4" t="s">
        <v>1485</v>
      </c>
      <c r="NJ4" t="s">
        <v>1356</v>
      </c>
      <c r="NK4" t="s">
        <v>1357</v>
      </c>
      <c r="NL4" t="s">
        <v>1486</v>
      </c>
      <c r="NM4" t="s">
        <v>1405</v>
      </c>
      <c r="NN4" t="s">
        <v>1487</v>
      </c>
      <c r="NO4" t="s">
        <v>1488</v>
      </c>
      <c r="NP4" t="s">
        <v>1489</v>
      </c>
      <c r="NQ4" t="s">
        <v>1490</v>
      </c>
      <c r="NR4" t="s">
        <v>1491</v>
      </c>
      <c r="NS4" t="s">
        <v>1492</v>
      </c>
      <c r="NT4" t="s">
        <v>1493</v>
      </c>
      <c r="NU4" t="s">
        <v>1494</v>
      </c>
      <c r="NV4" t="s">
        <v>1495</v>
      </c>
      <c r="NW4" t="s">
        <v>1496</v>
      </c>
      <c r="NX4" t="s">
        <v>1497</v>
      </c>
      <c r="NY4" t="s">
        <v>1498</v>
      </c>
      <c r="NZ4" t="s">
        <v>1499</v>
      </c>
      <c r="OA4" t="s">
        <v>1419</v>
      </c>
      <c r="OD4" t="s">
        <v>1356</v>
      </c>
      <c r="OE4" t="s">
        <v>1357</v>
      </c>
      <c r="OF4" t="s">
        <v>1500</v>
      </c>
      <c r="OG4" t="s">
        <v>1501</v>
      </c>
      <c r="OH4" t="s">
        <v>1502</v>
      </c>
      <c r="OI4" t="s">
        <v>1503</v>
      </c>
      <c r="OJ4" t="s">
        <v>1504</v>
      </c>
      <c r="OK4" t="s">
        <v>1505</v>
      </c>
      <c r="OL4" t="s">
        <v>1506</v>
      </c>
      <c r="OM4" t="s">
        <v>1507</v>
      </c>
      <c r="ON4" t="s">
        <v>1508</v>
      </c>
      <c r="OO4" t="s">
        <v>1509</v>
      </c>
      <c r="OR4" t="s">
        <v>1356</v>
      </c>
      <c r="OS4" t="s">
        <v>1357</v>
      </c>
      <c r="OT4" t="s">
        <v>1510</v>
      </c>
      <c r="OU4" t="s">
        <v>1511</v>
      </c>
      <c r="OV4" t="s">
        <v>1512</v>
      </c>
      <c r="OW4" t="s">
        <v>1513</v>
      </c>
      <c r="OX4" t="s">
        <v>1514</v>
      </c>
      <c r="PA4" t="s">
        <v>1356</v>
      </c>
      <c r="PB4" t="s">
        <v>1357</v>
      </c>
      <c r="PC4" t="s">
        <v>1515</v>
      </c>
      <c r="PD4" t="s">
        <v>1516</v>
      </c>
      <c r="PI4" t="s">
        <v>1356</v>
      </c>
      <c r="PJ4" t="s">
        <v>1357</v>
      </c>
      <c r="PK4" t="s">
        <v>1405</v>
      </c>
      <c r="PL4" t="s">
        <v>1517</v>
      </c>
      <c r="PM4" t="s">
        <v>1518</v>
      </c>
      <c r="PN4" t="s">
        <v>1519</v>
      </c>
      <c r="PO4" t="s">
        <v>1520</v>
      </c>
      <c r="PR4" t="s">
        <v>1356</v>
      </c>
      <c r="PS4" t="s">
        <v>1357</v>
      </c>
      <c r="PT4" t="s">
        <v>1521</v>
      </c>
      <c r="PU4" t="s">
        <v>1522</v>
      </c>
      <c r="PV4" t="s">
        <v>1523</v>
      </c>
      <c r="PW4" t="s">
        <v>1524</v>
      </c>
      <c r="PX4" t="s">
        <v>1465</v>
      </c>
      <c r="QA4" t="s">
        <v>1356</v>
      </c>
      <c r="QB4" t="s">
        <v>1357</v>
      </c>
      <c r="QC4" t="s">
        <v>1525</v>
      </c>
      <c r="QD4" t="s">
        <v>1360</v>
      </c>
      <c r="QE4" t="s">
        <v>1361</v>
      </c>
      <c r="QF4" t="s">
        <v>1362</v>
      </c>
      <c r="QG4" t="s">
        <v>1363</v>
      </c>
      <c r="QH4" t="s">
        <v>1364</v>
      </c>
      <c r="QK4" t="s">
        <v>1356</v>
      </c>
      <c r="QL4" t="s">
        <v>1357</v>
      </c>
      <c r="QM4" t="s">
        <v>1525</v>
      </c>
      <c r="QN4" t="s">
        <v>1367</v>
      </c>
      <c r="QO4" t="s">
        <v>1368</v>
      </c>
      <c r="QP4" t="s">
        <v>1369</v>
      </c>
      <c r="QQ4" t="s">
        <v>1370</v>
      </c>
      <c r="QR4" t="s">
        <v>1371</v>
      </c>
      <c r="QS4" t="s">
        <v>1372</v>
      </c>
      <c r="QT4" t="s">
        <v>1373</v>
      </c>
      <c r="QU4" t="s">
        <v>1374</v>
      </c>
      <c r="QV4" t="s">
        <v>1375</v>
      </c>
      <c r="QW4" t="s">
        <v>1376</v>
      </c>
      <c r="RA4" t="s">
        <v>1356</v>
      </c>
      <c r="RB4" t="s">
        <v>1357</v>
      </c>
      <c r="RC4" t="s">
        <v>1525</v>
      </c>
      <c r="RD4" t="s">
        <v>1367</v>
      </c>
      <c r="RE4" t="s">
        <v>1377</v>
      </c>
      <c r="RF4" t="s">
        <v>1375</v>
      </c>
      <c r="RG4" t="s">
        <v>1379</v>
      </c>
      <c r="RK4" t="s">
        <v>1356</v>
      </c>
      <c r="RL4" t="s">
        <v>1357</v>
      </c>
      <c r="RM4" t="s">
        <v>1525</v>
      </c>
      <c r="RN4" t="s">
        <v>1380</v>
      </c>
      <c r="RO4" t="s">
        <v>1381</v>
      </c>
      <c r="RP4" t="s">
        <v>1382</v>
      </c>
      <c r="RT4" t="s">
        <v>1356</v>
      </c>
      <c r="RU4" t="s">
        <v>1357</v>
      </c>
      <c r="RV4" t="s">
        <v>1525</v>
      </c>
      <c r="RW4" t="s">
        <v>1360</v>
      </c>
      <c r="RX4" t="s">
        <v>1385</v>
      </c>
      <c r="SB4" t="s">
        <v>1356</v>
      </c>
      <c r="SC4" t="s">
        <v>1357</v>
      </c>
      <c r="SD4" t="s">
        <v>1526</v>
      </c>
      <c r="SE4" t="s">
        <v>1386</v>
      </c>
      <c r="SF4" t="s">
        <v>1387</v>
      </c>
      <c r="SG4" t="s">
        <v>1388</v>
      </c>
      <c r="SH4" t="s">
        <v>1389</v>
      </c>
      <c r="SI4" t="s">
        <v>1390</v>
      </c>
      <c r="SJ4" t="s">
        <v>1391</v>
      </c>
      <c r="SK4" t="s">
        <v>1392</v>
      </c>
      <c r="SL4" t="s">
        <v>1393</v>
      </c>
      <c r="SM4" t="s">
        <v>1394</v>
      </c>
      <c r="SN4" t="s">
        <v>1395</v>
      </c>
      <c r="SR4" t="s">
        <v>1356</v>
      </c>
      <c r="SS4" t="s">
        <v>1357</v>
      </c>
      <c r="ST4" t="s">
        <v>1526</v>
      </c>
      <c r="SU4" t="s">
        <v>1396</v>
      </c>
      <c r="SV4" t="s">
        <v>1397</v>
      </c>
      <c r="SW4" t="s">
        <v>1398</v>
      </c>
      <c r="SX4" t="s">
        <v>1399</v>
      </c>
      <c r="SY4" t="s">
        <v>1400</v>
      </c>
      <c r="SZ4" t="s">
        <v>1401</v>
      </c>
      <c r="TA4" t="s">
        <v>1402</v>
      </c>
      <c r="TE4" t="s">
        <v>1356</v>
      </c>
      <c r="TF4" t="s">
        <v>1357</v>
      </c>
      <c r="TG4" t="s">
        <v>1526</v>
      </c>
      <c r="TH4" t="s">
        <v>1403</v>
      </c>
      <c r="TI4" t="s">
        <v>1404</v>
      </c>
      <c r="TJ4" t="s">
        <v>1405</v>
      </c>
      <c r="TK4" t="s">
        <v>1406</v>
      </c>
      <c r="TL4" t="s">
        <v>1407</v>
      </c>
      <c r="TM4" t="s">
        <v>1408</v>
      </c>
      <c r="TN4" t="s">
        <v>1409</v>
      </c>
      <c r="TO4" t="s">
        <v>1410</v>
      </c>
      <c r="TP4" t="s">
        <v>1411</v>
      </c>
      <c r="TQ4" t="s">
        <v>1412</v>
      </c>
      <c r="TR4" t="s">
        <v>1413</v>
      </c>
      <c r="TS4" t="s">
        <v>1414</v>
      </c>
      <c r="TT4" t="s">
        <v>1415</v>
      </c>
      <c r="TU4" t="s">
        <v>1416</v>
      </c>
      <c r="TV4" t="s">
        <v>1417</v>
      </c>
      <c r="TW4" t="s">
        <v>1418</v>
      </c>
      <c r="TX4" t="s">
        <v>1419</v>
      </c>
      <c r="UA4" t="s">
        <v>1356</v>
      </c>
      <c r="UB4" t="s">
        <v>1357</v>
      </c>
      <c r="UC4" t="s">
        <v>1526</v>
      </c>
      <c r="UD4" t="s">
        <v>1403</v>
      </c>
      <c r="UE4" t="s">
        <v>1405</v>
      </c>
      <c r="UF4" t="s">
        <v>1406</v>
      </c>
      <c r="UG4" t="s">
        <v>1407</v>
      </c>
      <c r="UH4" t="s">
        <v>1408</v>
      </c>
      <c r="UI4" t="s">
        <v>1409</v>
      </c>
      <c r="UJ4" t="s">
        <v>1410</v>
      </c>
      <c r="UK4" t="s">
        <v>1411</v>
      </c>
      <c r="UL4" t="s">
        <v>1412</v>
      </c>
      <c r="UM4" t="s">
        <v>1413</v>
      </c>
      <c r="UN4" t="s">
        <v>1414</v>
      </c>
      <c r="UO4" t="s">
        <v>1415</v>
      </c>
      <c r="UP4" t="s">
        <v>1416</v>
      </c>
      <c r="UQ4" t="s">
        <v>1417</v>
      </c>
      <c r="UR4" t="s">
        <v>1418</v>
      </c>
      <c r="US4" t="s">
        <v>1419</v>
      </c>
      <c r="UW4" t="s">
        <v>1356</v>
      </c>
      <c r="UX4" t="s">
        <v>1357</v>
      </c>
      <c r="UY4" t="s">
        <v>1526</v>
      </c>
      <c r="UZ4" t="s">
        <v>1420</v>
      </c>
      <c r="VA4" t="s">
        <v>1421</v>
      </c>
      <c r="VB4" t="s">
        <v>1422</v>
      </c>
      <c r="VC4" t="s">
        <v>1423</v>
      </c>
      <c r="VG4" t="s">
        <v>1356</v>
      </c>
      <c r="VH4" t="s">
        <v>1357</v>
      </c>
      <c r="VI4" t="s">
        <v>1527</v>
      </c>
      <c r="VJ4" t="s">
        <v>1528</v>
      </c>
      <c r="VK4" t="s">
        <v>1529</v>
      </c>
      <c r="VL4" t="s">
        <v>1530</v>
      </c>
      <c r="VM4" t="s">
        <v>1531</v>
      </c>
      <c r="VN4" t="s">
        <v>1532</v>
      </c>
      <c r="VR4" t="s">
        <v>1356</v>
      </c>
      <c r="VS4" t="s">
        <v>1357</v>
      </c>
      <c r="VT4" t="s">
        <v>1526</v>
      </c>
      <c r="VU4" t="s">
        <v>1527</v>
      </c>
      <c r="VV4" t="s">
        <v>1528</v>
      </c>
      <c r="VW4" t="s">
        <v>1529</v>
      </c>
      <c r="VX4" t="s">
        <v>1530</v>
      </c>
      <c r="VY4" t="s">
        <v>1531</v>
      </c>
      <c r="VZ4" t="s">
        <v>1532</v>
      </c>
      <c r="WD4" t="s">
        <v>1356</v>
      </c>
      <c r="WE4" t="s">
        <v>1357</v>
      </c>
      <c r="WF4" t="s">
        <v>1533</v>
      </c>
      <c r="WG4" t="s">
        <v>1534</v>
      </c>
      <c r="WH4" t="s">
        <v>1535</v>
      </c>
      <c r="WI4" t="s">
        <v>1536</v>
      </c>
      <c r="WJ4" t="s">
        <v>1537</v>
      </c>
      <c r="WM4" t="s">
        <v>1356</v>
      </c>
      <c r="WN4" t="s">
        <v>1357</v>
      </c>
      <c r="WO4" t="s">
        <v>1538</v>
      </c>
      <c r="WP4" t="s">
        <v>1539</v>
      </c>
      <c r="WQ4" t="s">
        <v>1540</v>
      </c>
      <c r="WR4" t="s">
        <v>1541</v>
      </c>
      <c r="WS4" t="s">
        <v>1542</v>
      </c>
      <c r="WT4" t="s">
        <v>1543</v>
      </c>
      <c r="WU4" t="s">
        <v>1544</v>
      </c>
      <c r="WV4" t="s">
        <v>1545</v>
      </c>
      <c r="WW4" t="s">
        <v>1546</v>
      </c>
      <c r="WX4" t="s">
        <v>1547</v>
      </c>
      <c r="WY4" t="s">
        <v>1548</v>
      </c>
      <c r="WZ4" t="s">
        <v>1549</v>
      </c>
      <c r="XD4" t="s">
        <v>1550</v>
      </c>
      <c r="XE4" t="s">
        <v>1551</v>
      </c>
      <c r="XF4" t="s">
        <v>1552</v>
      </c>
      <c r="XG4" t="s">
        <v>1553</v>
      </c>
      <c r="XH4" t="s">
        <v>1554</v>
      </c>
      <c r="XI4" t="s">
        <v>1555</v>
      </c>
      <c r="XJ4" t="s">
        <v>1556</v>
      </c>
      <c r="XL4" t="s">
        <v>1550</v>
      </c>
      <c r="XM4" t="s">
        <v>1551</v>
      </c>
      <c r="XN4" t="s">
        <v>3246</v>
      </c>
      <c r="XO4" t="s">
        <v>3247</v>
      </c>
      <c r="XP4" t="s">
        <v>3248</v>
      </c>
      <c r="XQ4" t="s">
        <v>3249</v>
      </c>
      <c r="XS4" t="s">
        <v>1557</v>
      </c>
      <c r="XT4" t="s">
        <v>1357</v>
      </c>
      <c r="XU4" t="s">
        <v>1558</v>
      </c>
      <c r="XV4" t="s">
        <v>1559</v>
      </c>
      <c r="XW4" t="s">
        <v>1560</v>
      </c>
      <c r="XY4" t="s">
        <v>1550</v>
      </c>
      <c r="XZ4" t="s">
        <v>1551</v>
      </c>
      <c r="YA4" t="s">
        <v>3250</v>
      </c>
      <c r="YB4" t="s">
        <v>3251</v>
      </c>
      <c r="YC4" t="s">
        <v>3252</v>
      </c>
      <c r="YD4" t="s">
        <v>3253</v>
      </c>
      <c r="YF4" t="s">
        <v>1550</v>
      </c>
      <c r="YG4" t="s">
        <v>1551</v>
      </c>
      <c r="YH4" t="s">
        <v>1561</v>
      </c>
      <c r="YI4" t="s">
        <v>1562</v>
      </c>
      <c r="YJ4" t="s">
        <v>1563</v>
      </c>
      <c r="YM4" t="s">
        <v>1356</v>
      </c>
      <c r="YN4" t="s">
        <v>1357</v>
      </c>
      <c r="YO4" t="s">
        <v>1564</v>
      </c>
      <c r="YP4" t="s">
        <v>1565</v>
      </c>
      <c r="YQ4" t="s">
        <v>1566</v>
      </c>
      <c r="YR4" t="s">
        <v>1567</v>
      </c>
      <c r="YS4" t="s">
        <v>1568</v>
      </c>
      <c r="YT4" t="s">
        <v>1569</v>
      </c>
      <c r="YU4" t="s">
        <v>1570</v>
      </c>
      <c r="YV4" t="s">
        <v>1571</v>
      </c>
      <c r="YY4" t="s">
        <v>1550</v>
      </c>
      <c r="YZ4" t="s">
        <v>1551</v>
      </c>
      <c r="ZA4" t="s">
        <v>1552</v>
      </c>
      <c r="ZB4" t="s">
        <v>1553</v>
      </c>
      <c r="ZC4" t="s">
        <v>1554</v>
      </c>
      <c r="ZD4" t="s">
        <v>1555</v>
      </c>
      <c r="ZE4" t="s">
        <v>1556</v>
      </c>
      <c r="ZF4" t="s">
        <v>1958</v>
      </c>
      <c r="ZG4" t="s">
        <v>3257</v>
      </c>
      <c r="ZI4" t="s">
        <v>1356</v>
      </c>
      <c r="ZJ4" t="s">
        <v>1357</v>
      </c>
      <c r="ZK4" t="s">
        <v>1553</v>
      </c>
      <c r="ZL4" t="s">
        <v>1572</v>
      </c>
      <c r="ZM4" t="s">
        <v>1573</v>
      </c>
      <c r="ZN4" t="s">
        <v>1574</v>
      </c>
      <c r="ZO4" t="s">
        <v>1575</v>
      </c>
      <c r="ZP4" t="s">
        <v>1576</v>
      </c>
      <c r="ZQ4" t="s">
        <v>1577</v>
      </c>
      <c r="ZR4" t="s">
        <v>1578</v>
      </c>
      <c r="ZS4" t="s">
        <v>1579</v>
      </c>
      <c r="ZT4" t="s">
        <v>1580</v>
      </c>
      <c r="ZU4" t="s">
        <v>1581</v>
      </c>
      <c r="ZV4" t="s">
        <v>1582</v>
      </c>
      <c r="ZW4" t="s">
        <v>1583</v>
      </c>
      <c r="ZX4" t="s">
        <v>1584</v>
      </c>
      <c r="ZY4" t="s">
        <v>1585</v>
      </c>
      <c r="ZZ4" t="s">
        <v>1586</v>
      </c>
      <c r="AAA4" t="s">
        <v>1587</v>
      </c>
      <c r="AAB4" t="s">
        <v>1588</v>
      </c>
      <c r="AAC4" t="s">
        <v>1589</v>
      </c>
      <c r="AAD4" t="s">
        <v>1590</v>
      </c>
      <c r="AAE4" t="s">
        <v>1591</v>
      </c>
      <c r="AAF4" t="s">
        <v>1592</v>
      </c>
      <c r="AAG4" t="s">
        <v>1593</v>
      </c>
      <c r="AAH4" t="s">
        <v>1594</v>
      </c>
      <c r="AAI4" t="s">
        <v>1595</v>
      </c>
      <c r="AAJ4" t="s">
        <v>1596</v>
      </c>
      <c r="AAK4" t="s">
        <v>1597</v>
      </c>
      <c r="AAL4" t="s">
        <v>1598</v>
      </c>
      <c r="AAM4" t="s">
        <v>1599</v>
      </c>
      <c r="AAN4" t="s">
        <v>1600</v>
      </c>
      <c r="AAQ4" t="s">
        <v>1356</v>
      </c>
      <c r="AAR4" t="s">
        <v>1357</v>
      </c>
      <c r="AAS4" t="s">
        <v>1601</v>
      </c>
      <c r="AAT4" t="s">
        <v>1602</v>
      </c>
      <c r="AAU4" t="s">
        <v>1603</v>
      </c>
      <c r="AAV4" t="s">
        <v>1604</v>
      </c>
      <c r="AAW4" t="s">
        <v>1460</v>
      </c>
      <c r="AAX4" t="s">
        <v>1405</v>
      </c>
      <c r="AAZ4" t="s">
        <v>1356</v>
      </c>
      <c r="ABA4" t="s">
        <v>1357</v>
      </c>
      <c r="ABB4" t="s">
        <v>1605</v>
      </c>
      <c r="ABC4" t="s">
        <v>1606</v>
      </c>
      <c r="ABD4" t="s">
        <v>1607</v>
      </c>
      <c r="ABE4" t="s">
        <v>1608</v>
      </c>
      <c r="ABF4" t="s">
        <v>1609</v>
      </c>
      <c r="ABG4" t="s">
        <v>1610</v>
      </c>
      <c r="ABH4" t="s">
        <v>1611</v>
      </c>
      <c r="ABI4" t="s">
        <v>1612</v>
      </c>
      <c r="ABJ4" t="s">
        <v>1613</v>
      </c>
      <c r="ABK4" t="s">
        <v>1614</v>
      </c>
      <c r="ABL4" t="s">
        <v>1405</v>
      </c>
    </row>
    <row r="5" spans="1:741" x14ac:dyDescent="0.25">
      <c r="AF5" t="s">
        <v>3393</v>
      </c>
      <c r="AG5">
        <v>2019</v>
      </c>
      <c r="AH5">
        <v>258.26</v>
      </c>
      <c r="AI5">
        <v>40.520000000000003</v>
      </c>
      <c r="AJ5">
        <v>1224.8900000000001</v>
      </c>
      <c r="AK5">
        <v>2154.88</v>
      </c>
      <c r="AL5">
        <v>3638.03</v>
      </c>
      <c r="AO5">
        <v>2019</v>
      </c>
      <c r="AP5">
        <v>0.46541438463527501</v>
      </c>
      <c r="AQ5">
        <v>0.92046572537967797</v>
      </c>
      <c r="AR5">
        <v>0.3967</v>
      </c>
      <c r="AS5">
        <v>0.93669999999999998</v>
      </c>
      <c r="AV5" t="s">
        <v>3393</v>
      </c>
      <c r="AW5">
        <v>2019</v>
      </c>
      <c r="AX5">
        <v>189.21</v>
      </c>
      <c r="AY5">
        <v>5.1999999999999998E-2</v>
      </c>
      <c r="AZ5">
        <v>53.4</v>
      </c>
      <c r="BA5">
        <v>9.8699999999999992</v>
      </c>
      <c r="BB5">
        <v>72.260000000000005</v>
      </c>
      <c r="BC5">
        <v>53.69</v>
      </c>
      <c r="BD5">
        <v>116.95</v>
      </c>
      <c r="BE5">
        <v>71.16</v>
      </c>
      <c r="BF5">
        <v>184.02</v>
      </c>
      <c r="BG5">
        <v>182.4</v>
      </c>
      <c r="BL5" t="s">
        <v>3393</v>
      </c>
      <c r="BM5">
        <v>2019</v>
      </c>
      <c r="BN5">
        <v>563</v>
      </c>
      <c r="BO5">
        <v>0.15459999999999999</v>
      </c>
      <c r="BP5">
        <v>0.26612271538513893</v>
      </c>
      <c r="BQ5">
        <v>251</v>
      </c>
      <c r="BR5">
        <v>33</v>
      </c>
      <c r="BV5" t="s">
        <v>3393</v>
      </c>
      <c r="BW5">
        <v>2019</v>
      </c>
      <c r="BX5">
        <v>40.520000000000003</v>
      </c>
      <c r="BY5">
        <v>49.9</v>
      </c>
      <c r="BZ5">
        <v>2.4899999999999999E-2</v>
      </c>
      <c r="CC5">
        <v>2019</v>
      </c>
      <c r="CD5">
        <v>8.1984624945207099E-2</v>
      </c>
      <c r="CE5">
        <v>0.28520430045757672</v>
      </c>
      <c r="CH5" t="s">
        <v>3393</v>
      </c>
      <c r="CI5">
        <v>2019</v>
      </c>
      <c r="CJ5">
        <v>258.26</v>
      </c>
      <c r="CK5">
        <v>7.0999999999999994E-2</v>
      </c>
      <c r="CP5" t="s">
        <v>3393</v>
      </c>
      <c r="CQ5">
        <v>2019</v>
      </c>
      <c r="CR5">
        <v>0</v>
      </c>
      <c r="CS5">
        <v>0</v>
      </c>
      <c r="CT5">
        <v>3349.74</v>
      </c>
      <c r="CU5">
        <v>0.92079999999999995</v>
      </c>
      <c r="CV5">
        <v>9.67</v>
      </c>
      <c r="CW5">
        <v>2.7000000000000001E-3</v>
      </c>
      <c r="CX5">
        <v>0</v>
      </c>
      <c r="CY5">
        <v>0</v>
      </c>
      <c r="CZ5">
        <v>278.62</v>
      </c>
      <c r="DA5">
        <v>7.6600000000000001E-2</v>
      </c>
      <c r="DF5" t="s">
        <v>3393</v>
      </c>
      <c r="DG5">
        <v>2019</v>
      </c>
      <c r="DH5">
        <v>10684</v>
      </c>
      <c r="DI5">
        <v>340</v>
      </c>
      <c r="DJ5">
        <v>3245</v>
      </c>
      <c r="DK5">
        <v>74</v>
      </c>
      <c r="DL5">
        <v>2</v>
      </c>
      <c r="DM5">
        <v>2793</v>
      </c>
      <c r="DN5" t="s">
        <v>3394</v>
      </c>
      <c r="DQ5" t="s">
        <v>3393</v>
      </c>
      <c r="DR5">
        <v>2019</v>
      </c>
      <c r="DS5">
        <v>3638.03</v>
      </c>
      <c r="DT5">
        <v>175.78</v>
      </c>
      <c r="DU5">
        <v>19.75</v>
      </c>
      <c r="DV5">
        <v>667.4</v>
      </c>
      <c r="DW5">
        <v>0.1835</v>
      </c>
      <c r="DX5">
        <v>894.42</v>
      </c>
      <c r="DY5">
        <v>0.24590000000000001</v>
      </c>
      <c r="DZ5">
        <v>1437.69</v>
      </c>
      <c r="EA5">
        <v>0.3952</v>
      </c>
      <c r="EB5">
        <v>449.31</v>
      </c>
      <c r="EC5">
        <v>0.1235</v>
      </c>
      <c r="ED5">
        <v>5.18</v>
      </c>
      <c r="EE5">
        <v>1.4E-3</v>
      </c>
      <c r="EF5">
        <v>1.63</v>
      </c>
      <c r="EG5">
        <v>4.0000000000000002E-4</v>
      </c>
      <c r="EH5">
        <v>182.4</v>
      </c>
      <c r="EI5">
        <v>5.0099999999999999E-2</v>
      </c>
      <c r="EM5" t="s">
        <v>3393</v>
      </c>
      <c r="EN5">
        <v>2019</v>
      </c>
      <c r="EO5">
        <v>3645</v>
      </c>
      <c r="EP5">
        <v>24.2</v>
      </c>
      <c r="EQ5">
        <v>673</v>
      </c>
      <c r="ER5">
        <v>0.18459999999999999</v>
      </c>
      <c r="ES5">
        <v>978</v>
      </c>
      <c r="ET5">
        <v>0.26829999999999998</v>
      </c>
      <c r="EU5">
        <v>805</v>
      </c>
      <c r="EV5">
        <v>0.22090000000000001</v>
      </c>
      <c r="EW5">
        <v>626</v>
      </c>
      <c r="EX5">
        <v>0.17169999999999999</v>
      </c>
      <c r="EY5">
        <v>312</v>
      </c>
      <c r="EZ5">
        <v>8.5599999999999996E-2</v>
      </c>
      <c r="FA5">
        <v>218</v>
      </c>
      <c r="FB5">
        <v>5.9799999999999999E-2</v>
      </c>
      <c r="FC5">
        <v>33</v>
      </c>
      <c r="FD5">
        <v>9.1000000000000004E-3</v>
      </c>
      <c r="FG5" t="s">
        <v>3393</v>
      </c>
      <c r="FH5">
        <v>2019</v>
      </c>
      <c r="FI5">
        <v>53.62</v>
      </c>
      <c r="FJ5">
        <v>38.99</v>
      </c>
      <c r="FK5">
        <v>26.94</v>
      </c>
      <c r="FL5">
        <v>18.78</v>
      </c>
      <c r="FM5">
        <v>39.700000000000003</v>
      </c>
      <c r="FN5">
        <v>26.01</v>
      </c>
      <c r="FO5">
        <v>18.14</v>
      </c>
      <c r="FR5" t="s">
        <v>1357</v>
      </c>
      <c r="FS5" t="s">
        <v>1615</v>
      </c>
      <c r="FT5" t="s">
        <v>3202</v>
      </c>
      <c r="FU5" t="s">
        <v>3203</v>
      </c>
      <c r="FX5" t="s">
        <v>3393</v>
      </c>
      <c r="FY5">
        <v>2019</v>
      </c>
      <c r="FZ5">
        <v>2260.5</v>
      </c>
      <c r="GA5">
        <v>4.9000000000000004</v>
      </c>
      <c r="GC5">
        <v>4692.8999999999996</v>
      </c>
      <c r="GE5">
        <v>2019</v>
      </c>
      <c r="GF5">
        <v>0.50432437723558399</v>
      </c>
      <c r="GG5">
        <v>0.43859999999999999</v>
      </c>
      <c r="GK5" t="s">
        <v>3393</v>
      </c>
      <c r="GL5">
        <v>2019</v>
      </c>
      <c r="GM5">
        <v>1135.5999999999999</v>
      </c>
      <c r="GN5">
        <v>0.24199999999999999</v>
      </c>
      <c r="GO5">
        <v>0.24593731201120358</v>
      </c>
      <c r="GP5">
        <v>611.9</v>
      </c>
      <c r="GQ5">
        <v>54.4</v>
      </c>
      <c r="GV5" t="s">
        <v>3393</v>
      </c>
      <c r="GW5">
        <v>2023</v>
      </c>
      <c r="GX5">
        <v>15.1</v>
      </c>
      <c r="GY5">
        <v>703.8</v>
      </c>
      <c r="GZ5">
        <v>6.7000000000000002E-3</v>
      </c>
      <c r="HA5">
        <v>3.0999999999999999E-3</v>
      </c>
      <c r="HE5" t="s">
        <v>3393</v>
      </c>
      <c r="HF5">
        <v>2019</v>
      </c>
      <c r="HG5">
        <v>78</v>
      </c>
      <c r="HH5">
        <v>1.66E-2</v>
      </c>
      <c r="HI5">
        <v>2319</v>
      </c>
      <c r="HJ5">
        <v>0.49409999999999998</v>
      </c>
      <c r="HK5">
        <v>2136</v>
      </c>
      <c r="HL5">
        <v>0.45519999999999999</v>
      </c>
      <c r="HM5">
        <v>0</v>
      </c>
      <c r="HN5">
        <v>0</v>
      </c>
      <c r="HO5">
        <v>160</v>
      </c>
      <c r="HP5">
        <v>3.4099999999999998E-2</v>
      </c>
      <c r="HU5" t="s">
        <v>3393</v>
      </c>
      <c r="HV5">
        <v>2019</v>
      </c>
      <c r="HW5">
        <v>2265.48</v>
      </c>
      <c r="HX5">
        <v>0.48280000000000001</v>
      </c>
      <c r="HY5">
        <v>2330.3000000000002</v>
      </c>
      <c r="HZ5">
        <v>0.49659999999999999</v>
      </c>
      <c r="IA5">
        <v>97.07</v>
      </c>
      <c r="IB5">
        <v>2.07E-2</v>
      </c>
      <c r="IC5" s="48">
        <v>1.78</v>
      </c>
      <c r="IH5" t="s">
        <v>3393</v>
      </c>
      <c r="II5">
        <v>2019</v>
      </c>
      <c r="IJ5">
        <v>258</v>
      </c>
      <c r="IK5">
        <v>19</v>
      </c>
      <c r="IL5">
        <v>3</v>
      </c>
      <c r="IM5">
        <v>0</v>
      </c>
      <c r="IN5">
        <v>73.2</v>
      </c>
      <c r="IO5" t="s">
        <v>3397</v>
      </c>
      <c r="IP5">
        <v>20</v>
      </c>
      <c r="IQ5">
        <v>55.7</v>
      </c>
      <c r="IR5">
        <v>5.61</v>
      </c>
      <c r="IS5">
        <v>3.59</v>
      </c>
      <c r="IW5" t="s">
        <v>3393</v>
      </c>
      <c r="IX5">
        <v>2019</v>
      </c>
      <c r="IY5">
        <v>4692.8599999999997</v>
      </c>
      <c r="IZ5">
        <v>26.99</v>
      </c>
      <c r="JA5">
        <v>997.19</v>
      </c>
      <c r="JB5">
        <v>0.21249999999999999</v>
      </c>
      <c r="JC5">
        <v>665.72</v>
      </c>
      <c r="JD5">
        <v>0.1419</v>
      </c>
      <c r="JE5">
        <v>924.15</v>
      </c>
      <c r="JF5">
        <v>0.19689999999999999</v>
      </c>
      <c r="JG5">
        <v>970.22</v>
      </c>
      <c r="JH5">
        <v>0.20669999999999999</v>
      </c>
      <c r="JI5">
        <v>523.67999999999995</v>
      </c>
      <c r="JJ5">
        <v>0.1116</v>
      </c>
      <c r="JK5">
        <v>557.54</v>
      </c>
      <c r="JL5">
        <v>0.1188</v>
      </c>
      <c r="JM5">
        <v>54.37</v>
      </c>
      <c r="JN5">
        <v>1.1599999999999999E-2</v>
      </c>
      <c r="JS5" t="s">
        <v>3393</v>
      </c>
      <c r="JT5">
        <v>2019</v>
      </c>
      <c r="JU5">
        <v>4662</v>
      </c>
      <c r="JV5">
        <v>27.35</v>
      </c>
      <c r="JW5">
        <v>997</v>
      </c>
      <c r="JX5">
        <v>0.21390000000000001</v>
      </c>
      <c r="JY5">
        <v>679</v>
      </c>
      <c r="JZ5">
        <v>0.14560000000000001</v>
      </c>
      <c r="KA5">
        <v>905</v>
      </c>
      <c r="KB5">
        <v>0.19409999999999999</v>
      </c>
      <c r="KC5">
        <v>999</v>
      </c>
      <c r="KD5">
        <v>0.21429999999999999</v>
      </c>
      <c r="KE5">
        <v>492</v>
      </c>
      <c r="KF5">
        <v>0.1055</v>
      </c>
      <c r="KG5">
        <v>532</v>
      </c>
      <c r="KH5">
        <v>0.11409999999999999</v>
      </c>
      <c r="KI5">
        <v>59</v>
      </c>
      <c r="KJ5">
        <v>1.2699999999999999E-2</v>
      </c>
      <c r="KM5" t="s">
        <v>3393</v>
      </c>
      <c r="KN5">
        <v>2019</v>
      </c>
      <c r="KO5">
        <v>39.28</v>
      </c>
      <c r="KP5">
        <v>45.91</v>
      </c>
      <c r="KQ5">
        <v>34.119999999999997</v>
      </c>
      <c r="KR5">
        <v>15.53</v>
      </c>
      <c r="KS5">
        <v>46.98</v>
      </c>
      <c r="KT5">
        <v>26.99</v>
      </c>
      <c r="KV5" t="s">
        <v>3393</v>
      </c>
      <c r="KW5">
        <v>2023</v>
      </c>
      <c r="KX5">
        <v>2013</v>
      </c>
      <c r="KY5" t="s">
        <v>3263</v>
      </c>
      <c r="KZ5">
        <v>0.79</v>
      </c>
      <c r="LC5" t="s">
        <v>3393</v>
      </c>
      <c r="LD5">
        <v>2019</v>
      </c>
      <c r="LE5">
        <v>4008</v>
      </c>
      <c r="LF5">
        <v>7</v>
      </c>
      <c r="LG5">
        <v>1</v>
      </c>
      <c r="LH5">
        <v>0</v>
      </c>
      <c r="LI5">
        <v>176242</v>
      </c>
      <c r="LJ5">
        <v>1345</v>
      </c>
      <c r="LK5">
        <v>455</v>
      </c>
      <c r="LL5">
        <v>1681</v>
      </c>
      <c r="LM5">
        <v>0</v>
      </c>
      <c r="LN5">
        <v>4016</v>
      </c>
      <c r="LR5" t="s">
        <v>3393</v>
      </c>
      <c r="LS5">
        <v>2019</v>
      </c>
      <c r="LT5">
        <v>226</v>
      </c>
      <c r="LU5">
        <v>5.6300000000000003E-2</v>
      </c>
      <c r="LX5" t="s">
        <v>3393</v>
      </c>
      <c r="LY5">
        <v>2019</v>
      </c>
      <c r="LZ5">
        <v>547872</v>
      </c>
      <c r="MA5">
        <v>0.31080000000000002</v>
      </c>
      <c r="MB5">
        <v>275692</v>
      </c>
      <c r="MC5">
        <v>36876</v>
      </c>
      <c r="MD5">
        <v>96580</v>
      </c>
      <c r="ME5">
        <v>0</v>
      </c>
      <c r="MF5">
        <v>154089</v>
      </c>
      <c r="MG5">
        <v>19316</v>
      </c>
      <c r="MH5">
        <v>0.28492709714069303</v>
      </c>
      <c r="MM5" t="s">
        <v>3393</v>
      </c>
      <c r="MN5">
        <v>2023</v>
      </c>
      <c r="MO5" t="s">
        <v>1616</v>
      </c>
      <c r="MP5">
        <v>118</v>
      </c>
      <c r="MQ5">
        <v>9.1999999999999993</v>
      </c>
      <c r="MR5">
        <v>4</v>
      </c>
      <c r="MS5">
        <v>0</v>
      </c>
      <c r="MX5" t="s">
        <v>3393</v>
      </c>
      <c r="MY5">
        <v>2019</v>
      </c>
      <c r="MZ5">
        <v>4</v>
      </c>
      <c r="NA5">
        <v>0</v>
      </c>
      <c r="NB5">
        <v>32</v>
      </c>
      <c r="NC5">
        <v>0</v>
      </c>
      <c r="ND5">
        <v>37</v>
      </c>
      <c r="NE5">
        <v>0</v>
      </c>
      <c r="NJ5" t="s">
        <v>3393</v>
      </c>
      <c r="NK5">
        <v>2019</v>
      </c>
      <c r="NL5">
        <v>4016</v>
      </c>
      <c r="NM5">
        <v>30.7</v>
      </c>
      <c r="NN5">
        <v>482</v>
      </c>
      <c r="NO5">
        <v>0.12</v>
      </c>
      <c r="NP5">
        <v>492</v>
      </c>
      <c r="NQ5">
        <v>0.1225</v>
      </c>
      <c r="NR5">
        <v>808</v>
      </c>
      <c r="NS5">
        <v>0.20119999999999999</v>
      </c>
      <c r="NT5">
        <v>986</v>
      </c>
      <c r="NU5">
        <v>0.2455</v>
      </c>
      <c r="NV5">
        <v>846</v>
      </c>
      <c r="NW5">
        <v>0.2107</v>
      </c>
      <c r="NX5">
        <v>351</v>
      </c>
      <c r="NY5">
        <v>8.7400000000000005E-2</v>
      </c>
      <c r="NZ5">
        <v>51</v>
      </c>
      <c r="OA5">
        <v>1.2699999999999999E-2</v>
      </c>
      <c r="OD5" t="s">
        <v>3393</v>
      </c>
      <c r="OE5">
        <v>2019</v>
      </c>
      <c r="OF5">
        <v>0</v>
      </c>
      <c r="OG5">
        <v>0</v>
      </c>
      <c r="OH5">
        <v>1</v>
      </c>
      <c r="OI5">
        <v>1</v>
      </c>
      <c r="OJ5">
        <v>0</v>
      </c>
      <c r="OK5">
        <v>77</v>
      </c>
      <c r="OL5">
        <v>77</v>
      </c>
      <c r="OM5">
        <v>0</v>
      </c>
      <c r="ON5">
        <v>12</v>
      </c>
      <c r="OO5">
        <v>1</v>
      </c>
      <c r="OR5" t="s">
        <v>3393</v>
      </c>
      <c r="OS5">
        <v>2019</v>
      </c>
      <c r="OW5">
        <v>8</v>
      </c>
      <c r="PA5" t="s">
        <v>3393</v>
      </c>
      <c r="PB5">
        <v>2019</v>
      </c>
      <c r="PC5">
        <v>50</v>
      </c>
      <c r="PD5">
        <v>421</v>
      </c>
      <c r="PI5" t="s">
        <v>3393</v>
      </c>
      <c r="PJ5">
        <v>2019</v>
      </c>
      <c r="PK5">
        <v>19</v>
      </c>
      <c r="PL5">
        <v>31</v>
      </c>
      <c r="PM5">
        <v>7.7000000000000002E-3</v>
      </c>
      <c r="PN5">
        <v>4</v>
      </c>
      <c r="PO5">
        <v>1</v>
      </c>
      <c r="PR5" t="s">
        <v>3393</v>
      </c>
      <c r="PS5">
        <v>2019</v>
      </c>
      <c r="PT5">
        <v>224</v>
      </c>
      <c r="PU5">
        <v>3805</v>
      </c>
      <c r="PV5">
        <v>137</v>
      </c>
      <c r="PW5">
        <v>964</v>
      </c>
      <c r="PX5">
        <v>4029</v>
      </c>
      <c r="QA5" t="s">
        <v>3393</v>
      </c>
      <c r="QB5">
        <v>2019</v>
      </c>
      <c r="QC5" t="s">
        <v>3262</v>
      </c>
      <c r="QD5">
        <v>119.72</v>
      </c>
      <c r="QE5">
        <v>30.71</v>
      </c>
      <c r="QF5">
        <v>1001.62</v>
      </c>
      <c r="QG5">
        <v>1345.81</v>
      </c>
      <c r="QH5">
        <v>2467.14</v>
      </c>
      <c r="QK5" t="s">
        <v>3393</v>
      </c>
      <c r="QL5">
        <v>2019</v>
      </c>
      <c r="QM5" t="s">
        <v>3262</v>
      </c>
      <c r="QN5">
        <v>109.18</v>
      </c>
      <c r="QO5">
        <v>4.4299999999999999E-2</v>
      </c>
      <c r="QP5">
        <v>18.73</v>
      </c>
      <c r="QQ5">
        <v>7.91</v>
      </c>
      <c r="QR5">
        <v>56.67</v>
      </c>
      <c r="QS5">
        <v>25.87</v>
      </c>
      <c r="QT5">
        <v>52.51</v>
      </c>
      <c r="QU5">
        <v>55.93</v>
      </c>
      <c r="QV5">
        <v>107.39</v>
      </c>
      <c r="QW5">
        <v>107.1</v>
      </c>
      <c r="RA5" t="s">
        <v>3393</v>
      </c>
      <c r="RB5">
        <v>2019</v>
      </c>
      <c r="RC5" t="s">
        <v>3262</v>
      </c>
      <c r="RD5">
        <v>264</v>
      </c>
      <c r="RE5">
        <v>0.10639999999999999</v>
      </c>
      <c r="RF5">
        <v>94</v>
      </c>
      <c r="RG5">
        <v>18</v>
      </c>
      <c r="RK5" t="s">
        <v>3393</v>
      </c>
      <c r="RL5">
        <v>2019</v>
      </c>
      <c r="RM5" t="s">
        <v>3262</v>
      </c>
      <c r="RN5">
        <v>30.71</v>
      </c>
      <c r="RO5">
        <v>25.86</v>
      </c>
      <c r="RP5">
        <v>2.29E-2</v>
      </c>
      <c r="RT5" t="s">
        <v>3393</v>
      </c>
      <c r="RU5">
        <v>2019</v>
      </c>
      <c r="RV5" t="s">
        <v>3262</v>
      </c>
      <c r="RW5">
        <v>119.72</v>
      </c>
      <c r="RX5">
        <v>4.8500000000000001E-2</v>
      </c>
      <c r="SB5" t="s">
        <v>3393</v>
      </c>
      <c r="SC5">
        <v>2019</v>
      </c>
      <c r="SD5" t="s">
        <v>3262</v>
      </c>
      <c r="SE5">
        <v>0</v>
      </c>
      <c r="SF5">
        <v>0</v>
      </c>
      <c r="SG5">
        <v>2350.1999999999998</v>
      </c>
      <c r="SH5">
        <v>0.9526</v>
      </c>
      <c r="SI5">
        <v>8.2100000000000009</v>
      </c>
      <c r="SJ5">
        <v>3.3E-3</v>
      </c>
      <c r="SK5">
        <v>0</v>
      </c>
      <c r="SL5">
        <v>0</v>
      </c>
      <c r="SM5">
        <v>108.73</v>
      </c>
      <c r="SN5">
        <v>4.41E-2</v>
      </c>
      <c r="SR5" t="s">
        <v>3393</v>
      </c>
      <c r="SS5">
        <v>2019</v>
      </c>
      <c r="ST5" t="s">
        <v>3262</v>
      </c>
      <c r="SU5">
        <v>5888</v>
      </c>
      <c r="SV5">
        <v>419</v>
      </c>
      <c r="SW5">
        <v>2398</v>
      </c>
      <c r="SX5">
        <v>71</v>
      </c>
      <c r="SY5">
        <v>2</v>
      </c>
      <c r="SZ5">
        <v>2793</v>
      </c>
      <c r="TA5" t="s">
        <v>3394</v>
      </c>
      <c r="TE5" t="s">
        <v>3393</v>
      </c>
      <c r="TF5">
        <v>2019</v>
      </c>
      <c r="TG5" t="s">
        <v>3262</v>
      </c>
      <c r="TH5">
        <v>2467.14</v>
      </c>
      <c r="TI5">
        <v>103.73</v>
      </c>
      <c r="TJ5">
        <v>18.68</v>
      </c>
      <c r="TK5">
        <v>471.44</v>
      </c>
      <c r="TL5">
        <v>0.19109999999999999</v>
      </c>
      <c r="TM5">
        <v>706.58</v>
      </c>
      <c r="TN5">
        <v>0.28639999999999999</v>
      </c>
      <c r="TO5">
        <v>1058.78</v>
      </c>
      <c r="TP5">
        <v>0.42920000000000003</v>
      </c>
      <c r="TQ5">
        <v>121.15</v>
      </c>
      <c r="TR5">
        <v>4.9099999999999998E-2</v>
      </c>
      <c r="TS5">
        <v>1.8</v>
      </c>
      <c r="TT5">
        <v>6.9999999999999999E-4</v>
      </c>
      <c r="TU5">
        <v>0.28999999999999998</v>
      </c>
      <c r="TV5">
        <v>1E-4</v>
      </c>
      <c r="TW5">
        <v>3.37</v>
      </c>
      <c r="TX5">
        <v>1.4E-3</v>
      </c>
      <c r="UA5" t="s">
        <v>3393</v>
      </c>
      <c r="UB5">
        <v>2019</v>
      </c>
      <c r="UC5" t="s">
        <v>3262</v>
      </c>
      <c r="UD5">
        <v>2479</v>
      </c>
      <c r="UE5">
        <v>22.07</v>
      </c>
      <c r="UF5">
        <v>475</v>
      </c>
      <c r="UG5">
        <v>0.19159999999999999</v>
      </c>
      <c r="UH5">
        <v>782</v>
      </c>
      <c r="UI5">
        <v>0.31540000000000001</v>
      </c>
      <c r="UJ5">
        <v>581</v>
      </c>
      <c r="UK5">
        <v>0.2344</v>
      </c>
      <c r="UL5">
        <v>376</v>
      </c>
      <c r="UM5">
        <v>0.1517</v>
      </c>
      <c r="UN5">
        <v>170</v>
      </c>
      <c r="UO5">
        <v>6.8599999999999994E-2</v>
      </c>
      <c r="UP5">
        <v>76</v>
      </c>
      <c r="UQ5">
        <v>3.0700000000000002E-2</v>
      </c>
      <c r="UR5">
        <v>18</v>
      </c>
      <c r="US5">
        <v>7.3000000000000001E-3</v>
      </c>
      <c r="UW5" t="s">
        <v>3393</v>
      </c>
      <c r="UX5">
        <v>2019</v>
      </c>
      <c r="UY5" t="s">
        <v>3262</v>
      </c>
      <c r="UZ5">
        <v>52.23</v>
      </c>
      <c r="VA5">
        <v>39.32</v>
      </c>
      <c r="VB5">
        <v>25.5</v>
      </c>
      <c r="VC5">
        <v>16.38</v>
      </c>
      <c r="VG5" t="s">
        <v>3393</v>
      </c>
      <c r="VH5">
        <v>2019</v>
      </c>
      <c r="VI5">
        <v>3.01</v>
      </c>
      <c r="VJ5">
        <v>44.15</v>
      </c>
      <c r="VK5">
        <v>0.96</v>
      </c>
      <c r="VL5">
        <v>2.13</v>
      </c>
      <c r="VM5">
        <v>2.19</v>
      </c>
      <c r="VN5">
        <v>2102.2399999999998</v>
      </c>
      <c r="VR5" t="s">
        <v>3393</v>
      </c>
      <c r="VS5">
        <v>2019</v>
      </c>
      <c r="VT5" t="s">
        <v>3262</v>
      </c>
      <c r="VU5">
        <v>0.01</v>
      </c>
      <c r="VV5">
        <v>24.57</v>
      </c>
      <c r="VW5">
        <v>0</v>
      </c>
      <c r="VX5">
        <v>0.53</v>
      </c>
      <c r="VY5">
        <v>0.67</v>
      </c>
      <c r="VZ5">
        <v>1319.97</v>
      </c>
      <c r="WD5" t="s">
        <v>3393</v>
      </c>
      <c r="WE5">
        <v>2019</v>
      </c>
      <c r="WF5" t="s">
        <v>1617</v>
      </c>
      <c r="WG5">
        <v>0</v>
      </c>
      <c r="WH5">
        <v>136</v>
      </c>
      <c r="WI5">
        <v>136</v>
      </c>
      <c r="WJ5">
        <v>0</v>
      </c>
      <c r="WM5" t="s">
        <v>3393</v>
      </c>
      <c r="WN5">
        <v>2019</v>
      </c>
      <c r="WO5">
        <v>506</v>
      </c>
      <c r="WP5">
        <v>376</v>
      </c>
      <c r="WQ5">
        <v>412</v>
      </c>
      <c r="WR5">
        <v>464</v>
      </c>
      <c r="WS5">
        <v>489</v>
      </c>
      <c r="WT5">
        <v>538</v>
      </c>
      <c r="WU5">
        <v>474</v>
      </c>
      <c r="WV5">
        <v>329</v>
      </c>
      <c r="WW5">
        <v>232</v>
      </c>
      <c r="WX5">
        <v>108</v>
      </c>
      <c r="WY5">
        <v>94</v>
      </c>
      <c r="WZ5">
        <v>20</v>
      </c>
      <c r="XD5" t="s">
        <v>3393</v>
      </c>
      <c r="XE5">
        <v>2023</v>
      </c>
      <c r="XF5">
        <v>1946</v>
      </c>
      <c r="XG5">
        <v>0.48</v>
      </c>
      <c r="XH5">
        <v>0</v>
      </c>
      <c r="XI5">
        <v>0</v>
      </c>
      <c r="XJ5">
        <v>0</v>
      </c>
      <c r="XL5" t="s">
        <v>3393</v>
      </c>
      <c r="XM5">
        <v>2019</v>
      </c>
      <c r="XS5" t="s">
        <v>1618</v>
      </c>
      <c r="XT5">
        <v>2019</v>
      </c>
      <c r="XU5">
        <v>7.6537742219935714E-3</v>
      </c>
      <c r="XV5">
        <v>1.0107278655651081E-5</v>
      </c>
      <c r="XW5">
        <v>2.5643295090194775E-2</v>
      </c>
      <c r="XY5" t="s">
        <v>3393</v>
      </c>
      <c r="XZ5">
        <v>2019</v>
      </c>
      <c r="YA5">
        <v>20.28</v>
      </c>
      <c r="YB5">
        <v>10.26</v>
      </c>
      <c r="YC5">
        <v>6.51</v>
      </c>
      <c r="YD5">
        <v>2.5000000000000001E-2</v>
      </c>
      <c r="YF5" t="s">
        <v>3393</v>
      </c>
      <c r="YG5">
        <v>2023</v>
      </c>
      <c r="YH5">
        <v>1964</v>
      </c>
      <c r="YI5">
        <v>0</v>
      </c>
      <c r="YJ5">
        <v>1</v>
      </c>
      <c r="YM5" t="s">
        <v>3393</v>
      </c>
      <c r="YN5">
        <v>2018</v>
      </c>
      <c r="YO5">
        <v>4010</v>
      </c>
      <c r="YP5">
        <v>168</v>
      </c>
      <c r="YQ5">
        <v>692</v>
      </c>
      <c r="YR5">
        <v>2611</v>
      </c>
      <c r="YS5">
        <v>413</v>
      </c>
      <c r="YT5">
        <v>120</v>
      </c>
      <c r="YU5">
        <v>5</v>
      </c>
      <c r="YV5">
        <v>1</v>
      </c>
      <c r="YY5" t="s">
        <v>3393</v>
      </c>
      <c r="YZ5">
        <v>2023</v>
      </c>
      <c r="ZA5">
        <v>1946</v>
      </c>
      <c r="ZB5">
        <v>51.27</v>
      </c>
      <c r="ZC5">
        <v>64.040000000000006</v>
      </c>
      <c r="ZD5">
        <v>45.4</v>
      </c>
      <c r="ZE5">
        <v>45.4</v>
      </c>
      <c r="ZF5">
        <v>7.16</v>
      </c>
      <c r="ZG5">
        <v>44.11</v>
      </c>
      <c r="ZI5" t="s">
        <v>3393</v>
      </c>
      <c r="ZJ5">
        <v>2019</v>
      </c>
      <c r="ZK5">
        <v>258.26</v>
      </c>
      <c r="ZL5">
        <v>138.54</v>
      </c>
      <c r="ZM5">
        <v>119.72</v>
      </c>
      <c r="ZN5">
        <v>17.41</v>
      </c>
      <c r="ZO5">
        <v>38.29</v>
      </c>
      <c r="ZP5">
        <v>10.68</v>
      </c>
      <c r="ZQ5">
        <v>40.520000000000003</v>
      </c>
      <c r="ZR5">
        <v>9.81</v>
      </c>
      <c r="ZS5">
        <v>30.71</v>
      </c>
      <c r="ZT5">
        <v>15.69</v>
      </c>
      <c r="ZU5">
        <v>7.08</v>
      </c>
      <c r="ZV5">
        <v>25.65</v>
      </c>
      <c r="ZW5">
        <v>2.21</v>
      </c>
      <c r="ZX5">
        <v>1.52</v>
      </c>
      <c r="ZY5">
        <v>0.68</v>
      </c>
      <c r="ZZ5">
        <v>0.1</v>
      </c>
      <c r="AAA5">
        <v>0.19</v>
      </c>
      <c r="AAB5">
        <v>0.05</v>
      </c>
      <c r="AAC5">
        <v>3.08</v>
      </c>
      <c r="AAD5">
        <v>2.56</v>
      </c>
      <c r="AAE5">
        <v>0.53</v>
      </c>
      <c r="AAF5">
        <v>0.14000000000000001</v>
      </c>
      <c r="AAG5">
        <v>0.32</v>
      </c>
      <c r="AAH5">
        <v>0.19</v>
      </c>
      <c r="AAI5">
        <v>47.16</v>
      </c>
      <c r="AAJ5">
        <v>22.58</v>
      </c>
      <c r="AAK5">
        <v>24.58</v>
      </c>
      <c r="AAL5">
        <v>2.19</v>
      </c>
      <c r="AAM5">
        <v>2.79</v>
      </c>
      <c r="AAN5">
        <v>1.68</v>
      </c>
      <c r="AAQ5" t="s">
        <v>3393</v>
      </c>
      <c r="AAR5">
        <v>2022</v>
      </c>
      <c r="AAS5">
        <v>58671</v>
      </c>
      <c r="AAT5">
        <v>9857</v>
      </c>
      <c r="AAU5">
        <v>20692</v>
      </c>
      <c r="AAV5">
        <v>28122</v>
      </c>
      <c r="AAW5">
        <v>228292</v>
      </c>
      <c r="AAX5">
        <v>24.94</v>
      </c>
    </row>
    <row r="6" spans="1:741" x14ac:dyDescent="0.25">
      <c r="AF6" t="s">
        <v>3393</v>
      </c>
      <c r="AG6">
        <v>2020</v>
      </c>
      <c r="AH6">
        <v>248.32</v>
      </c>
      <c r="AI6">
        <v>37.4</v>
      </c>
      <c r="AJ6">
        <v>1216.53</v>
      </c>
      <c r="AK6">
        <v>2194.9899999999998</v>
      </c>
      <c r="AL6">
        <v>3659.85</v>
      </c>
      <c r="AO6">
        <v>2020</v>
      </c>
      <c r="AP6">
        <v>0.47244708785925399</v>
      </c>
      <c r="AQ6">
        <v>0.92565750439723904</v>
      </c>
      <c r="AR6">
        <v>0.3962</v>
      </c>
      <c r="AS6">
        <v>0.93669999999999998</v>
      </c>
      <c r="AV6" t="s">
        <v>3393</v>
      </c>
      <c r="AW6">
        <v>2020</v>
      </c>
      <c r="AX6">
        <v>184.43</v>
      </c>
      <c r="AY6">
        <v>5.04E-2</v>
      </c>
      <c r="AZ6">
        <v>51.23</v>
      </c>
      <c r="BA6">
        <v>8.99</v>
      </c>
      <c r="BB6">
        <v>70.8</v>
      </c>
      <c r="BC6">
        <v>53.41</v>
      </c>
      <c r="BD6">
        <v>113.63</v>
      </c>
      <c r="BE6">
        <v>69.92</v>
      </c>
      <c r="BF6">
        <v>180.48</v>
      </c>
      <c r="BG6">
        <v>177.59</v>
      </c>
      <c r="BL6" t="s">
        <v>3393</v>
      </c>
      <c r="BM6">
        <v>2020</v>
      </c>
      <c r="BN6">
        <v>589</v>
      </c>
      <c r="BO6">
        <v>0.1608</v>
      </c>
      <c r="BP6">
        <v>0.25430732465501255</v>
      </c>
      <c r="BQ6">
        <v>275</v>
      </c>
      <c r="BR6">
        <v>32</v>
      </c>
      <c r="BV6" t="s">
        <v>3393</v>
      </c>
      <c r="BW6">
        <v>2020</v>
      </c>
      <c r="BX6">
        <v>37.4</v>
      </c>
      <c r="BY6">
        <v>49.42</v>
      </c>
      <c r="BZ6">
        <v>2.3699999999999999E-2</v>
      </c>
      <c r="CC6">
        <v>2020</v>
      </c>
      <c r="CD6">
        <v>7.2509568089302326E-2</v>
      </c>
      <c r="CE6">
        <v>0.27549903446442026</v>
      </c>
      <c r="CH6" t="s">
        <v>3393</v>
      </c>
      <c r="CI6">
        <v>2020</v>
      </c>
      <c r="CJ6">
        <v>248.32</v>
      </c>
      <c r="CK6">
        <v>6.7900000000000002E-2</v>
      </c>
      <c r="CP6" t="s">
        <v>3393</v>
      </c>
      <c r="CQ6">
        <v>2020</v>
      </c>
      <c r="CR6">
        <v>0</v>
      </c>
      <c r="CS6">
        <v>0</v>
      </c>
      <c r="CT6">
        <v>3382.31</v>
      </c>
      <c r="CU6">
        <v>0.92420000000000002</v>
      </c>
      <c r="CV6">
        <v>8.82</v>
      </c>
      <c r="CW6">
        <v>2.3999999999999998E-3</v>
      </c>
      <c r="CX6">
        <v>0</v>
      </c>
      <c r="CY6">
        <v>0</v>
      </c>
      <c r="CZ6">
        <v>268.72000000000003</v>
      </c>
      <c r="DA6">
        <v>7.3400000000000007E-2</v>
      </c>
      <c r="DF6" t="s">
        <v>3393</v>
      </c>
      <c r="DG6">
        <v>2020</v>
      </c>
      <c r="DH6">
        <v>10780</v>
      </c>
      <c r="DI6">
        <v>338</v>
      </c>
      <c r="DJ6">
        <v>3259</v>
      </c>
      <c r="DK6">
        <v>73</v>
      </c>
      <c r="DL6">
        <v>2</v>
      </c>
      <c r="DM6">
        <v>2793</v>
      </c>
      <c r="DN6" t="s">
        <v>3394</v>
      </c>
      <c r="DQ6" t="s">
        <v>3393</v>
      </c>
      <c r="DR6">
        <v>2020</v>
      </c>
      <c r="DS6">
        <v>3659.85</v>
      </c>
      <c r="DT6">
        <v>171.26</v>
      </c>
      <c r="DU6">
        <v>20.41</v>
      </c>
      <c r="DV6">
        <v>630.87</v>
      </c>
      <c r="DW6">
        <v>0.1724</v>
      </c>
      <c r="DX6">
        <v>902.87</v>
      </c>
      <c r="DY6">
        <v>0.2467</v>
      </c>
      <c r="DZ6">
        <v>1387.51</v>
      </c>
      <c r="EA6">
        <v>0.37909999999999999</v>
      </c>
      <c r="EB6">
        <v>554.17999999999995</v>
      </c>
      <c r="EC6">
        <v>0.15140000000000001</v>
      </c>
      <c r="ED6">
        <v>3.94</v>
      </c>
      <c r="EE6">
        <v>1.1000000000000001E-3</v>
      </c>
      <c r="EF6">
        <v>2.9</v>
      </c>
      <c r="EG6">
        <v>8.0000000000000004E-4</v>
      </c>
      <c r="EH6">
        <v>177.59</v>
      </c>
      <c r="EI6">
        <v>4.8500000000000001E-2</v>
      </c>
      <c r="EM6" t="s">
        <v>3393</v>
      </c>
      <c r="EN6">
        <v>2020</v>
      </c>
      <c r="EO6">
        <v>3664</v>
      </c>
      <c r="EP6">
        <v>24.76</v>
      </c>
      <c r="EQ6">
        <v>633</v>
      </c>
      <c r="ER6">
        <v>0.17280000000000001</v>
      </c>
      <c r="ES6">
        <v>965</v>
      </c>
      <c r="ET6">
        <v>0.26340000000000002</v>
      </c>
      <c r="EU6">
        <v>849</v>
      </c>
      <c r="EV6">
        <v>0.23169999999999999</v>
      </c>
      <c r="EW6">
        <v>627</v>
      </c>
      <c r="EX6">
        <v>0.1711</v>
      </c>
      <c r="EY6">
        <v>314</v>
      </c>
      <c r="EZ6">
        <v>8.5699999999999998E-2</v>
      </c>
      <c r="FA6">
        <v>244</v>
      </c>
      <c r="FB6">
        <v>6.6600000000000006E-2</v>
      </c>
      <c r="FC6">
        <v>32</v>
      </c>
      <c r="FD6">
        <v>8.6999999999999994E-3</v>
      </c>
      <c r="FG6" t="s">
        <v>3393</v>
      </c>
      <c r="FH6">
        <v>2020</v>
      </c>
      <c r="FI6">
        <v>54.69</v>
      </c>
      <c r="FJ6">
        <v>39.880000000000003</v>
      </c>
      <c r="FK6">
        <v>27.76</v>
      </c>
      <c r="FL6">
        <v>19.37</v>
      </c>
      <c r="FM6">
        <v>40.6</v>
      </c>
      <c r="FN6">
        <v>26.85</v>
      </c>
      <c r="FO6">
        <v>18.739999999999998</v>
      </c>
      <c r="FR6">
        <v>2019</v>
      </c>
      <c r="FS6">
        <v>3.2000000000000002E-3</v>
      </c>
      <c r="FT6">
        <v>5.7249999999999996</v>
      </c>
      <c r="FU6">
        <v>0.79400000000000004</v>
      </c>
      <c r="FX6" t="s">
        <v>3393</v>
      </c>
      <c r="FY6">
        <v>2020</v>
      </c>
      <c r="FZ6">
        <v>2255.8000000000002</v>
      </c>
      <c r="GA6">
        <v>4.9000000000000004</v>
      </c>
      <c r="GB6">
        <v>2451.3000000000002</v>
      </c>
      <c r="GC6">
        <v>4712.1000000000004</v>
      </c>
      <c r="GE6">
        <v>2020</v>
      </c>
      <c r="GF6">
        <v>0.51050218410687198</v>
      </c>
      <c r="GG6">
        <v>0.438</v>
      </c>
      <c r="GK6" t="s">
        <v>3393</v>
      </c>
      <c r="GL6">
        <v>2020</v>
      </c>
      <c r="GM6">
        <v>1164.5</v>
      </c>
      <c r="GN6">
        <v>0.24709999999999999</v>
      </c>
      <c r="GO6">
        <v>0.26299980765961956</v>
      </c>
      <c r="GP6">
        <v>668.4</v>
      </c>
      <c r="GQ6">
        <v>102.6</v>
      </c>
      <c r="GV6" t="s">
        <v>3393</v>
      </c>
      <c r="GW6">
        <v>2019</v>
      </c>
      <c r="GX6">
        <v>15.1</v>
      </c>
      <c r="GY6">
        <v>713.2</v>
      </c>
      <c r="GZ6">
        <v>6.6E-3</v>
      </c>
      <c r="HA6">
        <v>3.2000000000000002E-3</v>
      </c>
      <c r="HE6" t="s">
        <v>3393</v>
      </c>
      <c r="HF6">
        <v>2020</v>
      </c>
      <c r="HG6">
        <v>78</v>
      </c>
      <c r="HH6">
        <v>1.6500000000000001E-2</v>
      </c>
      <c r="HI6">
        <v>2343</v>
      </c>
      <c r="HJ6">
        <v>0.49709999999999999</v>
      </c>
      <c r="HK6">
        <v>2133</v>
      </c>
      <c r="HL6">
        <v>0.4526</v>
      </c>
      <c r="HM6">
        <v>0</v>
      </c>
      <c r="HN6">
        <v>0</v>
      </c>
      <c r="HO6">
        <v>159</v>
      </c>
      <c r="HP6">
        <v>3.3799999999999997E-2</v>
      </c>
      <c r="HU6" t="s">
        <v>3393</v>
      </c>
      <c r="HV6">
        <v>2020</v>
      </c>
      <c r="HW6">
        <v>2260.7800000000002</v>
      </c>
      <c r="HX6">
        <v>0.4798</v>
      </c>
      <c r="HY6">
        <v>2360.0300000000002</v>
      </c>
      <c r="HZ6">
        <v>0.50080000000000002</v>
      </c>
      <c r="IA6">
        <v>91.24</v>
      </c>
      <c r="IB6">
        <v>1.9400000000000001E-2</v>
      </c>
      <c r="IC6">
        <v>1.78</v>
      </c>
      <c r="IH6" t="s">
        <v>3393</v>
      </c>
      <c r="II6">
        <v>2020</v>
      </c>
      <c r="IJ6">
        <v>257</v>
      </c>
      <c r="IK6">
        <v>19</v>
      </c>
      <c r="IL6">
        <v>3</v>
      </c>
      <c r="IM6">
        <v>0</v>
      </c>
      <c r="IN6">
        <v>73.25</v>
      </c>
      <c r="IO6" t="s">
        <v>3397</v>
      </c>
      <c r="IP6">
        <v>20.100000000000001</v>
      </c>
      <c r="IQ6">
        <v>56.02</v>
      </c>
      <c r="IR6">
        <v>5.85</v>
      </c>
      <c r="IS6">
        <v>3.46</v>
      </c>
      <c r="IW6" t="s">
        <v>3393</v>
      </c>
      <c r="IX6">
        <v>2020</v>
      </c>
      <c r="IY6">
        <v>4712.05</v>
      </c>
      <c r="IZ6">
        <v>27.76</v>
      </c>
      <c r="JA6">
        <v>921.51</v>
      </c>
      <c r="JB6">
        <v>0.1956</v>
      </c>
      <c r="JC6">
        <v>675.19</v>
      </c>
      <c r="JD6">
        <v>0.14330000000000001</v>
      </c>
      <c r="JE6">
        <v>901.97</v>
      </c>
      <c r="JF6">
        <v>0.19139999999999999</v>
      </c>
      <c r="JG6">
        <v>1048.9100000000001</v>
      </c>
      <c r="JH6">
        <v>0.22259999999999999</v>
      </c>
      <c r="JI6">
        <v>496.07</v>
      </c>
      <c r="JJ6">
        <v>0.1053</v>
      </c>
      <c r="JK6">
        <v>565.77</v>
      </c>
      <c r="JL6">
        <v>0.1201</v>
      </c>
      <c r="JM6">
        <v>102.62</v>
      </c>
      <c r="JN6">
        <v>2.18E-2</v>
      </c>
      <c r="JS6" t="s">
        <v>3393</v>
      </c>
      <c r="JT6">
        <v>2020</v>
      </c>
      <c r="JU6">
        <v>4681</v>
      </c>
      <c r="JV6">
        <v>28.13</v>
      </c>
      <c r="JW6">
        <v>920</v>
      </c>
      <c r="JX6">
        <v>0.19650000000000001</v>
      </c>
      <c r="JY6">
        <v>677</v>
      </c>
      <c r="JZ6">
        <v>0.14460000000000001</v>
      </c>
      <c r="KA6">
        <v>896</v>
      </c>
      <c r="KB6">
        <v>0.19139999999999999</v>
      </c>
      <c r="KC6">
        <v>1076</v>
      </c>
      <c r="KD6">
        <v>0.22989999999999999</v>
      </c>
      <c r="KE6">
        <v>454</v>
      </c>
      <c r="KF6">
        <v>9.7000000000000003E-2</v>
      </c>
      <c r="KG6">
        <v>580</v>
      </c>
      <c r="KH6">
        <v>0.1239</v>
      </c>
      <c r="KI6">
        <v>77</v>
      </c>
      <c r="KJ6">
        <v>1.6400000000000001E-2</v>
      </c>
      <c r="KM6" t="s">
        <v>3393</v>
      </c>
      <c r="KN6">
        <v>2020</v>
      </c>
      <c r="KO6">
        <v>40.270000000000003</v>
      </c>
      <c r="KP6">
        <v>46.85</v>
      </c>
      <c r="KQ6">
        <v>35.119999999999997</v>
      </c>
      <c r="KR6">
        <v>16.23</v>
      </c>
      <c r="KS6">
        <v>47.86</v>
      </c>
      <c r="KT6">
        <v>27.76</v>
      </c>
      <c r="KV6" t="s">
        <v>3393</v>
      </c>
      <c r="KW6">
        <v>2023</v>
      </c>
      <c r="KX6">
        <v>2013</v>
      </c>
      <c r="KY6" t="s">
        <v>3264</v>
      </c>
      <c r="KZ6">
        <v>12.95</v>
      </c>
      <c r="LC6" t="s">
        <v>3393</v>
      </c>
      <c r="LD6">
        <v>2020</v>
      </c>
      <c r="LE6">
        <v>4031</v>
      </c>
      <c r="LF6">
        <v>0</v>
      </c>
      <c r="LG6">
        <v>1</v>
      </c>
      <c r="LH6">
        <v>0</v>
      </c>
      <c r="LI6">
        <v>177288</v>
      </c>
      <c r="LJ6">
        <v>1339</v>
      </c>
      <c r="LK6">
        <v>455</v>
      </c>
      <c r="LL6">
        <v>1706</v>
      </c>
      <c r="LM6">
        <v>0</v>
      </c>
      <c r="LN6">
        <v>4032</v>
      </c>
      <c r="LR6" t="s">
        <v>3393</v>
      </c>
      <c r="LS6">
        <v>2020</v>
      </c>
      <c r="LT6">
        <v>225</v>
      </c>
      <c r="LU6">
        <v>5.5800000000000002E-2</v>
      </c>
      <c r="LX6" t="s">
        <v>3393</v>
      </c>
      <c r="LY6">
        <v>2020</v>
      </c>
      <c r="LZ6">
        <v>584598</v>
      </c>
      <c r="MA6">
        <v>0.32290000000000002</v>
      </c>
      <c r="MB6">
        <v>292299</v>
      </c>
      <c r="MC6">
        <v>38614</v>
      </c>
      <c r="MD6">
        <v>98331</v>
      </c>
      <c r="ME6">
        <v>0</v>
      </c>
      <c r="MF6">
        <v>180049</v>
      </c>
      <c r="MG6">
        <v>22899</v>
      </c>
      <c r="MH6">
        <v>0.30976624244068773</v>
      </c>
      <c r="MM6" t="s">
        <v>3393</v>
      </c>
      <c r="MN6">
        <v>2023</v>
      </c>
      <c r="MO6" t="s">
        <v>1619</v>
      </c>
      <c r="MP6">
        <v>520</v>
      </c>
      <c r="MQ6">
        <v>42.1</v>
      </c>
      <c r="MR6">
        <v>329</v>
      </c>
      <c r="MS6">
        <v>1</v>
      </c>
      <c r="MX6" t="s">
        <v>3393</v>
      </c>
      <c r="MY6">
        <v>2020</v>
      </c>
      <c r="MZ6">
        <v>5</v>
      </c>
      <c r="NA6">
        <v>0</v>
      </c>
      <c r="NB6">
        <v>24</v>
      </c>
      <c r="NC6">
        <v>0</v>
      </c>
      <c r="ND6">
        <v>29</v>
      </c>
      <c r="NE6">
        <v>0</v>
      </c>
      <c r="NJ6" t="s">
        <v>3393</v>
      </c>
      <c r="NK6">
        <v>2020</v>
      </c>
      <c r="NL6">
        <v>4032</v>
      </c>
      <c r="NM6">
        <v>31.4</v>
      </c>
      <c r="NN6">
        <v>478</v>
      </c>
      <c r="NO6">
        <v>0.1186</v>
      </c>
      <c r="NP6">
        <v>444</v>
      </c>
      <c r="NQ6">
        <v>0.1101</v>
      </c>
      <c r="NR6">
        <v>798</v>
      </c>
      <c r="NS6">
        <v>0.19789999999999999</v>
      </c>
      <c r="NT6">
        <v>1010</v>
      </c>
      <c r="NU6">
        <v>0.2505</v>
      </c>
      <c r="NV6">
        <v>844</v>
      </c>
      <c r="NW6">
        <v>0.20930000000000001</v>
      </c>
      <c r="NX6">
        <v>395</v>
      </c>
      <c r="NY6">
        <v>9.8000000000000004E-2</v>
      </c>
      <c r="NZ6">
        <v>63</v>
      </c>
      <c r="OA6">
        <v>1.5599999999999999E-2</v>
      </c>
      <c r="OD6" t="s">
        <v>3393</v>
      </c>
      <c r="OE6">
        <v>2020</v>
      </c>
      <c r="OF6">
        <v>0</v>
      </c>
      <c r="OG6">
        <v>0</v>
      </c>
      <c r="OH6">
        <v>21</v>
      </c>
      <c r="OI6">
        <v>0</v>
      </c>
      <c r="OJ6">
        <v>21</v>
      </c>
      <c r="OK6">
        <v>78</v>
      </c>
      <c r="OL6">
        <v>77</v>
      </c>
      <c r="OM6">
        <v>1</v>
      </c>
      <c r="ON6">
        <v>16</v>
      </c>
      <c r="OO6">
        <v>0</v>
      </c>
      <c r="OR6" t="s">
        <v>3393</v>
      </c>
      <c r="OS6">
        <v>2020</v>
      </c>
      <c r="OW6">
        <v>8</v>
      </c>
      <c r="PA6" t="s">
        <v>3393</v>
      </c>
      <c r="PB6">
        <v>2019</v>
      </c>
      <c r="PC6">
        <v>100</v>
      </c>
      <c r="PD6">
        <v>867</v>
      </c>
      <c r="PI6" t="s">
        <v>3393</v>
      </c>
      <c r="PJ6">
        <v>2020</v>
      </c>
      <c r="PK6">
        <v>19.7</v>
      </c>
      <c r="PL6">
        <v>42</v>
      </c>
      <c r="PM6">
        <v>1.04E-2</v>
      </c>
      <c r="PN6">
        <v>5</v>
      </c>
      <c r="PO6">
        <v>1</v>
      </c>
      <c r="PR6" t="s">
        <v>3393</v>
      </c>
      <c r="PS6">
        <v>2020</v>
      </c>
      <c r="PT6">
        <v>224</v>
      </c>
      <c r="PU6">
        <v>3821</v>
      </c>
      <c r="PV6">
        <v>142</v>
      </c>
      <c r="PW6">
        <v>972</v>
      </c>
      <c r="PX6">
        <v>4045</v>
      </c>
      <c r="QA6" t="s">
        <v>3393</v>
      </c>
      <c r="QB6">
        <v>2019</v>
      </c>
      <c r="QC6" t="s">
        <v>1620</v>
      </c>
      <c r="QD6">
        <v>138.54</v>
      </c>
      <c r="QE6">
        <v>9.81</v>
      </c>
      <c r="QF6">
        <v>223.27</v>
      </c>
      <c r="QG6">
        <v>809.07</v>
      </c>
      <c r="QH6">
        <v>1170.8900000000001</v>
      </c>
      <c r="QK6" t="s">
        <v>3393</v>
      </c>
      <c r="QL6">
        <v>2019</v>
      </c>
      <c r="QM6" t="s">
        <v>1620</v>
      </c>
      <c r="QN6">
        <v>80.02</v>
      </c>
      <c r="QO6">
        <v>6.83E-2</v>
      </c>
      <c r="QP6">
        <v>34.67</v>
      </c>
      <c r="QQ6">
        <v>1.96</v>
      </c>
      <c r="QR6">
        <v>15.58</v>
      </c>
      <c r="QS6">
        <v>27.82</v>
      </c>
      <c r="QT6">
        <v>64.44</v>
      </c>
      <c r="QU6">
        <v>15.22</v>
      </c>
      <c r="QV6">
        <v>76.64</v>
      </c>
      <c r="QW6">
        <v>75.3</v>
      </c>
      <c r="RA6" t="s">
        <v>3393</v>
      </c>
      <c r="RB6">
        <v>2019</v>
      </c>
      <c r="RC6" t="s">
        <v>1620</v>
      </c>
      <c r="RD6">
        <v>300</v>
      </c>
      <c r="RE6">
        <v>0.25700000000000001</v>
      </c>
      <c r="RF6">
        <v>157</v>
      </c>
      <c r="RG6">
        <v>15</v>
      </c>
      <c r="RK6" t="s">
        <v>3393</v>
      </c>
      <c r="RL6">
        <v>2019</v>
      </c>
      <c r="RM6" t="s">
        <v>1620</v>
      </c>
      <c r="RN6">
        <v>9.81</v>
      </c>
      <c r="RO6">
        <v>24.03</v>
      </c>
      <c r="RP6">
        <v>2.8899999999999999E-2</v>
      </c>
      <c r="RT6" t="s">
        <v>3393</v>
      </c>
      <c r="RU6">
        <v>2019</v>
      </c>
      <c r="RV6" t="s">
        <v>1620</v>
      </c>
      <c r="RW6">
        <v>138.54</v>
      </c>
      <c r="RX6">
        <v>0.1183</v>
      </c>
      <c r="SB6" t="s">
        <v>3393</v>
      </c>
      <c r="SC6">
        <v>2019</v>
      </c>
      <c r="SD6" t="s">
        <v>1620</v>
      </c>
      <c r="SE6">
        <v>0</v>
      </c>
      <c r="SF6">
        <v>0</v>
      </c>
      <c r="SG6">
        <v>999.54</v>
      </c>
      <c r="SH6">
        <v>0.85370000000000001</v>
      </c>
      <c r="SI6">
        <v>1.46</v>
      </c>
      <c r="SJ6">
        <v>1.1999999999999999E-3</v>
      </c>
      <c r="SK6">
        <v>0</v>
      </c>
      <c r="SL6">
        <v>0</v>
      </c>
      <c r="SM6">
        <v>169.89</v>
      </c>
      <c r="SN6">
        <v>0.14510000000000001</v>
      </c>
      <c r="SR6" t="s">
        <v>3393</v>
      </c>
      <c r="SS6">
        <v>2019</v>
      </c>
      <c r="ST6" t="s">
        <v>1620</v>
      </c>
      <c r="SU6">
        <v>4796</v>
      </c>
      <c r="SV6">
        <v>244</v>
      </c>
      <c r="SW6">
        <v>847</v>
      </c>
      <c r="SX6">
        <v>3</v>
      </c>
      <c r="SY6">
        <v>0</v>
      </c>
      <c r="SZ6">
        <v>2441</v>
      </c>
      <c r="TA6" t="s">
        <v>3395</v>
      </c>
      <c r="TE6" t="s">
        <v>3393</v>
      </c>
      <c r="TF6">
        <v>2020</v>
      </c>
      <c r="TG6" t="s">
        <v>3262</v>
      </c>
      <c r="TH6">
        <v>2478.81</v>
      </c>
      <c r="TI6">
        <v>100.21</v>
      </c>
      <c r="TJ6">
        <v>19.329999999999998</v>
      </c>
      <c r="TK6">
        <v>440.53</v>
      </c>
      <c r="TL6">
        <v>0.1777</v>
      </c>
      <c r="TM6">
        <v>711.9</v>
      </c>
      <c r="TN6">
        <v>0.28720000000000001</v>
      </c>
      <c r="TO6">
        <v>1016.8</v>
      </c>
      <c r="TP6">
        <v>0.41020000000000001</v>
      </c>
      <c r="TQ6">
        <v>204.38</v>
      </c>
      <c r="TR6">
        <v>8.2500000000000004E-2</v>
      </c>
      <c r="TS6">
        <v>1.58</v>
      </c>
      <c r="TT6">
        <v>5.9999999999999995E-4</v>
      </c>
      <c r="TU6">
        <v>0.33</v>
      </c>
      <c r="TV6">
        <v>1E-4</v>
      </c>
      <c r="TW6">
        <v>3.08</v>
      </c>
      <c r="TX6">
        <v>1.1999999999999999E-3</v>
      </c>
      <c r="UA6" t="s">
        <v>3393</v>
      </c>
      <c r="UB6">
        <v>2019</v>
      </c>
      <c r="UC6" t="s">
        <v>1620</v>
      </c>
      <c r="UD6">
        <v>1166</v>
      </c>
      <c r="UE6">
        <v>28.73</v>
      </c>
      <c r="UF6">
        <v>197</v>
      </c>
      <c r="UG6">
        <v>0.16900000000000001</v>
      </c>
      <c r="UH6">
        <v>196</v>
      </c>
      <c r="UI6">
        <v>0.1681</v>
      </c>
      <c r="UJ6">
        <v>223</v>
      </c>
      <c r="UK6">
        <v>0.1913</v>
      </c>
      <c r="UL6">
        <v>250</v>
      </c>
      <c r="UM6">
        <v>0.21440000000000001</v>
      </c>
      <c r="UN6">
        <v>142</v>
      </c>
      <c r="UO6">
        <v>0.12180000000000001</v>
      </c>
      <c r="UP6">
        <v>143</v>
      </c>
      <c r="UQ6">
        <v>0.1226</v>
      </c>
      <c r="UR6">
        <v>15</v>
      </c>
      <c r="US6">
        <v>1.29E-2</v>
      </c>
      <c r="UW6" t="s">
        <v>3393</v>
      </c>
      <c r="UX6">
        <v>2019</v>
      </c>
      <c r="UY6" t="s">
        <v>1620</v>
      </c>
      <c r="UZ6">
        <v>54.98</v>
      </c>
      <c r="VA6">
        <v>37.950000000000003</v>
      </c>
      <c r="VB6">
        <v>33.49</v>
      </c>
      <c r="VC6">
        <v>22.78</v>
      </c>
      <c r="VG6" t="s">
        <v>3393</v>
      </c>
      <c r="VH6">
        <v>2020</v>
      </c>
      <c r="VI6">
        <v>2.96</v>
      </c>
      <c r="VJ6">
        <v>43.72</v>
      </c>
      <c r="VK6">
        <v>0.96</v>
      </c>
      <c r="VL6">
        <v>2.11</v>
      </c>
      <c r="VM6">
        <v>1.95</v>
      </c>
      <c r="VN6">
        <v>2142.61</v>
      </c>
      <c r="VR6" t="s">
        <v>3393</v>
      </c>
      <c r="VS6">
        <v>2019</v>
      </c>
      <c r="VT6" t="s">
        <v>1620</v>
      </c>
      <c r="VU6">
        <v>3</v>
      </c>
      <c r="VV6">
        <v>19.579999999999998</v>
      </c>
      <c r="VW6">
        <v>0.96</v>
      </c>
      <c r="VX6">
        <v>1.6</v>
      </c>
      <c r="VY6">
        <v>1.51</v>
      </c>
      <c r="VZ6">
        <v>782.27</v>
      </c>
      <c r="WD6" t="s">
        <v>3393</v>
      </c>
      <c r="WE6">
        <v>2019</v>
      </c>
      <c r="WF6" t="s">
        <v>1621</v>
      </c>
      <c r="WG6">
        <v>0</v>
      </c>
      <c r="WH6">
        <v>3870</v>
      </c>
      <c r="WI6">
        <v>3870</v>
      </c>
      <c r="WJ6">
        <v>348</v>
      </c>
      <c r="WM6" t="s">
        <v>3393</v>
      </c>
      <c r="WN6">
        <v>2020</v>
      </c>
      <c r="WO6">
        <v>509</v>
      </c>
      <c r="WP6">
        <v>378</v>
      </c>
      <c r="WQ6">
        <v>440</v>
      </c>
      <c r="WR6">
        <v>491</v>
      </c>
      <c r="WS6">
        <v>517</v>
      </c>
      <c r="WT6">
        <v>553</v>
      </c>
      <c r="WU6">
        <v>495</v>
      </c>
      <c r="WV6">
        <v>335</v>
      </c>
      <c r="WW6">
        <v>176</v>
      </c>
      <c r="WX6">
        <v>85</v>
      </c>
      <c r="WY6">
        <v>61</v>
      </c>
      <c r="WZ6">
        <v>8</v>
      </c>
      <c r="XD6" t="s">
        <v>3393</v>
      </c>
      <c r="XE6">
        <v>2023</v>
      </c>
      <c r="XF6">
        <v>1947</v>
      </c>
      <c r="XG6">
        <v>2.31</v>
      </c>
      <c r="XH6">
        <v>0</v>
      </c>
      <c r="XI6">
        <v>0</v>
      </c>
      <c r="XJ6">
        <v>0</v>
      </c>
      <c r="XL6" t="s">
        <v>3393</v>
      </c>
      <c r="XM6">
        <v>2020</v>
      </c>
      <c r="XS6" t="s">
        <v>1618</v>
      </c>
      <c r="XT6">
        <v>2020</v>
      </c>
      <c r="XU6">
        <v>5.7688141594170253E-3</v>
      </c>
      <c r="XV6">
        <v>0</v>
      </c>
      <c r="XW6">
        <v>4.6829707834986703E-2</v>
      </c>
      <c r="XY6" t="s">
        <v>3393</v>
      </c>
      <c r="XZ6">
        <v>2020</v>
      </c>
      <c r="YA6">
        <v>11.02</v>
      </c>
      <c r="YB6">
        <v>14.79</v>
      </c>
      <c r="YC6">
        <v>5.48</v>
      </c>
      <c r="YD6">
        <v>2.5000000000000001E-2</v>
      </c>
      <c r="YF6" t="s">
        <v>3393</v>
      </c>
      <c r="YG6">
        <v>2023</v>
      </c>
      <c r="YH6">
        <v>1967</v>
      </c>
      <c r="YI6">
        <v>0</v>
      </c>
      <c r="YJ6">
        <v>2</v>
      </c>
      <c r="YM6" t="s">
        <v>3393</v>
      </c>
      <c r="YN6">
        <v>2019</v>
      </c>
      <c r="YO6">
        <v>4029</v>
      </c>
      <c r="YP6">
        <v>230</v>
      </c>
      <c r="YQ6">
        <v>684</v>
      </c>
      <c r="YR6">
        <v>2579</v>
      </c>
      <c r="YS6">
        <v>410</v>
      </c>
      <c r="YT6">
        <v>120</v>
      </c>
      <c r="YU6">
        <v>5</v>
      </c>
      <c r="YV6">
        <v>1</v>
      </c>
      <c r="YY6" t="s">
        <v>3393</v>
      </c>
      <c r="YZ6">
        <v>2023</v>
      </c>
      <c r="ZA6">
        <v>1947</v>
      </c>
      <c r="ZB6">
        <v>0.23</v>
      </c>
      <c r="ZC6">
        <v>2.2000000000000002</v>
      </c>
      <c r="ZD6">
        <v>0.34</v>
      </c>
      <c r="ZE6">
        <v>0.34</v>
      </c>
      <c r="ZF6">
        <v>0.08</v>
      </c>
      <c r="ZG6">
        <v>0.15</v>
      </c>
      <c r="ZI6" t="s">
        <v>3393</v>
      </c>
      <c r="ZJ6">
        <v>2020</v>
      </c>
      <c r="ZK6">
        <v>248.32</v>
      </c>
      <c r="ZL6">
        <v>137.12</v>
      </c>
      <c r="ZM6">
        <v>111.2</v>
      </c>
      <c r="ZN6">
        <v>16.95</v>
      </c>
      <c r="ZO6">
        <v>38.049999999999997</v>
      </c>
      <c r="ZP6">
        <v>10.07</v>
      </c>
      <c r="ZQ6">
        <v>37.4</v>
      </c>
      <c r="ZR6">
        <v>9.19</v>
      </c>
      <c r="ZS6">
        <v>28.21</v>
      </c>
      <c r="ZT6">
        <v>15.06</v>
      </c>
      <c r="ZU6">
        <v>6.7</v>
      </c>
      <c r="ZV6">
        <v>25.37</v>
      </c>
      <c r="ZW6">
        <v>1.95</v>
      </c>
      <c r="ZX6">
        <v>1.27</v>
      </c>
      <c r="ZY6">
        <v>0.68</v>
      </c>
      <c r="ZZ6">
        <v>0.09</v>
      </c>
      <c r="AAA6">
        <v>0.15</v>
      </c>
      <c r="AAB6">
        <v>0.05</v>
      </c>
      <c r="AAC6">
        <v>3.06</v>
      </c>
      <c r="AAD6">
        <v>2.5499999999999998</v>
      </c>
      <c r="AAE6">
        <v>0.51</v>
      </c>
      <c r="AAF6">
        <v>0.14000000000000001</v>
      </c>
      <c r="AAG6">
        <v>0.31</v>
      </c>
      <c r="AAH6">
        <v>0.19</v>
      </c>
      <c r="AAI6">
        <v>46.68</v>
      </c>
      <c r="AAJ6">
        <v>22.12</v>
      </c>
      <c r="AAK6">
        <v>24.56</v>
      </c>
      <c r="AAL6">
        <v>2.13</v>
      </c>
      <c r="AAM6">
        <v>2.7</v>
      </c>
      <c r="AAN6">
        <v>1.61</v>
      </c>
      <c r="AAQ6" t="s">
        <v>3393</v>
      </c>
      <c r="AAR6">
        <v>2023</v>
      </c>
      <c r="AAS6">
        <v>60775</v>
      </c>
      <c r="AAT6">
        <v>9918</v>
      </c>
      <c r="AAU6">
        <v>21574</v>
      </c>
      <c r="AAV6">
        <v>29283</v>
      </c>
      <c r="AAW6">
        <v>230023</v>
      </c>
      <c r="AAX6">
        <v>24.94</v>
      </c>
    </row>
    <row r="7" spans="1:741" x14ac:dyDescent="0.25">
      <c r="AF7" t="s">
        <v>3393</v>
      </c>
      <c r="AG7">
        <v>2021</v>
      </c>
      <c r="AH7">
        <v>239.05</v>
      </c>
      <c r="AI7">
        <v>33.49</v>
      </c>
      <c r="AJ7">
        <v>1208.19</v>
      </c>
      <c r="AK7">
        <v>2243.98</v>
      </c>
      <c r="AL7">
        <v>3691.21</v>
      </c>
      <c r="AO7">
        <v>2021</v>
      </c>
      <c r="AP7">
        <v>0.48015010912870398</v>
      </c>
      <c r="AQ7">
        <v>0.93101015131103104</v>
      </c>
      <c r="AR7">
        <v>0.39550000000000002</v>
      </c>
      <c r="AS7">
        <v>0.93669999999999998</v>
      </c>
      <c r="AV7" t="s">
        <v>3393</v>
      </c>
      <c r="AW7">
        <v>2021</v>
      </c>
      <c r="AX7">
        <v>181.92</v>
      </c>
      <c r="AY7">
        <v>4.9299999999999997E-2</v>
      </c>
      <c r="AZ7">
        <v>50.07</v>
      </c>
      <c r="BA7">
        <v>8.5299999999999994</v>
      </c>
      <c r="BB7">
        <v>70.11</v>
      </c>
      <c r="BC7">
        <v>53.22</v>
      </c>
      <c r="BD7">
        <v>111.81</v>
      </c>
      <c r="BE7">
        <v>69.27</v>
      </c>
      <c r="BF7">
        <v>178.27</v>
      </c>
      <c r="BG7">
        <v>174.95</v>
      </c>
      <c r="BL7" t="s">
        <v>3393</v>
      </c>
      <c r="BM7">
        <v>2021</v>
      </c>
      <c r="BN7">
        <v>618</v>
      </c>
      <c r="BO7">
        <v>0.16719999999999999</v>
      </c>
      <c r="BP7">
        <v>0.26130105408182897</v>
      </c>
      <c r="BQ7">
        <v>297</v>
      </c>
      <c r="BR7">
        <v>39</v>
      </c>
      <c r="BV7" t="s">
        <v>3393</v>
      </c>
      <c r="BW7">
        <v>2021</v>
      </c>
      <c r="BX7">
        <v>33.49</v>
      </c>
      <c r="BY7">
        <v>49.36</v>
      </c>
      <c r="BZ7">
        <v>2.24E-2</v>
      </c>
      <c r="CC7">
        <v>2021</v>
      </c>
      <c r="CD7">
        <v>6.8999070784467112E-2</v>
      </c>
      <c r="CE7">
        <v>0.26876913969283783</v>
      </c>
      <c r="CH7" t="s">
        <v>3393</v>
      </c>
      <c r="CI7">
        <v>2021</v>
      </c>
      <c r="CJ7">
        <v>239.05</v>
      </c>
      <c r="CK7">
        <v>6.4799999999999996E-2</v>
      </c>
      <c r="CP7" t="s">
        <v>3393</v>
      </c>
      <c r="CQ7">
        <v>2021</v>
      </c>
      <c r="CR7">
        <v>0</v>
      </c>
      <c r="CS7">
        <v>0</v>
      </c>
      <c r="CT7">
        <v>3423.85</v>
      </c>
      <c r="CU7">
        <v>0.92759999999999998</v>
      </c>
      <c r="CV7">
        <v>8.82</v>
      </c>
      <c r="CW7">
        <v>2.3999999999999998E-3</v>
      </c>
      <c r="CX7">
        <v>0</v>
      </c>
      <c r="CY7">
        <v>0</v>
      </c>
      <c r="CZ7">
        <v>258.54000000000002</v>
      </c>
      <c r="DA7">
        <v>7.0000000000000007E-2</v>
      </c>
      <c r="DF7" t="s">
        <v>3393</v>
      </c>
      <c r="DG7">
        <v>2021</v>
      </c>
      <c r="DH7">
        <v>10902</v>
      </c>
      <c r="DI7">
        <v>337</v>
      </c>
      <c r="DJ7">
        <v>3285</v>
      </c>
      <c r="DK7">
        <v>69</v>
      </c>
      <c r="DL7">
        <v>2</v>
      </c>
      <c r="DM7">
        <v>2793</v>
      </c>
      <c r="DN7" t="s">
        <v>3394</v>
      </c>
      <c r="DQ7" t="s">
        <v>3393</v>
      </c>
      <c r="DR7">
        <v>2021</v>
      </c>
      <c r="DS7">
        <v>3691.21</v>
      </c>
      <c r="DT7">
        <v>168.65</v>
      </c>
      <c r="DU7">
        <v>21.03</v>
      </c>
      <c r="DV7">
        <v>597.80999999999995</v>
      </c>
      <c r="DW7">
        <v>0.16200000000000001</v>
      </c>
      <c r="DX7">
        <v>877.12</v>
      </c>
      <c r="DY7">
        <v>0.23760000000000001</v>
      </c>
      <c r="DZ7">
        <v>1172.82</v>
      </c>
      <c r="EA7">
        <v>0.31769999999999998</v>
      </c>
      <c r="EB7">
        <v>861.53</v>
      </c>
      <c r="EC7">
        <v>0.2334</v>
      </c>
      <c r="ED7">
        <v>3.65</v>
      </c>
      <c r="EE7">
        <v>1E-3</v>
      </c>
      <c r="EF7">
        <v>3.32</v>
      </c>
      <c r="EG7">
        <v>8.9999999999999998E-4</v>
      </c>
      <c r="EH7">
        <v>174.95</v>
      </c>
      <c r="EI7">
        <v>4.7399999999999998E-2</v>
      </c>
      <c r="EM7" t="s">
        <v>3393</v>
      </c>
      <c r="EN7">
        <v>2021</v>
      </c>
      <c r="EO7">
        <v>3695</v>
      </c>
      <c r="EP7">
        <v>25.23</v>
      </c>
      <c r="EQ7">
        <v>601</v>
      </c>
      <c r="ER7">
        <v>0.16270000000000001</v>
      </c>
      <c r="ES7">
        <v>907</v>
      </c>
      <c r="ET7">
        <v>0.2455</v>
      </c>
      <c r="EU7">
        <v>929</v>
      </c>
      <c r="EV7">
        <v>0.25140000000000001</v>
      </c>
      <c r="EW7">
        <v>640</v>
      </c>
      <c r="EX7">
        <v>0.17319999999999999</v>
      </c>
      <c r="EY7">
        <v>321</v>
      </c>
      <c r="EZ7">
        <v>8.6900000000000005E-2</v>
      </c>
      <c r="FA7">
        <v>258</v>
      </c>
      <c r="FB7">
        <v>6.9800000000000001E-2</v>
      </c>
      <c r="FC7">
        <v>39</v>
      </c>
      <c r="FD7">
        <v>1.06E-2</v>
      </c>
      <c r="FG7" t="s">
        <v>3393</v>
      </c>
      <c r="FH7">
        <v>2021</v>
      </c>
      <c r="FI7">
        <v>55.62</v>
      </c>
      <c r="FJ7">
        <v>41.54</v>
      </c>
      <c r="FK7">
        <v>28.53</v>
      </c>
      <c r="FL7">
        <v>19.88</v>
      </c>
      <c r="FM7">
        <v>41.72</v>
      </c>
      <c r="FN7">
        <v>27.72</v>
      </c>
      <c r="FO7">
        <v>19.27</v>
      </c>
      <c r="FR7">
        <v>2020</v>
      </c>
      <c r="FS7">
        <v>2.7000000000000001E-3</v>
      </c>
      <c r="FT7">
        <v>4.93</v>
      </c>
      <c r="FU7">
        <v>0.88400000000000001</v>
      </c>
      <c r="FX7" t="s">
        <v>3393</v>
      </c>
      <c r="FY7">
        <v>2021</v>
      </c>
      <c r="FZ7">
        <v>2248.1999999999998</v>
      </c>
      <c r="GA7">
        <v>5</v>
      </c>
      <c r="GB7">
        <v>2606</v>
      </c>
      <c r="GC7">
        <v>4859.3</v>
      </c>
      <c r="GE7">
        <v>2021</v>
      </c>
      <c r="GF7">
        <v>0.51807693569358404</v>
      </c>
      <c r="GG7">
        <v>0.437</v>
      </c>
      <c r="GK7" t="s">
        <v>3393</v>
      </c>
      <c r="GL7">
        <v>2021</v>
      </c>
      <c r="GM7">
        <v>1192.4000000000001</v>
      </c>
      <c r="GN7">
        <v>0.24540000000000001</v>
      </c>
      <c r="GO7">
        <v>0.27840755148357232</v>
      </c>
      <c r="GP7">
        <v>710.2</v>
      </c>
      <c r="GQ7">
        <v>121.6</v>
      </c>
      <c r="GV7" t="s">
        <v>3393</v>
      </c>
      <c r="GW7">
        <v>2020</v>
      </c>
      <c r="GX7">
        <v>14.9</v>
      </c>
      <c r="GY7">
        <v>711.2</v>
      </c>
      <c r="GZ7">
        <v>6.6E-3</v>
      </c>
      <c r="HA7">
        <v>3.2000000000000002E-3</v>
      </c>
      <c r="HE7" t="s">
        <v>3393</v>
      </c>
      <c r="HF7">
        <v>2021</v>
      </c>
      <c r="HG7">
        <v>77</v>
      </c>
      <c r="HH7">
        <v>1.5900000000000001E-2</v>
      </c>
      <c r="HI7">
        <v>2485</v>
      </c>
      <c r="HJ7">
        <v>0.51139999999999997</v>
      </c>
      <c r="HK7">
        <v>2126</v>
      </c>
      <c r="HL7">
        <v>0.43740000000000001</v>
      </c>
      <c r="HM7">
        <v>0</v>
      </c>
      <c r="HN7">
        <v>0</v>
      </c>
      <c r="HO7">
        <v>172</v>
      </c>
      <c r="HP7">
        <v>3.5299999999999998E-2</v>
      </c>
      <c r="HU7" t="s">
        <v>3393</v>
      </c>
      <c r="HV7">
        <v>2021</v>
      </c>
      <c r="HW7">
        <v>2253.23</v>
      </c>
      <c r="HX7">
        <v>0.4637</v>
      </c>
      <c r="HY7">
        <v>2518.23</v>
      </c>
      <c r="HZ7">
        <v>0.51819999999999999</v>
      </c>
      <c r="IA7">
        <v>87.81</v>
      </c>
      <c r="IB7">
        <v>1.8100000000000002E-2</v>
      </c>
      <c r="IC7">
        <v>1.78</v>
      </c>
      <c r="IH7" t="s">
        <v>3393</v>
      </c>
      <c r="II7">
        <v>2021</v>
      </c>
      <c r="IJ7">
        <v>275</v>
      </c>
      <c r="IK7">
        <v>20</v>
      </c>
      <c r="IL7">
        <v>3</v>
      </c>
      <c r="IM7">
        <v>0</v>
      </c>
      <c r="IN7">
        <v>73.25</v>
      </c>
      <c r="IO7" t="s">
        <v>3397</v>
      </c>
      <c r="IP7">
        <v>19.5</v>
      </c>
      <c r="IQ7">
        <v>56.21</v>
      </c>
      <c r="IR7">
        <v>6.01</v>
      </c>
      <c r="IS7">
        <v>3.51</v>
      </c>
      <c r="IW7" t="s">
        <v>3393</v>
      </c>
      <c r="IX7">
        <v>2021</v>
      </c>
      <c r="IY7">
        <v>4859.2700000000004</v>
      </c>
      <c r="IZ7">
        <v>27.78</v>
      </c>
      <c r="JA7">
        <v>991.34</v>
      </c>
      <c r="JB7">
        <v>0.20399999999999999</v>
      </c>
      <c r="JC7">
        <v>682.49</v>
      </c>
      <c r="JD7">
        <v>0.14050000000000001</v>
      </c>
      <c r="JE7">
        <v>856.6</v>
      </c>
      <c r="JF7">
        <v>0.17630000000000001</v>
      </c>
      <c r="JG7">
        <v>1136.42</v>
      </c>
      <c r="JH7">
        <v>0.2339</v>
      </c>
      <c r="JI7">
        <v>482.26</v>
      </c>
      <c r="JJ7">
        <v>9.9199999999999997E-2</v>
      </c>
      <c r="JK7">
        <v>588.55999999999995</v>
      </c>
      <c r="JL7">
        <v>0.1211</v>
      </c>
      <c r="JM7">
        <v>121.6</v>
      </c>
      <c r="JN7">
        <v>2.5000000000000001E-2</v>
      </c>
      <c r="JS7" t="s">
        <v>3393</v>
      </c>
      <c r="JT7">
        <v>2021</v>
      </c>
      <c r="JU7">
        <v>4818</v>
      </c>
      <c r="JV7">
        <v>28.18</v>
      </c>
      <c r="JW7">
        <v>982</v>
      </c>
      <c r="JX7">
        <v>0.20380000000000001</v>
      </c>
      <c r="JY7">
        <v>684</v>
      </c>
      <c r="JZ7">
        <v>0.14199999999999999</v>
      </c>
      <c r="KA7">
        <v>855</v>
      </c>
      <c r="KB7">
        <v>0.17749999999999999</v>
      </c>
      <c r="KC7">
        <v>1151</v>
      </c>
      <c r="KD7">
        <v>0.2389</v>
      </c>
      <c r="KE7">
        <v>450</v>
      </c>
      <c r="KF7">
        <v>9.3399999999999997E-2</v>
      </c>
      <c r="KG7">
        <v>599</v>
      </c>
      <c r="KH7">
        <v>0.12429999999999999</v>
      </c>
      <c r="KI7">
        <v>97</v>
      </c>
      <c r="KJ7">
        <v>2.01E-2</v>
      </c>
      <c r="KM7" t="s">
        <v>3393</v>
      </c>
      <c r="KN7">
        <v>2021</v>
      </c>
      <c r="KO7">
        <v>41.27</v>
      </c>
      <c r="KP7">
        <v>47.85</v>
      </c>
      <c r="KQ7">
        <v>35.79</v>
      </c>
      <c r="KR7">
        <v>16.12</v>
      </c>
      <c r="KS7">
        <v>48.67</v>
      </c>
      <c r="KT7">
        <v>27.78</v>
      </c>
      <c r="KV7" t="s">
        <v>3393</v>
      </c>
      <c r="KW7">
        <v>2023</v>
      </c>
      <c r="KX7">
        <v>2014</v>
      </c>
      <c r="KY7" t="s">
        <v>3263</v>
      </c>
      <c r="KZ7">
        <v>0.23</v>
      </c>
      <c r="LC7" t="s">
        <v>3393</v>
      </c>
      <c r="LD7">
        <v>2021</v>
      </c>
      <c r="LE7">
        <v>4058</v>
      </c>
      <c r="LF7">
        <v>0</v>
      </c>
      <c r="LG7">
        <v>1</v>
      </c>
      <c r="LH7">
        <v>0</v>
      </c>
      <c r="LI7">
        <v>178881</v>
      </c>
      <c r="LJ7">
        <v>1340</v>
      </c>
      <c r="LK7">
        <v>456</v>
      </c>
      <c r="LL7">
        <v>1732</v>
      </c>
      <c r="LM7">
        <v>0</v>
      </c>
      <c r="LN7">
        <v>4059</v>
      </c>
      <c r="LR7" t="s">
        <v>3393</v>
      </c>
      <c r="LS7">
        <v>2021</v>
      </c>
      <c r="LT7">
        <v>225</v>
      </c>
      <c r="LU7">
        <v>5.5399999999999998E-2</v>
      </c>
      <c r="LX7" t="s">
        <v>3393</v>
      </c>
      <c r="LY7">
        <v>2021</v>
      </c>
      <c r="LZ7">
        <v>630168</v>
      </c>
      <c r="MA7">
        <v>0.33600000000000002</v>
      </c>
      <c r="MB7">
        <v>311850</v>
      </c>
      <c r="MC7">
        <v>41118</v>
      </c>
      <c r="MD7">
        <v>101178</v>
      </c>
      <c r="ME7">
        <v>0</v>
      </c>
      <c r="MF7">
        <v>211596</v>
      </c>
      <c r="MG7">
        <v>29106</v>
      </c>
      <c r="MH7">
        <v>0.32209178135718319</v>
      </c>
      <c r="MM7" t="s">
        <v>3393</v>
      </c>
      <c r="MN7">
        <v>2023</v>
      </c>
      <c r="MO7" t="s">
        <v>1622</v>
      </c>
      <c r="MP7">
        <v>223</v>
      </c>
      <c r="MQ7">
        <v>53.1</v>
      </c>
      <c r="MR7">
        <v>215</v>
      </c>
      <c r="MS7">
        <v>3</v>
      </c>
      <c r="MX7" t="s">
        <v>3393</v>
      </c>
      <c r="MY7">
        <v>2021</v>
      </c>
      <c r="MZ7">
        <v>11</v>
      </c>
      <c r="NA7">
        <v>0</v>
      </c>
      <c r="NB7">
        <v>23</v>
      </c>
      <c r="NC7">
        <v>0</v>
      </c>
      <c r="ND7">
        <v>34</v>
      </c>
      <c r="NE7">
        <v>36</v>
      </c>
      <c r="NJ7" t="s">
        <v>3393</v>
      </c>
      <c r="NK7">
        <v>2021</v>
      </c>
      <c r="NL7">
        <v>4059</v>
      </c>
      <c r="NM7">
        <v>32.1</v>
      </c>
      <c r="NN7">
        <v>453</v>
      </c>
      <c r="NO7">
        <v>0.1116</v>
      </c>
      <c r="NP7">
        <v>442</v>
      </c>
      <c r="NQ7">
        <v>0.1089</v>
      </c>
      <c r="NR7">
        <v>757</v>
      </c>
      <c r="NS7">
        <v>0.1865</v>
      </c>
      <c r="NT7">
        <v>1043</v>
      </c>
      <c r="NU7">
        <v>0.25700000000000001</v>
      </c>
      <c r="NV7">
        <v>822</v>
      </c>
      <c r="NW7">
        <v>0.20250000000000001</v>
      </c>
      <c r="NX7">
        <v>465</v>
      </c>
      <c r="NY7">
        <v>0.11459999999999999</v>
      </c>
      <c r="NZ7">
        <v>77</v>
      </c>
      <c r="OA7">
        <v>1.9E-2</v>
      </c>
      <c r="OD7" t="s">
        <v>3393</v>
      </c>
      <c r="OE7">
        <v>2023</v>
      </c>
      <c r="OF7">
        <v>3310</v>
      </c>
      <c r="OG7">
        <v>1696</v>
      </c>
      <c r="OH7">
        <v>1692</v>
      </c>
      <c r="OI7">
        <v>2</v>
      </c>
      <c r="OJ7">
        <v>1690</v>
      </c>
      <c r="OK7">
        <v>97</v>
      </c>
      <c r="OL7">
        <v>96</v>
      </c>
      <c r="OM7">
        <v>1</v>
      </c>
      <c r="ON7">
        <v>17</v>
      </c>
      <c r="OO7">
        <v>21</v>
      </c>
      <c r="OR7" t="s">
        <v>3393</v>
      </c>
      <c r="OS7">
        <v>2021</v>
      </c>
      <c r="OW7">
        <v>8</v>
      </c>
      <c r="OX7">
        <v>0.25700000000000001</v>
      </c>
      <c r="PA7" t="s">
        <v>3393</v>
      </c>
      <c r="PB7">
        <v>2019</v>
      </c>
      <c r="PC7">
        <v>160</v>
      </c>
      <c r="PD7">
        <v>781</v>
      </c>
      <c r="PI7" t="s">
        <v>3393</v>
      </c>
      <c r="PJ7">
        <v>2021</v>
      </c>
      <c r="PK7">
        <v>20.399999999999999</v>
      </c>
      <c r="PL7">
        <v>68</v>
      </c>
      <c r="PM7">
        <v>1.67E-2</v>
      </c>
      <c r="PN7">
        <v>5</v>
      </c>
      <c r="PO7">
        <v>1</v>
      </c>
      <c r="PR7" t="s">
        <v>3393</v>
      </c>
      <c r="PS7">
        <v>2021</v>
      </c>
      <c r="PT7">
        <v>221</v>
      </c>
      <c r="PU7">
        <v>3846</v>
      </c>
      <c r="PV7">
        <v>141</v>
      </c>
      <c r="PW7">
        <v>984</v>
      </c>
      <c r="PX7">
        <v>4067</v>
      </c>
      <c r="QA7" t="s">
        <v>3393</v>
      </c>
      <c r="QB7">
        <v>2020</v>
      </c>
      <c r="QC7" t="s">
        <v>3262</v>
      </c>
      <c r="QD7">
        <v>111.2</v>
      </c>
      <c r="QE7">
        <v>28.21</v>
      </c>
      <c r="QF7">
        <v>993.24</v>
      </c>
      <c r="QG7">
        <v>1374.37</v>
      </c>
      <c r="QH7">
        <v>2478.81</v>
      </c>
      <c r="QK7" t="s">
        <v>3393</v>
      </c>
      <c r="QL7">
        <v>2020</v>
      </c>
      <c r="QM7" t="s">
        <v>3262</v>
      </c>
      <c r="QN7">
        <v>105.2</v>
      </c>
      <c r="QO7">
        <v>4.24E-2</v>
      </c>
      <c r="QP7">
        <v>16.86</v>
      </c>
      <c r="QQ7">
        <v>7.22</v>
      </c>
      <c r="QR7">
        <v>55.26</v>
      </c>
      <c r="QS7">
        <v>25.86</v>
      </c>
      <c r="QT7">
        <v>49.94</v>
      </c>
      <c r="QU7">
        <v>54.74</v>
      </c>
      <c r="QV7">
        <v>103.62</v>
      </c>
      <c r="QW7">
        <v>103.29</v>
      </c>
      <c r="RA7" t="s">
        <v>3393</v>
      </c>
      <c r="RB7">
        <v>2020</v>
      </c>
      <c r="RC7" t="s">
        <v>3262</v>
      </c>
      <c r="RD7">
        <v>276</v>
      </c>
      <c r="RE7">
        <v>0.1108</v>
      </c>
      <c r="RF7">
        <v>98</v>
      </c>
      <c r="RG7">
        <v>17</v>
      </c>
      <c r="RK7" t="s">
        <v>3393</v>
      </c>
      <c r="RL7">
        <v>2020</v>
      </c>
      <c r="RM7" t="s">
        <v>3262</v>
      </c>
      <c r="RN7">
        <v>28.21</v>
      </c>
      <c r="RO7">
        <v>25.86</v>
      </c>
      <c r="RP7">
        <v>2.18E-2</v>
      </c>
      <c r="RT7" t="s">
        <v>3393</v>
      </c>
      <c r="RU7">
        <v>2020</v>
      </c>
      <c r="RV7" t="s">
        <v>3262</v>
      </c>
      <c r="RW7">
        <v>111.2</v>
      </c>
      <c r="RX7">
        <v>4.4900000000000002E-2</v>
      </c>
      <c r="SB7" t="s">
        <v>3393</v>
      </c>
      <c r="SC7">
        <v>2020</v>
      </c>
      <c r="SD7" t="s">
        <v>3262</v>
      </c>
      <c r="SE7">
        <v>0</v>
      </c>
      <c r="SF7">
        <v>0</v>
      </c>
      <c r="SG7">
        <v>2370.39</v>
      </c>
      <c r="SH7">
        <v>0.95630000000000004</v>
      </c>
      <c r="SI7">
        <v>7.36</v>
      </c>
      <c r="SJ7">
        <v>3.0000000000000001E-3</v>
      </c>
      <c r="SK7">
        <v>0</v>
      </c>
      <c r="SL7">
        <v>0</v>
      </c>
      <c r="SM7">
        <v>101.06</v>
      </c>
      <c r="SN7">
        <v>4.0800000000000003E-2</v>
      </c>
      <c r="SR7" t="s">
        <v>3393</v>
      </c>
      <c r="SS7">
        <v>2020</v>
      </c>
      <c r="ST7" t="s">
        <v>3262</v>
      </c>
      <c r="SU7">
        <v>5952</v>
      </c>
      <c r="SV7">
        <v>415</v>
      </c>
      <c r="SW7">
        <v>2403</v>
      </c>
      <c r="SX7">
        <v>70</v>
      </c>
      <c r="SY7">
        <v>2</v>
      </c>
      <c r="SZ7">
        <v>2793</v>
      </c>
      <c r="TA7" t="s">
        <v>3394</v>
      </c>
      <c r="TE7" t="s">
        <v>3393</v>
      </c>
      <c r="TF7">
        <v>2021</v>
      </c>
      <c r="TG7" t="s">
        <v>3262</v>
      </c>
      <c r="TH7">
        <v>2461.75</v>
      </c>
      <c r="TI7">
        <v>74.23</v>
      </c>
      <c r="TJ7">
        <v>20.16</v>
      </c>
      <c r="TK7">
        <v>398.92</v>
      </c>
      <c r="TL7">
        <v>0.16200000000000001</v>
      </c>
      <c r="TM7">
        <v>658.08</v>
      </c>
      <c r="TN7">
        <v>0.26729999999999998</v>
      </c>
      <c r="TO7">
        <v>854.36</v>
      </c>
      <c r="TP7">
        <v>0.34710000000000002</v>
      </c>
      <c r="TQ7">
        <v>472.24</v>
      </c>
      <c r="TR7">
        <v>0.1918</v>
      </c>
      <c r="TS7">
        <v>0.42</v>
      </c>
      <c r="TT7">
        <v>2.0000000000000001E-4</v>
      </c>
      <c r="TU7">
        <v>0.32</v>
      </c>
      <c r="TV7">
        <v>1E-4</v>
      </c>
      <c r="TW7">
        <v>3.2</v>
      </c>
      <c r="TX7">
        <v>1.2999999999999999E-3</v>
      </c>
      <c r="UA7" t="s">
        <v>3393</v>
      </c>
      <c r="UB7">
        <v>2020</v>
      </c>
      <c r="UC7" t="s">
        <v>3262</v>
      </c>
      <c r="UD7">
        <v>2490</v>
      </c>
      <c r="UE7">
        <v>22.62</v>
      </c>
      <c r="UF7">
        <v>443</v>
      </c>
      <c r="UG7">
        <v>0.1779</v>
      </c>
      <c r="UH7">
        <v>770</v>
      </c>
      <c r="UI7">
        <v>0.30919999999999997</v>
      </c>
      <c r="UJ7">
        <v>633</v>
      </c>
      <c r="UK7">
        <v>0.25419999999999998</v>
      </c>
      <c r="UL7">
        <v>368</v>
      </c>
      <c r="UM7">
        <v>0.14779999999999999</v>
      </c>
      <c r="UN7">
        <v>178</v>
      </c>
      <c r="UO7">
        <v>7.1499999999999994E-2</v>
      </c>
      <c r="UP7">
        <v>81</v>
      </c>
      <c r="UQ7">
        <v>3.2500000000000001E-2</v>
      </c>
      <c r="UR7">
        <v>17</v>
      </c>
      <c r="US7">
        <v>6.7999999999999996E-3</v>
      </c>
      <c r="UW7" t="s">
        <v>3393</v>
      </c>
      <c r="UX7">
        <v>2020</v>
      </c>
      <c r="UY7" t="s">
        <v>3262</v>
      </c>
      <c r="UZ7">
        <v>53.37</v>
      </c>
      <c r="VA7">
        <v>40.24</v>
      </c>
      <c r="VB7">
        <v>26.31</v>
      </c>
      <c r="VC7">
        <v>17.010000000000002</v>
      </c>
      <c r="VG7" t="s">
        <v>3393</v>
      </c>
      <c r="VH7">
        <v>2021</v>
      </c>
      <c r="VI7">
        <v>2.66</v>
      </c>
      <c r="VJ7">
        <v>43.75</v>
      </c>
      <c r="VK7">
        <v>0.96</v>
      </c>
      <c r="VL7">
        <v>2.11</v>
      </c>
      <c r="VM7">
        <v>1.94</v>
      </c>
      <c r="VN7">
        <v>2191.6799999999998</v>
      </c>
      <c r="VR7" t="s">
        <v>3393</v>
      </c>
      <c r="VS7">
        <v>2020</v>
      </c>
      <c r="VT7" t="s">
        <v>3262</v>
      </c>
      <c r="VU7">
        <v>0.01</v>
      </c>
      <c r="VV7">
        <v>24.56</v>
      </c>
      <c r="VW7">
        <v>0</v>
      </c>
      <c r="VX7">
        <v>0.51</v>
      </c>
      <c r="VY7">
        <v>0.68</v>
      </c>
      <c r="VZ7">
        <v>1348</v>
      </c>
      <c r="WD7" t="s">
        <v>3393</v>
      </c>
      <c r="WE7">
        <v>2019</v>
      </c>
      <c r="WF7" t="s">
        <v>1194</v>
      </c>
      <c r="WG7">
        <v>284</v>
      </c>
      <c r="WH7">
        <v>23</v>
      </c>
      <c r="WI7">
        <v>23</v>
      </c>
      <c r="WJ7">
        <v>1</v>
      </c>
      <c r="WM7" t="s">
        <v>3393</v>
      </c>
      <c r="WN7">
        <v>2021</v>
      </c>
      <c r="WO7">
        <v>519</v>
      </c>
      <c r="WP7">
        <v>376</v>
      </c>
      <c r="WQ7">
        <v>452</v>
      </c>
      <c r="WR7">
        <v>489</v>
      </c>
      <c r="WS7">
        <v>548</v>
      </c>
      <c r="WT7">
        <v>573</v>
      </c>
      <c r="WU7">
        <v>492</v>
      </c>
      <c r="WV7">
        <v>315</v>
      </c>
      <c r="WW7">
        <v>177</v>
      </c>
      <c r="WX7">
        <v>73</v>
      </c>
      <c r="WY7">
        <v>47</v>
      </c>
      <c r="WZ7">
        <v>5</v>
      </c>
      <c r="XD7" t="s">
        <v>3393</v>
      </c>
      <c r="XE7">
        <v>2023</v>
      </c>
      <c r="XF7">
        <v>1948</v>
      </c>
      <c r="XG7">
        <v>1.78</v>
      </c>
      <c r="XH7">
        <v>0</v>
      </c>
      <c r="XI7">
        <v>0</v>
      </c>
      <c r="XJ7">
        <v>0</v>
      </c>
      <c r="XL7" t="s">
        <v>3393</v>
      </c>
      <c r="XM7">
        <v>2021</v>
      </c>
      <c r="XS7" t="s">
        <v>1618</v>
      </c>
      <c r="XT7">
        <v>2021</v>
      </c>
      <c r="XU7">
        <v>7.2098525126563827E-3</v>
      </c>
      <c r="XV7">
        <v>8.4917429379577824E-4</v>
      </c>
      <c r="XW7">
        <v>2.4642400868636082E-2</v>
      </c>
      <c r="XY7" t="s">
        <v>3393</v>
      </c>
      <c r="XZ7">
        <v>2021</v>
      </c>
      <c r="YA7">
        <v>14.95</v>
      </c>
      <c r="YB7">
        <v>14.6</v>
      </c>
      <c r="YC7">
        <v>6.08</v>
      </c>
      <c r="YD7">
        <v>2.5000000000000001E-2</v>
      </c>
      <c r="YF7" t="s">
        <v>3393</v>
      </c>
      <c r="YG7">
        <v>2023</v>
      </c>
      <c r="YH7">
        <v>1970</v>
      </c>
      <c r="YI7">
        <v>0</v>
      </c>
      <c r="YJ7">
        <v>1</v>
      </c>
      <c r="YM7" t="s">
        <v>3393</v>
      </c>
      <c r="YN7">
        <v>2020</v>
      </c>
      <c r="YO7">
        <v>4045</v>
      </c>
      <c r="YP7">
        <v>277</v>
      </c>
      <c r="YQ7">
        <v>684</v>
      </c>
      <c r="YR7">
        <v>2550</v>
      </c>
      <c r="YS7">
        <v>411</v>
      </c>
      <c r="YT7">
        <v>117</v>
      </c>
      <c r="YU7">
        <v>5</v>
      </c>
      <c r="YV7">
        <v>1</v>
      </c>
      <c r="YY7" t="s">
        <v>3393</v>
      </c>
      <c r="YZ7">
        <v>2023</v>
      </c>
      <c r="ZA7">
        <v>1949</v>
      </c>
      <c r="ZB7">
        <v>0</v>
      </c>
      <c r="ZC7">
        <v>1</v>
      </c>
      <c r="ZD7">
        <v>0</v>
      </c>
      <c r="ZE7">
        <v>0</v>
      </c>
      <c r="ZF7">
        <v>0</v>
      </c>
      <c r="ZG7">
        <v>0</v>
      </c>
      <c r="ZI7" t="s">
        <v>3393</v>
      </c>
      <c r="ZJ7">
        <v>2021</v>
      </c>
      <c r="ZK7">
        <v>239.05</v>
      </c>
      <c r="ZL7">
        <v>129.81</v>
      </c>
      <c r="ZM7">
        <v>109.23</v>
      </c>
      <c r="ZN7">
        <v>16.52</v>
      </c>
      <c r="ZO7">
        <v>35.74</v>
      </c>
      <c r="ZP7">
        <v>10.08</v>
      </c>
      <c r="ZQ7">
        <v>33.49</v>
      </c>
      <c r="ZR7">
        <v>8.6</v>
      </c>
      <c r="ZS7">
        <v>24.89</v>
      </c>
      <c r="ZT7">
        <v>14.01</v>
      </c>
      <c r="ZU7">
        <v>6.62</v>
      </c>
      <c r="ZV7">
        <v>22.79</v>
      </c>
      <c r="ZW7">
        <v>1.95</v>
      </c>
      <c r="ZX7">
        <v>1.81</v>
      </c>
      <c r="ZY7">
        <v>0.15</v>
      </c>
      <c r="ZZ7">
        <v>0.09</v>
      </c>
      <c r="AAA7">
        <v>0.21</v>
      </c>
      <c r="AAB7">
        <v>0.01</v>
      </c>
      <c r="AAC7">
        <v>3.07</v>
      </c>
      <c r="AAD7">
        <v>2.5499999999999998</v>
      </c>
      <c r="AAE7">
        <v>0.53</v>
      </c>
      <c r="AAF7">
        <v>0.14000000000000001</v>
      </c>
      <c r="AAG7">
        <v>0.28999999999999998</v>
      </c>
      <c r="AAH7">
        <v>0.19</v>
      </c>
      <c r="AAI7">
        <v>46.4</v>
      </c>
      <c r="AAJ7">
        <v>30.67</v>
      </c>
      <c r="AAK7">
        <v>15.74</v>
      </c>
      <c r="AAL7">
        <v>2.0699999999999998</v>
      </c>
      <c r="AAM7">
        <v>3.53</v>
      </c>
      <c r="AAN7">
        <v>2.23</v>
      </c>
    </row>
    <row r="8" spans="1:741" x14ac:dyDescent="0.25">
      <c r="AF8" t="s">
        <v>3393</v>
      </c>
      <c r="AG8">
        <v>2022</v>
      </c>
      <c r="AH8">
        <v>233.15</v>
      </c>
      <c r="AI8">
        <v>32.380000000000003</v>
      </c>
      <c r="AJ8">
        <v>1192.22</v>
      </c>
      <c r="AK8">
        <v>2281.39</v>
      </c>
      <c r="AL8">
        <v>3706.75</v>
      </c>
      <c r="AO8">
        <v>2022</v>
      </c>
      <c r="AP8">
        <v>0.48752719155415303</v>
      </c>
      <c r="AQ8">
        <v>0.93705340924578695</v>
      </c>
      <c r="AR8">
        <v>0.39489999999999997</v>
      </c>
      <c r="AS8">
        <v>0.93659999999999999</v>
      </c>
      <c r="AV8" t="s">
        <v>3393</v>
      </c>
      <c r="AW8">
        <v>2022</v>
      </c>
      <c r="AX8">
        <v>177.47</v>
      </c>
      <c r="AY8">
        <v>4.7899999999999998E-2</v>
      </c>
      <c r="AZ8">
        <v>47.13</v>
      </c>
      <c r="BA8">
        <v>7.86</v>
      </c>
      <c r="BB8">
        <v>69.47</v>
      </c>
      <c r="BC8">
        <v>53.01</v>
      </c>
      <c r="BD8">
        <v>108</v>
      </c>
      <c r="BE8">
        <v>69.08</v>
      </c>
      <c r="BF8">
        <v>174.15</v>
      </c>
      <c r="BG8">
        <v>170.64</v>
      </c>
      <c r="BL8" t="s">
        <v>3393</v>
      </c>
      <c r="BM8">
        <v>2022</v>
      </c>
      <c r="BN8">
        <v>643</v>
      </c>
      <c r="BO8">
        <v>0.17330000000000001</v>
      </c>
      <c r="BP8">
        <v>0.25662919874517731</v>
      </c>
      <c r="BQ8">
        <v>309</v>
      </c>
      <c r="BR8">
        <v>58</v>
      </c>
      <c r="BV8" t="s">
        <v>3393</v>
      </c>
      <c r="BW8">
        <v>2022</v>
      </c>
      <c r="BX8">
        <v>32.380000000000003</v>
      </c>
      <c r="BY8">
        <v>49.1</v>
      </c>
      <c r="BZ8">
        <v>2.1999999999999999E-2</v>
      </c>
      <c r="CC8">
        <v>2022</v>
      </c>
      <c r="CD8">
        <v>6.7524468523416925E-2</v>
      </c>
      <c r="CE8">
        <v>0.24755896542310019</v>
      </c>
      <c r="CH8" t="s">
        <v>3393</v>
      </c>
      <c r="CI8">
        <v>2022</v>
      </c>
      <c r="CJ8">
        <v>233.15</v>
      </c>
      <c r="CK8">
        <v>6.2899999999999998E-2</v>
      </c>
      <c r="CP8" t="s">
        <v>3393</v>
      </c>
      <c r="CQ8">
        <v>2022</v>
      </c>
      <c r="CR8">
        <v>0</v>
      </c>
      <c r="CS8">
        <v>0</v>
      </c>
      <c r="CT8">
        <v>3445.96</v>
      </c>
      <c r="CU8">
        <v>0.92959999999999998</v>
      </c>
      <c r="CV8">
        <v>8.82</v>
      </c>
      <c r="CW8">
        <v>2.3999999999999998E-3</v>
      </c>
      <c r="CX8">
        <v>0</v>
      </c>
      <c r="CY8">
        <v>0</v>
      </c>
      <c r="CZ8">
        <v>251.98</v>
      </c>
      <c r="DA8">
        <v>6.8000000000000005E-2</v>
      </c>
      <c r="DF8" t="s">
        <v>3393</v>
      </c>
      <c r="DG8">
        <v>2022</v>
      </c>
      <c r="DH8">
        <v>11022</v>
      </c>
      <c r="DI8">
        <v>335</v>
      </c>
      <c r="DJ8">
        <v>3311</v>
      </c>
      <c r="DK8">
        <v>69</v>
      </c>
      <c r="DL8">
        <v>2</v>
      </c>
      <c r="DM8">
        <v>2793</v>
      </c>
      <c r="DN8" t="s">
        <v>3394</v>
      </c>
      <c r="DQ8" t="s">
        <v>3393</v>
      </c>
      <c r="DR8">
        <v>2022</v>
      </c>
      <c r="DS8">
        <v>3706.75</v>
      </c>
      <c r="DT8">
        <v>164.21</v>
      </c>
      <c r="DU8">
        <v>21.68</v>
      </c>
      <c r="DV8">
        <v>565.41999999999996</v>
      </c>
      <c r="DW8">
        <v>0.1525</v>
      </c>
      <c r="DX8">
        <v>859.7</v>
      </c>
      <c r="DY8">
        <v>0.2319</v>
      </c>
      <c r="DZ8">
        <v>946.69</v>
      </c>
      <c r="EA8">
        <v>0.25540000000000002</v>
      </c>
      <c r="EB8">
        <v>1157.49</v>
      </c>
      <c r="EC8">
        <v>0.31230000000000002</v>
      </c>
      <c r="ED8">
        <v>3.32</v>
      </c>
      <c r="EE8">
        <v>8.9999999999999998E-4</v>
      </c>
      <c r="EF8">
        <v>3.51</v>
      </c>
      <c r="EG8">
        <v>8.9999999999999998E-4</v>
      </c>
      <c r="EH8">
        <v>170.64</v>
      </c>
      <c r="EI8">
        <v>4.5999999999999999E-2</v>
      </c>
      <c r="EM8" t="s">
        <v>3393</v>
      </c>
      <c r="EN8">
        <v>2022</v>
      </c>
      <c r="EO8">
        <v>3711</v>
      </c>
      <c r="EP8">
        <v>25.79</v>
      </c>
      <c r="EQ8">
        <v>566</v>
      </c>
      <c r="ER8">
        <v>0.1525</v>
      </c>
      <c r="ES8">
        <v>857</v>
      </c>
      <c r="ET8">
        <v>0.23089999999999999</v>
      </c>
      <c r="EU8">
        <v>1005</v>
      </c>
      <c r="EV8">
        <v>0.27079999999999999</v>
      </c>
      <c r="EW8">
        <v>640</v>
      </c>
      <c r="EX8">
        <v>0.17249999999999999</v>
      </c>
      <c r="EY8">
        <v>334</v>
      </c>
      <c r="EZ8">
        <v>0.09</v>
      </c>
      <c r="FA8">
        <v>251</v>
      </c>
      <c r="FB8">
        <v>6.7599999999999993E-2</v>
      </c>
      <c r="FC8">
        <v>58</v>
      </c>
      <c r="FD8">
        <v>1.5599999999999999E-2</v>
      </c>
      <c r="FG8" t="s">
        <v>3393</v>
      </c>
      <c r="FH8">
        <v>2022</v>
      </c>
      <c r="FI8">
        <v>56.57</v>
      </c>
      <c r="FJ8">
        <v>42.02</v>
      </c>
      <c r="FK8">
        <v>29.28</v>
      </c>
      <c r="FL8">
        <v>20.47</v>
      </c>
      <c r="FM8">
        <v>42.34</v>
      </c>
      <c r="FN8">
        <v>28.55</v>
      </c>
      <c r="FO8">
        <v>19.89</v>
      </c>
      <c r="FR8">
        <v>2021</v>
      </c>
      <c r="FS8">
        <v>3.7000000000000002E-3</v>
      </c>
      <c r="FT8">
        <v>8.5</v>
      </c>
      <c r="FU8">
        <v>0.13200000000000001</v>
      </c>
      <c r="FX8" t="s">
        <v>3393</v>
      </c>
      <c r="FY8">
        <v>2022</v>
      </c>
      <c r="FZ8">
        <v>2243.4</v>
      </c>
      <c r="GA8">
        <v>4.9000000000000004</v>
      </c>
      <c r="GB8">
        <v>2645.1</v>
      </c>
      <c r="GC8">
        <v>4893.3999999999996</v>
      </c>
      <c r="GE8">
        <v>2022</v>
      </c>
      <c r="GF8">
        <v>0.523737710871374</v>
      </c>
      <c r="GG8">
        <v>0.436</v>
      </c>
      <c r="GK8" t="s">
        <v>3393</v>
      </c>
      <c r="GL8">
        <v>2022</v>
      </c>
      <c r="GM8">
        <v>1265</v>
      </c>
      <c r="GN8">
        <v>0.25850000000000001</v>
      </c>
      <c r="GO8">
        <v>0.29343153390953114</v>
      </c>
      <c r="GP8">
        <v>749.8</v>
      </c>
      <c r="GQ8">
        <v>157.19999999999999</v>
      </c>
      <c r="GV8" t="s">
        <v>3393</v>
      </c>
      <c r="GW8">
        <v>2022</v>
      </c>
      <c r="GX8">
        <v>14.8</v>
      </c>
      <c r="GY8">
        <v>704.6</v>
      </c>
      <c r="GZ8">
        <v>6.6E-3</v>
      </c>
      <c r="HA8">
        <v>3.0000000000000001E-3</v>
      </c>
      <c r="HE8" t="s">
        <v>3393</v>
      </c>
      <c r="HF8">
        <v>2022</v>
      </c>
      <c r="HG8">
        <v>77</v>
      </c>
      <c r="HH8">
        <v>1.5800000000000002E-2</v>
      </c>
      <c r="HI8">
        <v>2525</v>
      </c>
      <c r="HJ8">
        <v>0.51590000000000003</v>
      </c>
      <c r="HK8">
        <v>2121</v>
      </c>
      <c r="HL8">
        <v>0.43340000000000001</v>
      </c>
      <c r="HM8">
        <v>0</v>
      </c>
      <c r="HN8">
        <v>0</v>
      </c>
      <c r="HO8">
        <v>171</v>
      </c>
      <c r="HP8">
        <v>3.49E-2</v>
      </c>
      <c r="HU8" t="s">
        <v>3393</v>
      </c>
      <c r="HV8">
        <v>2022</v>
      </c>
      <c r="HW8">
        <v>2248.33</v>
      </c>
      <c r="HX8">
        <v>0.45950000000000002</v>
      </c>
      <c r="HY8">
        <v>2558.2199999999998</v>
      </c>
      <c r="HZ8">
        <v>0.52280000000000004</v>
      </c>
      <c r="IA8">
        <v>86.86</v>
      </c>
      <c r="IB8">
        <v>1.78E-2</v>
      </c>
      <c r="IC8">
        <v>1.78</v>
      </c>
      <c r="IH8" t="s">
        <v>3393</v>
      </c>
      <c r="II8">
        <v>2022</v>
      </c>
      <c r="IJ8">
        <v>277</v>
      </c>
      <c r="IK8">
        <v>20</v>
      </c>
      <c r="IL8">
        <v>3</v>
      </c>
      <c r="IM8">
        <v>0</v>
      </c>
      <c r="IN8">
        <v>73.25</v>
      </c>
      <c r="IO8" t="s">
        <v>3397</v>
      </c>
      <c r="IP8">
        <v>19.399999999999999</v>
      </c>
      <c r="IQ8">
        <v>56.32</v>
      </c>
      <c r="IR8">
        <v>6.1</v>
      </c>
      <c r="IS8">
        <v>3.49</v>
      </c>
      <c r="IW8" t="s">
        <v>3393</v>
      </c>
      <c r="IX8">
        <v>2022</v>
      </c>
      <c r="IY8">
        <v>4893.42</v>
      </c>
      <c r="IZ8">
        <v>28.51</v>
      </c>
      <c r="JA8">
        <v>851.71</v>
      </c>
      <c r="JB8">
        <v>0.1741</v>
      </c>
      <c r="JC8">
        <v>749.7</v>
      </c>
      <c r="JD8">
        <v>0.1532</v>
      </c>
      <c r="JE8">
        <v>833.13</v>
      </c>
      <c r="JF8">
        <v>0.17030000000000001</v>
      </c>
      <c r="JG8">
        <v>1193.9100000000001</v>
      </c>
      <c r="JH8">
        <v>0.24399999999999999</v>
      </c>
      <c r="JI8">
        <v>515.14</v>
      </c>
      <c r="JJ8">
        <v>0.1053</v>
      </c>
      <c r="JK8">
        <v>592.62</v>
      </c>
      <c r="JL8">
        <v>0.1211</v>
      </c>
      <c r="JM8">
        <v>157.22999999999999</v>
      </c>
      <c r="JN8">
        <v>3.2099999999999997E-2</v>
      </c>
      <c r="JS8" t="s">
        <v>3393</v>
      </c>
      <c r="JT8">
        <v>2022</v>
      </c>
      <c r="JU8">
        <v>4851</v>
      </c>
      <c r="JV8">
        <v>28.87</v>
      </c>
      <c r="JW8">
        <v>846</v>
      </c>
      <c r="JX8">
        <v>0.1744</v>
      </c>
      <c r="JY8">
        <v>751</v>
      </c>
      <c r="JZ8">
        <v>0.15479999999999999</v>
      </c>
      <c r="KA8">
        <v>833</v>
      </c>
      <c r="KB8">
        <v>0.17169999999999999</v>
      </c>
      <c r="KC8">
        <v>1207</v>
      </c>
      <c r="KD8">
        <v>0.24879999999999999</v>
      </c>
      <c r="KE8">
        <v>463</v>
      </c>
      <c r="KF8">
        <v>9.5399999999999999E-2</v>
      </c>
      <c r="KG8">
        <v>616</v>
      </c>
      <c r="KH8">
        <v>0.127</v>
      </c>
      <c r="KI8">
        <v>135</v>
      </c>
      <c r="KJ8">
        <v>2.7799999999999998E-2</v>
      </c>
      <c r="KM8" t="s">
        <v>3393</v>
      </c>
      <c r="KN8">
        <v>2022</v>
      </c>
      <c r="KO8">
        <v>42.26</v>
      </c>
      <c r="KP8">
        <v>48.85</v>
      </c>
      <c r="KQ8">
        <v>37.119999999999997</v>
      </c>
      <c r="KR8">
        <v>16.84</v>
      </c>
      <c r="KS8">
        <v>49.69</v>
      </c>
      <c r="KT8">
        <v>28.51</v>
      </c>
      <c r="KV8" t="s">
        <v>3393</v>
      </c>
      <c r="KW8">
        <v>2023</v>
      </c>
      <c r="KX8">
        <v>2014</v>
      </c>
      <c r="KY8" t="s">
        <v>3264</v>
      </c>
      <c r="KZ8">
        <v>7.41</v>
      </c>
      <c r="LC8" t="s">
        <v>3393</v>
      </c>
      <c r="LD8">
        <v>2022</v>
      </c>
      <c r="LE8">
        <v>4088</v>
      </c>
      <c r="LF8">
        <v>0</v>
      </c>
      <c r="LG8">
        <v>1</v>
      </c>
      <c r="LH8">
        <v>0</v>
      </c>
      <c r="LI8">
        <v>179880</v>
      </c>
      <c r="LJ8">
        <v>1327</v>
      </c>
      <c r="LK8">
        <v>455</v>
      </c>
      <c r="LL8">
        <v>1778</v>
      </c>
      <c r="LM8">
        <v>0</v>
      </c>
      <c r="LN8">
        <v>4089</v>
      </c>
      <c r="LR8" t="s">
        <v>3393</v>
      </c>
      <c r="LS8">
        <v>2022</v>
      </c>
      <c r="LT8">
        <v>224</v>
      </c>
      <c r="LU8">
        <v>5.4800000000000001E-2</v>
      </c>
      <c r="LX8" t="s">
        <v>3393</v>
      </c>
      <c r="LY8">
        <v>2022</v>
      </c>
      <c r="LZ8">
        <v>577498</v>
      </c>
      <c r="MA8">
        <v>0.35489999999999999</v>
      </c>
      <c r="MB8">
        <v>278998</v>
      </c>
      <c r="MC8">
        <v>37014</v>
      </c>
      <c r="MD8">
        <v>86764</v>
      </c>
      <c r="ME8">
        <v>0</v>
      </c>
      <c r="MF8">
        <v>212930</v>
      </c>
      <c r="MG8">
        <v>30646</v>
      </c>
      <c r="MH8">
        <v>0.33193911706120827</v>
      </c>
      <c r="MM8" t="s">
        <v>3393</v>
      </c>
      <c r="MN8">
        <v>2023</v>
      </c>
      <c r="MO8" t="s">
        <v>1624</v>
      </c>
      <c r="MP8">
        <v>230</v>
      </c>
      <c r="MQ8">
        <v>38.700000000000003</v>
      </c>
      <c r="MR8">
        <v>102</v>
      </c>
      <c r="MS8">
        <v>0</v>
      </c>
      <c r="MX8" t="s">
        <v>3393</v>
      </c>
      <c r="MY8">
        <v>2022</v>
      </c>
      <c r="MZ8">
        <v>3</v>
      </c>
      <c r="NA8">
        <v>0</v>
      </c>
      <c r="NB8">
        <v>37</v>
      </c>
      <c r="NC8">
        <v>0</v>
      </c>
      <c r="ND8">
        <v>40</v>
      </c>
      <c r="NE8">
        <v>28</v>
      </c>
      <c r="NJ8" t="s">
        <v>3393</v>
      </c>
      <c r="NK8">
        <v>2022</v>
      </c>
      <c r="NL8">
        <v>4089</v>
      </c>
      <c r="NM8">
        <v>32.700000000000003</v>
      </c>
      <c r="NN8">
        <v>423</v>
      </c>
      <c r="NO8">
        <v>0.10340000000000001</v>
      </c>
      <c r="NP8">
        <v>457</v>
      </c>
      <c r="NQ8">
        <v>0.1118</v>
      </c>
      <c r="NR8">
        <v>736</v>
      </c>
      <c r="NS8">
        <v>0.18</v>
      </c>
      <c r="NT8">
        <v>1022</v>
      </c>
      <c r="NU8">
        <v>0.24990000000000001</v>
      </c>
      <c r="NV8">
        <v>818</v>
      </c>
      <c r="NW8">
        <v>0.2</v>
      </c>
      <c r="NX8">
        <v>539</v>
      </c>
      <c r="NY8">
        <v>0.1318</v>
      </c>
      <c r="NZ8">
        <v>94</v>
      </c>
      <c r="OA8">
        <v>2.3E-2</v>
      </c>
      <c r="OD8" t="s">
        <v>3393</v>
      </c>
      <c r="OE8">
        <v>2022</v>
      </c>
      <c r="OF8">
        <v>2461</v>
      </c>
      <c r="OG8">
        <v>1413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R8" t="s">
        <v>3393</v>
      </c>
      <c r="OS8">
        <v>2022</v>
      </c>
      <c r="OW8">
        <v>8</v>
      </c>
      <c r="OX8">
        <v>0.27</v>
      </c>
      <c r="PA8" t="s">
        <v>3393</v>
      </c>
      <c r="PB8">
        <v>2019</v>
      </c>
      <c r="PC8">
        <v>250</v>
      </c>
      <c r="PD8">
        <v>974</v>
      </c>
      <c r="PI8" t="s">
        <v>3393</v>
      </c>
      <c r="PJ8">
        <v>2022</v>
      </c>
      <c r="PK8">
        <v>21</v>
      </c>
      <c r="PL8">
        <v>86</v>
      </c>
      <c r="PM8">
        <v>2.1000000000000001E-2</v>
      </c>
      <c r="PN8">
        <v>6</v>
      </c>
      <c r="PO8">
        <v>1</v>
      </c>
      <c r="PR8" t="s">
        <v>3393</v>
      </c>
      <c r="PS8">
        <v>2022</v>
      </c>
      <c r="PT8">
        <v>220</v>
      </c>
      <c r="PU8">
        <v>3879</v>
      </c>
      <c r="PV8">
        <v>141</v>
      </c>
      <c r="PW8">
        <v>996</v>
      </c>
      <c r="PX8">
        <v>4099</v>
      </c>
      <c r="QA8" t="s">
        <v>3393</v>
      </c>
      <c r="QB8">
        <v>2020</v>
      </c>
      <c r="QC8" t="s">
        <v>1620</v>
      </c>
      <c r="QD8">
        <v>137.12</v>
      </c>
      <c r="QE8">
        <v>9.19</v>
      </c>
      <c r="QF8">
        <v>223.29</v>
      </c>
      <c r="QG8">
        <v>820.63</v>
      </c>
      <c r="QH8">
        <v>1181.04</v>
      </c>
      <c r="QK8" t="s">
        <v>3393</v>
      </c>
      <c r="QL8">
        <v>2020</v>
      </c>
      <c r="QM8" t="s">
        <v>1620</v>
      </c>
      <c r="QN8">
        <v>79.23</v>
      </c>
      <c r="QO8">
        <v>6.7100000000000007E-2</v>
      </c>
      <c r="QP8">
        <v>34.369999999999997</v>
      </c>
      <c r="QQ8">
        <v>1.77</v>
      </c>
      <c r="QR8">
        <v>15.53</v>
      </c>
      <c r="QS8">
        <v>27.55</v>
      </c>
      <c r="QT8">
        <v>63.69</v>
      </c>
      <c r="QU8">
        <v>15.18</v>
      </c>
      <c r="QV8">
        <v>76.86</v>
      </c>
      <c r="QW8">
        <v>74.3</v>
      </c>
      <c r="RA8" t="s">
        <v>3393</v>
      </c>
      <c r="RB8">
        <v>2020</v>
      </c>
      <c r="RC8" t="s">
        <v>1620</v>
      </c>
      <c r="RD8">
        <v>313</v>
      </c>
      <c r="RE8">
        <v>0.26669999999999999</v>
      </c>
      <c r="RF8">
        <v>177</v>
      </c>
      <c r="RG8">
        <v>15</v>
      </c>
      <c r="RK8" t="s">
        <v>3393</v>
      </c>
      <c r="RL8">
        <v>2020</v>
      </c>
      <c r="RM8" t="s">
        <v>1620</v>
      </c>
      <c r="RN8">
        <v>9.19</v>
      </c>
      <c r="RO8">
        <v>23.56</v>
      </c>
      <c r="RP8">
        <v>2.7699999999999999E-2</v>
      </c>
      <c r="RT8" t="s">
        <v>3393</v>
      </c>
      <c r="RU8">
        <v>2020</v>
      </c>
      <c r="RV8" t="s">
        <v>1620</v>
      </c>
      <c r="RW8">
        <v>137.12</v>
      </c>
      <c r="RX8">
        <v>0.11609999999999999</v>
      </c>
      <c r="SB8" t="s">
        <v>3393</v>
      </c>
      <c r="SC8">
        <v>2020</v>
      </c>
      <c r="SD8" t="s">
        <v>1620</v>
      </c>
      <c r="SE8">
        <v>0</v>
      </c>
      <c r="SF8">
        <v>0</v>
      </c>
      <c r="SG8">
        <v>1011.92</v>
      </c>
      <c r="SH8">
        <v>0.85680000000000001</v>
      </c>
      <c r="SI8">
        <v>1.46</v>
      </c>
      <c r="SJ8">
        <v>1.1999999999999999E-3</v>
      </c>
      <c r="SK8">
        <v>0</v>
      </c>
      <c r="SL8">
        <v>0</v>
      </c>
      <c r="SM8">
        <v>167.67</v>
      </c>
      <c r="SN8">
        <v>0.14199999999999999</v>
      </c>
      <c r="SR8" t="s">
        <v>3393</v>
      </c>
      <c r="SS8">
        <v>2020</v>
      </c>
      <c r="ST8" t="s">
        <v>1620</v>
      </c>
      <c r="SU8">
        <v>4828</v>
      </c>
      <c r="SV8">
        <v>244</v>
      </c>
      <c r="SW8">
        <v>856</v>
      </c>
      <c r="SX8">
        <v>3</v>
      </c>
      <c r="SY8">
        <v>0</v>
      </c>
      <c r="SZ8">
        <v>2441</v>
      </c>
      <c r="TA8" t="s">
        <v>3395</v>
      </c>
      <c r="TE8" t="s">
        <v>3393</v>
      </c>
      <c r="TF8">
        <v>2022</v>
      </c>
      <c r="TG8" t="s">
        <v>3262</v>
      </c>
      <c r="TH8">
        <v>2468.3200000000002</v>
      </c>
      <c r="TI8">
        <v>71.849999999999994</v>
      </c>
      <c r="TJ8">
        <v>20.8</v>
      </c>
      <c r="TK8">
        <v>383.36</v>
      </c>
      <c r="TL8">
        <v>0.15529999999999999</v>
      </c>
      <c r="TM8">
        <v>625.66</v>
      </c>
      <c r="TN8">
        <v>0.2535</v>
      </c>
      <c r="TO8">
        <v>693.33</v>
      </c>
      <c r="TP8">
        <v>0.28089999999999998</v>
      </c>
      <c r="TQ8">
        <v>689.89</v>
      </c>
      <c r="TR8">
        <v>0.27950000000000003</v>
      </c>
      <c r="TS8">
        <v>0.73</v>
      </c>
      <c r="TT8">
        <v>2.9999999999999997E-4</v>
      </c>
      <c r="TU8">
        <v>0.32</v>
      </c>
      <c r="TV8">
        <v>1E-4</v>
      </c>
      <c r="TW8">
        <v>3.2</v>
      </c>
      <c r="TX8">
        <v>1.2999999999999999E-3</v>
      </c>
      <c r="UA8" t="s">
        <v>3393</v>
      </c>
      <c r="UB8">
        <v>2020</v>
      </c>
      <c r="UC8" t="s">
        <v>1620</v>
      </c>
      <c r="UD8">
        <v>1174</v>
      </c>
      <c r="UE8">
        <v>29.3</v>
      </c>
      <c r="UF8">
        <v>190</v>
      </c>
      <c r="UG8">
        <v>0.1618</v>
      </c>
      <c r="UH8">
        <v>195</v>
      </c>
      <c r="UI8">
        <v>0.1661</v>
      </c>
      <c r="UJ8">
        <v>217</v>
      </c>
      <c r="UK8">
        <v>0.18479999999999999</v>
      </c>
      <c r="UL8">
        <v>259</v>
      </c>
      <c r="UM8">
        <v>0.22059999999999999</v>
      </c>
      <c r="UN8">
        <v>136</v>
      </c>
      <c r="UO8">
        <v>0.1158</v>
      </c>
      <c r="UP8">
        <v>162</v>
      </c>
      <c r="UQ8">
        <v>0.13800000000000001</v>
      </c>
      <c r="UR8">
        <v>15</v>
      </c>
      <c r="US8">
        <v>1.2800000000000001E-2</v>
      </c>
      <c r="UW8" t="s">
        <v>3393</v>
      </c>
      <c r="UX8">
        <v>2020</v>
      </c>
      <c r="UY8" t="s">
        <v>1620</v>
      </c>
      <c r="UZ8">
        <v>55.93</v>
      </c>
      <c r="VA8">
        <v>38.76</v>
      </c>
      <c r="VB8">
        <v>34.28</v>
      </c>
      <c r="VC8">
        <v>23.34</v>
      </c>
      <c r="VG8" t="s">
        <v>3393</v>
      </c>
      <c r="VH8">
        <v>2022</v>
      </c>
      <c r="VI8">
        <v>2.48</v>
      </c>
      <c r="VJ8">
        <v>43.26</v>
      </c>
      <c r="VK8">
        <v>0.96</v>
      </c>
      <c r="VL8">
        <v>2.09</v>
      </c>
      <c r="VM8">
        <v>1.91</v>
      </c>
      <c r="VN8">
        <v>2228.98</v>
      </c>
      <c r="VR8" t="s">
        <v>3393</v>
      </c>
      <c r="VS8">
        <v>2020</v>
      </c>
      <c r="VT8" t="s">
        <v>1620</v>
      </c>
      <c r="VU8">
        <v>2.95</v>
      </c>
      <c r="VV8">
        <v>19.170000000000002</v>
      </c>
      <c r="VW8">
        <v>0.96</v>
      </c>
      <c r="VX8">
        <v>1.59</v>
      </c>
      <c r="VY8">
        <v>1.27</v>
      </c>
      <c r="VZ8">
        <v>794.61</v>
      </c>
      <c r="WD8" t="s">
        <v>3393</v>
      </c>
      <c r="WE8">
        <v>2020</v>
      </c>
      <c r="WF8" t="s">
        <v>1617</v>
      </c>
      <c r="WG8">
        <v>0</v>
      </c>
      <c r="WH8">
        <v>141</v>
      </c>
      <c r="WI8">
        <v>141</v>
      </c>
      <c r="WJ8">
        <v>610</v>
      </c>
      <c r="WM8" t="s">
        <v>3393</v>
      </c>
      <c r="WN8">
        <v>2022</v>
      </c>
      <c r="WO8">
        <v>552</v>
      </c>
      <c r="WP8">
        <v>385</v>
      </c>
      <c r="WQ8">
        <v>450</v>
      </c>
      <c r="WR8">
        <v>485</v>
      </c>
      <c r="WS8">
        <v>553</v>
      </c>
      <c r="WT8">
        <v>555</v>
      </c>
      <c r="WU8">
        <v>473</v>
      </c>
      <c r="WV8">
        <v>330</v>
      </c>
      <c r="WW8">
        <v>179</v>
      </c>
      <c r="WX8">
        <v>82</v>
      </c>
      <c r="WY8">
        <v>46</v>
      </c>
      <c r="WZ8">
        <v>6</v>
      </c>
      <c r="XD8" t="s">
        <v>3393</v>
      </c>
      <c r="XE8">
        <v>2023</v>
      </c>
      <c r="XF8">
        <v>1949</v>
      </c>
      <c r="XG8">
        <v>1.75</v>
      </c>
      <c r="XH8">
        <v>0</v>
      </c>
      <c r="XI8">
        <v>0</v>
      </c>
      <c r="XJ8">
        <v>0</v>
      </c>
      <c r="XL8" t="s">
        <v>3393</v>
      </c>
      <c r="XM8">
        <v>2022</v>
      </c>
      <c r="XS8" t="s">
        <v>1618</v>
      </c>
      <c r="XT8">
        <v>2022</v>
      </c>
      <c r="XU8">
        <v>5.5342483852971894E-3</v>
      </c>
      <c r="XV8">
        <v>3.0765870189563908E-5</v>
      </c>
      <c r="XW8">
        <v>2.2934372732525122E-2</v>
      </c>
      <c r="XY8" t="s">
        <v>3393</v>
      </c>
      <c r="XZ8">
        <v>2022</v>
      </c>
      <c r="YA8">
        <v>20.399999999999999</v>
      </c>
      <c r="YB8">
        <v>3.74</v>
      </c>
      <c r="YC8">
        <v>4.93</v>
      </c>
      <c r="YD8">
        <v>2.5000000000000001E-2</v>
      </c>
      <c r="YF8" t="s">
        <v>3393</v>
      </c>
      <c r="YG8">
        <v>2023</v>
      </c>
      <c r="YH8">
        <v>1972</v>
      </c>
      <c r="YI8">
        <v>0</v>
      </c>
      <c r="YJ8">
        <v>1</v>
      </c>
      <c r="YM8" t="s">
        <v>3393</v>
      </c>
      <c r="YN8">
        <v>2021</v>
      </c>
      <c r="YO8">
        <v>4067</v>
      </c>
      <c r="YP8">
        <v>343</v>
      </c>
      <c r="YQ8">
        <v>684</v>
      </c>
      <c r="YR8">
        <v>2513</v>
      </c>
      <c r="YS8">
        <v>405</v>
      </c>
      <c r="YT8">
        <v>116</v>
      </c>
      <c r="YU8">
        <v>5</v>
      </c>
      <c r="YV8">
        <v>1</v>
      </c>
      <c r="YY8" t="s">
        <v>3393</v>
      </c>
      <c r="YZ8">
        <v>2023</v>
      </c>
      <c r="ZA8">
        <v>1950</v>
      </c>
      <c r="ZB8">
        <v>0</v>
      </c>
      <c r="ZC8">
        <v>0</v>
      </c>
      <c r="ZD8">
        <v>1.17</v>
      </c>
      <c r="ZE8">
        <v>1.17</v>
      </c>
      <c r="ZF8">
        <v>0</v>
      </c>
      <c r="ZG8">
        <v>0</v>
      </c>
      <c r="ZI8" t="s">
        <v>3393</v>
      </c>
      <c r="ZJ8">
        <v>2022</v>
      </c>
      <c r="ZK8">
        <v>233.15</v>
      </c>
      <c r="ZL8">
        <v>127.5</v>
      </c>
      <c r="ZM8">
        <v>105.65</v>
      </c>
      <c r="ZN8">
        <v>16.36</v>
      </c>
      <c r="ZO8">
        <v>35.29</v>
      </c>
      <c r="ZP8">
        <v>9.93</v>
      </c>
      <c r="ZQ8">
        <v>32.380000000000003</v>
      </c>
      <c r="ZR8">
        <v>8.24</v>
      </c>
      <c r="ZS8">
        <v>24.14</v>
      </c>
      <c r="ZT8">
        <v>13.89</v>
      </c>
      <c r="ZU8">
        <v>6.46</v>
      </c>
      <c r="ZV8">
        <v>22.85</v>
      </c>
      <c r="ZW8">
        <v>1.93</v>
      </c>
      <c r="ZX8">
        <v>1.78</v>
      </c>
      <c r="ZY8">
        <v>0.15</v>
      </c>
      <c r="ZZ8">
        <v>0.08</v>
      </c>
      <c r="AAA8">
        <v>0.2</v>
      </c>
      <c r="AAB8">
        <v>0.01</v>
      </c>
      <c r="AAC8">
        <v>3.04</v>
      </c>
      <c r="AAD8">
        <v>2.52</v>
      </c>
      <c r="AAE8">
        <v>0.53</v>
      </c>
      <c r="AAF8">
        <v>0.13</v>
      </c>
      <c r="AAG8">
        <v>0.28999999999999998</v>
      </c>
      <c r="AAH8">
        <v>0.18</v>
      </c>
      <c r="AAI8">
        <v>45.74</v>
      </c>
      <c r="AAJ8">
        <v>30.23</v>
      </c>
      <c r="AAK8">
        <v>15.51</v>
      </c>
      <c r="AAL8">
        <v>2.0099999999999998</v>
      </c>
      <c r="AAM8">
        <v>3.44</v>
      </c>
      <c r="AAN8">
        <v>2.16</v>
      </c>
    </row>
    <row r="9" spans="1:741" x14ac:dyDescent="0.25">
      <c r="AF9" t="s">
        <v>3393</v>
      </c>
      <c r="AG9">
        <v>2023</v>
      </c>
      <c r="AH9">
        <v>224.27</v>
      </c>
      <c r="AI9">
        <v>30.09</v>
      </c>
      <c r="AJ9">
        <v>1186.99</v>
      </c>
      <c r="AK9">
        <v>2328.65</v>
      </c>
      <c r="AL9">
        <v>3739.91</v>
      </c>
      <c r="AO9">
        <v>2023</v>
      </c>
      <c r="AP9">
        <v>0.49435922525697301</v>
      </c>
      <c r="AQ9">
        <v>0.94414848911966398</v>
      </c>
      <c r="AR9">
        <v>0.39439999999999997</v>
      </c>
      <c r="AS9">
        <v>0.93659999999999999</v>
      </c>
      <c r="AV9" t="s">
        <v>3393</v>
      </c>
      <c r="AW9">
        <v>2023</v>
      </c>
      <c r="AX9">
        <v>176.06</v>
      </c>
      <c r="AY9">
        <v>4.7100000000000003E-2</v>
      </c>
      <c r="AZ9">
        <v>44.93</v>
      </c>
      <c r="BA9">
        <v>7.41</v>
      </c>
      <c r="BB9">
        <v>70.12</v>
      </c>
      <c r="BC9">
        <v>53.6</v>
      </c>
      <c r="BD9">
        <v>105.94</v>
      </c>
      <c r="BE9">
        <v>68.760000000000005</v>
      </c>
      <c r="BF9">
        <v>171.19</v>
      </c>
      <c r="BG9">
        <v>167.04</v>
      </c>
      <c r="BL9" t="s">
        <v>3393</v>
      </c>
      <c r="BM9">
        <v>2023</v>
      </c>
      <c r="BN9">
        <v>671</v>
      </c>
      <c r="BO9">
        <v>0.1794</v>
      </c>
      <c r="BP9">
        <v>0.25946677297479886</v>
      </c>
      <c r="BQ9">
        <v>310</v>
      </c>
      <c r="BR9">
        <v>64</v>
      </c>
      <c r="BV9" t="s">
        <v>3393</v>
      </c>
      <c r="BW9">
        <v>2023</v>
      </c>
      <c r="BX9">
        <v>30.09</v>
      </c>
      <c r="BY9">
        <v>48.8</v>
      </c>
      <c r="BZ9">
        <v>2.1100000000000001E-2</v>
      </c>
      <c r="CC9">
        <v>2023</v>
      </c>
      <c r="CD9">
        <v>5.7237398833982399E-2</v>
      </c>
      <c r="CE9">
        <v>0.2274284439108856</v>
      </c>
      <c r="CH9" t="s">
        <v>3393</v>
      </c>
      <c r="CI9">
        <v>2023</v>
      </c>
      <c r="CJ9">
        <v>224.27</v>
      </c>
      <c r="CK9">
        <v>0.06</v>
      </c>
      <c r="CP9" t="s">
        <v>3393</v>
      </c>
      <c r="CQ9">
        <v>2023</v>
      </c>
      <c r="CR9">
        <v>0</v>
      </c>
      <c r="CS9">
        <v>0</v>
      </c>
      <c r="CT9">
        <v>3488.82</v>
      </c>
      <c r="CU9">
        <v>0.93289999999999995</v>
      </c>
      <c r="CV9">
        <v>8.7899999999999991</v>
      </c>
      <c r="CW9">
        <v>2.3999999999999998E-3</v>
      </c>
      <c r="CX9">
        <v>0</v>
      </c>
      <c r="CY9">
        <v>0</v>
      </c>
      <c r="CZ9">
        <v>242.3</v>
      </c>
      <c r="DA9">
        <v>6.4799999999999996E-2</v>
      </c>
      <c r="DF9" t="s">
        <v>3393</v>
      </c>
      <c r="DG9">
        <v>2023</v>
      </c>
      <c r="DH9">
        <v>11172</v>
      </c>
      <c r="DI9">
        <v>333</v>
      </c>
      <c r="DJ9">
        <v>3343</v>
      </c>
      <c r="DK9">
        <v>66</v>
      </c>
      <c r="DL9">
        <v>2</v>
      </c>
      <c r="DM9">
        <v>2793</v>
      </c>
      <c r="DN9" t="s">
        <v>3394</v>
      </c>
      <c r="DQ9" t="s">
        <v>3393</v>
      </c>
      <c r="DR9">
        <v>2023</v>
      </c>
      <c r="DS9">
        <v>3739.91</v>
      </c>
      <c r="DT9">
        <v>160.72</v>
      </c>
      <c r="DU9">
        <v>22.26</v>
      </c>
      <c r="DV9">
        <v>557.71</v>
      </c>
      <c r="DW9">
        <v>0.14910000000000001</v>
      </c>
      <c r="DX9">
        <v>807.29</v>
      </c>
      <c r="DY9">
        <v>0.21590000000000001</v>
      </c>
      <c r="DZ9">
        <v>943.22</v>
      </c>
      <c r="EA9">
        <v>0.25219999999999998</v>
      </c>
      <c r="EB9">
        <v>1255.6300000000001</v>
      </c>
      <c r="EC9">
        <v>0.3357</v>
      </c>
      <c r="ED9">
        <v>4.87</v>
      </c>
      <c r="EE9">
        <v>1.2999999999999999E-3</v>
      </c>
      <c r="EF9">
        <v>4.1500000000000004</v>
      </c>
      <c r="EG9">
        <v>1.1000000000000001E-3</v>
      </c>
      <c r="EH9">
        <v>167.04</v>
      </c>
      <c r="EI9">
        <v>4.4699999999999997E-2</v>
      </c>
      <c r="EM9" t="s">
        <v>3393</v>
      </c>
      <c r="EN9">
        <v>2023</v>
      </c>
      <c r="EO9">
        <v>3743</v>
      </c>
      <c r="EP9">
        <v>26.23</v>
      </c>
      <c r="EQ9">
        <v>557</v>
      </c>
      <c r="ER9">
        <v>0.14879999999999999</v>
      </c>
      <c r="ES9">
        <v>812</v>
      </c>
      <c r="ET9">
        <v>0.21690000000000001</v>
      </c>
      <c r="EU9">
        <v>1013</v>
      </c>
      <c r="EV9">
        <v>0.27060000000000001</v>
      </c>
      <c r="EW9">
        <v>689</v>
      </c>
      <c r="EX9">
        <v>0.18410000000000001</v>
      </c>
      <c r="EY9">
        <v>361</v>
      </c>
      <c r="EZ9">
        <v>9.64E-2</v>
      </c>
      <c r="FA9">
        <v>246</v>
      </c>
      <c r="FB9">
        <v>6.5699999999999995E-2</v>
      </c>
      <c r="FC9">
        <v>64</v>
      </c>
      <c r="FD9">
        <v>1.7100000000000001E-2</v>
      </c>
      <c r="FG9" t="s">
        <v>3393</v>
      </c>
      <c r="FH9">
        <v>2023</v>
      </c>
      <c r="FI9">
        <v>57.46</v>
      </c>
      <c r="FJ9">
        <v>43.12</v>
      </c>
      <c r="FK9">
        <v>30.04</v>
      </c>
      <c r="FL9">
        <v>20.94</v>
      </c>
      <c r="FM9">
        <v>43.2</v>
      </c>
      <c r="FN9">
        <v>29.4</v>
      </c>
      <c r="FO9">
        <v>20.39</v>
      </c>
      <c r="FR9">
        <v>2022</v>
      </c>
      <c r="FS9">
        <v>3.0999999999999999E-3</v>
      </c>
      <c r="FT9">
        <v>4.47</v>
      </c>
      <c r="FU9">
        <v>1.736</v>
      </c>
      <c r="FX9" t="s">
        <v>3393</v>
      </c>
      <c r="FY9">
        <v>2023</v>
      </c>
      <c r="FZ9">
        <v>2246.1</v>
      </c>
      <c r="GA9">
        <v>5.4</v>
      </c>
      <c r="GB9">
        <v>2675.2</v>
      </c>
      <c r="GC9">
        <v>4926.7</v>
      </c>
      <c r="GE9">
        <v>2023</v>
      </c>
      <c r="GF9">
        <v>0.52999979086841198</v>
      </c>
      <c r="GG9">
        <v>0.43519999999999998</v>
      </c>
      <c r="GK9" t="s">
        <v>3393</v>
      </c>
      <c r="GL9">
        <v>2023</v>
      </c>
      <c r="GM9">
        <v>1328.6</v>
      </c>
      <c r="GN9">
        <v>0.2697</v>
      </c>
      <c r="GO9">
        <v>0.31187456964574384</v>
      </c>
      <c r="GP9">
        <v>813.2</v>
      </c>
      <c r="GQ9">
        <v>197</v>
      </c>
      <c r="GV9" t="s">
        <v>3393</v>
      </c>
      <c r="GW9">
        <v>2021</v>
      </c>
      <c r="GX9">
        <v>14.9</v>
      </c>
      <c r="GY9">
        <v>709.3</v>
      </c>
      <c r="GZ9">
        <v>6.6E-3</v>
      </c>
      <c r="HA9">
        <v>3.0999999999999999E-3</v>
      </c>
      <c r="HE9" t="s">
        <v>3393</v>
      </c>
      <c r="HF9">
        <v>2023</v>
      </c>
      <c r="HG9">
        <v>77</v>
      </c>
      <c r="HH9">
        <v>1.5699999999999999E-2</v>
      </c>
      <c r="HI9">
        <v>2551</v>
      </c>
      <c r="HJ9">
        <v>0.51780000000000004</v>
      </c>
      <c r="HK9">
        <v>2124</v>
      </c>
      <c r="HL9">
        <v>0.43109999999999998</v>
      </c>
      <c r="HM9">
        <v>0</v>
      </c>
      <c r="HN9">
        <v>0</v>
      </c>
      <c r="HO9">
        <v>174</v>
      </c>
      <c r="HP9">
        <v>3.5299999999999998E-2</v>
      </c>
      <c r="HU9" t="s">
        <v>3393</v>
      </c>
      <c r="HV9">
        <v>2023</v>
      </c>
      <c r="HW9">
        <v>2251.52</v>
      </c>
      <c r="HX9">
        <v>0.45700000000000002</v>
      </c>
      <c r="HY9">
        <v>2592</v>
      </c>
      <c r="HZ9">
        <v>0.52610000000000001</v>
      </c>
      <c r="IA9">
        <v>83.21</v>
      </c>
      <c r="IB9">
        <v>1.6899999999999998E-2</v>
      </c>
      <c r="IC9">
        <v>1.78</v>
      </c>
      <c r="IH9" t="s">
        <v>3393</v>
      </c>
      <c r="II9">
        <v>2023</v>
      </c>
      <c r="IJ9">
        <v>280</v>
      </c>
      <c r="IK9">
        <v>20</v>
      </c>
      <c r="IL9">
        <v>4</v>
      </c>
      <c r="IM9">
        <v>0</v>
      </c>
      <c r="IN9">
        <v>74.180000000000007</v>
      </c>
      <c r="IO9" t="s">
        <v>3398</v>
      </c>
      <c r="IP9">
        <v>19.600000000000001</v>
      </c>
      <c r="IQ9">
        <v>57.97</v>
      </c>
      <c r="IR9">
        <v>6.5</v>
      </c>
      <c r="IS9">
        <v>3.27</v>
      </c>
      <c r="IW9" t="s">
        <v>3393</v>
      </c>
      <c r="IX9">
        <v>2023</v>
      </c>
      <c r="IY9">
        <v>4926.7299999999996</v>
      </c>
      <c r="IZ9">
        <v>29.3</v>
      </c>
      <c r="JA9">
        <v>846.8</v>
      </c>
      <c r="JB9">
        <v>0.1719</v>
      </c>
      <c r="JC9">
        <v>755.92</v>
      </c>
      <c r="JD9">
        <v>0.15340000000000001</v>
      </c>
      <c r="JE9">
        <v>783.12</v>
      </c>
      <c r="JF9">
        <v>0.159</v>
      </c>
      <c r="JG9">
        <v>1212.32</v>
      </c>
      <c r="JH9">
        <v>0.24610000000000001</v>
      </c>
      <c r="JI9">
        <v>515.38</v>
      </c>
      <c r="JJ9">
        <v>0.1046</v>
      </c>
      <c r="JK9">
        <v>616.16999999999996</v>
      </c>
      <c r="JL9">
        <v>0.12509999999999999</v>
      </c>
      <c r="JM9">
        <v>197.03</v>
      </c>
      <c r="JN9">
        <v>0.04</v>
      </c>
      <c r="JS9" t="s">
        <v>3393</v>
      </c>
      <c r="JT9">
        <v>2023</v>
      </c>
      <c r="JU9">
        <v>4880</v>
      </c>
      <c r="JV9">
        <v>29.69</v>
      </c>
      <c r="JW9">
        <v>836</v>
      </c>
      <c r="JX9">
        <v>0.17130000000000001</v>
      </c>
      <c r="JY9">
        <v>758</v>
      </c>
      <c r="JZ9">
        <v>0.15529999999999999</v>
      </c>
      <c r="KA9">
        <v>778</v>
      </c>
      <c r="KB9">
        <v>0.15939999999999999</v>
      </c>
      <c r="KC9">
        <v>1212</v>
      </c>
      <c r="KD9">
        <v>0.24840000000000001</v>
      </c>
      <c r="KE9">
        <v>479</v>
      </c>
      <c r="KF9">
        <v>9.8199999999999996E-2</v>
      </c>
      <c r="KG9">
        <v>641</v>
      </c>
      <c r="KH9">
        <v>0.13139999999999999</v>
      </c>
      <c r="KI9">
        <v>176</v>
      </c>
      <c r="KJ9">
        <v>3.61E-2</v>
      </c>
      <c r="KM9" t="s">
        <v>3393</v>
      </c>
      <c r="KN9">
        <v>2023</v>
      </c>
      <c r="KO9">
        <v>43.25</v>
      </c>
      <c r="KP9">
        <v>49.72</v>
      </c>
      <c r="KQ9">
        <v>36.92</v>
      </c>
      <c r="KR9">
        <v>17.559999999999999</v>
      </c>
      <c r="KS9">
        <v>50.64</v>
      </c>
      <c r="KT9">
        <v>29.3</v>
      </c>
      <c r="KV9" t="s">
        <v>3393</v>
      </c>
      <c r="KW9">
        <v>2023</v>
      </c>
      <c r="KX9">
        <v>2015</v>
      </c>
      <c r="KY9" t="s">
        <v>3263</v>
      </c>
      <c r="KZ9">
        <v>10.7</v>
      </c>
      <c r="LC9" t="s">
        <v>3393</v>
      </c>
      <c r="LD9">
        <v>2023</v>
      </c>
      <c r="LE9">
        <v>4136</v>
      </c>
      <c r="LF9">
        <v>0</v>
      </c>
      <c r="LG9">
        <v>1</v>
      </c>
      <c r="LH9">
        <v>0</v>
      </c>
      <c r="LI9">
        <v>181232</v>
      </c>
      <c r="LJ9">
        <v>1314</v>
      </c>
      <c r="LK9">
        <v>456</v>
      </c>
      <c r="LL9">
        <v>1838</v>
      </c>
      <c r="LM9">
        <v>0</v>
      </c>
      <c r="LN9">
        <v>4137</v>
      </c>
      <c r="LR9" t="s">
        <v>3393</v>
      </c>
      <c r="LS9">
        <v>2023</v>
      </c>
      <c r="LT9">
        <v>223</v>
      </c>
      <c r="LU9">
        <v>5.3900000000000003E-2</v>
      </c>
      <c r="LX9" t="s">
        <v>3393</v>
      </c>
      <c r="LY9">
        <v>2023</v>
      </c>
      <c r="LZ9">
        <v>568629</v>
      </c>
      <c r="MA9">
        <v>0.3725</v>
      </c>
      <c r="MB9">
        <v>269739</v>
      </c>
      <c r="MC9">
        <v>37638</v>
      </c>
      <c r="MD9">
        <v>80442</v>
      </c>
      <c r="ME9">
        <v>0</v>
      </c>
      <c r="MF9">
        <v>231732</v>
      </c>
      <c r="MG9">
        <v>34317</v>
      </c>
      <c r="MH9">
        <v>0.35073388751912044</v>
      </c>
      <c r="MM9" t="s">
        <v>3393</v>
      </c>
      <c r="MN9">
        <v>2023</v>
      </c>
      <c r="MO9" t="s">
        <v>3265</v>
      </c>
      <c r="MP9">
        <v>9</v>
      </c>
      <c r="MQ9">
        <v>38.700000000000003</v>
      </c>
      <c r="MR9">
        <v>3</v>
      </c>
      <c r="MS9">
        <v>0</v>
      </c>
      <c r="MX9" t="s">
        <v>3393</v>
      </c>
      <c r="MY9">
        <v>2023</v>
      </c>
      <c r="MZ9">
        <v>0</v>
      </c>
      <c r="NA9">
        <v>2</v>
      </c>
      <c r="NB9">
        <v>61</v>
      </c>
      <c r="NC9">
        <v>0</v>
      </c>
      <c r="ND9">
        <v>63</v>
      </c>
      <c r="NE9">
        <v>38</v>
      </c>
      <c r="NJ9" t="s">
        <v>3393</v>
      </c>
      <c r="NK9">
        <v>2023</v>
      </c>
      <c r="NL9">
        <v>4137</v>
      </c>
      <c r="NM9">
        <v>33.1</v>
      </c>
      <c r="NN9">
        <v>441</v>
      </c>
      <c r="NO9">
        <v>0.1066</v>
      </c>
      <c r="NP9">
        <v>464</v>
      </c>
      <c r="NQ9">
        <v>0.11219999999999999</v>
      </c>
      <c r="NR9">
        <v>702</v>
      </c>
      <c r="NS9">
        <v>0.16969999999999999</v>
      </c>
      <c r="NT9">
        <v>989</v>
      </c>
      <c r="NU9">
        <v>0.23910000000000001</v>
      </c>
      <c r="NV9">
        <v>804</v>
      </c>
      <c r="NW9">
        <v>0.1943</v>
      </c>
      <c r="NX9">
        <v>634</v>
      </c>
      <c r="NY9">
        <v>0.15329999999999999</v>
      </c>
      <c r="NZ9">
        <v>103</v>
      </c>
      <c r="OA9">
        <v>2.4899999999999999E-2</v>
      </c>
      <c r="OD9" t="s">
        <v>3393</v>
      </c>
      <c r="OE9">
        <v>2021</v>
      </c>
      <c r="OF9">
        <v>0</v>
      </c>
      <c r="OG9">
        <v>0</v>
      </c>
      <c r="OH9">
        <v>1270</v>
      </c>
      <c r="OI9">
        <v>2</v>
      </c>
      <c r="OJ9">
        <v>1268</v>
      </c>
      <c r="OK9">
        <v>78</v>
      </c>
      <c r="OL9">
        <v>77</v>
      </c>
      <c r="OM9">
        <v>1</v>
      </c>
      <c r="ON9">
        <v>17</v>
      </c>
      <c r="OO9">
        <v>17</v>
      </c>
      <c r="OR9" t="s">
        <v>3393</v>
      </c>
      <c r="OS9">
        <v>2023</v>
      </c>
      <c r="OW9">
        <v>0</v>
      </c>
      <c r="OX9">
        <v>0.26500000000000001</v>
      </c>
      <c r="PA9" t="s">
        <v>3393</v>
      </c>
      <c r="PB9">
        <v>2019</v>
      </c>
      <c r="PC9">
        <v>400</v>
      </c>
      <c r="PD9">
        <v>648</v>
      </c>
      <c r="PI9" t="s">
        <v>3393</v>
      </c>
      <c r="PJ9">
        <v>2023</v>
      </c>
      <c r="PK9">
        <v>21.6</v>
      </c>
      <c r="PL9">
        <v>118</v>
      </c>
      <c r="PM9">
        <v>2.8500000000000001E-2</v>
      </c>
      <c r="PN9">
        <v>5</v>
      </c>
      <c r="PO9">
        <v>0</v>
      </c>
      <c r="PR9" t="s">
        <v>3393</v>
      </c>
      <c r="PS9">
        <v>2023</v>
      </c>
      <c r="PT9">
        <v>218</v>
      </c>
      <c r="PU9">
        <v>3926</v>
      </c>
      <c r="PV9">
        <v>621</v>
      </c>
      <c r="PW9">
        <v>1016</v>
      </c>
      <c r="PX9">
        <v>4144</v>
      </c>
      <c r="QA9" t="s">
        <v>3393</v>
      </c>
      <c r="QB9">
        <v>2021</v>
      </c>
      <c r="QC9" t="s">
        <v>3262</v>
      </c>
      <c r="QD9">
        <v>109.23</v>
      </c>
      <c r="QE9">
        <v>24.89</v>
      </c>
      <c r="QF9">
        <v>974.78</v>
      </c>
      <c r="QG9">
        <v>1377.74</v>
      </c>
      <c r="QH9">
        <v>2461.75</v>
      </c>
      <c r="QK9" t="s">
        <v>3393</v>
      </c>
      <c r="QL9">
        <v>2021</v>
      </c>
      <c r="QM9" t="s">
        <v>3262</v>
      </c>
      <c r="QN9">
        <v>78.16</v>
      </c>
      <c r="QO9">
        <v>3.1699999999999999E-2</v>
      </c>
      <c r="QP9">
        <v>12.69</v>
      </c>
      <c r="QQ9">
        <v>6.23</v>
      </c>
      <c r="QR9">
        <v>42.87</v>
      </c>
      <c r="QS9">
        <v>16.37</v>
      </c>
      <c r="QT9">
        <v>35.29</v>
      </c>
      <c r="QU9">
        <v>42.7</v>
      </c>
      <c r="QV9">
        <v>77.739999999999995</v>
      </c>
      <c r="QW9">
        <v>77.42</v>
      </c>
      <c r="RA9" t="s">
        <v>3393</v>
      </c>
      <c r="RB9">
        <v>2021</v>
      </c>
      <c r="RC9" t="s">
        <v>3262</v>
      </c>
      <c r="RD9">
        <v>295</v>
      </c>
      <c r="RE9">
        <v>0.1191</v>
      </c>
      <c r="RF9">
        <v>122</v>
      </c>
      <c r="RG9">
        <v>19</v>
      </c>
      <c r="RK9" t="s">
        <v>3393</v>
      </c>
      <c r="RL9">
        <v>2021</v>
      </c>
      <c r="RM9" t="s">
        <v>3262</v>
      </c>
      <c r="RN9">
        <v>24.89</v>
      </c>
      <c r="RO9">
        <v>16.36</v>
      </c>
      <c r="RP9">
        <v>1.6799999999999999E-2</v>
      </c>
      <c r="RT9" t="s">
        <v>3393</v>
      </c>
      <c r="RU9">
        <v>2021</v>
      </c>
      <c r="RV9" t="s">
        <v>3262</v>
      </c>
      <c r="RW9">
        <v>109.23</v>
      </c>
      <c r="RX9">
        <v>4.4400000000000002E-2</v>
      </c>
      <c r="SB9" t="s">
        <v>3393</v>
      </c>
      <c r="SC9">
        <v>2021</v>
      </c>
      <c r="SD9" t="s">
        <v>3262</v>
      </c>
      <c r="SE9">
        <v>0</v>
      </c>
      <c r="SF9">
        <v>0</v>
      </c>
      <c r="SG9">
        <v>2355.6799999999998</v>
      </c>
      <c r="SH9">
        <v>0.95689999999999997</v>
      </c>
      <c r="SI9">
        <v>8.4499999999999993</v>
      </c>
      <c r="SJ9">
        <v>3.3999999999999998E-3</v>
      </c>
      <c r="SK9">
        <v>0</v>
      </c>
      <c r="SL9">
        <v>0</v>
      </c>
      <c r="SM9">
        <v>97.61</v>
      </c>
      <c r="SN9">
        <v>3.9699999999999999E-2</v>
      </c>
      <c r="SR9" t="s">
        <v>3393</v>
      </c>
      <c r="SS9">
        <v>2021</v>
      </c>
      <c r="ST9" t="s">
        <v>3262</v>
      </c>
      <c r="SU9">
        <v>5944</v>
      </c>
      <c r="SV9">
        <v>411</v>
      </c>
      <c r="SW9">
        <v>2363</v>
      </c>
      <c r="SX9">
        <v>64</v>
      </c>
      <c r="SY9">
        <v>2</v>
      </c>
      <c r="SZ9">
        <v>2793</v>
      </c>
      <c r="TA9" t="s">
        <v>3394</v>
      </c>
      <c r="TE9" t="s">
        <v>3393</v>
      </c>
      <c r="TF9">
        <v>2023</v>
      </c>
      <c r="TG9" t="s">
        <v>3262</v>
      </c>
      <c r="TH9">
        <v>2489.14</v>
      </c>
      <c r="TI9">
        <v>70.27</v>
      </c>
      <c r="TJ9">
        <v>21.46</v>
      </c>
      <c r="TK9">
        <v>373.34</v>
      </c>
      <c r="TL9">
        <v>0.15</v>
      </c>
      <c r="TM9">
        <v>568.54</v>
      </c>
      <c r="TN9">
        <v>0.22839999999999999</v>
      </c>
      <c r="TO9">
        <v>741.6</v>
      </c>
      <c r="TP9">
        <v>0.2979</v>
      </c>
      <c r="TQ9">
        <v>730.26</v>
      </c>
      <c r="TR9">
        <v>0.29339999999999999</v>
      </c>
      <c r="TS9">
        <v>1.54</v>
      </c>
      <c r="TT9">
        <v>5.9999999999999995E-4</v>
      </c>
      <c r="TU9">
        <v>0.39</v>
      </c>
      <c r="TV9">
        <v>2.0000000000000001E-4</v>
      </c>
      <c r="TW9">
        <v>3.2</v>
      </c>
      <c r="TX9">
        <v>1.2999999999999999E-3</v>
      </c>
      <c r="UA9" t="s">
        <v>3393</v>
      </c>
      <c r="UB9">
        <v>2021</v>
      </c>
      <c r="UC9" t="s">
        <v>3262</v>
      </c>
      <c r="UD9">
        <v>2475</v>
      </c>
      <c r="UE9">
        <v>23.42</v>
      </c>
      <c r="UF9">
        <v>402</v>
      </c>
      <c r="UG9">
        <v>0.16239999999999999</v>
      </c>
      <c r="UH9">
        <v>692</v>
      </c>
      <c r="UI9">
        <v>0.27960000000000002</v>
      </c>
      <c r="UJ9">
        <v>695</v>
      </c>
      <c r="UK9">
        <v>0.28079999999999999</v>
      </c>
      <c r="UL9">
        <v>391</v>
      </c>
      <c r="UM9">
        <v>0.158</v>
      </c>
      <c r="UN9">
        <v>173</v>
      </c>
      <c r="UO9">
        <v>6.9900000000000004E-2</v>
      </c>
      <c r="UP9">
        <v>103</v>
      </c>
      <c r="UQ9">
        <v>4.1599999999999998E-2</v>
      </c>
      <c r="UR9">
        <v>19</v>
      </c>
      <c r="US9">
        <v>7.7000000000000002E-3</v>
      </c>
      <c r="UW9" t="s">
        <v>3393</v>
      </c>
      <c r="UX9">
        <v>2021</v>
      </c>
      <c r="UY9" t="s">
        <v>3262</v>
      </c>
      <c r="UZ9">
        <v>54.57</v>
      </c>
      <c r="VA9">
        <v>40.909999999999997</v>
      </c>
      <c r="VB9">
        <v>27.18</v>
      </c>
      <c r="VC9">
        <v>17.829999999999998</v>
      </c>
      <c r="VG9" t="s">
        <v>3393</v>
      </c>
      <c r="VH9">
        <v>2023</v>
      </c>
      <c r="VI9">
        <v>2.27</v>
      </c>
      <c r="VJ9">
        <v>42.92</v>
      </c>
      <c r="VK9">
        <v>0.96</v>
      </c>
      <c r="VL9">
        <v>2.08</v>
      </c>
      <c r="VM9">
        <v>1.93</v>
      </c>
      <c r="VN9">
        <v>2276.25</v>
      </c>
      <c r="VR9" t="s">
        <v>3393</v>
      </c>
      <c r="VS9">
        <v>2021</v>
      </c>
      <c r="VT9" t="s">
        <v>3262</v>
      </c>
      <c r="VU9">
        <v>0.01</v>
      </c>
      <c r="VV9">
        <v>15.73</v>
      </c>
      <c r="VW9">
        <v>0</v>
      </c>
      <c r="VX9">
        <v>0.53</v>
      </c>
      <c r="VY9">
        <v>0.14000000000000001</v>
      </c>
      <c r="VZ9">
        <v>1358.03</v>
      </c>
      <c r="WD9" t="s">
        <v>3393</v>
      </c>
      <c r="WE9">
        <v>2020</v>
      </c>
      <c r="WF9" t="s">
        <v>1621</v>
      </c>
      <c r="WG9">
        <v>0</v>
      </c>
      <c r="WH9">
        <v>3882</v>
      </c>
      <c r="WI9">
        <v>3882</v>
      </c>
      <c r="WJ9">
        <v>10130</v>
      </c>
      <c r="WM9" t="s">
        <v>3393</v>
      </c>
      <c r="WN9">
        <v>2023</v>
      </c>
      <c r="WO9">
        <v>567</v>
      </c>
      <c r="WP9">
        <v>415</v>
      </c>
      <c r="WQ9">
        <v>459</v>
      </c>
      <c r="WR9">
        <v>503</v>
      </c>
      <c r="WS9">
        <v>594</v>
      </c>
      <c r="WT9">
        <v>553</v>
      </c>
      <c r="WU9">
        <v>451</v>
      </c>
      <c r="WV9">
        <v>313</v>
      </c>
      <c r="WW9">
        <v>176</v>
      </c>
      <c r="WX9">
        <v>63</v>
      </c>
      <c r="WY9">
        <v>43</v>
      </c>
      <c r="WZ9">
        <v>4</v>
      </c>
      <c r="XD9" t="s">
        <v>3393</v>
      </c>
      <c r="XE9">
        <v>2023</v>
      </c>
      <c r="XF9">
        <v>1950</v>
      </c>
      <c r="XG9">
        <v>4.47</v>
      </c>
      <c r="XH9">
        <v>0</v>
      </c>
      <c r="XI9">
        <v>0</v>
      </c>
      <c r="XJ9">
        <v>0</v>
      </c>
      <c r="XL9" t="s">
        <v>3393</v>
      </c>
      <c r="XM9">
        <v>2023</v>
      </c>
      <c r="XS9" t="s">
        <v>1618</v>
      </c>
      <c r="XT9">
        <v>2023</v>
      </c>
      <c r="XU9">
        <v>4.8601858287410865E-3</v>
      </c>
      <c r="XV9">
        <v>0</v>
      </c>
      <c r="XW9">
        <v>2.4542710301952302E-2</v>
      </c>
      <c r="XY9" t="s">
        <v>3393</v>
      </c>
      <c r="XZ9">
        <v>2023</v>
      </c>
      <c r="YA9">
        <v>4.12</v>
      </c>
      <c r="YB9">
        <v>6.06</v>
      </c>
      <c r="YC9">
        <v>2.0699999999999998</v>
      </c>
      <c r="YD9">
        <v>2.5000000000000001E-2</v>
      </c>
      <c r="YF9" t="s">
        <v>3393</v>
      </c>
      <c r="YG9">
        <v>2023</v>
      </c>
      <c r="YH9">
        <v>1974</v>
      </c>
      <c r="YI9">
        <v>1</v>
      </c>
      <c r="YJ9">
        <v>1</v>
      </c>
      <c r="YM9" t="s">
        <v>3393</v>
      </c>
      <c r="YN9">
        <v>2022</v>
      </c>
      <c r="YO9">
        <v>4099</v>
      </c>
      <c r="YP9">
        <v>410</v>
      </c>
      <c r="YQ9">
        <v>684</v>
      </c>
      <c r="YR9">
        <v>2481</v>
      </c>
      <c r="YS9">
        <v>404</v>
      </c>
      <c r="YT9">
        <v>114</v>
      </c>
      <c r="YU9">
        <v>5</v>
      </c>
      <c r="YV9">
        <v>1</v>
      </c>
      <c r="YY9" t="s">
        <v>3393</v>
      </c>
      <c r="YZ9">
        <v>2023</v>
      </c>
      <c r="ZA9">
        <v>1953</v>
      </c>
      <c r="ZB9">
        <v>0.04</v>
      </c>
      <c r="ZC9">
        <v>0</v>
      </c>
      <c r="ZD9">
        <v>0</v>
      </c>
      <c r="ZE9">
        <v>0</v>
      </c>
      <c r="ZF9">
        <v>0</v>
      </c>
      <c r="ZG9">
        <v>0.04</v>
      </c>
      <c r="ZI9" t="s">
        <v>3393</v>
      </c>
      <c r="ZJ9">
        <v>2023</v>
      </c>
      <c r="ZK9">
        <v>224.27</v>
      </c>
      <c r="ZL9">
        <v>120.89</v>
      </c>
      <c r="ZM9">
        <v>103.38</v>
      </c>
      <c r="ZN9">
        <v>15.89</v>
      </c>
      <c r="ZO9">
        <v>33.909999999999997</v>
      </c>
      <c r="ZP9">
        <v>9.8000000000000007</v>
      </c>
      <c r="ZQ9">
        <v>30.09</v>
      </c>
      <c r="ZR9">
        <v>6.62</v>
      </c>
      <c r="ZS9">
        <v>23.47</v>
      </c>
      <c r="ZT9">
        <v>13.42</v>
      </c>
      <c r="ZU9">
        <v>5.48</v>
      </c>
      <c r="ZV9">
        <v>22.7</v>
      </c>
      <c r="ZW9">
        <v>1.93</v>
      </c>
      <c r="ZX9">
        <v>1.78</v>
      </c>
      <c r="ZY9">
        <v>0.15</v>
      </c>
      <c r="ZZ9">
        <v>0.08</v>
      </c>
      <c r="AAA9">
        <v>0.2</v>
      </c>
      <c r="AAB9">
        <v>0.01</v>
      </c>
      <c r="AAC9">
        <v>3.04</v>
      </c>
      <c r="AAD9">
        <v>2.52</v>
      </c>
      <c r="AAE9">
        <v>0.51</v>
      </c>
      <c r="AAF9">
        <v>0.13</v>
      </c>
      <c r="AAG9">
        <v>0.28000000000000003</v>
      </c>
      <c r="AAH9">
        <v>0.18</v>
      </c>
      <c r="AAI9">
        <v>45.19</v>
      </c>
      <c r="AAJ9">
        <v>29.82</v>
      </c>
      <c r="AAK9">
        <v>15.37</v>
      </c>
      <c r="AAL9">
        <v>1.94</v>
      </c>
      <c r="AAM9">
        <v>3.33</v>
      </c>
      <c r="AAN9">
        <v>2.08</v>
      </c>
    </row>
    <row r="10" spans="1:741" x14ac:dyDescent="0.25">
      <c r="FR10">
        <v>2023</v>
      </c>
      <c r="FS10">
        <v>3.0000000000000001E-3</v>
      </c>
      <c r="FT10">
        <v>6.2069999999999999</v>
      </c>
      <c r="FU10">
        <v>0.36799999999999999</v>
      </c>
      <c r="KV10" t="s">
        <v>3393</v>
      </c>
      <c r="KW10">
        <v>2023</v>
      </c>
      <c r="KX10">
        <v>2015</v>
      </c>
      <c r="KY10" t="s">
        <v>3264</v>
      </c>
      <c r="KZ10">
        <v>8.61</v>
      </c>
      <c r="MM10" t="s">
        <v>3393</v>
      </c>
      <c r="MN10">
        <v>2023</v>
      </c>
      <c r="MO10" t="s">
        <v>329</v>
      </c>
      <c r="MP10">
        <v>1311</v>
      </c>
      <c r="MQ10">
        <v>40.299999999999997</v>
      </c>
      <c r="MR10">
        <v>729</v>
      </c>
      <c r="MS10">
        <v>2</v>
      </c>
      <c r="PA10" t="s">
        <v>3393</v>
      </c>
      <c r="PB10">
        <v>2019</v>
      </c>
      <c r="PC10">
        <v>630</v>
      </c>
      <c r="PD10">
        <v>294</v>
      </c>
      <c r="QA10" t="s">
        <v>3393</v>
      </c>
      <c r="QB10">
        <v>2021</v>
      </c>
      <c r="QC10" t="s">
        <v>1620</v>
      </c>
      <c r="QD10">
        <v>129.81</v>
      </c>
      <c r="QE10">
        <v>8.6</v>
      </c>
      <c r="QF10">
        <v>233.41</v>
      </c>
      <c r="QG10">
        <v>866.24</v>
      </c>
      <c r="QH10">
        <v>1229.46</v>
      </c>
      <c r="QK10" t="s">
        <v>3393</v>
      </c>
      <c r="QL10">
        <v>2021</v>
      </c>
      <c r="QM10" t="s">
        <v>1620</v>
      </c>
      <c r="QN10">
        <v>103.77</v>
      </c>
      <c r="QO10">
        <v>8.4400000000000003E-2</v>
      </c>
      <c r="QP10">
        <v>37.380000000000003</v>
      </c>
      <c r="QQ10">
        <v>2.2999999999999998</v>
      </c>
      <c r="QR10">
        <v>27.24</v>
      </c>
      <c r="QS10">
        <v>36.85</v>
      </c>
      <c r="QT10">
        <v>76.53</v>
      </c>
      <c r="QU10">
        <v>26.58</v>
      </c>
      <c r="QV10">
        <v>100.53</v>
      </c>
      <c r="QW10">
        <v>97.53</v>
      </c>
      <c r="RA10" t="s">
        <v>3393</v>
      </c>
      <c r="RB10">
        <v>2021</v>
      </c>
      <c r="RC10" t="s">
        <v>1620</v>
      </c>
      <c r="RD10">
        <v>323</v>
      </c>
      <c r="RE10">
        <v>0.26469999999999999</v>
      </c>
      <c r="RF10">
        <v>175</v>
      </c>
      <c r="RG10">
        <v>20</v>
      </c>
      <c r="RK10" t="s">
        <v>3393</v>
      </c>
      <c r="RL10">
        <v>2021</v>
      </c>
      <c r="RM10" t="s">
        <v>1620</v>
      </c>
      <c r="RN10">
        <v>8.6</v>
      </c>
      <c r="RO10">
        <v>33</v>
      </c>
      <c r="RP10">
        <v>3.3799999999999997E-2</v>
      </c>
      <c r="RT10" t="s">
        <v>3393</v>
      </c>
      <c r="RU10">
        <v>2021</v>
      </c>
      <c r="RV10" t="s">
        <v>1620</v>
      </c>
      <c r="RW10">
        <v>129.81</v>
      </c>
      <c r="RX10">
        <v>0.1056</v>
      </c>
      <c r="SB10" t="s">
        <v>3393</v>
      </c>
      <c r="SC10">
        <v>2021</v>
      </c>
      <c r="SD10" t="s">
        <v>1620</v>
      </c>
      <c r="SE10">
        <v>0</v>
      </c>
      <c r="SF10">
        <v>0</v>
      </c>
      <c r="SG10">
        <v>1068.17</v>
      </c>
      <c r="SH10">
        <v>0.86880000000000002</v>
      </c>
      <c r="SI10">
        <v>0.36</v>
      </c>
      <c r="SJ10">
        <v>2.9999999999999997E-4</v>
      </c>
      <c r="SK10">
        <v>0</v>
      </c>
      <c r="SL10">
        <v>0</v>
      </c>
      <c r="SM10">
        <v>160.93</v>
      </c>
      <c r="SN10">
        <v>0.13089999999999999</v>
      </c>
      <c r="SR10" t="s">
        <v>3393</v>
      </c>
      <c r="SS10">
        <v>2021</v>
      </c>
      <c r="ST10" t="s">
        <v>1620</v>
      </c>
      <c r="SU10">
        <v>4958</v>
      </c>
      <c r="SV10">
        <v>248</v>
      </c>
      <c r="SW10">
        <v>922</v>
      </c>
      <c r="SX10">
        <v>5</v>
      </c>
      <c r="SY10">
        <v>0</v>
      </c>
      <c r="SZ10">
        <v>1958</v>
      </c>
      <c r="TA10" t="s">
        <v>3396</v>
      </c>
      <c r="TE10" t="s">
        <v>3393</v>
      </c>
      <c r="TF10">
        <v>2019</v>
      </c>
      <c r="TG10" t="s">
        <v>1620</v>
      </c>
      <c r="TH10">
        <v>1170.8900000000001</v>
      </c>
      <c r="TI10">
        <v>72.05</v>
      </c>
      <c r="TJ10">
        <v>22.05</v>
      </c>
      <c r="TK10">
        <v>195.96</v>
      </c>
      <c r="TL10">
        <v>0.16739999999999999</v>
      </c>
      <c r="TM10">
        <v>187.84</v>
      </c>
      <c r="TN10">
        <v>0.16039999999999999</v>
      </c>
      <c r="TO10">
        <v>378.91</v>
      </c>
      <c r="TP10">
        <v>0.3236</v>
      </c>
      <c r="TQ10">
        <v>328.16</v>
      </c>
      <c r="TR10">
        <v>0.28029999999999999</v>
      </c>
      <c r="TS10">
        <v>3.39</v>
      </c>
      <c r="TT10">
        <v>2.8999999999999998E-3</v>
      </c>
      <c r="TU10">
        <v>1.34</v>
      </c>
      <c r="TV10">
        <v>1.1000000000000001E-3</v>
      </c>
      <c r="TW10">
        <v>3.25</v>
      </c>
      <c r="TX10">
        <v>2.8E-3</v>
      </c>
      <c r="UA10" t="s">
        <v>3393</v>
      </c>
      <c r="UB10">
        <v>2021</v>
      </c>
      <c r="UC10" t="s">
        <v>1620</v>
      </c>
      <c r="UD10">
        <v>1220</v>
      </c>
      <c r="UE10">
        <v>28.91</v>
      </c>
      <c r="UF10">
        <v>199</v>
      </c>
      <c r="UG10">
        <v>0.16309999999999999</v>
      </c>
      <c r="UH10">
        <v>216</v>
      </c>
      <c r="UI10">
        <v>0.17699999999999999</v>
      </c>
      <c r="UJ10">
        <v>234</v>
      </c>
      <c r="UK10">
        <v>0.1918</v>
      </c>
      <c r="UL10">
        <v>249</v>
      </c>
      <c r="UM10">
        <v>0.2041</v>
      </c>
      <c r="UN10">
        <v>147</v>
      </c>
      <c r="UO10">
        <v>0.1205</v>
      </c>
      <c r="UP10">
        <v>156</v>
      </c>
      <c r="UQ10">
        <v>0.12790000000000001</v>
      </c>
      <c r="UR10">
        <v>20</v>
      </c>
      <c r="US10">
        <v>1.6400000000000001E-2</v>
      </c>
      <c r="UW10" t="s">
        <v>3393</v>
      </c>
      <c r="UX10">
        <v>2021</v>
      </c>
      <c r="UY10" t="s">
        <v>1620</v>
      </c>
      <c r="UZ10">
        <v>56.63</v>
      </c>
      <c r="VA10">
        <v>43.37</v>
      </c>
      <c r="VB10">
        <v>34.159999999999997</v>
      </c>
      <c r="VC10">
        <v>23.18</v>
      </c>
      <c r="VR10" t="s">
        <v>3393</v>
      </c>
      <c r="VS10">
        <v>2021</v>
      </c>
      <c r="VT10" t="s">
        <v>1620</v>
      </c>
      <c r="VU10">
        <v>2.65</v>
      </c>
      <c r="VV10">
        <v>28.02</v>
      </c>
      <c r="VW10">
        <v>0.96</v>
      </c>
      <c r="VX10">
        <v>1.58</v>
      </c>
      <c r="VY10">
        <v>1.8</v>
      </c>
      <c r="VZ10">
        <v>833.65</v>
      </c>
      <c r="WD10" t="s">
        <v>3393</v>
      </c>
      <c r="WE10">
        <v>2020</v>
      </c>
      <c r="WF10" t="s">
        <v>1194</v>
      </c>
      <c r="WG10">
        <v>284</v>
      </c>
      <c r="WH10">
        <v>22</v>
      </c>
      <c r="WI10">
        <v>22</v>
      </c>
      <c r="WJ10">
        <v>40</v>
      </c>
      <c r="XD10" t="s">
        <v>3393</v>
      </c>
      <c r="XE10">
        <v>2023</v>
      </c>
      <c r="XF10">
        <v>1951</v>
      </c>
      <c r="XG10">
        <v>1.56</v>
      </c>
      <c r="XH10">
        <v>0</v>
      </c>
      <c r="XI10">
        <v>0</v>
      </c>
      <c r="XJ10">
        <v>0</v>
      </c>
      <c r="XS10" t="s">
        <v>1623</v>
      </c>
      <c r="XT10">
        <v>2019</v>
      </c>
      <c r="XU10">
        <v>1.8611537520041865E-2</v>
      </c>
      <c r="XV10">
        <v>3.4439485577875701E-3</v>
      </c>
      <c r="XW10">
        <v>9.7963678516228753E-2</v>
      </c>
      <c r="YF10" t="s">
        <v>3393</v>
      </c>
      <c r="YG10">
        <v>2023</v>
      </c>
      <c r="YH10">
        <v>1975</v>
      </c>
      <c r="YI10">
        <v>1</v>
      </c>
      <c r="YJ10">
        <v>0</v>
      </c>
      <c r="YM10" t="s">
        <v>3393</v>
      </c>
      <c r="YN10">
        <v>2023</v>
      </c>
      <c r="YO10">
        <v>4144</v>
      </c>
      <c r="YP10">
        <v>477</v>
      </c>
      <c r="YQ10">
        <v>689</v>
      </c>
      <c r="YR10">
        <v>2457</v>
      </c>
      <c r="YS10">
        <v>403</v>
      </c>
      <c r="YT10">
        <v>113</v>
      </c>
      <c r="YU10">
        <v>5</v>
      </c>
      <c r="YY10" t="s">
        <v>3393</v>
      </c>
      <c r="YZ10">
        <v>2023</v>
      </c>
      <c r="ZA10">
        <v>1954</v>
      </c>
      <c r="ZB10">
        <v>0</v>
      </c>
      <c r="ZC10">
        <v>0.45</v>
      </c>
      <c r="ZD10">
        <v>0</v>
      </c>
      <c r="ZE10">
        <v>0</v>
      </c>
      <c r="ZF10">
        <v>0</v>
      </c>
      <c r="ZG10">
        <v>0</v>
      </c>
    </row>
    <row r="11" spans="1:741" x14ac:dyDescent="0.25">
      <c r="KV11" t="s">
        <v>3393</v>
      </c>
      <c r="KW11">
        <v>2023</v>
      </c>
      <c r="KX11">
        <v>2016</v>
      </c>
      <c r="KY11" t="s">
        <v>3263</v>
      </c>
      <c r="KZ11">
        <v>11.4</v>
      </c>
      <c r="MM11" t="s">
        <v>3393</v>
      </c>
      <c r="MN11">
        <v>2023</v>
      </c>
      <c r="MO11" t="s">
        <v>1625</v>
      </c>
      <c r="MP11">
        <v>208</v>
      </c>
      <c r="MQ11">
        <v>10.3</v>
      </c>
      <c r="MR11">
        <v>4</v>
      </c>
      <c r="MS11">
        <v>0</v>
      </c>
      <c r="PA11" t="s">
        <v>3393</v>
      </c>
      <c r="PB11">
        <v>2019</v>
      </c>
      <c r="PC11">
        <v>1000</v>
      </c>
      <c r="PD11">
        <v>44</v>
      </c>
      <c r="QA11" t="s">
        <v>3393</v>
      </c>
      <c r="QB11">
        <v>2022</v>
      </c>
      <c r="QC11" t="s">
        <v>3262</v>
      </c>
      <c r="QD11">
        <v>105.65</v>
      </c>
      <c r="QE11">
        <v>24.14</v>
      </c>
      <c r="QF11">
        <v>958.47</v>
      </c>
      <c r="QG11">
        <v>1404.19</v>
      </c>
      <c r="QH11">
        <v>2468.3200000000002</v>
      </c>
      <c r="QK11" t="s">
        <v>3393</v>
      </c>
      <c r="QL11">
        <v>2022</v>
      </c>
      <c r="QM11" t="s">
        <v>3262</v>
      </c>
      <c r="QN11">
        <v>76.09</v>
      </c>
      <c r="QO11">
        <v>3.0800000000000001E-2</v>
      </c>
      <c r="QP11">
        <v>11.24</v>
      </c>
      <c r="QQ11">
        <v>5.74</v>
      </c>
      <c r="QR11">
        <v>42.6</v>
      </c>
      <c r="QS11">
        <v>16.510000000000002</v>
      </c>
      <c r="QT11">
        <v>33.49</v>
      </c>
      <c r="QU11">
        <v>42.3</v>
      </c>
      <c r="QV11">
        <v>75.36</v>
      </c>
      <c r="QW11">
        <v>75.040000000000006</v>
      </c>
      <c r="RA11" t="s">
        <v>3393</v>
      </c>
      <c r="RB11">
        <v>2022</v>
      </c>
      <c r="RC11" t="s">
        <v>3262</v>
      </c>
      <c r="RD11">
        <v>298</v>
      </c>
      <c r="RE11">
        <v>0.1203</v>
      </c>
      <c r="RF11">
        <v>127</v>
      </c>
      <c r="RG11">
        <v>23</v>
      </c>
      <c r="RK11" t="s">
        <v>3393</v>
      </c>
      <c r="RL11">
        <v>2022</v>
      </c>
      <c r="RM11" t="s">
        <v>3262</v>
      </c>
      <c r="RN11">
        <v>24.14</v>
      </c>
      <c r="RO11">
        <v>16.34</v>
      </c>
      <c r="RP11">
        <v>1.6400000000000001E-2</v>
      </c>
      <c r="RT11" t="s">
        <v>3393</v>
      </c>
      <c r="RU11">
        <v>2022</v>
      </c>
      <c r="RV11" t="s">
        <v>3262</v>
      </c>
      <c r="RW11">
        <v>105.65</v>
      </c>
      <c r="RX11">
        <v>4.2799999999999998E-2</v>
      </c>
      <c r="SB11" t="s">
        <v>3393</v>
      </c>
      <c r="SC11">
        <v>2022</v>
      </c>
      <c r="SD11" t="s">
        <v>3262</v>
      </c>
      <c r="SE11">
        <v>0</v>
      </c>
      <c r="SF11">
        <v>0</v>
      </c>
      <c r="SG11">
        <v>2365.85</v>
      </c>
      <c r="SH11">
        <v>0.95850000000000002</v>
      </c>
      <c r="SI11">
        <v>8.4499999999999993</v>
      </c>
      <c r="SJ11">
        <v>3.3999999999999998E-3</v>
      </c>
      <c r="SK11">
        <v>0</v>
      </c>
      <c r="SL11">
        <v>0</v>
      </c>
      <c r="SM11">
        <v>94.01</v>
      </c>
      <c r="SN11">
        <v>3.8100000000000002E-2</v>
      </c>
      <c r="SR11" t="s">
        <v>3393</v>
      </c>
      <c r="SS11">
        <v>2022</v>
      </c>
      <c r="ST11" t="s">
        <v>3262</v>
      </c>
      <c r="SU11">
        <v>6020</v>
      </c>
      <c r="SV11">
        <v>408</v>
      </c>
      <c r="SW11">
        <v>2376</v>
      </c>
      <c r="SX11">
        <v>64</v>
      </c>
      <c r="SY11">
        <v>2</v>
      </c>
      <c r="SZ11">
        <v>2793</v>
      </c>
      <c r="TA11" t="s">
        <v>3394</v>
      </c>
      <c r="TE11" t="s">
        <v>3393</v>
      </c>
      <c r="TF11">
        <v>2020</v>
      </c>
      <c r="TG11" t="s">
        <v>1620</v>
      </c>
      <c r="TH11">
        <v>1181.04</v>
      </c>
      <c r="TI11">
        <v>71.05</v>
      </c>
      <c r="TJ11">
        <v>22.72</v>
      </c>
      <c r="TK11">
        <v>190.34</v>
      </c>
      <c r="TL11">
        <v>0.16120000000000001</v>
      </c>
      <c r="TM11">
        <v>190.97</v>
      </c>
      <c r="TN11">
        <v>0.16170000000000001</v>
      </c>
      <c r="TO11">
        <v>370.71</v>
      </c>
      <c r="TP11">
        <v>0.31390000000000001</v>
      </c>
      <c r="TQ11">
        <v>349.8</v>
      </c>
      <c r="TR11">
        <v>0.29620000000000002</v>
      </c>
      <c r="TS11">
        <v>2.37</v>
      </c>
      <c r="TT11">
        <v>2E-3</v>
      </c>
      <c r="TU11">
        <v>2.56</v>
      </c>
      <c r="TV11">
        <v>2.2000000000000001E-3</v>
      </c>
      <c r="TW11">
        <v>3.25</v>
      </c>
      <c r="TX11">
        <v>2.8E-3</v>
      </c>
      <c r="UA11" t="s">
        <v>3393</v>
      </c>
      <c r="UB11">
        <v>2022</v>
      </c>
      <c r="UC11" t="s">
        <v>3262</v>
      </c>
      <c r="UD11">
        <v>2481</v>
      </c>
      <c r="UE11">
        <v>23.98</v>
      </c>
      <c r="UF11">
        <v>383</v>
      </c>
      <c r="UG11">
        <v>0.15440000000000001</v>
      </c>
      <c r="UH11">
        <v>633</v>
      </c>
      <c r="UI11">
        <v>0.25509999999999999</v>
      </c>
      <c r="UJ11">
        <v>767</v>
      </c>
      <c r="UK11">
        <v>0.30909999999999999</v>
      </c>
      <c r="UL11">
        <v>400</v>
      </c>
      <c r="UM11">
        <v>0.16120000000000001</v>
      </c>
      <c r="UN11">
        <v>172</v>
      </c>
      <c r="UO11">
        <v>6.93E-2</v>
      </c>
      <c r="UP11">
        <v>104</v>
      </c>
      <c r="UQ11">
        <v>4.19E-2</v>
      </c>
      <c r="UR11">
        <v>23</v>
      </c>
      <c r="US11">
        <v>9.2999999999999992E-3</v>
      </c>
      <c r="UW11" t="s">
        <v>3393</v>
      </c>
      <c r="UX11">
        <v>2022</v>
      </c>
      <c r="UY11" t="s">
        <v>3262</v>
      </c>
      <c r="UZ11">
        <v>55.55</v>
      </c>
      <c r="VA11">
        <v>41.33</v>
      </c>
      <c r="VB11">
        <v>27.92</v>
      </c>
      <c r="VC11">
        <v>18.45</v>
      </c>
      <c r="VR11" t="s">
        <v>3393</v>
      </c>
      <c r="VS11">
        <v>2022</v>
      </c>
      <c r="VT11" t="s">
        <v>3262</v>
      </c>
      <c r="VU11">
        <v>0.01</v>
      </c>
      <c r="VV11">
        <v>15.5</v>
      </c>
      <c r="VW11">
        <v>0</v>
      </c>
      <c r="VX11">
        <v>0.53</v>
      </c>
      <c r="VY11">
        <v>0.14000000000000001</v>
      </c>
      <c r="VZ11">
        <v>1384.26</v>
      </c>
      <c r="WD11" t="s">
        <v>3393</v>
      </c>
      <c r="WE11">
        <v>2021</v>
      </c>
      <c r="WF11" t="s">
        <v>1617</v>
      </c>
      <c r="WG11">
        <v>39</v>
      </c>
      <c r="WH11">
        <v>140</v>
      </c>
      <c r="WI11">
        <v>140</v>
      </c>
      <c r="WJ11">
        <v>612</v>
      </c>
      <c r="XD11" t="s">
        <v>3393</v>
      </c>
      <c r="XE11">
        <v>2023</v>
      </c>
      <c r="XF11">
        <v>1952</v>
      </c>
      <c r="XG11">
        <v>0.98</v>
      </c>
      <c r="XH11">
        <v>0</v>
      </c>
      <c r="XI11">
        <v>0</v>
      </c>
      <c r="XJ11">
        <v>0</v>
      </c>
      <c r="XS11" t="s">
        <v>1623</v>
      </c>
      <c r="XT11">
        <v>2020</v>
      </c>
      <c r="XU11">
        <v>9.0117967749016089E-3</v>
      </c>
      <c r="XV11">
        <v>2.1558138993651374E-3</v>
      </c>
      <c r="XW11">
        <v>2.1099234828578482E-2</v>
      </c>
      <c r="YF11" t="s">
        <v>3393</v>
      </c>
      <c r="YG11">
        <v>2023</v>
      </c>
      <c r="YH11">
        <v>1976</v>
      </c>
      <c r="YI11">
        <v>0</v>
      </c>
      <c r="YJ11">
        <v>1</v>
      </c>
      <c r="YY11" t="s">
        <v>3393</v>
      </c>
      <c r="YZ11">
        <v>2023</v>
      </c>
      <c r="ZA11">
        <v>1955</v>
      </c>
      <c r="ZB11">
        <v>0.04</v>
      </c>
      <c r="ZC11">
        <v>0</v>
      </c>
      <c r="ZD11">
        <v>0.14000000000000001</v>
      </c>
      <c r="ZE11">
        <v>0.14000000000000001</v>
      </c>
      <c r="ZF11">
        <v>0.04</v>
      </c>
      <c r="ZG11">
        <v>0</v>
      </c>
    </row>
    <row r="12" spans="1:741" x14ac:dyDescent="0.25">
      <c r="KV12" t="s">
        <v>3393</v>
      </c>
      <c r="KW12">
        <v>2023</v>
      </c>
      <c r="KX12">
        <v>2016</v>
      </c>
      <c r="KY12" t="s">
        <v>3264</v>
      </c>
      <c r="KZ12">
        <v>20.63</v>
      </c>
      <c r="MM12" t="s">
        <v>3393</v>
      </c>
      <c r="MN12">
        <v>2023</v>
      </c>
      <c r="MO12" t="s">
        <v>1626</v>
      </c>
      <c r="MP12">
        <v>50</v>
      </c>
      <c r="MQ12">
        <v>3.3</v>
      </c>
      <c r="MR12">
        <v>0</v>
      </c>
      <c r="MS12">
        <v>0</v>
      </c>
      <c r="PA12" t="s">
        <v>3393</v>
      </c>
      <c r="PB12">
        <v>2020</v>
      </c>
      <c r="PC12">
        <v>50</v>
      </c>
      <c r="PD12">
        <v>420</v>
      </c>
      <c r="QA12" t="s">
        <v>3393</v>
      </c>
      <c r="QB12">
        <v>2022</v>
      </c>
      <c r="QC12" t="s">
        <v>1620</v>
      </c>
      <c r="QD12">
        <v>127.5</v>
      </c>
      <c r="QE12">
        <v>8.24</v>
      </c>
      <c r="QF12">
        <v>233.75</v>
      </c>
      <c r="QG12">
        <v>877.2</v>
      </c>
      <c r="QH12">
        <v>1238.44</v>
      </c>
      <c r="QK12" t="s">
        <v>3393</v>
      </c>
      <c r="QL12">
        <v>2022</v>
      </c>
      <c r="QM12" t="s">
        <v>1620</v>
      </c>
      <c r="QN12">
        <v>101.39</v>
      </c>
      <c r="QO12">
        <v>8.1900000000000001E-2</v>
      </c>
      <c r="QP12">
        <v>35.89</v>
      </c>
      <c r="QQ12">
        <v>2.12</v>
      </c>
      <c r="QR12">
        <v>26.87</v>
      </c>
      <c r="QS12">
        <v>36.5</v>
      </c>
      <c r="QT12">
        <v>74.510000000000005</v>
      </c>
      <c r="QU12">
        <v>26.78</v>
      </c>
      <c r="QV12">
        <v>98.79</v>
      </c>
      <c r="QW12">
        <v>95.6</v>
      </c>
      <c r="RA12" t="s">
        <v>3393</v>
      </c>
      <c r="RB12">
        <v>2022</v>
      </c>
      <c r="RC12" t="s">
        <v>1620</v>
      </c>
      <c r="RD12">
        <v>345</v>
      </c>
      <c r="RE12">
        <v>0.2802</v>
      </c>
      <c r="RF12">
        <v>182</v>
      </c>
      <c r="RG12">
        <v>35</v>
      </c>
      <c r="RK12" t="s">
        <v>3393</v>
      </c>
      <c r="RL12">
        <v>2022</v>
      </c>
      <c r="RM12" t="s">
        <v>1620</v>
      </c>
      <c r="RN12">
        <v>8.24</v>
      </c>
      <c r="RO12">
        <v>32.76</v>
      </c>
      <c r="RP12">
        <v>3.3099999999999997E-2</v>
      </c>
      <c r="RT12" t="s">
        <v>3393</v>
      </c>
      <c r="RU12">
        <v>2022</v>
      </c>
      <c r="RV12" t="s">
        <v>1620</v>
      </c>
      <c r="RW12">
        <v>127.5</v>
      </c>
      <c r="RX12">
        <v>0.10290000000000001</v>
      </c>
      <c r="SB12" t="s">
        <v>3393</v>
      </c>
      <c r="SC12">
        <v>2022</v>
      </c>
      <c r="SD12" t="s">
        <v>1620</v>
      </c>
      <c r="SE12">
        <v>0</v>
      </c>
      <c r="SF12">
        <v>0</v>
      </c>
      <c r="SG12">
        <v>1080.1099999999999</v>
      </c>
      <c r="SH12">
        <v>0.87219999999999998</v>
      </c>
      <c r="SI12">
        <v>0.36</v>
      </c>
      <c r="SJ12">
        <v>2.9999999999999997E-4</v>
      </c>
      <c r="SK12">
        <v>0</v>
      </c>
      <c r="SL12">
        <v>0</v>
      </c>
      <c r="SM12">
        <v>157.97</v>
      </c>
      <c r="SN12">
        <v>0.12759999999999999</v>
      </c>
      <c r="SR12" t="s">
        <v>3393</v>
      </c>
      <c r="SS12">
        <v>2022</v>
      </c>
      <c r="ST12" t="s">
        <v>1620</v>
      </c>
      <c r="SU12">
        <v>5002</v>
      </c>
      <c r="SV12">
        <v>248</v>
      </c>
      <c r="SW12">
        <v>935</v>
      </c>
      <c r="SX12">
        <v>5</v>
      </c>
      <c r="SY12">
        <v>0</v>
      </c>
      <c r="SZ12">
        <v>1958</v>
      </c>
      <c r="TA12" t="s">
        <v>3396</v>
      </c>
      <c r="TE12" t="s">
        <v>3393</v>
      </c>
      <c r="TF12">
        <v>2021</v>
      </c>
      <c r="TG12" t="s">
        <v>1620</v>
      </c>
      <c r="TH12">
        <v>1229.46</v>
      </c>
      <c r="TI12">
        <v>94.42</v>
      </c>
      <c r="TJ12">
        <v>22.85</v>
      </c>
      <c r="TK12">
        <v>198.89</v>
      </c>
      <c r="TL12">
        <v>0.1618</v>
      </c>
      <c r="TM12">
        <v>219.04</v>
      </c>
      <c r="TN12">
        <v>0.1782</v>
      </c>
      <c r="TO12">
        <v>318.47000000000003</v>
      </c>
      <c r="TP12">
        <v>0.25900000000000001</v>
      </c>
      <c r="TQ12">
        <v>389.3</v>
      </c>
      <c r="TR12">
        <v>0.31659999999999999</v>
      </c>
      <c r="TS12">
        <v>3.23</v>
      </c>
      <c r="TT12">
        <v>2.5999999999999999E-3</v>
      </c>
      <c r="TU12">
        <v>3.01</v>
      </c>
      <c r="TV12">
        <v>2.3999999999999998E-3</v>
      </c>
      <c r="TW12">
        <v>3.11</v>
      </c>
      <c r="TX12">
        <v>2.5000000000000001E-3</v>
      </c>
      <c r="UA12" t="s">
        <v>3393</v>
      </c>
      <c r="UB12">
        <v>2022</v>
      </c>
      <c r="UC12" t="s">
        <v>1620</v>
      </c>
      <c r="UD12">
        <v>1230</v>
      </c>
      <c r="UE12">
        <v>29.44</v>
      </c>
      <c r="UF12">
        <v>183</v>
      </c>
      <c r="UG12">
        <v>0.14879999999999999</v>
      </c>
      <c r="UH12">
        <v>224</v>
      </c>
      <c r="UI12">
        <v>0.18210000000000001</v>
      </c>
      <c r="UJ12">
        <v>238</v>
      </c>
      <c r="UK12">
        <v>0.19350000000000001</v>
      </c>
      <c r="UL12">
        <v>240</v>
      </c>
      <c r="UM12">
        <v>0.1951</v>
      </c>
      <c r="UN12">
        <v>162</v>
      </c>
      <c r="UO12">
        <v>0.13170000000000001</v>
      </c>
      <c r="UP12">
        <v>147</v>
      </c>
      <c r="UQ12">
        <v>0.1195</v>
      </c>
      <c r="UR12">
        <v>35</v>
      </c>
      <c r="US12">
        <v>2.8500000000000001E-2</v>
      </c>
      <c r="UW12" t="s">
        <v>3393</v>
      </c>
      <c r="UX12">
        <v>2022</v>
      </c>
      <c r="UY12" t="s">
        <v>1620</v>
      </c>
      <c r="UZ12">
        <v>57.56</v>
      </c>
      <c r="VA12">
        <v>44.06</v>
      </c>
      <c r="VB12">
        <v>34.909999999999997</v>
      </c>
      <c r="VC12">
        <v>23.74</v>
      </c>
      <c r="VR12" t="s">
        <v>3393</v>
      </c>
      <c r="VS12">
        <v>2022</v>
      </c>
      <c r="VT12" t="s">
        <v>1620</v>
      </c>
      <c r="VU12">
        <v>2.48</v>
      </c>
      <c r="VV12">
        <v>27.76</v>
      </c>
      <c r="VW12">
        <v>0.96</v>
      </c>
      <c r="VX12">
        <v>1.56</v>
      </c>
      <c r="VY12">
        <v>1.78</v>
      </c>
      <c r="VZ12">
        <v>844.72</v>
      </c>
      <c r="WD12" t="s">
        <v>3393</v>
      </c>
      <c r="WE12">
        <v>2021</v>
      </c>
      <c r="WF12" t="s">
        <v>1621</v>
      </c>
      <c r="WG12">
        <v>271</v>
      </c>
      <c r="WH12">
        <v>3905</v>
      </c>
      <c r="WI12">
        <v>3905</v>
      </c>
      <c r="WJ12">
        <v>10250</v>
      </c>
      <c r="XD12" t="s">
        <v>3393</v>
      </c>
      <c r="XE12">
        <v>2023</v>
      </c>
      <c r="XF12">
        <v>1953</v>
      </c>
      <c r="XG12">
        <v>0.75</v>
      </c>
      <c r="XH12">
        <v>0</v>
      </c>
      <c r="XI12">
        <v>0</v>
      </c>
      <c r="XJ12">
        <v>0</v>
      </c>
      <c r="XS12" t="s">
        <v>1623</v>
      </c>
      <c r="XT12">
        <v>2021</v>
      </c>
      <c r="XU12">
        <v>1.3254937422289436E-2</v>
      </c>
      <c r="XV12">
        <v>4.5104950997598902E-3</v>
      </c>
      <c r="XW12">
        <v>7.0669836862569876E-2</v>
      </c>
      <c r="YF12" t="s">
        <v>3393</v>
      </c>
      <c r="YG12">
        <v>2023</v>
      </c>
      <c r="YH12">
        <v>1977</v>
      </c>
      <c r="YI12">
        <v>0</v>
      </c>
      <c r="YJ12">
        <v>3</v>
      </c>
      <c r="YY12" t="s">
        <v>3393</v>
      </c>
      <c r="YZ12">
        <v>2023</v>
      </c>
      <c r="ZA12">
        <v>1959</v>
      </c>
      <c r="ZB12">
        <v>0.21</v>
      </c>
      <c r="ZC12">
        <v>0</v>
      </c>
      <c r="ZD12">
        <v>0.39</v>
      </c>
      <c r="ZE12">
        <v>0.39</v>
      </c>
      <c r="ZF12">
        <v>0</v>
      </c>
      <c r="ZG12">
        <v>0.21</v>
      </c>
    </row>
    <row r="13" spans="1:741" x14ac:dyDescent="0.25">
      <c r="KV13" t="s">
        <v>3393</v>
      </c>
      <c r="KW13">
        <v>2023</v>
      </c>
      <c r="KX13">
        <v>2017</v>
      </c>
      <c r="KY13" t="s">
        <v>3263</v>
      </c>
      <c r="KZ13">
        <v>2.86</v>
      </c>
      <c r="MM13" t="s">
        <v>3393</v>
      </c>
      <c r="MN13">
        <v>2023</v>
      </c>
      <c r="MO13" t="s">
        <v>3266</v>
      </c>
      <c r="MP13">
        <v>3</v>
      </c>
      <c r="MQ13">
        <v>36.299999999999997</v>
      </c>
      <c r="MR13">
        <v>2</v>
      </c>
      <c r="MS13">
        <v>0</v>
      </c>
      <c r="PA13" t="s">
        <v>3393</v>
      </c>
      <c r="PB13">
        <v>2020</v>
      </c>
      <c r="PC13">
        <v>100</v>
      </c>
      <c r="PD13">
        <v>861</v>
      </c>
      <c r="QA13" t="s">
        <v>3393</v>
      </c>
      <c r="QB13">
        <v>2023</v>
      </c>
      <c r="QC13" t="s">
        <v>3262</v>
      </c>
      <c r="QD13">
        <v>103.38</v>
      </c>
      <c r="QE13">
        <v>23.47</v>
      </c>
      <c r="QF13">
        <v>951.38</v>
      </c>
      <c r="QG13">
        <v>1434.38</v>
      </c>
      <c r="QH13">
        <v>2489.14</v>
      </c>
      <c r="QK13" t="s">
        <v>3393</v>
      </c>
      <c r="QL13">
        <v>2023</v>
      </c>
      <c r="QM13" t="s">
        <v>3262</v>
      </c>
      <c r="QN13">
        <v>75.39</v>
      </c>
      <c r="QO13">
        <v>3.0300000000000001E-2</v>
      </c>
      <c r="QP13">
        <v>10.6</v>
      </c>
      <c r="QQ13">
        <v>5.35</v>
      </c>
      <c r="QR13">
        <v>42.37</v>
      </c>
      <c r="QS13">
        <v>17.07</v>
      </c>
      <c r="QT13">
        <v>33.020000000000003</v>
      </c>
      <c r="QU13">
        <v>41.97</v>
      </c>
      <c r="QV13">
        <v>73.849999999999994</v>
      </c>
      <c r="QW13">
        <v>73.459999999999994</v>
      </c>
      <c r="RA13" t="s">
        <v>3393</v>
      </c>
      <c r="RB13">
        <v>2023</v>
      </c>
      <c r="RC13" t="s">
        <v>3262</v>
      </c>
      <c r="RD13">
        <v>315</v>
      </c>
      <c r="RE13">
        <v>0.126</v>
      </c>
      <c r="RF13">
        <v>128</v>
      </c>
      <c r="RG13">
        <v>24</v>
      </c>
      <c r="RK13" t="s">
        <v>3393</v>
      </c>
      <c r="RL13">
        <v>2023</v>
      </c>
      <c r="RM13" t="s">
        <v>3262</v>
      </c>
      <c r="RN13">
        <v>23.47</v>
      </c>
      <c r="RO13">
        <v>16.2</v>
      </c>
      <c r="RP13">
        <v>1.5900000000000001E-2</v>
      </c>
      <c r="RT13" t="s">
        <v>3393</v>
      </c>
      <c r="RU13">
        <v>2023</v>
      </c>
      <c r="RV13" t="s">
        <v>3262</v>
      </c>
      <c r="RW13">
        <v>103.38</v>
      </c>
      <c r="RX13">
        <v>4.1500000000000002E-2</v>
      </c>
      <c r="SB13" t="s">
        <v>3393</v>
      </c>
      <c r="SC13">
        <v>2023</v>
      </c>
      <c r="SD13" t="s">
        <v>3262</v>
      </c>
      <c r="SE13">
        <v>0</v>
      </c>
      <c r="SF13">
        <v>0</v>
      </c>
      <c r="SG13">
        <v>2388.94</v>
      </c>
      <c r="SH13">
        <v>0.9597</v>
      </c>
      <c r="SI13">
        <v>8.43</v>
      </c>
      <c r="SJ13">
        <v>3.3999999999999998E-3</v>
      </c>
      <c r="SK13">
        <v>0</v>
      </c>
      <c r="SL13">
        <v>0</v>
      </c>
      <c r="SM13">
        <v>91.77</v>
      </c>
      <c r="SN13">
        <v>3.6900000000000002E-2</v>
      </c>
      <c r="SR13" t="s">
        <v>3393</v>
      </c>
      <c r="SS13">
        <v>2023</v>
      </c>
      <c r="ST13" t="s">
        <v>3262</v>
      </c>
      <c r="SU13">
        <v>6125</v>
      </c>
      <c r="SV13">
        <v>403</v>
      </c>
      <c r="SW13">
        <v>2398</v>
      </c>
      <c r="SX13">
        <v>61</v>
      </c>
      <c r="SY13">
        <v>2</v>
      </c>
      <c r="SZ13">
        <v>2793</v>
      </c>
      <c r="TA13" t="s">
        <v>3394</v>
      </c>
      <c r="TE13" t="s">
        <v>3393</v>
      </c>
      <c r="TF13">
        <v>2022</v>
      </c>
      <c r="TG13" t="s">
        <v>1620</v>
      </c>
      <c r="TH13">
        <v>1238.44</v>
      </c>
      <c r="TI13">
        <v>92.36</v>
      </c>
      <c r="TJ13">
        <v>23.52</v>
      </c>
      <c r="TK13">
        <v>182.06</v>
      </c>
      <c r="TL13">
        <v>0.14699999999999999</v>
      </c>
      <c r="TM13">
        <v>234.04</v>
      </c>
      <c r="TN13">
        <v>0.189</v>
      </c>
      <c r="TO13">
        <v>253.36</v>
      </c>
      <c r="TP13">
        <v>0.2046</v>
      </c>
      <c r="TQ13">
        <v>467.6</v>
      </c>
      <c r="TR13">
        <v>0.37759999999999999</v>
      </c>
      <c r="TS13">
        <v>2.59</v>
      </c>
      <c r="TT13">
        <v>2.0999999999999999E-3</v>
      </c>
      <c r="TU13">
        <v>3.2</v>
      </c>
      <c r="TV13">
        <v>2.5999999999999999E-3</v>
      </c>
      <c r="TW13">
        <v>3.23</v>
      </c>
      <c r="TX13">
        <v>2.5999999999999999E-3</v>
      </c>
      <c r="UA13" t="s">
        <v>3393</v>
      </c>
      <c r="UB13">
        <v>2023</v>
      </c>
      <c r="UC13" t="s">
        <v>3262</v>
      </c>
      <c r="UD13">
        <v>2501</v>
      </c>
      <c r="UE13">
        <v>24.54</v>
      </c>
      <c r="UF13">
        <v>373</v>
      </c>
      <c r="UG13">
        <v>0.14910000000000001</v>
      </c>
      <c r="UH13">
        <v>582</v>
      </c>
      <c r="UI13">
        <v>0.23269999999999999</v>
      </c>
      <c r="UJ13">
        <v>780</v>
      </c>
      <c r="UK13">
        <v>0.31190000000000001</v>
      </c>
      <c r="UL13">
        <v>450</v>
      </c>
      <c r="UM13">
        <v>0.1799</v>
      </c>
      <c r="UN13">
        <v>188</v>
      </c>
      <c r="UO13">
        <v>7.5200000000000003E-2</v>
      </c>
      <c r="UP13">
        <v>104</v>
      </c>
      <c r="UQ13">
        <v>4.1599999999999998E-2</v>
      </c>
      <c r="UR13">
        <v>24</v>
      </c>
      <c r="US13">
        <v>9.5999999999999992E-3</v>
      </c>
      <c r="UW13" t="s">
        <v>3393</v>
      </c>
      <c r="UX13">
        <v>2023</v>
      </c>
      <c r="UY13" t="s">
        <v>3262</v>
      </c>
      <c r="UZ13">
        <v>56.55</v>
      </c>
      <c r="VA13">
        <v>41.89</v>
      </c>
      <c r="VB13">
        <v>28.8</v>
      </c>
      <c r="VC13">
        <v>18.96</v>
      </c>
      <c r="VR13" t="s">
        <v>3393</v>
      </c>
      <c r="VS13">
        <v>2023</v>
      </c>
      <c r="VT13" t="s">
        <v>3262</v>
      </c>
      <c r="VU13">
        <v>0.01</v>
      </c>
      <c r="VV13">
        <v>15.36</v>
      </c>
      <c r="VW13">
        <v>0</v>
      </c>
      <c r="VX13">
        <v>0.51</v>
      </c>
      <c r="VY13">
        <v>0.14000000000000001</v>
      </c>
      <c r="VZ13">
        <v>1415.47</v>
      </c>
      <c r="WD13" t="s">
        <v>3393</v>
      </c>
      <c r="WE13">
        <v>2021</v>
      </c>
      <c r="WF13" t="s">
        <v>1194</v>
      </c>
      <c r="WG13">
        <v>3</v>
      </c>
      <c r="WH13">
        <v>22</v>
      </c>
      <c r="WI13">
        <v>22</v>
      </c>
      <c r="WJ13">
        <v>40</v>
      </c>
      <c r="XD13" t="s">
        <v>3393</v>
      </c>
      <c r="XE13">
        <v>2023</v>
      </c>
      <c r="XF13">
        <v>1954</v>
      </c>
      <c r="XG13">
        <v>0.27</v>
      </c>
      <c r="XH13">
        <v>0</v>
      </c>
      <c r="XI13">
        <v>0.01</v>
      </c>
      <c r="XJ13">
        <v>0.01</v>
      </c>
      <c r="XS13" t="s">
        <v>1623</v>
      </c>
      <c r="XT13">
        <v>2022</v>
      </c>
      <c r="XU13">
        <v>9.2664250873450722E-3</v>
      </c>
      <c r="XV13">
        <v>4.1818623875516654E-4</v>
      </c>
      <c r="XW13">
        <v>2.0850615561546729E-2</v>
      </c>
      <c r="YF13" t="s">
        <v>3393</v>
      </c>
      <c r="YG13">
        <v>2023</v>
      </c>
      <c r="YH13">
        <v>1978</v>
      </c>
      <c r="YI13">
        <v>2</v>
      </c>
      <c r="YJ13">
        <v>7</v>
      </c>
      <c r="YY13" t="s">
        <v>3393</v>
      </c>
      <c r="YZ13">
        <v>2023</v>
      </c>
      <c r="ZA13">
        <v>1962</v>
      </c>
      <c r="ZB13">
        <v>0</v>
      </c>
      <c r="ZC13">
        <v>0.04</v>
      </c>
      <c r="ZD13">
        <v>0.09</v>
      </c>
      <c r="ZE13">
        <v>0.09</v>
      </c>
      <c r="ZF13">
        <v>0</v>
      </c>
      <c r="ZG13">
        <v>0</v>
      </c>
    </row>
    <row r="14" spans="1:741" x14ac:dyDescent="0.25">
      <c r="KV14" t="s">
        <v>3393</v>
      </c>
      <c r="KW14">
        <v>2023</v>
      </c>
      <c r="KX14">
        <v>2017</v>
      </c>
      <c r="KY14" t="s">
        <v>3264</v>
      </c>
      <c r="KZ14">
        <v>13.09</v>
      </c>
      <c r="MM14" t="s">
        <v>3393</v>
      </c>
      <c r="MN14">
        <v>2023</v>
      </c>
      <c r="MO14" t="s">
        <v>1627</v>
      </c>
      <c r="MP14">
        <v>200</v>
      </c>
      <c r="MQ14">
        <v>35.200000000000003</v>
      </c>
      <c r="MR14">
        <v>57</v>
      </c>
      <c r="MS14">
        <v>0</v>
      </c>
      <c r="PA14" t="s">
        <v>3393</v>
      </c>
      <c r="PB14">
        <v>2020</v>
      </c>
      <c r="PC14">
        <v>160</v>
      </c>
      <c r="PD14">
        <v>785</v>
      </c>
      <c r="QA14" t="s">
        <v>3393</v>
      </c>
      <c r="QB14">
        <v>2023</v>
      </c>
      <c r="QC14" t="s">
        <v>1620</v>
      </c>
      <c r="QD14">
        <v>120.89</v>
      </c>
      <c r="QE14">
        <v>6.62</v>
      </c>
      <c r="QF14">
        <v>235.61</v>
      </c>
      <c r="QG14">
        <v>894.27</v>
      </c>
      <c r="QH14">
        <v>1250.77</v>
      </c>
      <c r="QK14" t="s">
        <v>3393</v>
      </c>
      <c r="QL14">
        <v>2023</v>
      </c>
      <c r="QM14" t="s">
        <v>1620</v>
      </c>
      <c r="QN14">
        <v>100.67</v>
      </c>
      <c r="QO14">
        <v>8.0500000000000002E-2</v>
      </c>
      <c r="QP14">
        <v>34.33</v>
      </c>
      <c r="QQ14">
        <v>2.06</v>
      </c>
      <c r="QR14">
        <v>27.75</v>
      </c>
      <c r="QS14">
        <v>36.53</v>
      </c>
      <c r="QT14">
        <v>72.92</v>
      </c>
      <c r="QU14">
        <v>26.79</v>
      </c>
      <c r="QV14">
        <v>97.34</v>
      </c>
      <c r="QW14">
        <v>93.58</v>
      </c>
      <c r="RA14" t="s">
        <v>3393</v>
      </c>
      <c r="RB14">
        <v>2023</v>
      </c>
      <c r="RC14" t="s">
        <v>1620</v>
      </c>
      <c r="RD14">
        <v>356</v>
      </c>
      <c r="RE14">
        <v>0.28689999999999999</v>
      </c>
      <c r="RF14">
        <v>183</v>
      </c>
      <c r="RG14">
        <v>41</v>
      </c>
      <c r="RK14" t="s">
        <v>3393</v>
      </c>
      <c r="RL14">
        <v>2023</v>
      </c>
      <c r="RM14" t="s">
        <v>1620</v>
      </c>
      <c r="RN14">
        <v>6.62</v>
      </c>
      <c r="RO14">
        <v>32.6</v>
      </c>
      <c r="RP14">
        <v>3.1399999999999997E-2</v>
      </c>
      <c r="RT14" t="s">
        <v>3393</v>
      </c>
      <c r="RU14">
        <v>2023</v>
      </c>
      <c r="RV14" t="s">
        <v>1620</v>
      </c>
      <c r="RW14">
        <v>120.89</v>
      </c>
      <c r="RX14">
        <v>9.6600000000000005E-2</v>
      </c>
      <c r="SB14" t="s">
        <v>3393</v>
      </c>
      <c r="SC14">
        <v>2023</v>
      </c>
      <c r="SD14" t="s">
        <v>1620</v>
      </c>
      <c r="SE14">
        <v>0</v>
      </c>
      <c r="SF14">
        <v>0</v>
      </c>
      <c r="SG14">
        <v>1099.8800000000001</v>
      </c>
      <c r="SH14">
        <v>0.87939999999999996</v>
      </c>
      <c r="SI14">
        <v>0.36</v>
      </c>
      <c r="SJ14">
        <v>2.9999999999999997E-4</v>
      </c>
      <c r="SK14">
        <v>0</v>
      </c>
      <c r="SL14">
        <v>0</v>
      </c>
      <c r="SM14">
        <v>150.53</v>
      </c>
      <c r="SN14">
        <v>0.1203</v>
      </c>
      <c r="SR14" t="s">
        <v>3393</v>
      </c>
      <c r="SS14">
        <v>2023</v>
      </c>
      <c r="ST14" t="s">
        <v>1620</v>
      </c>
      <c r="SU14">
        <v>5047</v>
      </c>
      <c r="SV14">
        <v>247</v>
      </c>
      <c r="SW14">
        <v>945</v>
      </c>
      <c r="SX14">
        <v>5</v>
      </c>
      <c r="SY14">
        <v>0</v>
      </c>
      <c r="SZ14">
        <v>1966</v>
      </c>
      <c r="TA14" t="s">
        <v>3396</v>
      </c>
      <c r="TE14" t="s">
        <v>3393</v>
      </c>
      <c r="TF14">
        <v>2023</v>
      </c>
      <c r="TG14" t="s">
        <v>1620</v>
      </c>
      <c r="TH14">
        <v>1250.77</v>
      </c>
      <c r="TI14">
        <v>90.45</v>
      </c>
      <c r="TJ14">
        <v>23.93</v>
      </c>
      <c r="TK14">
        <v>184.37</v>
      </c>
      <c r="TL14">
        <v>0.1474</v>
      </c>
      <c r="TM14">
        <v>238.74</v>
      </c>
      <c r="TN14">
        <v>0.19089999999999999</v>
      </c>
      <c r="TO14">
        <v>201.62</v>
      </c>
      <c r="TP14">
        <v>0.16120000000000001</v>
      </c>
      <c r="TQ14">
        <v>525.37</v>
      </c>
      <c r="TR14">
        <v>0.42</v>
      </c>
      <c r="TS14">
        <v>3.34</v>
      </c>
      <c r="TT14">
        <v>2.7000000000000001E-3</v>
      </c>
      <c r="TU14">
        <v>3.76</v>
      </c>
      <c r="TV14">
        <v>3.0000000000000001E-3</v>
      </c>
      <c r="TW14">
        <v>3.13</v>
      </c>
      <c r="TX14">
        <v>2.5000000000000001E-3</v>
      </c>
      <c r="UA14" t="s">
        <v>3393</v>
      </c>
      <c r="UB14">
        <v>2023</v>
      </c>
      <c r="UC14" t="s">
        <v>1620</v>
      </c>
      <c r="UD14">
        <v>1241</v>
      </c>
      <c r="UE14">
        <v>29.63</v>
      </c>
      <c r="UF14">
        <v>184</v>
      </c>
      <c r="UG14">
        <v>0.14829999999999999</v>
      </c>
      <c r="UH14">
        <v>229</v>
      </c>
      <c r="UI14">
        <v>0.1845</v>
      </c>
      <c r="UJ14">
        <v>233</v>
      </c>
      <c r="UK14">
        <v>0.18779999999999999</v>
      </c>
      <c r="UL14">
        <v>238</v>
      </c>
      <c r="UM14">
        <v>0.1918</v>
      </c>
      <c r="UN14">
        <v>174</v>
      </c>
      <c r="UO14">
        <v>0.14019999999999999</v>
      </c>
      <c r="UP14">
        <v>142</v>
      </c>
      <c r="UQ14">
        <v>0.1144</v>
      </c>
      <c r="UR14">
        <v>41</v>
      </c>
      <c r="US14">
        <v>3.3000000000000002E-2</v>
      </c>
      <c r="UW14" t="s">
        <v>3393</v>
      </c>
      <c r="UX14">
        <v>2023</v>
      </c>
      <c r="UY14" t="s">
        <v>1620</v>
      </c>
      <c r="UZ14">
        <v>58.36</v>
      </c>
      <c r="VA14">
        <v>47.47</v>
      </c>
      <c r="VB14">
        <v>35.03</v>
      </c>
      <c r="VC14">
        <v>24.15</v>
      </c>
      <c r="VR14" t="s">
        <v>3393</v>
      </c>
      <c r="VS14">
        <v>2023</v>
      </c>
      <c r="VT14" t="s">
        <v>1620</v>
      </c>
      <c r="VU14">
        <v>2.27</v>
      </c>
      <c r="VV14">
        <v>27.55</v>
      </c>
      <c r="VW14">
        <v>0.96</v>
      </c>
      <c r="VX14">
        <v>1.57</v>
      </c>
      <c r="VY14">
        <v>1.78</v>
      </c>
      <c r="VZ14">
        <v>860.78</v>
      </c>
      <c r="WD14" t="s">
        <v>3393</v>
      </c>
      <c r="WE14">
        <v>2022</v>
      </c>
      <c r="WF14" t="s">
        <v>1617</v>
      </c>
      <c r="WG14">
        <v>40</v>
      </c>
      <c r="WH14">
        <v>140</v>
      </c>
      <c r="WI14">
        <v>140</v>
      </c>
      <c r="WJ14">
        <v>617</v>
      </c>
      <c r="XD14" t="s">
        <v>3393</v>
      </c>
      <c r="XE14">
        <v>2023</v>
      </c>
      <c r="XF14">
        <v>1955</v>
      </c>
      <c r="XG14">
        <v>4.28</v>
      </c>
      <c r="XH14">
        <v>0</v>
      </c>
      <c r="XI14">
        <v>0</v>
      </c>
      <c r="XJ14">
        <v>0</v>
      </c>
      <c r="XS14" t="s">
        <v>1623</v>
      </c>
      <c r="XT14">
        <v>2023</v>
      </c>
      <c r="XU14">
        <v>8.6813820948784971E-3</v>
      </c>
      <c r="XV14">
        <v>2.0801308558089028E-3</v>
      </c>
      <c r="XW14">
        <v>4.1969213333453902E-2</v>
      </c>
      <c r="YF14" t="s">
        <v>3393</v>
      </c>
      <c r="YG14">
        <v>2023</v>
      </c>
      <c r="YH14">
        <v>1979</v>
      </c>
      <c r="YI14">
        <v>0</v>
      </c>
      <c r="YJ14">
        <v>6</v>
      </c>
      <c r="YY14" t="s">
        <v>3393</v>
      </c>
      <c r="YZ14">
        <v>2023</v>
      </c>
      <c r="ZA14">
        <v>1964</v>
      </c>
      <c r="ZB14">
        <v>0</v>
      </c>
      <c r="ZC14">
        <v>0</v>
      </c>
      <c r="ZD14">
        <v>0.25</v>
      </c>
      <c r="ZE14">
        <v>0.25</v>
      </c>
      <c r="ZF14">
        <v>0</v>
      </c>
      <c r="ZG14">
        <v>0</v>
      </c>
    </row>
    <row r="15" spans="1:741" x14ac:dyDescent="0.25">
      <c r="KV15" t="s">
        <v>3393</v>
      </c>
      <c r="KW15">
        <v>2023</v>
      </c>
      <c r="KX15">
        <v>2018</v>
      </c>
      <c r="KY15" t="s">
        <v>3263</v>
      </c>
      <c r="KZ15">
        <v>6.2</v>
      </c>
      <c r="MM15" t="s">
        <v>3393</v>
      </c>
      <c r="MN15">
        <v>2023</v>
      </c>
      <c r="MO15" t="s">
        <v>1628</v>
      </c>
      <c r="MP15">
        <v>61</v>
      </c>
      <c r="MQ15">
        <v>22.9</v>
      </c>
      <c r="MR15">
        <v>0</v>
      </c>
      <c r="MS15">
        <v>0</v>
      </c>
      <c r="PA15" t="s">
        <v>3393</v>
      </c>
      <c r="PB15">
        <v>2020</v>
      </c>
      <c r="PC15">
        <v>250</v>
      </c>
      <c r="PD15">
        <v>980</v>
      </c>
      <c r="WD15" t="s">
        <v>3393</v>
      </c>
      <c r="WE15">
        <v>2022</v>
      </c>
      <c r="WF15" t="s">
        <v>1621</v>
      </c>
      <c r="WG15">
        <v>274</v>
      </c>
      <c r="WH15">
        <v>3938</v>
      </c>
      <c r="WI15">
        <v>3938</v>
      </c>
      <c r="WJ15">
        <v>10366</v>
      </c>
      <c r="XD15" t="s">
        <v>3393</v>
      </c>
      <c r="XE15">
        <v>2023</v>
      </c>
      <c r="XF15">
        <v>1956</v>
      </c>
      <c r="XG15">
        <v>7</v>
      </c>
      <c r="XH15">
        <v>0</v>
      </c>
      <c r="XI15">
        <v>0</v>
      </c>
      <c r="XJ15">
        <v>0</v>
      </c>
      <c r="YF15" t="s">
        <v>3393</v>
      </c>
      <c r="YG15">
        <v>2023</v>
      </c>
      <c r="YH15">
        <v>1980</v>
      </c>
      <c r="YI15">
        <v>1</v>
      </c>
      <c r="YJ15">
        <v>10</v>
      </c>
      <c r="YY15" t="s">
        <v>3393</v>
      </c>
      <c r="YZ15">
        <v>2023</v>
      </c>
      <c r="ZA15">
        <v>1966</v>
      </c>
      <c r="ZB15">
        <v>0</v>
      </c>
      <c r="ZC15">
        <v>0</v>
      </c>
      <c r="ZD15">
        <v>0.64</v>
      </c>
      <c r="ZE15">
        <v>0.64</v>
      </c>
      <c r="ZF15">
        <v>0</v>
      </c>
      <c r="ZG15">
        <v>0</v>
      </c>
    </row>
    <row r="16" spans="1:741" x14ac:dyDescent="0.25">
      <c r="KV16" t="s">
        <v>3393</v>
      </c>
      <c r="KW16">
        <v>2023</v>
      </c>
      <c r="KX16">
        <v>2018</v>
      </c>
      <c r="KY16" t="s">
        <v>3264</v>
      </c>
      <c r="KZ16">
        <v>18.34</v>
      </c>
      <c r="MM16" t="s">
        <v>3393</v>
      </c>
      <c r="MN16">
        <v>2023</v>
      </c>
      <c r="MO16" t="s">
        <v>3399</v>
      </c>
      <c r="MP16">
        <v>3</v>
      </c>
      <c r="MQ16">
        <v>50</v>
      </c>
      <c r="MR16">
        <v>3</v>
      </c>
      <c r="MS16">
        <v>0</v>
      </c>
      <c r="PA16" t="s">
        <v>3393</v>
      </c>
      <c r="PB16">
        <v>2020</v>
      </c>
      <c r="PC16">
        <v>400</v>
      </c>
      <c r="PD16">
        <v>656</v>
      </c>
      <c r="WD16" t="s">
        <v>3393</v>
      </c>
      <c r="WE16">
        <v>2022</v>
      </c>
      <c r="WF16" t="s">
        <v>1194</v>
      </c>
      <c r="WG16">
        <v>3</v>
      </c>
      <c r="WH16">
        <v>21</v>
      </c>
      <c r="WI16">
        <v>21</v>
      </c>
      <c r="WJ16">
        <v>39</v>
      </c>
      <c r="XD16" t="s">
        <v>3393</v>
      </c>
      <c r="XE16">
        <v>2023</v>
      </c>
      <c r="XF16">
        <v>1957</v>
      </c>
      <c r="XG16">
        <v>14.33</v>
      </c>
      <c r="XH16">
        <v>0</v>
      </c>
      <c r="XI16">
        <v>0</v>
      </c>
      <c r="XJ16">
        <v>0</v>
      </c>
      <c r="YF16" t="s">
        <v>3393</v>
      </c>
      <c r="YG16">
        <v>2023</v>
      </c>
      <c r="YH16">
        <v>1981</v>
      </c>
      <c r="YI16">
        <v>2</v>
      </c>
      <c r="YJ16">
        <v>23</v>
      </c>
      <c r="YY16" t="s">
        <v>3393</v>
      </c>
      <c r="YZ16">
        <v>2023</v>
      </c>
      <c r="ZA16">
        <v>1967</v>
      </c>
      <c r="ZB16">
        <v>0.02</v>
      </c>
      <c r="ZC16">
        <v>0</v>
      </c>
      <c r="ZD16">
        <v>0</v>
      </c>
      <c r="ZE16">
        <v>0</v>
      </c>
      <c r="ZF16">
        <v>0</v>
      </c>
      <c r="ZG16">
        <v>0.02</v>
      </c>
    </row>
    <row r="17" spans="35:683" x14ac:dyDescent="0.25">
      <c r="KV17" t="s">
        <v>3393</v>
      </c>
      <c r="KW17">
        <v>2023</v>
      </c>
      <c r="KX17">
        <v>2019</v>
      </c>
      <c r="KY17" t="s">
        <v>3263</v>
      </c>
      <c r="KZ17">
        <v>3.31</v>
      </c>
      <c r="MM17" t="s">
        <v>3393</v>
      </c>
      <c r="MN17">
        <v>2023</v>
      </c>
      <c r="MO17" t="s">
        <v>182</v>
      </c>
      <c r="MP17">
        <v>4137</v>
      </c>
      <c r="MQ17">
        <v>33.1</v>
      </c>
      <c r="MR17">
        <v>1534</v>
      </c>
      <c r="MS17">
        <v>0</v>
      </c>
      <c r="PA17" t="s">
        <v>3393</v>
      </c>
      <c r="PB17">
        <v>2020</v>
      </c>
      <c r="PC17">
        <v>630</v>
      </c>
      <c r="PD17">
        <v>300</v>
      </c>
      <c r="WD17" t="s">
        <v>3393</v>
      </c>
      <c r="WE17">
        <v>2023</v>
      </c>
      <c r="WF17" t="s">
        <v>1617</v>
      </c>
      <c r="WG17">
        <v>39</v>
      </c>
      <c r="WH17">
        <v>619</v>
      </c>
      <c r="WI17">
        <v>619</v>
      </c>
      <c r="WJ17">
        <v>2705</v>
      </c>
      <c r="XD17" t="s">
        <v>3393</v>
      </c>
      <c r="XE17">
        <v>2023</v>
      </c>
      <c r="XF17">
        <v>1958</v>
      </c>
      <c r="XG17">
        <v>3.4</v>
      </c>
      <c r="XH17">
        <v>0</v>
      </c>
      <c r="XI17">
        <v>0</v>
      </c>
      <c r="XJ17">
        <v>0</v>
      </c>
      <c r="YF17" t="s">
        <v>3393</v>
      </c>
      <c r="YG17">
        <v>2023</v>
      </c>
      <c r="YH17">
        <v>1982</v>
      </c>
      <c r="YI17">
        <v>3</v>
      </c>
      <c r="YJ17">
        <v>17</v>
      </c>
      <c r="YY17" t="s">
        <v>3393</v>
      </c>
      <c r="YZ17">
        <v>2023</v>
      </c>
      <c r="ZA17">
        <v>1968</v>
      </c>
      <c r="ZB17">
        <v>0</v>
      </c>
      <c r="ZC17">
        <v>0.59</v>
      </c>
      <c r="ZD17">
        <v>0.02</v>
      </c>
      <c r="ZE17">
        <v>0.02</v>
      </c>
      <c r="ZF17">
        <v>0</v>
      </c>
      <c r="ZG17">
        <v>0</v>
      </c>
    </row>
    <row r="18" spans="35:683" x14ac:dyDescent="0.25">
      <c r="AI18" s="46"/>
      <c r="KV18" t="s">
        <v>3393</v>
      </c>
      <c r="KW18">
        <v>2023</v>
      </c>
      <c r="KX18">
        <v>2019</v>
      </c>
      <c r="KY18" t="s">
        <v>3264</v>
      </c>
      <c r="KZ18">
        <v>34.090000000000003</v>
      </c>
      <c r="MM18" t="s">
        <v>3393</v>
      </c>
      <c r="MN18">
        <v>2023</v>
      </c>
      <c r="MO18" t="s">
        <v>1629</v>
      </c>
      <c r="MP18">
        <v>98</v>
      </c>
      <c r="MQ18">
        <v>33.799999999999997</v>
      </c>
      <c r="MR18">
        <v>14</v>
      </c>
      <c r="MS18">
        <v>0</v>
      </c>
      <c r="PA18" t="s">
        <v>3393</v>
      </c>
      <c r="PB18">
        <v>2020</v>
      </c>
      <c r="PC18">
        <v>1000</v>
      </c>
      <c r="PD18">
        <v>43</v>
      </c>
      <c r="WD18" t="s">
        <v>3393</v>
      </c>
      <c r="WE18">
        <v>2023</v>
      </c>
      <c r="WF18" t="s">
        <v>1621</v>
      </c>
      <c r="WG18">
        <v>276</v>
      </c>
      <c r="WH18">
        <v>3495</v>
      </c>
      <c r="WI18">
        <v>3495</v>
      </c>
      <c r="WJ18">
        <v>8417</v>
      </c>
      <c r="XD18" t="s">
        <v>3393</v>
      </c>
      <c r="XE18">
        <v>2023</v>
      </c>
      <c r="XF18">
        <v>1959</v>
      </c>
      <c r="XG18">
        <v>8.34</v>
      </c>
      <c r="XH18">
        <v>0</v>
      </c>
      <c r="XI18">
        <v>0</v>
      </c>
      <c r="XJ18">
        <v>0</v>
      </c>
      <c r="YF18" t="s">
        <v>3393</v>
      </c>
      <c r="YG18">
        <v>2023</v>
      </c>
      <c r="YH18">
        <v>1983</v>
      </c>
      <c r="YI18">
        <v>0</v>
      </c>
      <c r="YJ18">
        <v>35</v>
      </c>
      <c r="YY18" t="s">
        <v>3393</v>
      </c>
      <c r="YZ18">
        <v>2023</v>
      </c>
      <c r="ZA18">
        <v>1970</v>
      </c>
      <c r="ZB18">
        <v>0</v>
      </c>
      <c r="ZC18">
        <v>0.05</v>
      </c>
      <c r="ZD18">
        <v>1.2</v>
      </c>
      <c r="ZE18">
        <v>1.2</v>
      </c>
      <c r="ZF18">
        <v>0</v>
      </c>
      <c r="ZG18">
        <v>0</v>
      </c>
    </row>
    <row r="19" spans="35:683" x14ac:dyDescent="0.25">
      <c r="KV19" t="s">
        <v>3393</v>
      </c>
      <c r="KW19">
        <v>2023</v>
      </c>
      <c r="KX19">
        <v>2020</v>
      </c>
      <c r="KY19" t="s">
        <v>3263</v>
      </c>
      <c r="KZ19">
        <v>0.4</v>
      </c>
      <c r="MM19" t="s">
        <v>3393</v>
      </c>
      <c r="MN19">
        <v>2023</v>
      </c>
      <c r="MO19" t="s">
        <v>1630</v>
      </c>
      <c r="MP19">
        <v>1103</v>
      </c>
      <c r="MQ19">
        <v>23.2</v>
      </c>
      <c r="MR19">
        <v>72</v>
      </c>
      <c r="MS19">
        <v>1</v>
      </c>
      <c r="PA19" t="s">
        <v>3393</v>
      </c>
      <c r="PB19">
        <v>2021</v>
      </c>
      <c r="PC19">
        <v>50</v>
      </c>
      <c r="PD19">
        <v>417</v>
      </c>
      <c r="WD19" t="s">
        <v>3393</v>
      </c>
      <c r="WE19">
        <v>2023</v>
      </c>
      <c r="WF19" t="s">
        <v>1194</v>
      </c>
      <c r="WG19">
        <v>3</v>
      </c>
      <c r="WH19">
        <v>30</v>
      </c>
      <c r="WI19">
        <v>30</v>
      </c>
      <c r="WJ19">
        <v>50</v>
      </c>
      <c r="XD19" t="s">
        <v>3393</v>
      </c>
      <c r="XE19">
        <v>2023</v>
      </c>
      <c r="XF19">
        <v>1960</v>
      </c>
      <c r="XG19">
        <v>19.88</v>
      </c>
      <c r="XH19">
        <v>0</v>
      </c>
      <c r="XI19">
        <v>26.77</v>
      </c>
      <c r="XJ19">
        <v>25.14</v>
      </c>
      <c r="YF19" t="s">
        <v>3393</v>
      </c>
      <c r="YG19">
        <v>2023</v>
      </c>
      <c r="YH19">
        <v>1984</v>
      </c>
      <c r="YI19">
        <v>4</v>
      </c>
      <c r="YJ19">
        <v>27</v>
      </c>
      <c r="YY19" t="s">
        <v>3393</v>
      </c>
      <c r="YZ19">
        <v>2023</v>
      </c>
      <c r="ZA19">
        <v>1971</v>
      </c>
      <c r="ZB19">
        <v>0.33</v>
      </c>
      <c r="ZC19">
        <v>0.04</v>
      </c>
      <c r="ZD19">
        <v>0.03</v>
      </c>
      <c r="ZE19">
        <v>0.03</v>
      </c>
      <c r="ZF19">
        <v>0.03</v>
      </c>
      <c r="ZG19">
        <v>0.3</v>
      </c>
    </row>
    <row r="20" spans="35:683" x14ac:dyDescent="0.25">
      <c r="KV20" t="s">
        <v>3393</v>
      </c>
      <c r="KW20">
        <v>2023</v>
      </c>
      <c r="KX20">
        <v>2020</v>
      </c>
      <c r="KY20" t="s">
        <v>3264</v>
      </c>
      <c r="KZ20">
        <v>32.19</v>
      </c>
      <c r="PA20" t="s">
        <v>3393</v>
      </c>
      <c r="PB20">
        <v>2021</v>
      </c>
      <c r="PC20">
        <v>100</v>
      </c>
      <c r="PD20">
        <v>856</v>
      </c>
      <c r="XD20" t="s">
        <v>3393</v>
      </c>
      <c r="XE20">
        <v>2023</v>
      </c>
      <c r="XF20">
        <v>1961</v>
      </c>
      <c r="XG20">
        <v>17.93</v>
      </c>
      <c r="XH20">
        <v>0</v>
      </c>
      <c r="XI20">
        <v>2.17</v>
      </c>
      <c r="XJ20">
        <v>2.09</v>
      </c>
      <c r="YF20" t="s">
        <v>3393</v>
      </c>
      <c r="YG20">
        <v>2023</v>
      </c>
      <c r="YH20">
        <v>1985</v>
      </c>
      <c r="YI20">
        <v>4</v>
      </c>
      <c r="YJ20">
        <v>20</v>
      </c>
      <c r="YY20" t="s">
        <v>3393</v>
      </c>
      <c r="YZ20">
        <v>2023</v>
      </c>
      <c r="ZA20">
        <v>1972</v>
      </c>
      <c r="ZB20">
        <v>0</v>
      </c>
      <c r="ZC20">
        <v>0.34</v>
      </c>
      <c r="ZD20">
        <v>0</v>
      </c>
      <c r="ZE20">
        <v>0</v>
      </c>
      <c r="ZF20">
        <v>0</v>
      </c>
      <c r="ZG20">
        <v>0</v>
      </c>
    </row>
    <row r="21" spans="35:683" x14ac:dyDescent="0.25">
      <c r="KV21" t="s">
        <v>3393</v>
      </c>
      <c r="KW21">
        <v>2023</v>
      </c>
      <c r="KX21">
        <v>2021</v>
      </c>
      <c r="KY21" t="s">
        <v>3263</v>
      </c>
      <c r="KZ21">
        <v>2.5499999999999998</v>
      </c>
      <c r="PA21" t="s">
        <v>3393</v>
      </c>
      <c r="PB21">
        <v>2021</v>
      </c>
      <c r="PC21">
        <v>160</v>
      </c>
      <c r="PD21">
        <v>786</v>
      </c>
      <c r="XD21" t="s">
        <v>3393</v>
      </c>
      <c r="XE21">
        <v>2023</v>
      </c>
      <c r="XF21">
        <v>1962</v>
      </c>
      <c r="XG21">
        <v>37.18</v>
      </c>
      <c r="XH21">
        <v>0</v>
      </c>
      <c r="XI21">
        <v>0</v>
      </c>
      <c r="XJ21">
        <v>0</v>
      </c>
      <c r="YF21" t="s">
        <v>3393</v>
      </c>
      <c r="YG21">
        <v>2023</v>
      </c>
      <c r="YH21">
        <v>1986</v>
      </c>
      <c r="YI21">
        <v>6</v>
      </c>
      <c r="YJ21">
        <v>30</v>
      </c>
      <c r="YY21" t="s">
        <v>3393</v>
      </c>
      <c r="YZ21">
        <v>2023</v>
      </c>
      <c r="ZA21">
        <v>1973</v>
      </c>
      <c r="ZB21">
        <v>0</v>
      </c>
      <c r="ZC21">
        <v>0.02</v>
      </c>
      <c r="ZD21">
        <v>0.62</v>
      </c>
      <c r="ZE21">
        <v>0.62</v>
      </c>
      <c r="ZF21">
        <v>0</v>
      </c>
      <c r="ZG21">
        <v>0</v>
      </c>
    </row>
    <row r="22" spans="35:683" x14ac:dyDescent="0.25">
      <c r="KV22" t="s">
        <v>3393</v>
      </c>
      <c r="KW22">
        <v>2023</v>
      </c>
      <c r="KX22">
        <v>2021</v>
      </c>
      <c r="KY22" t="s">
        <v>3264</v>
      </c>
      <c r="KZ22">
        <v>39.86</v>
      </c>
      <c r="PA22" t="s">
        <v>3393</v>
      </c>
      <c r="PB22">
        <v>2021</v>
      </c>
      <c r="PC22">
        <v>250</v>
      </c>
      <c r="PD22">
        <v>994</v>
      </c>
      <c r="XD22" t="s">
        <v>3393</v>
      </c>
      <c r="XE22">
        <v>2023</v>
      </c>
      <c r="XF22">
        <v>1963</v>
      </c>
      <c r="XG22">
        <v>41.4</v>
      </c>
      <c r="XH22">
        <v>0</v>
      </c>
      <c r="XI22">
        <v>0</v>
      </c>
      <c r="XJ22">
        <v>0</v>
      </c>
      <c r="YF22" t="s">
        <v>3393</v>
      </c>
      <c r="YG22">
        <v>2023</v>
      </c>
      <c r="YH22">
        <v>1987</v>
      </c>
      <c r="YI22">
        <v>5</v>
      </c>
      <c r="YJ22">
        <v>33</v>
      </c>
      <c r="YY22" t="s">
        <v>3393</v>
      </c>
      <c r="YZ22">
        <v>2023</v>
      </c>
      <c r="ZA22">
        <v>1974</v>
      </c>
      <c r="ZB22">
        <v>0.1</v>
      </c>
      <c r="ZC22">
        <v>0.08</v>
      </c>
      <c r="ZD22">
        <v>0</v>
      </c>
      <c r="ZE22">
        <v>0</v>
      </c>
      <c r="ZF22">
        <v>0.1</v>
      </c>
      <c r="ZG22">
        <v>0</v>
      </c>
    </row>
    <row r="23" spans="35:683" x14ac:dyDescent="0.25">
      <c r="KV23" t="s">
        <v>3393</v>
      </c>
      <c r="KW23">
        <v>2023</v>
      </c>
      <c r="KX23">
        <v>2022</v>
      </c>
      <c r="KY23" t="s">
        <v>3263</v>
      </c>
      <c r="KZ23">
        <v>2.2200000000000002</v>
      </c>
      <c r="PA23" t="s">
        <v>3393</v>
      </c>
      <c r="PB23">
        <v>2021</v>
      </c>
      <c r="PC23">
        <v>400</v>
      </c>
      <c r="PD23">
        <v>663</v>
      </c>
      <c r="XD23" t="s">
        <v>3393</v>
      </c>
      <c r="XE23">
        <v>2023</v>
      </c>
      <c r="XF23">
        <v>1964</v>
      </c>
      <c r="XG23">
        <v>52.65</v>
      </c>
      <c r="XH23">
        <v>0.25</v>
      </c>
      <c r="XI23">
        <v>0.91</v>
      </c>
      <c r="XJ23">
        <v>0.8</v>
      </c>
      <c r="YF23" t="s">
        <v>3393</v>
      </c>
      <c r="YG23">
        <v>2023</v>
      </c>
      <c r="YH23">
        <v>1988</v>
      </c>
      <c r="YI23">
        <v>40</v>
      </c>
      <c r="YJ23">
        <v>0</v>
      </c>
      <c r="YY23" t="s">
        <v>3393</v>
      </c>
      <c r="YZ23">
        <v>2023</v>
      </c>
      <c r="ZA23">
        <v>1975</v>
      </c>
      <c r="ZB23">
        <v>0</v>
      </c>
      <c r="ZC23">
        <v>0.08</v>
      </c>
      <c r="ZD23">
        <v>7.0000000000000007E-2</v>
      </c>
      <c r="ZE23">
        <v>7.0000000000000007E-2</v>
      </c>
      <c r="ZF23">
        <v>0</v>
      </c>
      <c r="ZG23">
        <v>0</v>
      </c>
    </row>
    <row r="24" spans="35:683" x14ac:dyDescent="0.25">
      <c r="KV24" t="s">
        <v>3393</v>
      </c>
      <c r="KW24">
        <v>2023</v>
      </c>
      <c r="KX24">
        <v>2022</v>
      </c>
      <c r="KY24" t="s">
        <v>3264</v>
      </c>
      <c r="KZ24">
        <v>23.68</v>
      </c>
      <c r="PA24" t="s">
        <v>3393</v>
      </c>
      <c r="PB24">
        <v>2021</v>
      </c>
      <c r="PC24">
        <v>630</v>
      </c>
      <c r="PD24">
        <v>305</v>
      </c>
      <c r="XD24" t="s">
        <v>3393</v>
      </c>
      <c r="XE24">
        <v>2023</v>
      </c>
      <c r="XF24">
        <v>1965</v>
      </c>
      <c r="XG24">
        <v>68.39</v>
      </c>
      <c r="XH24">
        <v>0</v>
      </c>
      <c r="XI24">
        <v>1.2</v>
      </c>
      <c r="XJ24">
        <v>0.28999999999999998</v>
      </c>
      <c r="YF24" t="s">
        <v>3393</v>
      </c>
      <c r="YG24">
        <v>2023</v>
      </c>
      <c r="YH24">
        <v>1989</v>
      </c>
      <c r="YI24">
        <v>41</v>
      </c>
      <c r="YJ24">
        <v>0</v>
      </c>
      <c r="YY24" t="s">
        <v>3393</v>
      </c>
      <c r="YZ24">
        <v>2023</v>
      </c>
      <c r="ZA24">
        <v>1977</v>
      </c>
      <c r="ZB24">
        <v>0</v>
      </c>
      <c r="ZC24">
        <v>0</v>
      </c>
      <c r="ZD24">
        <v>0.01</v>
      </c>
      <c r="ZE24">
        <v>0.01</v>
      </c>
      <c r="ZF24">
        <v>0</v>
      </c>
      <c r="ZG24">
        <v>0</v>
      </c>
    </row>
    <row r="25" spans="35:683" x14ac:dyDescent="0.25">
      <c r="KV25" t="s">
        <v>3393</v>
      </c>
      <c r="KW25">
        <v>2023</v>
      </c>
      <c r="KX25">
        <v>2023</v>
      </c>
      <c r="KY25" t="s">
        <v>3264</v>
      </c>
      <c r="KZ25">
        <v>41.59</v>
      </c>
      <c r="PA25" t="s">
        <v>3393</v>
      </c>
      <c r="PB25">
        <v>2021</v>
      </c>
      <c r="PC25">
        <v>1000</v>
      </c>
      <c r="PD25">
        <v>46</v>
      </c>
      <c r="XD25" t="s">
        <v>3393</v>
      </c>
      <c r="XE25">
        <v>2023</v>
      </c>
      <c r="XF25">
        <v>1966</v>
      </c>
      <c r="XG25">
        <v>77.94</v>
      </c>
      <c r="XH25">
        <v>0</v>
      </c>
      <c r="XI25">
        <v>19.600000000000001</v>
      </c>
      <c r="XJ25">
        <v>17.899999999999999</v>
      </c>
      <c r="YF25" t="s">
        <v>3393</v>
      </c>
      <c r="YG25">
        <v>2023</v>
      </c>
      <c r="YH25">
        <v>1990</v>
      </c>
      <c r="YI25">
        <v>43</v>
      </c>
      <c r="YJ25">
        <v>0</v>
      </c>
      <c r="YY25" t="s">
        <v>3393</v>
      </c>
      <c r="YZ25">
        <v>2023</v>
      </c>
      <c r="ZA25">
        <v>1978</v>
      </c>
      <c r="ZB25">
        <v>0</v>
      </c>
      <c r="ZC25">
        <v>0.09</v>
      </c>
      <c r="ZD25">
        <v>0.87</v>
      </c>
      <c r="ZE25">
        <v>0</v>
      </c>
      <c r="ZF25">
        <v>0</v>
      </c>
      <c r="ZG25">
        <v>0</v>
      </c>
    </row>
    <row r="26" spans="35:683" x14ac:dyDescent="0.25">
      <c r="PA26" t="s">
        <v>3393</v>
      </c>
      <c r="PB26">
        <v>2022</v>
      </c>
      <c r="PC26">
        <v>50</v>
      </c>
      <c r="PD26">
        <v>410</v>
      </c>
      <c r="XD26" t="s">
        <v>3393</v>
      </c>
      <c r="XE26">
        <v>2023</v>
      </c>
      <c r="XF26">
        <v>1967</v>
      </c>
      <c r="XG26">
        <v>79.39</v>
      </c>
      <c r="XH26">
        <v>0</v>
      </c>
      <c r="XI26">
        <v>1.51</v>
      </c>
      <c r="XJ26">
        <v>1.1200000000000001</v>
      </c>
      <c r="YF26" t="s">
        <v>3393</v>
      </c>
      <c r="YG26">
        <v>2023</v>
      </c>
      <c r="YH26">
        <v>1991</v>
      </c>
      <c r="YI26">
        <v>27</v>
      </c>
      <c r="YJ26">
        <v>0</v>
      </c>
      <c r="YY26" t="s">
        <v>3393</v>
      </c>
      <c r="YZ26">
        <v>2023</v>
      </c>
      <c r="ZA26">
        <v>1979</v>
      </c>
      <c r="ZB26">
        <v>0</v>
      </c>
      <c r="ZC26">
        <v>0</v>
      </c>
      <c r="ZD26">
        <v>0.37</v>
      </c>
      <c r="ZE26">
        <v>0</v>
      </c>
      <c r="ZF26">
        <v>0</v>
      </c>
      <c r="ZG26">
        <v>0</v>
      </c>
    </row>
    <row r="27" spans="35:683" x14ac:dyDescent="0.25">
      <c r="PA27" t="s">
        <v>3393</v>
      </c>
      <c r="PB27">
        <v>2022</v>
      </c>
      <c r="PC27">
        <v>100</v>
      </c>
      <c r="PD27">
        <v>853</v>
      </c>
      <c r="XD27" t="s">
        <v>3393</v>
      </c>
      <c r="XE27">
        <v>2023</v>
      </c>
      <c r="XF27">
        <v>1968</v>
      </c>
      <c r="XG27">
        <v>47.85</v>
      </c>
      <c r="XH27">
        <v>0</v>
      </c>
      <c r="XI27">
        <v>0.18</v>
      </c>
      <c r="XJ27">
        <v>0.14000000000000001</v>
      </c>
      <c r="YF27" t="s">
        <v>3393</v>
      </c>
      <c r="YG27">
        <v>2023</v>
      </c>
      <c r="YH27">
        <v>1992</v>
      </c>
      <c r="YI27">
        <v>51</v>
      </c>
      <c r="YJ27">
        <v>0</v>
      </c>
      <c r="YY27" t="s">
        <v>3393</v>
      </c>
      <c r="YZ27">
        <v>2023</v>
      </c>
      <c r="ZA27">
        <v>1980</v>
      </c>
      <c r="ZB27">
        <v>0</v>
      </c>
      <c r="ZC27">
        <v>0</v>
      </c>
      <c r="ZD27">
        <v>0.46</v>
      </c>
      <c r="ZE27">
        <v>0</v>
      </c>
      <c r="ZF27">
        <v>0</v>
      </c>
      <c r="ZG27">
        <v>0</v>
      </c>
    </row>
    <row r="28" spans="35:683" x14ac:dyDescent="0.25">
      <c r="PA28" t="s">
        <v>3393</v>
      </c>
      <c r="PB28">
        <v>2022</v>
      </c>
      <c r="PC28">
        <v>160</v>
      </c>
      <c r="PD28">
        <v>811</v>
      </c>
      <c r="XD28" t="s">
        <v>3393</v>
      </c>
      <c r="XE28">
        <v>2023</v>
      </c>
      <c r="XF28">
        <v>1969</v>
      </c>
      <c r="XG28">
        <v>46.83</v>
      </c>
      <c r="XH28">
        <v>0</v>
      </c>
      <c r="XI28">
        <v>0.97</v>
      </c>
      <c r="XJ28">
        <v>0.97</v>
      </c>
      <c r="YF28" t="s">
        <v>3393</v>
      </c>
      <c r="YG28">
        <v>2023</v>
      </c>
      <c r="YH28">
        <v>1993</v>
      </c>
      <c r="YI28">
        <v>72</v>
      </c>
      <c r="YJ28">
        <v>0</v>
      </c>
      <c r="YY28" t="s">
        <v>3393</v>
      </c>
      <c r="YZ28">
        <v>2023</v>
      </c>
      <c r="ZA28">
        <v>1981</v>
      </c>
      <c r="ZB28">
        <v>0</v>
      </c>
      <c r="ZC28">
        <v>0</v>
      </c>
      <c r="ZD28">
        <v>0.14000000000000001</v>
      </c>
      <c r="ZE28">
        <v>0</v>
      </c>
      <c r="ZF28">
        <v>0</v>
      </c>
      <c r="ZG28">
        <v>0</v>
      </c>
    </row>
    <row r="29" spans="35:683" x14ac:dyDescent="0.25">
      <c r="PA29" t="s">
        <v>3393</v>
      </c>
      <c r="PB29">
        <v>2022</v>
      </c>
      <c r="PC29">
        <v>250</v>
      </c>
      <c r="PD29">
        <v>997</v>
      </c>
      <c r="XD29" t="s">
        <v>3393</v>
      </c>
      <c r="XE29">
        <v>2023</v>
      </c>
      <c r="XF29">
        <v>1970</v>
      </c>
      <c r="XG29">
        <v>60.58</v>
      </c>
      <c r="XH29">
        <v>0</v>
      </c>
      <c r="XI29">
        <v>0.61</v>
      </c>
      <c r="XJ29">
        <v>0.43</v>
      </c>
      <c r="YF29" t="s">
        <v>3393</v>
      </c>
      <c r="YG29">
        <v>2023</v>
      </c>
      <c r="YH29">
        <v>1994</v>
      </c>
      <c r="YI29">
        <v>149</v>
      </c>
      <c r="YJ29">
        <v>0</v>
      </c>
      <c r="YY29" t="s">
        <v>3393</v>
      </c>
      <c r="YZ29">
        <v>2023</v>
      </c>
      <c r="ZA29">
        <v>1982</v>
      </c>
      <c r="ZB29">
        <v>0.03</v>
      </c>
      <c r="ZC29">
        <v>0.12</v>
      </c>
      <c r="ZD29">
        <v>0.26</v>
      </c>
      <c r="ZE29">
        <v>0</v>
      </c>
      <c r="ZF29">
        <v>0</v>
      </c>
      <c r="ZG29">
        <v>0.03</v>
      </c>
    </row>
    <row r="30" spans="35:683" x14ac:dyDescent="0.25">
      <c r="PA30" t="s">
        <v>3393</v>
      </c>
      <c r="PB30">
        <v>2022</v>
      </c>
      <c r="PC30">
        <v>400</v>
      </c>
      <c r="PD30">
        <v>667</v>
      </c>
      <c r="XD30" t="s">
        <v>3393</v>
      </c>
      <c r="XE30">
        <v>2023</v>
      </c>
      <c r="XF30">
        <v>1971</v>
      </c>
      <c r="XG30">
        <v>47.91</v>
      </c>
      <c r="XH30">
        <v>0</v>
      </c>
      <c r="XI30">
        <v>0.67</v>
      </c>
      <c r="XJ30">
        <v>0.67</v>
      </c>
      <c r="YF30" t="s">
        <v>3393</v>
      </c>
      <c r="YG30">
        <v>2023</v>
      </c>
      <c r="YH30">
        <v>1995</v>
      </c>
      <c r="YI30">
        <v>94</v>
      </c>
      <c r="YJ30">
        <v>0</v>
      </c>
      <c r="YY30" t="s">
        <v>3393</v>
      </c>
      <c r="YZ30">
        <v>2023</v>
      </c>
      <c r="ZA30">
        <v>1983</v>
      </c>
      <c r="ZB30">
        <v>0.08</v>
      </c>
      <c r="ZC30">
        <v>0.99</v>
      </c>
      <c r="ZD30">
        <v>1.1200000000000001</v>
      </c>
      <c r="ZE30">
        <v>0</v>
      </c>
      <c r="ZF30">
        <v>0</v>
      </c>
      <c r="ZG30">
        <v>0.08</v>
      </c>
    </row>
    <row r="31" spans="35:683" x14ac:dyDescent="0.25">
      <c r="PA31" t="s">
        <v>3393</v>
      </c>
      <c r="PB31">
        <v>2022</v>
      </c>
      <c r="PC31">
        <v>630</v>
      </c>
      <c r="PD31">
        <v>314</v>
      </c>
      <c r="XD31" t="s">
        <v>3393</v>
      </c>
      <c r="XE31">
        <v>2023</v>
      </c>
      <c r="XF31">
        <v>1972</v>
      </c>
      <c r="XG31">
        <v>42.42</v>
      </c>
      <c r="XH31">
        <v>0</v>
      </c>
      <c r="XI31">
        <v>0.43</v>
      </c>
      <c r="XJ31">
        <v>0.43</v>
      </c>
      <c r="YF31" t="s">
        <v>3393</v>
      </c>
      <c r="YG31">
        <v>2023</v>
      </c>
      <c r="YH31">
        <v>1996</v>
      </c>
      <c r="YI31">
        <v>191</v>
      </c>
      <c r="YJ31">
        <v>0</v>
      </c>
      <c r="YY31" t="s">
        <v>3393</v>
      </c>
      <c r="YZ31">
        <v>2023</v>
      </c>
      <c r="ZA31">
        <v>1984</v>
      </c>
      <c r="ZB31">
        <v>0.1</v>
      </c>
      <c r="ZC31">
        <v>0.99</v>
      </c>
      <c r="ZD31">
        <v>2.5499999999999998</v>
      </c>
      <c r="ZE31">
        <v>0</v>
      </c>
      <c r="ZF31">
        <v>0.1</v>
      </c>
      <c r="ZG31">
        <v>0</v>
      </c>
    </row>
    <row r="32" spans="35:683" x14ac:dyDescent="0.25">
      <c r="PA32" t="s">
        <v>3393</v>
      </c>
      <c r="PB32">
        <v>2022</v>
      </c>
      <c r="PC32">
        <v>1000</v>
      </c>
      <c r="PD32">
        <v>47</v>
      </c>
      <c r="XD32" t="s">
        <v>3393</v>
      </c>
      <c r="XE32">
        <v>2023</v>
      </c>
      <c r="XF32">
        <v>1973</v>
      </c>
      <c r="XG32">
        <v>64.95</v>
      </c>
      <c r="XH32">
        <v>0</v>
      </c>
      <c r="XI32">
        <v>0.94</v>
      </c>
      <c r="XJ32">
        <v>0.94</v>
      </c>
      <c r="YF32" t="s">
        <v>3393</v>
      </c>
      <c r="YG32">
        <v>2023</v>
      </c>
      <c r="YH32">
        <v>1997</v>
      </c>
      <c r="YI32">
        <v>215</v>
      </c>
      <c r="YJ32">
        <v>0</v>
      </c>
      <c r="YY32" t="s">
        <v>3393</v>
      </c>
      <c r="YZ32">
        <v>2023</v>
      </c>
      <c r="ZA32">
        <v>1985</v>
      </c>
      <c r="ZB32">
        <v>5.34</v>
      </c>
      <c r="ZC32">
        <v>14.72</v>
      </c>
      <c r="ZD32">
        <v>9.33</v>
      </c>
      <c r="ZE32">
        <v>0</v>
      </c>
      <c r="ZF32">
        <v>0.64</v>
      </c>
      <c r="ZG32">
        <v>4.7</v>
      </c>
    </row>
    <row r="33" spans="417:683" x14ac:dyDescent="0.25">
      <c r="PA33" t="s">
        <v>3393</v>
      </c>
      <c r="PB33">
        <v>2023</v>
      </c>
      <c r="PC33">
        <v>16</v>
      </c>
      <c r="PD33">
        <v>0</v>
      </c>
      <c r="XD33" t="s">
        <v>3393</v>
      </c>
      <c r="XE33">
        <v>2023</v>
      </c>
      <c r="XF33">
        <v>1974</v>
      </c>
      <c r="XG33">
        <v>51.13</v>
      </c>
      <c r="XH33">
        <v>0</v>
      </c>
      <c r="XI33">
        <v>0.04</v>
      </c>
      <c r="XJ33">
        <v>0.04</v>
      </c>
      <c r="YF33" t="s">
        <v>3393</v>
      </c>
      <c r="YG33">
        <v>2023</v>
      </c>
      <c r="YH33">
        <v>1998</v>
      </c>
      <c r="YI33">
        <v>298</v>
      </c>
      <c r="YJ33">
        <v>0</v>
      </c>
      <c r="YY33" t="s">
        <v>3393</v>
      </c>
      <c r="YZ33">
        <v>2023</v>
      </c>
      <c r="ZA33">
        <v>1986</v>
      </c>
      <c r="ZB33">
        <v>27.6</v>
      </c>
      <c r="ZC33">
        <v>25.72</v>
      </c>
      <c r="ZD33">
        <v>50</v>
      </c>
      <c r="ZE33">
        <v>0</v>
      </c>
      <c r="ZF33">
        <v>1.57</v>
      </c>
      <c r="ZG33">
        <v>26.03</v>
      </c>
    </row>
    <row r="34" spans="417:683" x14ac:dyDescent="0.25">
      <c r="PA34" t="s">
        <v>3393</v>
      </c>
      <c r="PB34">
        <v>2023</v>
      </c>
      <c r="PC34">
        <v>25</v>
      </c>
      <c r="PD34">
        <v>0</v>
      </c>
      <c r="XD34" t="s">
        <v>3393</v>
      </c>
      <c r="XE34">
        <v>2023</v>
      </c>
      <c r="XF34">
        <v>1975</v>
      </c>
      <c r="XG34">
        <v>32.1</v>
      </c>
      <c r="XH34">
        <v>0</v>
      </c>
      <c r="XI34">
        <v>2.5499999999999998</v>
      </c>
      <c r="XJ34">
        <v>1.61</v>
      </c>
      <c r="YF34" t="s">
        <v>3393</v>
      </c>
      <c r="YG34">
        <v>2023</v>
      </c>
      <c r="YH34">
        <v>1999</v>
      </c>
      <c r="YI34">
        <v>380</v>
      </c>
      <c r="YJ34">
        <v>0</v>
      </c>
      <c r="YY34" t="s">
        <v>3393</v>
      </c>
      <c r="YZ34">
        <v>2023</v>
      </c>
      <c r="ZA34">
        <v>1987</v>
      </c>
      <c r="ZB34">
        <v>6.38</v>
      </c>
      <c r="ZC34">
        <v>51.05</v>
      </c>
      <c r="ZD34">
        <v>90.65</v>
      </c>
      <c r="ZE34">
        <v>0</v>
      </c>
      <c r="ZF34">
        <v>0.37</v>
      </c>
      <c r="ZG34">
        <v>6.01</v>
      </c>
    </row>
    <row r="35" spans="417:683" x14ac:dyDescent="0.25">
      <c r="PA35" t="s">
        <v>3393</v>
      </c>
      <c r="PB35">
        <v>2023</v>
      </c>
      <c r="PC35">
        <v>40</v>
      </c>
      <c r="PD35">
        <v>0</v>
      </c>
      <c r="XD35" t="s">
        <v>3393</v>
      </c>
      <c r="XE35">
        <v>2023</v>
      </c>
      <c r="XF35">
        <v>1976</v>
      </c>
      <c r="XG35">
        <v>34.65</v>
      </c>
      <c r="XH35">
        <v>0</v>
      </c>
      <c r="XI35">
        <v>0.56999999999999995</v>
      </c>
      <c r="XJ35">
        <v>0.56999999999999995</v>
      </c>
      <c r="YF35" t="s">
        <v>3393</v>
      </c>
      <c r="YG35">
        <v>2023</v>
      </c>
      <c r="YH35">
        <v>2000</v>
      </c>
      <c r="YI35">
        <v>313</v>
      </c>
      <c r="YJ35">
        <v>0</v>
      </c>
      <c r="YY35" t="s">
        <v>3393</v>
      </c>
      <c r="YZ35">
        <v>2023</v>
      </c>
      <c r="ZA35">
        <v>1988</v>
      </c>
      <c r="ZB35">
        <v>0</v>
      </c>
      <c r="ZC35">
        <v>0.16</v>
      </c>
      <c r="ZD35">
        <v>0.24</v>
      </c>
      <c r="ZE35">
        <v>0</v>
      </c>
      <c r="ZF35">
        <v>0</v>
      </c>
      <c r="ZG35">
        <v>0</v>
      </c>
    </row>
    <row r="36" spans="417:683" x14ac:dyDescent="0.25">
      <c r="PA36" t="s">
        <v>3393</v>
      </c>
      <c r="PB36">
        <v>2023</v>
      </c>
      <c r="PC36">
        <v>50</v>
      </c>
      <c r="PD36">
        <v>405</v>
      </c>
      <c r="XD36" t="s">
        <v>3393</v>
      </c>
      <c r="XE36">
        <v>2023</v>
      </c>
      <c r="XF36">
        <v>1977</v>
      </c>
      <c r="XG36">
        <v>25.13</v>
      </c>
      <c r="XH36">
        <v>0</v>
      </c>
      <c r="XI36">
        <v>4.5599999999999996</v>
      </c>
      <c r="XJ36">
        <v>3.7</v>
      </c>
      <c r="YF36" t="s">
        <v>3393</v>
      </c>
      <c r="YG36">
        <v>2023</v>
      </c>
      <c r="YH36">
        <v>2001</v>
      </c>
      <c r="YI36">
        <v>452</v>
      </c>
      <c r="YJ36">
        <v>0</v>
      </c>
      <c r="YY36" t="s">
        <v>3393</v>
      </c>
      <c r="YZ36">
        <v>2023</v>
      </c>
      <c r="ZA36">
        <v>1989</v>
      </c>
      <c r="ZB36">
        <v>27.18</v>
      </c>
      <c r="ZC36">
        <v>50.25</v>
      </c>
      <c r="ZD36">
        <v>62.56</v>
      </c>
      <c r="ZE36">
        <v>0</v>
      </c>
      <c r="ZF36">
        <v>1.75</v>
      </c>
      <c r="ZG36">
        <v>25.43</v>
      </c>
    </row>
    <row r="37" spans="417:683" x14ac:dyDescent="0.25">
      <c r="PA37" t="s">
        <v>3393</v>
      </c>
      <c r="PB37">
        <v>2023</v>
      </c>
      <c r="PC37">
        <v>51</v>
      </c>
      <c r="PD37">
        <v>0</v>
      </c>
      <c r="XD37" t="s">
        <v>3393</v>
      </c>
      <c r="XE37">
        <v>2023</v>
      </c>
      <c r="XF37">
        <v>1978</v>
      </c>
      <c r="XG37">
        <v>43.28</v>
      </c>
      <c r="XH37">
        <v>1.3</v>
      </c>
      <c r="XI37">
        <v>50.44</v>
      </c>
      <c r="XJ37">
        <v>4.9000000000000004</v>
      </c>
      <c r="YF37" t="s">
        <v>3393</v>
      </c>
      <c r="YG37">
        <v>2023</v>
      </c>
      <c r="YH37">
        <v>2002</v>
      </c>
      <c r="YI37">
        <v>294</v>
      </c>
      <c r="YJ37">
        <v>0</v>
      </c>
      <c r="YY37" t="s">
        <v>3393</v>
      </c>
      <c r="YZ37">
        <v>2023</v>
      </c>
      <c r="ZA37">
        <v>1990</v>
      </c>
      <c r="ZB37">
        <v>9.43</v>
      </c>
      <c r="ZC37">
        <v>61.11</v>
      </c>
      <c r="ZD37">
        <v>35.01</v>
      </c>
      <c r="ZE37">
        <v>0</v>
      </c>
      <c r="ZF37">
        <v>0.27</v>
      </c>
      <c r="ZG37">
        <v>9.15</v>
      </c>
    </row>
    <row r="38" spans="417:683" x14ac:dyDescent="0.25">
      <c r="PA38" t="s">
        <v>3393</v>
      </c>
      <c r="PB38">
        <v>2023</v>
      </c>
      <c r="PC38">
        <v>63</v>
      </c>
      <c r="PD38">
        <v>0</v>
      </c>
      <c r="XD38" t="s">
        <v>3393</v>
      </c>
      <c r="XE38">
        <v>2023</v>
      </c>
      <c r="XF38">
        <v>1979</v>
      </c>
      <c r="XG38">
        <v>52.49</v>
      </c>
      <c r="XH38">
        <v>0</v>
      </c>
      <c r="XI38">
        <v>3.08</v>
      </c>
      <c r="XJ38">
        <v>0.74</v>
      </c>
      <c r="YF38" t="s">
        <v>3393</v>
      </c>
      <c r="YG38">
        <v>2023</v>
      </c>
      <c r="YH38">
        <v>2003</v>
      </c>
      <c r="YI38">
        <v>71</v>
      </c>
      <c r="YJ38">
        <v>0</v>
      </c>
      <c r="YY38" t="s">
        <v>3393</v>
      </c>
      <c r="YZ38">
        <v>2023</v>
      </c>
      <c r="ZA38">
        <v>1991</v>
      </c>
      <c r="ZB38">
        <v>34.83</v>
      </c>
      <c r="ZC38">
        <v>199.41</v>
      </c>
      <c r="ZD38">
        <v>71.569999999999993</v>
      </c>
      <c r="ZE38">
        <v>0</v>
      </c>
      <c r="ZF38">
        <v>8.59</v>
      </c>
      <c r="ZG38">
        <v>26.25</v>
      </c>
    </row>
    <row r="39" spans="417:683" x14ac:dyDescent="0.25">
      <c r="PA39" t="s">
        <v>3393</v>
      </c>
      <c r="PB39">
        <v>2023</v>
      </c>
      <c r="PC39">
        <v>100</v>
      </c>
      <c r="PD39">
        <v>849</v>
      </c>
      <c r="XD39" t="s">
        <v>3393</v>
      </c>
      <c r="XE39">
        <v>2023</v>
      </c>
      <c r="XF39">
        <v>1980</v>
      </c>
      <c r="XG39">
        <v>29.1</v>
      </c>
      <c r="XH39">
        <v>0</v>
      </c>
      <c r="XI39">
        <v>9.31</v>
      </c>
      <c r="XJ39">
        <v>0</v>
      </c>
      <c r="YF39" t="s">
        <v>3393</v>
      </c>
      <c r="YG39">
        <v>2023</v>
      </c>
      <c r="YH39">
        <v>2004</v>
      </c>
      <c r="YI39">
        <v>59</v>
      </c>
      <c r="YJ39">
        <v>0</v>
      </c>
      <c r="YY39" t="s">
        <v>3393</v>
      </c>
      <c r="YZ39">
        <v>2023</v>
      </c>
      <c r="ZA39">
        <v>1992</v>
      </c>
      <c r="ZB39">
        <v>44.74</v>
      </c>
      <c r="ZC39">
        <v>149.72</v>
      </c>
      <c r="ZD39">
        <v>110.38</v>
      </c>
      <c r="ZE39">
        <v>0</v>
      </c>
      <c r="ZF39">
        <v>7.94</v>
      </c>
      <c r="ZG39">
        <v>36.799999999999997</v>
      </c>
    </row>
    <row r="40" spans="417:683" x14ac:dyDescent="0.25">
      <c r="PA40" t="s">
        <v>3393</v>
      </c>
      <c r="PB40">
        <v>2023</v>
      </c>
      <c r="PC40">
        <v>150</v>
      </c>
      <c r="PD40">
        <v>0</v>
      </c>
      <c r="XD40" t="s">
        <v>3393</v>
      </c>
      <c r="XE40">
        <v>2023</v>
      </c>
      <c r="XF40">
        <v>1981</v>
      </c>
      <c r="XG40">
        <v>19.29</v>
      </c>
      <c r="XH40">
        <v>0</v>
      </c>
      <c r="XI40">
        <v>15.44</v>
      </c>
      <c r="XJ40">
        <v>0.34</v>
      </c>
      <c r="YF40" t="s">
        <v>3393</v>
      </c>
      <c r="YG40">
        <v>2023</v>
      </c>
      <c r="YH40">
        <v>2005</v>
      </c>
      <c r="YI40">
        <v>55</v>
      </c>
      <c r="YJ40">
        <v>0</v>
      </c>
      <c r="YY40" t="s">
        <v>3393</v>
      </c>
      <c r="YZ40">
        <v>2023</v>
      </c>
      <c r="ZA40">
        <v>1993</v>
      </c>
      <c r="ZB40">
        <v>11.9</v>
      </c>
      <c r="ZC40">
        <v>52.64</v>
      </c>
      <c r="ZD40">
        <v>50.07</v>
      </c>
      <c r="ZE40">
        <v>0</v>
      </c>
      <c r="ZF40">
        <v>0.59</v>
      </c>
      <c r="ZG40">
        <v>11.31</v>
      </c>
    </row>
    <row r="41" spans="417:683" x14ac:dyDescent="0.25">
      <c r="PA41" t="s">
        <v>3393</v>
      </c>
      <c r="PB41">
        <v>2023</v>
      </c>
      <c r="PC41">
        <v>160</v>
      </c>
      <c r="PD41">
        <v>817</v>
      </c>
      <c r="XD41" t="s">
        <v>3393</v>
      </c>
      <c r="XE41">
        <v>2023</v>
      </c>
      <c r="XF41">
        <v>1982</v>
      </c>
      <c r="XG41">
        <v>59.64</v>
      </c>
      <c r="XH41">
        <v>0</v>
      </c>
      <c r="XI41">
        <v>15.96</v>
      </c>
      <c r="XJ41">
        <v>1.1299999999999999</v>
      </c>
      <c r="YF41" t="s">
        <v>3393</v>
      </c>
      <c r="YG41">
        <v>2023</v>
      </c>
      <c r="YH41">
        <v>2006</v>
      </c>
      <c r="YI41">
        <v>61</v>
      </c>
      <c r="YJ41">
        <v>0</v>
      </c>
      <c r="YY41" t="s">
        <v>3393</v>
      </c>
      <c r="YZ41">
        <v>2023</v>
      </c>
      <c r="ZA41">
        <v>1994</v>
      </c>
      <c r="ZB41">
        <v>2.1800000000000002</v>
      </c>
      <c r="ZC41">
        <v>57.47</v>
      </c>
      <c r="ZD41">
        <v>59.54</v>
      </c>
      <c r="ZE41">
        <v>0</v>
      </c>
      <c r="ZF41">
        <v>0.11</v>
      </c>
      <c r="ZG41">
        <v>2.08</v>
      </c>
    </row>
    <row r="42" spans="417:683" x14ac:dyDescent="0.25">
      <c r="PA42" t="s">
        <v>3393</v>
      </c>
      <c r="PB42">
        <v>2023</v>
      </c>
      <c r="PC42">
        <v>200</v>
      </c>
      <c r="PD42">
        <v>0</v>
      </c>
      <c r="WP42" t="s">
        <v>3241</v>
      </c>
      <c r="XD42" t="s">
        <v>3393</v>
      </c>
      <c r="XE42">
        <v>2023</v>
      </c>
      <c r="XF42">
        <v>1983</v>
      </c>
      <c r="XG42">
        <v>52.6</v>
      </c>
      <c r="XH42">
        <v>0</v>
      </c>
      <c r="XI42">
        <v>12.73</v>
      </c>
      <c r="XJ42">
        <v>0</v>
      </c>
      <c r="YF42" t="s">
        <v>3393</v>
      </c>
      <c r="YG42">
        <v>2023</v>
      </c>
      <c r="YH42">
        <v>2007</v>
      </c>
      <c r="YI42">
        <v>66</v>
      </c>
      <c r="YJ42">
        <v>0</v>
      </c>
      <c r="YY42" t="s">
        <v>3393</v>
      </c>
      <c r="YZ42">
        <v>2023</v>
      </c>
      <c r="ZA42">
        <v>1995</v>
      </c>
      <c r="ZB42">
        <v>1.99</v>
      </c>
      <c r="ZC42">
        <v>45.59</v>
      </c>
      <c r="ZD42">
        <v>55.77</v>
      </c>
      <c r="ZE42">
        <v>0</v>
      </c>
      <c r="ZF42">
        <v>0.5</v>
      </c>
      <c r="ZG42">
        <v>1.49</v>
      </c>
    </row>
    <row r="43" spans="417:683" x14ac:dyDescent="0.25">
      <c r="PA43" t="s">
        <v>3393</v>
      </c>
      <c r="PB43">
        <v>2023</v>
      </c>
      <c r="PC43">
        <v>250</v>
      </c>
      <c r="PD43">
        <v>1026</v>
      </c>
      <c r="XD43" t="s">
        <v>3393</v>
      </c>
      <c r="XE43">
        <v>2023</v>
      </c>
      <c r="XF43">
        <v>1984</v>
      </c>
      <c r="XG43">
        <v>84.72</v>
      </c>
      <c r="XH43">
        <v>0</v>
      </c>
      <c r="XI43">
        <v>18.260000000000002</v>
      </c>
      <c r="XJ43">
        <v>0.4</v>
      </c>
      <c r="YF43" t="s">
        <v>3393</v>
      </c>
      <c r="YG43">
        <v>2023</v>
      </c>
      <c r="YH43">
        <v>2008</v>
      </c>
      <c r="YI43">
        <v>91</v>
      </c>
      <c r="YJ43">
        <v>0</v>
      </c>
      <c r="YY43" t="s">
        <v>3393</v>
      </c>
      <c r="YZ43">
        <v>2023</v>
      </c>
      <c r="ZA43">
        <v>1996</v>
      </c>
      <c r="ZB43">
        <v>0.25</v>
      </c>
      <c r="ZC43">
        <v>21.17</v>
      </c>
      <c r="ZD43">
        <v>68.290000000000006</v>
      </c>
      <c r="ZE43">
        <v>0</v>
      </c>
      <c r="ZF43">
        <v>0.25</v>
      </c>
      <c r="ZG43">
        <v>0</v>
      </c>
    </row>
    <row r="44" spans="417:683" x14ac:dyDescent="0.25">
      <c r="PA44" t="s">
        <v>3393</v>
      </c>
      <c r="PB44">
        <v>2023</v>
      </c>
      <c r="PC44">
        <v>315</v>
      </c>
      <c r="PD44">
        <v>0</v>
      </c>
      <c r="XD44" t="s">
        <v>3393</v>
      </c>
      <c r="XE44">
        <v>2023</v>
      </c>
      <c r="XF44">
        <v>1985</v>
      </c>
      <c r="XG44">
        <v>89.45</v>
      </c>
      <c r="XH44">
        <v>0</v>
      </c>
      <c r="XI44">
        <v>17.079999999999998</v>
      </c>
      <c r="XJ44">
        <v>2.12</v>
      </c>
      <c r="YF44" t="s">
        <v>3393</v>
      </c>
      <c r="YG44">
        <v>2023</v>
      </c>
      <c r="YH44">
        <v>2009</v>
      </c>
      <c r="YI44">
        <v>67</v>
      </c>
      <c r="YJ44">
        <v>0</v>
      </c>
      <c r="YY44" t="s">
        <v>3393</v>
      </c>
      <c r="YZ44">
        <v>2023</v>
      </c>
      <c r="ZA44">
        <v>1997</v>
      </c>
      <c r="ZB44">
        <v>0</v>
      </c>
      <c r="ZC44">
        <v>15.25</v>
      </c>
      <c r="ZD44">
        <v>58.6</v>
      </c>
      <c r="ZE44">
        <v>0</v>
      </c>
      <c r="ZF44">
        <v>0</v>
      </c>
      <c r="ZG44">
        <v>0</v>
      </c>
    </row>
    <row r="45" spans="417:683" x14ac:dyDescent="0.25">
      <c r="PA45" t="s">
        <v>3393</v>
      </c>
      <c r="PB45">
        <v>2023</v>
      </c>
      <c r="PC45">
        <v>400</v>
      </c>
      <c r="PD45">
        <v>672</v>
      </c>
      <c r="XD45" t="s">
        <v>3393</v>
      </c>
      <c r="XE45">
        <v>2023</v>
      </c>
      <c r="XF45">
        <v>1986</v>
      </c>
      <c r="XG45">
        <v>60.55</v>
      </c>
      <c r="XH45">
        <v>0</v>
      </c>
      <c r="XI45">
        <v>17.329999999999998</v>
      </c>
      <c r="XJ45">
        <v>2.15</v>
      </c>
      <c r="YF45" t="s">
        <v>3393</v>
      </c>
      <c r="YG45">
        <v>2023</v>
      </c>
      <c r="YH45">
        <v>2010</v>
      </c>
      <c r="YI45">
        <v>52</v>
      </c>
      <c r="YJ45">
        <v>0</v>
      </c>
      <c r="YY45" t="s">
        <v>3393</v>
      </c>
      <c r="YZ45">
        <v>2023</v>
      </c>
      <c r="ZA45">
        <v>1998</v>
      </c>
      <c r="ZB45">
        <v>0</v>
      </c>
      <c r="ZC45">
        <v>12.28</v>
      </c>
      <c r="ZD45">
        <v>73.900000000000006</v>
      </c>
      <c r="ZE45">
        <v>0</v>
      </c>
      <c r="ZF45">
        <v>0</v>
      </c>
      <c r="ZG45">
        <v>0</v>
      </c>
    </row>
    <row r="46" spans="417:683" x14ac:dyDescent="0.25">
      <c r="PA46" t="s">
        <v>3393</v>
      </c>
      <c r="PB46">
        <v>2023</v>
      </c>
      <c r="PC46">
        <v>500</v>
      </c>
      <c r="PD46">
        <v>0</v>
      </c>
      <c r="XD46" t="s">
        <v>3393</v>
      </c>
      <c r="XE46">
        <v>2023</v>
      </c>
      <c r="XF46">
        <v>1987</v>
      </c>
      <c r="XG46">
        <v>98.23</v>
      </c>
      <c r="XH46">
        <v>1.28</v>
      </c>
      <c r="XI46">
        <v>16.260000000000002</v>
      </c>
      <c r="XJ46">
        <v>0.74</v>
      </c>
      <c r="YF46" t="s">
        <v>3393</v>
      </c>
      <c r="YG46">
        <v>2023</v>
      </c>
      <c r="YH46">
        <v>2011</v>
      </c>
      <c r="YI46">
        <v>85</v>
      </c>
      <c r="YJ46">
        <v>0</v>
      </c>
      <c r="YY46" t="s">
        <v>3393</v>
      </c>
      <c r="YZ46">
        <v>2023</v>
      </c>
      <c r="ZA46">
        <v>1999</v>
      </c>
      <c r="ZB46">
        <v>0</v>
      </c>
      <c r="ZC46">
        <v>13.16</v>
      </c>
      <c r="ZD46">
        <v>64.41</v>
      </c>
      <c r="ZE46">
        <v>0</v>
      </c>
      <c r="ZF46">
        <v>0</v>
      </c>
      <c r="ZG46">
        <v>0</v>
      </c>
    </row>
    <row r="47" spans="417:683" x14ac:dyDescent="0.25">
      <c r="PA47" t="s">
        <v>3393</v>
      </c>
      <c r="PB47">
        <v>2023</v>
      </c>
      <c r="PC47">
        <v>630</v>
      </c>
      <c r="PD47">
        <v>323</v>
      </c>
      <c r="XD47" t="s">
        <v>3393</v>
      </c>
      <c r="XE47">
        <v>2023</v>
      </c>
      <c r="XF47">
        <v>1988</v>
      </c>
      <c r="XG47">
        <v>168.88</v>
      </c>
      <c r="XH47">
        <v>0.83</v>
      </c>
      <c r="XI47">
        <v>24.41</v>
      </c>
      <c r="XJ47">
        <v>0.75</v>
      </c>
      <c r="YF47" t="s">
        <v>3393</v>
      </c>
      <c r="YG47">
        <v>2023</v>
      </c>
      <c r="YH47">
        <v>2012</v>
      </c>
      <c r="YI47">
        <v>94</v>
      </c>
      <c r="YJ47">
        <v>0</v>
      </c>
      <c r="YY47" t="s">
        <v>3393</v>
      </c>
      <c r="YZ47">
        <v>2023</v>
      </c>
      <c r="ZA47">
        <v>2000</v>
      </c>
      <c r="ZB47">
        <v>0</v>
      </c>
      <c r="ZC47">
        <v>15.4</v>
      </c>
      <c r="ZD47">
        <v>57.33</v>
      </c>
      <c r="ZE47">
        <v>0</v>
      </c>
      <c r="ZF47">
        <v>0</v>
      </c>
      <c r="ZG47">
        <v>0</v>
      </c>
    </row>
    <row r="48" spans="417:683" x14ac:dyDescent="0.25">
      <c r="PA48" t="s">
        <v>3393</v>
      </c>
      <c r="PB48">
        <v>2023</v>
      </c>
      <c r="PC48">
        <v>800</v>
      </c>
      <c r="PD48">
        <v>0</v>
      </c>
      <c r="XD48" t="s">
        <v>3393</v>
      </c>
      <c r="XE48">
        <v>2023</v>
      </c>
      <c r="XF48">
        <v>1989</v>
      </c>
      <c r="XG48">
        <v>134.46</v>
      </c>
      <c r="XH48">
        <v>0.96</v>
      </c>
      <c r="XI48">
        <v>19.57</v>
      </c>
      <c r="XJ48">
        <v>0.95</v>
      </c>
      <c r="YF48" t="s">
        <v>3393</v>
      </c>
      <c r="YG48">
        <v>2023</v>
      </c>
      <c r="YH48">
        <v>2013</v>
      </c>
      <c r="YI48">
        <v>59</v>
      </c>
      <c r="YJ48">
        <v>0</v>
      </c>
      <c r="YY48" t="s">
        <v>3393</v>
      </c>
      <c r="YZ48">
        <v>2023</v>
      </c>
      <c r="ZA48">
        <v>2001</v>
      </c>
      <c r="ZB48">
        <v>0</v>
      </c>
      <c r="ZC48">
        <v>43.01</v>
      </c>
      <c r="ZD48">
        <v>68.88</v>
      </c>
      <c r="ZE48">
        <v>0</v>
      </c>
      <c r="ZF48">
        <v>0</v>
      </c>
      <c r="ZG48">
        <v>0</v>
      </c>
    </row>
    <row r="49" spans="417:683" x14ac:dyDescent="0.25">
      <c r="PA49" t="s">
        <v>3393</v>
      </c>
      <c r="PB49">
        <v>2023</v>
      </c>
      <c r="PC49">
        <v>1000</v>
      </c>
      <c r="PD49">
        <v>52</v>
      </c>
      <c r="XD49" t="s">
        <v>3393</v>
      </c>
      <c r="XE49">
        <v>2023</v>
      </c>
      <c r="XF49">
        <v>1990</v>
      </c>
      <c r="XG49">
        <v>97.83</v>
      </c>
      <c r="XH49">
        <v>0</v>
      </c>
      <c r="XI49">
        <v>15.84</v>
      </c>
      <c r="XJ49">
        <v>0.48</v>
      </c>
      <c r="YF49" t="s">
        <v>3393</v>
      </c>
      <c r="YG49">
        <v>2023</v>
      </c>
      <c r="YH49">
        <v>2014</v>
      </c>
      <c r="YI49">
        <v>37</v>
      </c>
      <c r="YJ49">
        <v>0</v>
      </c>
      <c r="YY49" t="s">
        <v>3393</v>
      </c>
      <c r="YZ49">
        <v>2023</v>
      </c>
      <c r="ZA49">
        <v>2002</v>
      </c>
      <c r="ZB49">
        <v>0</v>
      </c>
      <c r="ZC49">
        <v>38.5</v>
      </c>
      <c r="ZD49">
        <v>53.42</v>
      </c>
      <c r="ZE49">
        <v>0</v>
      </c>
      <c r="ZF49">
        <v>0</v>
      </c>
      <c r="ZG49">
        <v>0</v>
      </c>
    </row>
    <row r="50" spans="417:683" x14ac:dyDescent="0.25">
      <c r="PA50" t="s">
        <v>3393</v>
      </c>
      <c r="PB50">
        <v>2023</v>
      </c>
      <c r="PC50">
        <v>1250</v>
      </c>
      <c r="PD50">
        <v>0</v>
      </c>
      <c r="XD50" t="s">
        <v>3393</v>
      </c>
      <c r="XE50">
        <v>2023</v>
      </c>
      <c r="XF50">
        <v>1991</v>
      </c>
      <c r="XG50">
        <v>108.36</v>
      </c>
      <c r="XH50">
        <v>0</v>
      </c>
      <c r="XI50">
        <v>17.86</v>
      </c>
      <c r="XJ50">
        <v>0.62</v>
      </c>
      <c r="YF50" t="s">
        <v>3393</v>
      </c>
      <c r="YG50">
        <v>2023</v>
      </c>
      <c r="YH50">
        <v>2015</v>
      </c>
      <c r="YI50">
        <v>38</v>
      </c>
      <c r="YJ50">
        <v>0</v>
      </c>
      <c r="YY50" t="s">
        <v>3393</v>
      </c>
      <c r="YZ50">
        <v>2023</v>
      </c>
      <c r="ZA50">
        <v>2003</v>
      </c>
      <c r="ZB50">
        <v>0</v>
      </c>
      <c r="ZC50">
        <v>52.36</v>
      </c>
      <c r="ZD50">
        <v>64.489999999999995</v>
      </c>
      <c r="ZE50">
        <v>0</v>
      </c>
      <c r="ZF50">
        <v>0</v>
      </c>
      <c r="ZG50">
        <v>0</v>
      </c>
    </row>
    <row r="51" spans="417:683" x14ac:dyDescent="0.25">
      <c r="XD51" t="s">
        <v>3393</v>
      </c>
      <c r="XE51">
        <v>2023</v>
      </c>
      <c r="XF51">
        <v>1992</v>
      </c>
      <c r="XG51">
        <v>104.15</v>
      </c>
      <c r="XH51">
        <v>0</v>
      </c>
      <c r="XI51">
        <v>30.34</v>
      </c>
      <c r="XJ51">
        <v>0.93</v>
      </c>
      <c r="YF51" t="s">
        <v>3393</v>
      </c>
      <c r="YG51">
        <v>2023</v>
      </c>
      <c r="YH51">
        <v>2016</v>
      </c>
      <c r="YI51">
        <v>59</v>
      </c>
      <c r="YJ51">
        <v>0</v>
      </c>
      <c r="YY51" t="s">
        <v>3393</v>
      </c>
      <c r="YZ51">
        <v>2023</v>
      </c>
      <c r="ZA51">
        <v>2004</v>
      </c>
      <c r="ZB51">
        <v>0</v>
      </c>
      <c r="ZC51">
        <v>16.38</v>
      </c>
      <c r="ZD51">
        <v>54.55</v>
      </c>
      <c r="ZE51">
        <v>0</v>
      </c>
      <c r="ZF51">
        <v>0</v>
      </c>
      <c r="ZG51">
        <v>0</v>
      </c>
    </row>
    <row r="52" spans="417:683" x14ac:dyDescent="0.25">
      <c r="XD52" t="s">
        <v>3393</v>
      </c>
      <c r="XE52">
        <v>2023</v>
      </c>
      <c r="XF52">
        <v>1993</v>
      </c>
      <c r="XG52">
        <v>38.03</v>
      </c>
      <c r="XH52">
        <v>0</v>
      </c>
      <c r="XI52">
        <v>47.65</v>
      </c>
      <c r="XJ52">
        <v>0.67</v>
      </c>
      <c r="YF52" t="s">
        <v>3393</v>
      </c>
      <c r="YG52">
        <v>2023</v>
      </c>
      <c r="YH52">
        <v>2017</v>
      </c>
      <c r="YI52">
        <v>37</v>
      </c>
      <c r="YJ52">
        <v>0</v>
      </c>
      <c r="YY52" t="s">
        <v>3393</v>
      </c>
      <c r="YZ52">
        <v>2023</v>
      </c>
      <c r="ZA52">
        <v>2005</v>
      </c>
      <c r="ZB52">
        <v>0</v>
      </c>
      <c r="ZC52">
        <v>9.99</v>
      </c>
      <c r="ZD52">
        <v>66.430000000000007</v>
      </c>
      <c r="ZE52">
        <v>0</v>
      </c>
      <c r="ZF52">
        <v>0</v>
      </c>
      <c r="ZG52">
        <v>0</v>
      </c>
    </row>
    <row r="53" spans="417:683" x14ac:dyDescent="0.25">
      <c r="XD53" t="s">
        <v>3393</v>
      </c>
      <c r="XE53">
        <v>2023</v>
      </c>
      <c r="XF53">
        <v>1994</v>
      </c>
      <c r="XG53">
        <v>17.739999999999998</v>
      </c>
      <c r="XH53">
        <v>0</v>
      </c>
      <c r="XI53">
        <v>49.87</v>
      </c>
      <c r="XJ53">
        <v>0.26</v>
      </c>
      <c r="YF53" t="s">
        <v>3393</v>
      </c>
      <c r="YG53">
        <v>2023</v>
      </c>
      <c r="YH53">
        <v>2018</v>
      </c>
      <c r="YI53">
        <v>36</v>
      </c>
      <c r="YJ53">
        <v>0</v>
      </c>
      <c r="YY53" t="s">
        <v>3393</v>
      </c>
      <c r="YZ53">
        <v>2023</v>
      </c>
      <c r="ZA53">
        <v>2006</v>
      </c>
      <c r="ZB53">
        <v>0</v>
      </c>
      <c r="ZC53">
        <v>16.66</v>
      </c>
      <c r="ZD53">
        <v>63.41</v>
      </c>
      <c r="ZE53">
        <v>0</v>
      </c>
      <c r="ZF53">
        <v>0</v>
      </c>
      <c r="ZG53">
        <v>0</v>
      </c>
    </row>
    <row r="54" spans="417:683" x14ac:dyDescent="0.25">
      <c r="XD54" t="s">
        <v>3393</v>
      </c>
      <c r="XE54">
        <v>2023</v>
      </c>
      <c r="XF54">
        <v>1995</v>
      </c>
      <c r="XG54">
        <v>15.78</v>
      </c>
      <c r="XH54">
        <v>0</v>
      </c>
      <c r="XI54">
        <v>40.119999999999997</v>
      </c>
      <c r="XJ54">
        <v>0.8</v>
      </c>
      <c r="YF54" t="s">
        <v>3393</v>
      </c>
      <c r="YG54">
        <v>2023</v>
      </c>
      <c r="YH54">
        <v>2019</v>
      </c>
      <c r="YI54">
        <v>54</v>
      </c>
      <c r="YJ54">
        <v>0</v>
      </c>
      <c r="YY54" t="s">
        <v>3393</v>
      </c>
      <c r="YZ54">
        <v>2023</v>
      </c>
      <c r="ZA54">
        <v>2007</v>
      </c>
      <c r="ZB54">
        <v>0</v>
      </c>
      <c r="ZC54">
        <v>5.25</v>
      </c>
      <c r="ZD54">
        <v>88.61</v>
      </c>
      <c r="ZE54">
        <v>0</v>
      </c>
      <c r="ZF54">
        <v>0</v>
      </c>
      <c r="ZG54">
        <v>0</v>
      </c>
    </row>
    <row r="55" spans="417:683" x14ac:dyDescent="0.25">
      <c r="XD55" t="s">
        <v>3393</v>
      </c>
      <c r="XE55">
        <v>2023</v>
      </c>
      <c r="XF55">
        <v>1996</v>
      </c>
      <c r="XG55">
        <v>16.48</v>
      </c>
      <c r="XH55">
        <v>0</v>
      </c>
      <c r="XI55">
        <v>90.2</v>
      </c>
      <c r="XJ55">
        <v>1.39</v>
      </c>
      <c r="YF55" t="s">
        <v>3393</v>
      </c>
      <c r="YG55">
        <v>2023</v>
      </c>
      <c r="YH55">
        <v>2020</v>
      </c>
      <c r="YI55">
        <v>76</v>
      </c>
      <c r="YJ55">
        <v>0</v>
      </c>
      <c r="YY55" t="s">
        <v>3393</v>
      </c>
      <c r="YZ55">
        <v>2023</v>
      </c>
      <c r="ZA55">
        <v>2008</v>
      </c>
      <c r="ZB55">
        <v>0</v>
      </c>
      <c r="ZC55">
        <v>5.08</v>
      </c>
      <c r="ZD55">
        <v>76.58</v>
      </c>
      <c r="ZE55">
        <v>0</v>
      </c>
      <c r="ZF55">
        <v>0</v>
      </c>
      <c r="ZG55">
        <v>0</v>
      </c>
    </row>
    <row r="56" spans="417:683" x14ac:dyDescent="0.25">
      <c r="XD56" t="s">
        <v>3393</v>
      </c>
      <c r="XE56">
        <v>2023</v>
      </c>
      <c r="XF56">
        <v>1997</v>
      </c>
      <c r="XG56">
        <v>6.38</v>
      </c>
      <c r="XH56">
        <v>0</v>
      </c>
      <c r="XI56">
        <v>61.63</v>
      </c>
      <c r="XJ56">
        <v>1.35</v>
      </c>
      <c r="YF56" t="s">
        <v>3393</v>
      </c>
      <c r="YG56">
        <v>2023</v>
      </c>
      <c r="YH56">
        <v>2021</v>
      </c>
      <c r="YI56">
        <v>60</v>
      </c>
      <c r="YJ56">
        <v>0</v>
      </c>
      <c r="YY56" t="s">
        <v>3393</v>
      </c>
      <c r="YZ56">
        <v>2023</v>
      </c>
      <c r="ZA56">
        <v>2009</v>
      </c>
      <c r="ZB56">
        <v>0</v>
      </c>
      <c r="ZC56">
        <v>19.87</v>
      </c>
      <c r="ZD56">
        <v>65.05</v>
      </c>
      <c r="ZE56">
        <v>0</v>
      </c>
      <c r="ZF56">
        <v>0</v>
      </c>
      <c r="ZG56">
        <v>0</v>
      </c>
    </row>
    <row r="57" spans="417:683" x14ac:dyDescent="0.25">
      <c r="XD57" t="s">
        <v>3393</v>
      </c>
      <c r="XE57">
        <v>2023</v>
      </c>
      <c r="XF57">
        <v>1998</v>
      </c>
      <c r="XG57">
        <v>7.19</v>
      </c>
      <c r="XH57">
        <v>0</v>
      </c>
      <c r="XI57">
        <v>51.89</v>
      </c>
      <c r="XJ57">
        <v>0.63</v>
      </c>
      <c r="YF57" t="s">
        <v>3393</v>
      </c>
      <c r="YG57">
        <v>2023</v>
      </c>
      <c r="YH57">
        <v>2022</v>
      </c>
      <c r="YI57">
        <v>54</v>
      </c>
      <c r="YJ57">
        <v>0</v>
      </c>
      <c r="YY57" t="s">
        <v>3393</v>
      </c>
      <c r="YZ57">
        <v>2023</v>
      </c>
      <c r="ZA57">
        <v>2010</v>
      </c>
      <c r="ZB57">
        <v>0</v>
      </c>
      <c r="ZC57">
        <v>14.03</v>
      </c>
      <c r="ZD57">
        <v>70.52</v>
      </c>
      <c r="ZE57">
        <v>0</v>
      </c>
      <c r="ZF57">
        <v>0</v>
      </c>
      <c r="ZG57">
        <v>0</v>
      </c>
    </row>
    <row r="58" spans="417:683" x14ac:dyDescent="0.25">
      <c r="XD58" t="s">
        <v>3393</v>
      </c>
      <c r="XE58">
        <v>2023</v>
      </c>
      <c r="XF58">
        <v>1999</v>
      </c>
      <c r="XG58">
        <v>7.53</v>
      </c>
      <c r="XH58">
        <v>0.46</v>
      </c>
      <c r="XI58">
        <v>92.36</v>
      </c>
      <c r="XJ58">
        <v>2.57</v>
      </c>
      <c r="YF58" t="s">
        <v>3393</v>
      </c>
      <c r="YG58">
        <v>2023</v>
      </c>
      <c r="YH58">
        <v>2023</v>
      </c>
      <c r="YI58">
        <v>26</v>
      </c>
      <c r="YJ58">
        <v>0</v>
      </c>
      <c r="YY58" t="s">
        <v>3393</v>
      </c>
      <c r="YZ58">
        <v>2023</v>
      </c>
      <c r="ZA58">
        <v>2011</v>
      </c>
      <c r="ZB58">
        <v>0</v>
      </c>
      <c r="ZC58">
        <v>13.04</v>
      </c>
      <c r="ZD58">
        <v>75.87</v>
      </c>
      <c r="ZE58">
        <v>0</v>
      </c>
      <c r="ZF58">
        <v>0</v>
      </c>
      <c r="ZG58">
        <v>0</v>
      </c>
    </row>
    <row r="59" spans="417:683" x14ac:dyDescent="0.25">
      <c r="XD59" t="s">
        <v>3393</v>
      </c>
      <c r="XE59">
        <v>2023</v>
      </c>
      <c r="XF59">
        <v>2000</v>
      </c>
      <c r="XG59">
        <v>13.79</v>
      </c>
      <c r="XH59">
        <v>0.32</v>
      </c>
      <c r="XI59">
        <v>82.71</v>
      </c>
      <c r="XJ59">
        <v>0.26</v>
      </c>
      <c r="YY59" t="s">
        <v>3393</v>
      </c>
      <c r="YZ59">
        <v>2023</v>
      </c>
      <c r="ZA59">
        <v>2012</v>
      </c>
      <c r="ZB59">
        <v>0</v>
      </c>
      <c r="ZC59">
        <v>8</v>
      </c>
      <c r="ZD59">
        <v>71.739999999999995</v>
      </c>
      <c r="ZE59">
        <v>0</v>
      </c>
      <c r="ZF59">
        <v>0</v>
      </c>
      <c r="ZG59">
        <v>0</v>
      </c>
    </row>
    <row r="60" spans="417:683" x14ac:dyDescent="0.25">
      <c r="XD60" t="s">
        <v>3393</v>
      </c>
      <c r="XE60">
        <v>2023</v>
      </c>
      <c r="XF60">
        <v>2001</v>
      </c>
      <c r="XG60">
        <v>2.65</v>
      </c>
      <c r="XH60">
        <v>0</v>
      </c>
      <c r="XI60">
        <v>79.709999999999994</v>
      </c>
      <c r="XJ60">
        <v>0.43</v>
      </c>
      <c r="YY60" t="s">
        <v>3393</v>
      </c>
      <c r="YZ60">
        <v>2023</v>
      </c>
      <c r="ZA60">
        <v>2013</v>
      </c>
      <c r="ZB60">
        <v>0</v>
      </c>
      <c r="ZC60">
        <v>9.2100000000000009</v>
      </c>
      <c r="ZD60">
        <v>57.03</v>
      </c>
      <c r="ZE60">
        <v>0</v>
      </c>
      <c r="ZF60">
        <v>0</v>
      </c>
      <c r="ZG60">
        <v>0</v>
      </c>
    </row>
    <row r="61" spans="417:683" x14ac:dyDescent="0.25">
      <c r="XD61" t="s">
        <v>3393</v>
      </c>
      <c r="XE61">
        <v>2023</v>
      </c>
      <c r="XF61">
        <v>2002</v>
      </c>
      <c r="XG61">
        <v>1.72</v>
      </c>
      <c r="XH61">
        <v>0</v>
      </c>
      <c r="XI61">
        <v>112.06</v>
      </c>
      <c r="XJ61">
        <v>1.37</v>
      </c>
      <c r="YY61" t="s">
        <v>3393</v>
      </c>
      <c r="YZ61">
        <v>2023</v>
      </c>
      <c r="ZA61">
        <v>2014</v>
      </c>
      <c r="ZB61">
        <v>0</v>
      </c>
      <c r="ZC61">
        <v>15.9</v>
      </c>
      <c r="ZD61">
        <v>59.44</v>
      </c>
      <c r="ZE61">
        <v>0</v>
      </c>
      <c r="ZF61">
        <v>0</v>
      </c>
      <c r="ZG61">
        <v>0</v>
      </c>
    </row>
    <row r="62" spans="417:683" x14ac:dyDescent="0.25">
      <c r="XD62" t="s">
        <v>3393</v>
      </c>
      <c r="XE62">
        <v>2023</v>
      </c>
      <c r="XF62">
        <v>2003</v>
      </c>
      <c r="XG62">
        <v>1.02</v>
      </c>
      <c r="XH62">
        <v>0</v>
      </c>
      <c r="XI62">
        <v>31.51</v>
      </c>
      <c r="XJ62">
        <v>0</v>
      </c>
      <c r="YY62" t="s">
        <v>3393</v>
      </c>
      <c r="YZ62">
        <v>2023</v>
      </c>
      <c r="ZA62">
        <v>2015</v>
      </c>
      <c r="ZB62">
        <v>0</v>
      </c>
      <c r="ZC62">
        <v>14.01</v>
      </c>
      <c r="ZD62">
        <v>41.3</v>
      </c>
      <c r="ZE62">
        <v>0</v>
      </c>
      <c r="ZF62">
        <v>0</v>
      </c>
      <c r="ZG62">
        <v>0</v>
      </c>
    </row>
    <row r="63" spans="417:683" x14ac:dyDescent="0.25">
      <c r="XD63" t="s">
        <v>3393</v>
      </c>
      <c r="XE63">
        <v>2023</v>
      </c>
      <c r="XF63">
        <v>2004</v>
      </c>
      <c r="XG63">
        <v>1.2</v>
      </c>
      <c r="XH63">
        <v>0</v>
      </c>
      <c r="XI63">
        <v>38.46</v>
      </c>
      <c r="XJ63">
        <v>0.31</v>
      </c>
      <c r="YY63" t="s">
        <v>3393</v>
      </c>
      <c r="YZ63">
        <v>2023</v>
      </c>
      <c r="ZA63">
        <v>2016</v>
      </c>
      <c r="ZB63">
        <v>0</v>
      </c>
      <c r="ZC63">
        <v>7.56</v>
      </c>
      <c r="ZD63">
        <v>43.3</v>
      </c>
      <c r="ZE63">
        <v>0</v>
      </c>
      <c r="ZF63">
        <v>0</v>
      </c>
      <c r="ZG63">
        <v>0</v>
      </c>
    </row>
    <row r="64" spans="417:683" x14ac:dyDescent="0.25">
      <c r="XD64" t="s">
        <v>3393</v>
      </c>
      <c r="XE64">
        <v>2023</v>
      </c>
      <c r="XF64">
        <v>2005</v>
      </c>
      <c r="XG64">
        <v>2.35</v>
      </c>
      <c r="XH64">
        <v>0</v>
      </c>
      <c r="XI64">
        <v>55.87</v>
      </c>
      <c r="XJ64">
        <v>0</v>
      </c>
      <c r="YY64" t="s">
        <v>3393</v>
      </c>
      <c r="YZ64">
        <v>2023</v>
      </c>
      <c r="ZA64">
        <v>2017</v>
      </c>
      <c r="ZB64">
        <v>0</v>
      </c>
      <c r="ZC64">
        <v>7.36</v>
      </c>
      <c r="ZD64">
        <v>55.46</v>
      </c>
      <c r="ZE64">
        <v>0</v>
      </c>
      <c r="ZF64">
        <v>0</v>
      </c>
      <c r="ZG64">
        <v>0</v>
      </c>
    </row>
    <row r="65" spans="628:683" x14ac:dyDescent="0.25">
      <c r="XD65" t="s">
        <v>3393</v>
      </c>
      <c r="XE65">
        <v>2023</v>
      </c>
      <c r="XF65">
        <v>2006</v>
      </c>
      <c r="XG65">
        <v>1.54</v>
      </c>
      <c r="XH65">
        <v>0</v>
      </c>
      <c r="XI65">
        <v>22.86</v>
      </c>
      <c r="XJ65">
        <v>0</v>
      </c>
      <c r="YY65" t="s">
        <v>3393</v>
      </c>
      <c r="YZ65">
        <v>2023</v>
      </c>
      <c r="ZA65">
        <v>2018</v>
      </c>
      <c r="ZB65">
        <v>0</v>
      </c>
      <c r="ZC65">
        <v>4.3499999999999996</v>
      </c>
      <c r="ZD65">
        <v>43.81</v>
      </c>
      <c r="ZE65">
        <v>0</v>
      </c>
      <c r="ZF65">
        <v>0</v>
      </c>
      <c r="ZG65">
        <v>0</v>
      </c>
    </row>
    <row r="66" spans="628:683" x14ac:dyDescent="0.25">
      <c r="XD66" t="s">
        <v>3393</v>
      </c>
      <c r="XE66">
        <v>2023</v>
      </c>
      <c r="XF66">
        <v>2007</v>
      </c>
      <c r="XG66">
        <v>1.27</v>
      </c>
      <c r="XH66">
        <v>0</v>
      </c>
      <c r="XI66">
        <v>42.26</v>
      </c>
      <c r="XJ66">
        <v>0.09</v>
      </c>
      <c r="YY66" t="s">
        <v>3393</v>
      </c>
      <c r="YZ66">
        <v>2023</v>
      </c>
      <c r="ZA66">
        <v>2019</v>
      </c>
      <c r="ZB66">
        <v>0</v>
      </c>
      <c r="ZC66">
        <v>6.65</v>
      </c>
      <c r="ZD66">
        <v>51.32</v>
      </c>
      <c r="ZE66">
        <v>0</v>
      </c>
      <c r="ZF66">
        <v>0</v>
      </c>
      <c r="ZG66">
        <v>0</v>
      </c>
    </row>
    <row r="67" spans="628:683" x14ac:dyDescent="0.25">
      <c r="XD67" t="s">
        <v>3393</v>
      </c>
      <c r="XE67">
        <v>2023</v>
      </c>
      <c r="XF67">
        <v>2008</v>
      </c>
      <c r="XG67">
        <v>1.78</v>
      </c>
      <c r="XH67">
        <v>0</v>
      </c>
      <c r="XI67">
        <v>78.39</v>
      </c>
      <c r="XJ67">
        <v>0</v>
      </c>
      <c r="YY67" t="s">
        <v>3393</v>
      </c>
      <c r="YZ67">
        <v>2023</v>
      </c>
      <c r="ZA67">
        <v>2020</v>
      </c>
      <c r="ZB67">
        <v>0</v>
      </c>
      <c r="ZC67">
        <v>4.6500000000000004</v>
      </c>
      <c r="ZD67">
        <v>45.67</v>
      </c>
      <c r="ZE67">
        <v>0</v>
      </c>
      <c r="ZF67">
        <v>0</v>
      </c>
      <c r="ZG67">
        <v>0</v>
      </c>
    </row>
    <row r="68" spans="628:683" x14ac:dyDescent="0.25">
      <c r="XD68" t="s">
        <v>3393</v>
      </c>
      <c r="XE68">
        <v>2023</v>
      </c>
      <c r="XF68">
        <v>2009</v>
      </c>
      <c r="XG68">
        <v>0.15</v>
      </c>
      <c r="XH68">
        <v>0</v>
      </c>
      <c r="XI68">
        <v>92.06</v>
      </c>
      <c r="XJ68">
        <v>0</v>
      </c>
      <c r="YY68" t="s">
        <v>3393</v>
      </c>
      <c r="YZ68">
        <v>2023</v>
      </c>
      <c r="ZA68">
        <v>2021</v>
      </c>
      <c r="ZB68">
        <v>0</v>
      </c>
      <c r="ZC68">
        <v>7.22</v>
      </c>
      <c r="ZD68">
        <v>48.35</v>
      </c>
      <c r="ZE68">
        <v>0</v>
      </c>
      <c r="ZF68">
        <v>0</v>
      </c>
      <c r="ZG68">
        <v>0</v>
      </c>
    </row>
    <row r="69" spans="628:683" x14ac:dyDescent="0.25">
      <c r="XD69" t="s">
        <v>3393</v>
      </c>
      <c r="XE69">
        <v>2023</v>
      </c>
      <c r="XF69">
        <v>2010</v>
      </c>
      <c r="XG69">
        <v>0.87</v>
      </c>
      <c r="XH69">
        <v>0</v>
      </c>
      <c r="XI69">
        <v>106.5</v>
      </c>
      <c r="XJ69">
        <v>0</v>
      </c>
      <c r="YY69" t="s">
        <v>3393</v>
      </c>
      <c r="YZ69">
        <v>2023</v>
      </c>
      <c r="ZA69">
        <v>2022</v>
      </c>
      <c r="ZB69">
        <v>0</v>
      </c>
      <c r="ZC69">
        <v>6.81</v>
      </c>
      <c r="ZD69">
        <v>44.57</v>
      </c>
      <c r="ZE69">
        <v>0</v>
      </c>
      <c r="ZF69">
        <v>0</v>
      </c>
      <c r="ZG69">
        <v>0</v>
      </c>
    </row>
    <row r="70" spans="628:683" x14ac:dyDescent="0.25">
      <c r="XD70" t="s">
        <v>3393</v>
      </c>
      <c r="XE70">
        <v>2023</v>
      </c>
      <c r="XF70">
        <v>2011</v>
      </c>
      <c r="XG70">
        <v>0.27</v>
      </c>
      <c r="XH70">
        <v>0</v>
      </c>
      <c r="XI70">
        <v>90.02</v>
      </c>
      <c r="XJ70">
        <v>0</v>
      </c>
      <c r="YY70" t="s">
        <v>3393</v>
      </c>
      <c r="YZ70">
        <v>2023</v>
      </c>
      <c r="ZA70">
        <v>2023</v>
      </c>
      <c r="ZB70">
        <v>0</v>
      </c>
      <c r="ZC70">
        <v>4.91</v>
      </c>
      <c r="ZD70">
        <v>45.09</v>
      </c>
      <c r="ZE70">
        <v>0</v>
      </c>
      <c r="ZF70">
        <v>0</v>
      </c>
      <c r="ZG70">
        <v>0</v>
      </c>
    </row>
    <row r="71" spans="628:683" x14ac:dyDescent="0.25">
      <c r="XD71" t="s">
        <v>3393</v>
      </c>
      <c r="XE71">
        <v>2023</v>
      </c>
      <c r="XF71">
        <v>2012</v>
      </c>
      <c r="XG71">
        <v>0.42</v>
      </c>
      <c r="XH71">
        <v>0</v>
      </c>
      <c r="XI71">
        <v>180.73</v>
      </c>
      <c r="XJ71">
        <v>0</v>
      </c>
    </row>
    <row r="72" spans="628:683" x14ac:dyDescent="0.25">
      <c r="XD72" t="s">
        <v>3393</v>
      </c>
      <c r="XE72">
        <v>2023</v>
      </c>
      <c r="XF72">
        <v>2013</v>
      </c>
      <c r="XG72">
        <v>0.73</v>
      </c>
      <c r="XH72">
        <v>0</v>
      </c>
      <c r="XI72">
        <v>38.22</v>
      </c>
      <c r="XJ72">
        <v>0</v>
      </c>
    </row>
    <row r="73" spans="628:683" x14ac:dyDescent="0.25">
      <c r="XD73" t="s">
        <v>3393</v>
      </c>
      <c r="XE73">
        <v>2023</v>
      </c>
      <c r="XF73">
        <v>2014</v>
      </c>
      <c r="XG73">
        <v>0.28000000000000003</v>
      </c>
      <c r="XH73">
        <v>0</v>
      </c>
      <c r="XI73">
        <v>84.13</v>
      </c>
      <c r="XJ73">
        <v>0</v>
      </c>
    </row>
    <row r="74" spans="628:683" x14ac:dyDescent="0.25">
      <c r="XD74" t="s">
        <v>3393</v>
      </c>
      <c r="XE74">
        <v>2023</v>
      </c>
      <c r="XF74">
        <v>2015</v>
      </c>
      <c r="XG74">
        <v>0.92</v>
      </c>
      <c r="XH74">
        <v>0</v>
      </c>
      <c r="XI74">
        <v>109.74</v>
      </c>
      <c r="XJ74">
        <v>0</v>
      </c>
    </row>
    <row r="75" spans="628:683" x14ac:dyDescent="0.25">
      <c r="XD75" t="s">
        <v>3393</v>
      </c>
      <c r="XE75">
        <v>2023</v>
      </c>
      <c r="XF75">
        <v>2016</v>
      </c>
      <c r="XG75">
        <v>0.35</v>
      </c>
      <c r="XH75">
        <v>0</v>
      </c>
      <c r="XI75">
        <v>73.849999999999994</v>
      </c>
      <c r="XJ75">
        <v>0</v>
      </c>
    </row>
    <row r="76" spans="628:683" x14ac:dyDescent="0.25">
      <c r="XD76" t="s">
        <v>3393</v>
      </c>
      <c r="XE76">
        <v>2023</v>
      </c>
      <c r="XF76">
        <v>2017</v>
      </c>
      <c r="XG76">
        <v>0.23</v>
      </c>
      <c r="XH76">
        <v>0</v>
      </c>
      <c r="XI76">
        <v>91.45</v>
      </c>
      <c r="XJ76">
        <v>0</v>
      </c>
    </row>
    <row r="77" spans="628:683" x14ac:dyDescent="0.25">
      <c r="XD77" t="s">
        <v>3393</v>
      </c>
      <c r="XE77">
        <v>2023</v>
      </c>
      <c r="XF77">
        <v>2018</v>
      </c>
      <c r="XG77">
        <v>2.19</v>
      </c>
      <c r="XH77">
        <v>0</v>
      </c>
      <c r="XI77">
        <v>187.25</v>
      </c>
      <c r="XJ77">
        <v>0</v>
      </c>
    </row>
    <row r="78" spans="628:683" x14ac:dyDescent="0.25">
      <c r="XD78" t="s">
        <v>3393</v>
      </c>
      <c r="XE78">
        <v>2023</v>
      </c>
      <c r="XF78">
        <v>2019</v>
      </c>
      <c r="XG78">
        <v>0.25</v>
      </c>
      <c r="XH78">
        <v>0</v>
      </c>
      <c r="XI78">
        <v>34.380000000000003</v>
      </c>
      <c r="XJ78">
        <v>0</v>
      </c>
    </row>
    <row r="79" spans="628:683" x14ac:dyDescent="0.25">
      <c r="XD79" t="s">
        <v>3393</v>
      </c>
      <c r="XE79">
        <v>2023</v>
      </c>
      <c r="XF79">
        <v>2020</v>
      </c>
      <c r="XG79">
        <v>0</v>
      </c>
      <c r="XH79">
        <v>0</v>
      </c>
      <c r="XI79">
        <v>36.08</v>
      </c>
      <c r="XJ79">
        <v>0</v>
      </c>
    </row>
    <row r="80" spans="628:683" x14ac:dyDescent="0.25">
      <c r="XD80" t="s">
        <v>3393</v>
      </c>
      <c r="XE80">
        <v>2023</v>
      </c>
      <c r="XF80">
        <v>2021</v>
      </c>
      <c r="XG80">
        <v>0</v>
      </c>
      <c r="XH80">
        <v>0</v>
      </c>
      <c r="XI80">
        <v>155.13999999999999</v>
      </c>
      <c r="XJ80">
        <v>0</v>
      </c>
    </row>
    <row r="81" spans="628:634" x14ac:dyDescent="0.25">
      <c r="XD81" t="s">
        <v>3393</v>
      </c>
      <c r="XE81">
        <v>2023</v>
      </c>
      <c r="XF81">
        <v>2022</v>
      </c>
      <c r="XG81">
        <v>0.01</v>
      </c>
      <c r="XH81">
        <v>0</v>
      </c>
      <c r="XI81">
        <v>38.56</v>
      </c>
      <c r="XJ81">
        <v>0</v>
      </c>
    </row>
    <row r="82" spans="628:634" x14ac:dyDescent="0.25">
      <c r="XD82" t="s">
        <v>3393</v>
      </c>
      <c r="XE82">
        <v>2023</v>
      </c>
      <c r="XF82">
        <v>2023</v>
      </c>
      <c r="XG82">
        <v>0</v>
      </c>
      <c r="XH82">
        <v>0</v>
      </c>
      <c r="XI82">
        <v>31.99</v>
      </c>
      <c r="XJ82">
        <v>0</v>
      </c>
    </row>
  </sheetData>
  <mergeCells count="59">
    <mergeCell ref="AAZ2:ABB2"/>
    <mergeCell ref="GE2:GG2"/>
    <mergeCell ref="LC2:LE2"/>
    <mergeCell ref="OD3:OF3"/>
    <mergeCell ref="YM2:YO2"/>
    <mergeCell ref="UA2:UC2"/>
    <mergeCell ref="WD2:WF2"/>
    <mergeCell ref="PR2:PT2"/>
    <mergeCell ref="PI2:PK2"/>
    <mergeCell ref="LR2:LT2"/>
    <mergeCell ref="LX2:LZ2"/>
    <mergeCell ref="MM2:MO2"/>
    <mergeCell ref="MX2:MZ2"/>
    <mergeCell ref="NJ2:NL2"/>
    <mergeCell ref="PA2:PC2"/>
    <mergeCell ref="OR3:OT3"/>
    <mergeCell ref="CC2:CD2"/>
    <mergeCell ref="AAQ2:AAS2"/>
    <mergeCell ref="YY2:ZA2"/>
    <mergeCell ref="XD2:XF2"/>
    <mergeCell ref="SB2:SD2"/>
    <mergeCell ref="UW2:UY2"/>
    <mergeCell ref="QA2:QB2"/>
    <mergeCell ref="QK2:QL2"/>
    <mergeCell ref="RA2:RB2"/>
    <mergeCell ref="RT2:RU2"/>
    <mergeCell ref="RK2:RM2"/>
    <mergeCell ref="WM2:WO2"/>
    <mergeCell ref="VG2:VI2"/>
    <mergeCell ref="VR2:VT2"/>
    <mergeCell ref="SR2:ST2"/>
    <mergeCell ref="TE2:TF2"/>
    <mergeCell ref="FR3:FS3"/>
    <mergeCell ref="JS2:JU2"/>
    <mergeCell ref="IW2:IY2"/>
    <mergeCell ref="IH2:IJ2"/>
    <mergeCell ref="HU2:HW2"/>
    <mergeCell ref="A2:B2"/>
    <mergeCell ref="AO2:AP2"/>
    <mergeCell ref="AV2:AW2"/>
    <mergeCell ref="BL2:BM2"/>
    <mergeCell ref="BV2:BW2"/>
    <mergeCell ref="AF2:AG2"/>
    <mergeCell ref="ZI2:ZK2"/>
    <mergeCell ref="YF2:YH2"/>
    <mergeCell ref="CH2:CI2"/>
    <mergeCell ref="HE2:HG2"/>
    <mergeCell ref="GV2:GX2"/>
    <mergeCell ref="GK2:GM2"/>
    <mergeCell ref="XS2:XU2"/>
    <mergeCell ref="KM2:KO2"/>
    <mergeCell ref="KV2:KX2"/>
    <mergeCell ref="CP2:CQ2"/>
    <mergeCell ref="FX2:FZ2"/>
    <mergeCell ref="EM2:EO2"/>
    <mergeCell ref="DQ2:DR2"/>
    <mergeCell ref="DF2:DH2"/>
    <mergeCell ref="XL2:XN2"/>
    <mergeCell ref="XZ2:YB2"/>
  </mergeCells>
  <phoneticPr fontId="5" type="noConversion"/>
  <pageMargins left="0.7" right="0.7" top="0.75" bottom="0.75" header="0.3" footer="0.3"/>
  <pageSetup paperSize="9" orientation="portrait" r:id="rId1"/>
  <tableParts count="6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904E6-F59A-44B6-803C-199E8C7600FD}">
  <sheetPr codeName="Feuil15">
    <tabColor theme="4" tint="0.39997558519241921"/>
  </sheetPr>
  <dimension ref="A2:KH18"/>
  <sheetViews>
    <sheetView topLeftCell="ES1" zoomScale="80" zoomScaleNormal="80" workbookViewId="0">
      <selection activeCell="EU5" sqref="EU5"/>
    </sheetView>
  </sheetViews>
  <sheetFormatPr defaultColWidth="11.42578125" defaultRowHeight="15" x14ac:dyDescent="0.25"/>
  <cols>
    <col min="1" max="1" width="8.5703125" bestFit="1" customWidth="1"/>
    <col min="2" max="2" width="9.140625" bestFit="1" customWidth="1"/>
    <col min="3" max="3" width="14.85546875" bestFit="1" customWidth="1"/>
    <col min="4" max="4" width="18.85546875" bestFit="1" customWidth="1"/>
    <col min="5" max="5" width="34" bestFit="1" customWidth="1"/>
    <col min="6" max="6" width="31.7109375" bestFit="1" customWidth="1"/>
    <col min="7" max="7" width="46.140625" bestFit="1" customWidth="1"/>
    <col min="8" max="8" width="37.28515625" bestFit="1" customWidth="1"/>
    <col min="9" max="9" width="13.28515625" customWidth="1"/>
    <col min="10" max="10" width="8.85546875" bestFit="1" customWidth="1"/>
    <col min="11" max="11" width="9.42578125" bestFit="1" customWidth="1"/>
    <col min="12" max="12" width="11.140625" bestFit="1" customWidth="1"/>
    <col min="13" max="13" width="11.28515625" bestFit="1" customWidth="1"/>
    <col min="14" max="14" width="13.28515625" bestFit="1" customWidth="1"/>
    <col min="15" max="15" width="31.140625" bestFit="1" customWidth="1"/>
    <col min="16" max="16" width="23.5703125" bestFit="1" customWidth="1"/>
    <col min="17" max="17" width="21.5703125" bestFit="1" customWidth="1"/>
    <col min="18" max="18" width="20.5703125" bestFit="1" customWidth="1"/>
    <col min="19" max="19" width="30.42578125" bestFit="1" customWidth="1"/>
    <col min="20" max="20" width="20.7109375" bestFit="1" customWidth="1"/>
    <col min="21" max="21" width="19.85546875" bestFit="1" customWidth="1"/>
    <col min="22" max="22" width="13.28515625" customWidth="1"/>
    <col min="24" max="24" width="8.5703125" bestFit="1" customWidth="1"/>
    <col min="25" max="25" width="9.140625" bestFit="1" customWidth="1"/>
    <col min="26" max="26" width="11.28515625" bestFit="1" customWidth="1"/>
    <col min="27" max="27" width="11.140625" bestFit="1" customWidth="1"/>
    <col min="28" max="28" width="38.42578125" bestFit="1" customWidth="1"/>
    <col min="29" max="29" width="18.7109375" bestFit="1" customWidth="1"/>
    <col min="30" max="30" width="19.5703125" bestFit="1" customWidth="1"/>
    <col min="31" max="31" width="18.5703125" bestFit="1" customWidth="1"/>
    <col min="32" max="32" width="37.7109375" bestFit="1" customWidth="1"/>
    <col min="33" max="33" width="18.85546875" bestFit="1" customWidth="1"/>
    <col min="34" max="34" width="17.7109375" bestFit="1" customWidth="1"/>
    <col min="35" max="35" width="30" bestFit="1" customWidth="1"/>
    <col min="36" max="36" width="29" bestFit="1" customWidth="1"/>
    <col min="37" max="38" width="27.7109375" bestFit="1" customWidth="1"/>
    <col min="39" max="40" width="26.7109375" bestFit="1" customWidth="1"/>
    <col min="41" max="41" width="10.28515625" bestFit="1" customWidth="1"/>
    <col min="42" max="42" width="12.28515625" bestFit="1" customWidth="1"/>
    <col min="43" max="43" width="11.28515625" bestFit="1" customWidth="1"/>
    <col min="44" max="44" width="9.140625" bestFit="1" customWidth="1"/>
    <col min="45" max="45" width="11" bestFit="1" customWidth="1"/>
    <col min="46" max="46" width="11.140625" bestFit="1" customWidth="1"/>
    <col min="47" max="47" width="38.42578125" bestFit="1" customWidth="1"/>
    <col min="48" max="48" width="18.7109375" bestFit="1" customWidth="1"/>
    <col min="49" max="49" width="19.5703125" bestFit="1" customWidth="1"/>
    <col min="50" max="50" width="18.5703125" bestFit="1" customWidth="1"/>
    <col min="51" max="51" width="37.7109375" bestFit="1" customWidth="1"/>
    <col min="52" max="52" width="18.85546875" bestFit="1" customWidth="1"/>
    <col min="53" max="53" width="17.7109375" bestFit="1" customWidth="1"/>
    <col min="54" max="54" width="18.28515625" bestFit="1" customWidth="1"/>
    <col min="55" max="55" width="8.5703125" bestFit="1" customWidth="1"/>
    <col min="56" max="56" width="9.140625" bestFit="1" customWidth="1"/>
    <col min="57" max="60" width="24.5703125" bestFit="1" customWidth="1"/>
    <col min="61" max="64" width="24.28515625" bestFit="1" customWidth="1"/>
    <col min="65" max="65" width="24.5703125" bestFit="1" customWidth="1"/>
    <col min="66" max="66" width="8.5703125" bestFit="1" customWidth="1"/>
    <col min="67" max="67" width="9.140625" bestFit="1" customWidth="1"/>
    <col min="68" max="68" width="29.140625" bestFit="1" customWidth="1"/>
    <col min="69" max="69" width="28.42578125" bestFit="1" customWidth="1"/>
    <col min="70" max="70" width="25.140625" bestFit="1" customWidth="1"/>
    <col min="71" max="71" width="26.140625" bestFit="1" customWidth="1"/>
    <col min="72" max="72" width="32.140625" bestFit="1" customWidth="1"/>
    <col min="73" max="73" width="30.28515625" bestFit="1" customWidth="1"/>
    <col min="74" max="74" width="29.5703125" bestFit="1" customWidth="1"/>
    <col min="75" max="75" width="24.140625" bestFit="1" customWidth="1"/>
    <col min="76" max="76" width="25.140625" bestFit="1" customWidth="1"/>
    <col min="77" max="77" width="31.140625" bestFit="1" customWidth="1"/>
    <col min="78" max="78" width="29.28515625" bestFit="1" customWidth="1"/>
    <col min="79" max="79" width="28.5703125" bestFit="1" customWidth="1"/>
    <col min="80" max="80" width="24.42578125" bestFit="1" customWidth="1"/>
    <col min="81" max="81" width="25.42578125" bestFit="1" customWidth="1"/>
    <col min="82" max="82" width="31.28515625" bestFit="1" customWidth="1"/>
    <col min="83" max="83" width="29.5703125" bestFit="1" customWidth="1"/>
    <col min="84" max="84" width="28.85546875" bestFit="1" customWidth="1"/>
    <col min="85" max="85" width="23.42578125" bestFit="1" customWidth="1"/>
    <col min="86" max="86" width="24.42578125" bestFit="1" customWidth="1"/>
    <col min="87" max="87" width="30.42578125" bestFit="1" customWidth="1"/>
    <col min="88" max="88" width="28.5703125" bestFit="1" customWidth="1"/>
    <col min="89" max="89" width="27.7109375" bestFit="1" customWidth="1"/>
    <col min="90" max="90" width="27.42578125" bestFit="1" customWidth="1"/>
    <col min="91" max="91" width="26.7109375" bestFit="1" customWidth="1"/>
    <col min="92" max="92" width="22.28515625" bestFit="1" customWidth="1"/>
    <col min="93" max="93" width="8.5703125" bestFit="1" customWidth="1"/>
    <col min="94" max="94" width="9.140625" bestFit="1" customWidth="1"/>
    <col min="95" max="95" width="14.140625" bestFit="1" customWidth="1"/>
    <col min="96" max="96" width="15.28515625" bestFit="1" customWidth="1"/>
    <col min="97" max="97" width="11.140625" bestFit="1" customWidth="1"/>
    <col min="98" max="98" width="10.5703125" bestFit="1" customWidth="1"/>
    <col min="99" max="99" width="7.28515625" bestFit="1" customWidth="1"/>
    <col min="100" max="100" width="12.85546875" bestFit="1" customWidth="1"/>
    <col min="101" max="101" width="10.7109375" bestFit="1" customWidth="1"/>
    <col min="102" max="102" width="11.7109375" bestFit="1" customWidth="1"/>
    <col min="103" max="103" width="10.140625" bestFit="1" customWidth="1"/>
    <col min="104" max="105" width="6.28515625" bestFit="1" customWidth="1"/>
    <col min="106" max="106" width="12.28515625" bestFit="1" customWidth="1"/>
    <col min="107" max="107" width="8.5703125" bestFit="1" customWidth="1"/>
    <col min="108" max="108" width="9.140625" bestFit="1" customWidth="1"/>
    <col min="109" max="109" width="22.7109375" bestFit="1" customWidth="1"/>
    <col min="110" max="110" width="23.85546875" bestFit="1" customWidth="1"/>
    <col min="111" max="111" width="22.28515625" bestFit="1" customWidth="1"/>
    <col min="112" max="112" width="32.28515625" bestFit="1" customWidth="1"/>
    <col min="113" max="113" width="36.85546875" bestFit="1" customWidth="1"/>
    <col min="114" max="114" width="36.28515625" bestFit="1" customWidth="1"/>
    <col min="115" max="115" width="26.140625" bestFit="1" customWidth="1"/>
    <col min="116" max="116" width="30.140625" bestFit="1" customWidth="1"/>
    <col min="117" max="117" width="28.5703125" bestFit="1" customWidth="1"/>
    <col min="118" max="118" width="26" bestFit="1" customWidth="1"/>
    <col min="119" max="119" width="31.5703125" bestFit="1" customWidth="1"/>
    <col min="120" max="120" width="30" bestFit="1" customWidth="1"/>
    <col min="121" max="121" width="30.5703125" bestFit="1" customWidth="1"/>
    <col min="122" max="122" width="29.42578125" bestFit="1" customWidth="1"/>
    <col min="124" max="124" width="8.5703125" bestFit="1" customWidth="1"/>
    <col min="125" max="125" width="9.140625" bestFit="1" customWidth="1"/>
    <col min="126" max="126" width="20.7109375" bestFit="1" customWidth="1"/>
    <col min="127" max="127" width="23.85546875" bestFit="1" customWidth="1"/>
    <col min="128" max="128" width="22.28515625" bestFit="1" customWidth="1"/>
    <col min="129" max="129" width="32.28515625" bestFit="1" customWidth="1"/>
    <col min="130" max="130" width="36.85546875" bestFit="1" customWidth="1"/>
    <col min="131" max="131" width="36.28515625" bestFit="1" customWidth="1"/>
    <col min="132" max="132" width="21.28515625" bestFit="1" customWidth="1"/>
    <col min="133" max="133" width="29.7109375" bestFit="1" customWidth="1"/>
    <col min="134" max="134" width="29" bestFit="1" customWidth="1"/>
    <col min="135" max="135" width="26" bestFit="1" customWidth="1"/>
    <col min="136" max="136" width="30.7109375" bestFit="1" customWidth="1"/>
    <col min="137" max="137" width="30" bestFit="1" customWidth="1"/>
    <col min="138" max="138" width="30.5703125" bestFit="1" customWidth="1"/>
    <col min="139" max="139" width="24.5703125" bestFit="1" customWidth="1"/>
    <col min="140" max="140" width="34.5703125" bestFit="1" customWidth="1"/>
    <col min="141" max="141" width="8.5703125" bestFit="1" customWidth="1"/>
    <col min="142" max="142" width="9.140625" bestFit="1" customWidth="1"/>
    <col min="143" max="143" width="26.140625" bestFit="1" customWidth="1"/>
    <col min="144" max="144" width="36.140625" bestFit="1" customWidth="1"/>
    <col min="145" max="145" width="49.7109375" bestFit="1" customWidth="1"/>
    <col min="146" max="146" width="29.5703125" bestFit="1" customWidth="1"/>
    <col min="147" max="147" width="25.140625" bestFit="1" customWidth="1"/>
    <col min="148" max="148" width="35.140625" bestFit="1" customWidth="1"/>
    <col min="149" max="149" width="48.7109375" bestFit="1" customWidth="1"/>
    <col min="150" max="150" width="32.7109375" bestFit="1" customWidth="1"/>
    <col min="151" max="151" width="28.5703125" bestFit="1" customWidth="1"/>
    <col min="152" max="153" width="22.28515625" bestFit="1" customWidth="1"/>
    <col min="154" max="154" width="25.7109375" bestFit="1" customWidth="1"/>
    <col min="155" max="155" width="12.42578125" customWidth="1"/>
    <col min="156" max="156" width="8.85546875" bestFit="1" customWidth="1"/>
    <col min="157" max="157" width="9.42578125" bestFit="1" customWidth="1"/>
    <col min="158" max="158" width="25.42578125" bestFit="1" customWidth="1"/>
    <col min="159" max="159" width="32.140625" bestFit="1" customWidth="1"/>
    <col min="160" max="160" width="35.5703125" bestFit="1" customWidth="1"/>
    <col min="161" max="161" width="24.42578125" bestFit="1" customWidth="1"/>
    <col min="162" max="162" width="31.140625" bestFit="1" customWidth="1"/>
    <col min="163" max="163" width="34.5703125" bestFit="1" customWidth="1"/>
    <col min="164" max="164" width="30.140625" bestFit="1" customWidth="1"/>
    <col min="165" max="165" width="22.7109375" bestFit="1" customWidth="1"/>
    <col min="166" max="166" width="21.7109375" bestFit="1" customWidth="1"/>
    <col min="167" max="167" width="22.42578125" customWidth="1"/>
    <col min="168" max="168" width="8.85546875" bestFit="1" customWidth="1"/>
    <col min="169" max="169" width="9.42578125" bestFit="1" customWidth="1"/>
    <col min="170" max="170" width="22.28515625" bestFit="1" customWidth="1"/>
    <col min="171" max="171" width="26.28515625" bestFit="1" customWidth="1"/>
    <col min="172" max="172" width="25.28515625" bestFit="1" customWidth="1"/>
    <col min="173" max="173" width="16.140625" bestFit="1" customWidth="1"/>
    <col min="175" max="175" width="8.5703125" bestFit="1" customWidth="1"/>
    <col min="176" max="176" width="9.140625" bestFit="1" customWidth="1"/>
    <col min="177" max="177" width="14" bestFit="1" customWidth="1"/>
    <col min="178" max="178" width="16.85546875" bestFit="1" customWidth="1"/>
    <col min="179" max="179" width="16.140625" bestFit="1" customWidth="1"/>
    <col min="180" max="180" width="12.28515625" bestFit="1" customWidth="1"/>
    <col min="181" max="181" width="12.42578125" bestFit="1" customWidth="1"/>
    <col min="186" max="186" width="8.5703125" bestFit="1" customWidth="1"/>
    <col min="187" max="187" width="9.140625" bestFit="1" customWidth="1"/>
    <col min="188" max="188" width="9.28515625" bestFit="1" customWidth="1"/>
    <col min="189" max="189" width="6.28515625" bestFit="1" customWidth="1"/>
    <col min="190" max="190" width="6.5703125" bestFit="1" customWidth="1"/>
    <col min="192" max="192" width="8.5703125" bestFit="1" customWidth="1"/>
    <col min="193" max="193" width="9.140625" bestFit="1" customWidth="1"/>
    <col min="194" max="194" width="11.85546875" bestFit="1" customWidth="1"/>
    <col min="195" max="195" width="15.5703125" bestFit="1" customWidth="1"/>
    <col min="196" max="196" width="12.85546875" bestFit="1" customWidth="1"/>
    <col min="197" max="197" width="16.5703125" bestFit="1" customWidth="1"/>
    <col min="201" max="201" width="8.5703125" bestFit="1" customWidth="1"/>
    <col min="202" max="202" width="9.140625" bestFit="1" customWidth="1"/>
    <col min="203" max="203" width="22.28515625" bestFit="1" customWidth="1"/>
    <col min="204" max="204" width="15.28515625" bestFit="1" customWidth="1"/>
    <col min="205" max="205" width="11.140625" bestFit="1" customWidth="1"/>
    <col min="206" max="206" width="10.5703125" bestFit="1" customWidth="1"/>
    <col min="207" max="207" width="7.28515625" bestFit="1" customWidth="1"/>
    <col min="208" max="208" width="12.85546875" bestFit="1" customWidth="1"/>
    <col min="209" max="209" width="10.7109375" bestFit="1" customWidth="1"/>
    <col min="210" max="210" width="11.7109375" bestFit="1" customWidth="1"/>
    <col min="211" max="211" width="10.140625" bestFit="1" customWidth="1"/>
    <col min="212" max="212" width="6.28515625" bestFit="1" customWidth="1"/>
    <col min="216" max="216" width="8.5703125" bestFit="1" customWidth="1"/>
    <col min="217" max="217" width="9.140625" bestFit="1" customWidth="1"/>
    <col min="218" max="218" width="23.5703125" bestFit="1" customWidth="1"/>
    <col min="219" max="219" width="15.28515625" bestFit="1" customWidth="1"/>
    <col min="220" max="220" width="11.140625" bestFit="1" customWidth="1"/>
    <col min="221" max="221" width="10.5703125" bestFit="1" customWidth="1"/>
    <col min="222" max="222" width="7.28515625" bestFit="1" customWidth="1"/>
    <col min="223" max="223" width="12.85546875" bestFit="1" customWidth="1"/>
    <col min="224" max="224" width="10.7109375" bestFit="1" customWidth="1"/>
    <col min="225" max="225" width="11.7109375" bestFit="1" customWidth="1"/>
    <col min="226" max="226" width="10.140625" bestFit="1" customWidth="1"/>
    <col min="227" max="227" width="6.28515625" bestFit="1" customWidth="1"/>
    <col min="229" max="229" width="8.5703125" bestFit="1" customWidth="1"/>
    <col min="230" max="230" width="9.140625" bestFit="1" customWidth="1"/>
    <col min="231" max="231" width="24.7109375" bestFit="1" customWidth="1"/>
    <col min="232" max="232" width="24.28515625" bestFit="1" customWidth="1"/>
    <col min="233" max="233" width="24.42578125" bestFit="1" customWidth="1"/>
    <col min="234" max="234" width="24" bestFit="1" customWidth="1"/>
    <col min="237" max="237" width="8.5703125" bestFit="1" customWidth="1"/>
    <col min="238" max="238" width="9.140625" bestFit="1" customWidth="1"/>
    <col min="239" max="239" width="20" bestFit="1" customWidth="1"/>
    <col min="240" max="240" width="21.5703125" bestFit="1" customWidth="1"/>
    <col min="241" max="241" width="24.7109375" bestFit="1" customWidth="1"/>
    <col min="242" max="242" width="24" bestFit="1" customWidth="1"/>
    <col min="245" max="245" width="8.5703125" bestFit="1" customWidth="1"/>
    <col min="246" max="246" width="9.140625" bestFit="1" customWidth="1"/>
    <col min="247" max="247" width="20" bestFit="1" customWidth="1"/>
    <col min="248" max="248" width="17.7109375" bestFit="1" customWidth="1"/>
    <col min="249" max="249" width="21.5703125" bestFit="1" customWidth="1"/>
    <col min="251" max="251" width="8.5703125" bestFit="1" customWidth="1"/>
    <col min="252" max="252" width="9.140625" bestFit="1" customWidth="1"/>
    <col min="253" max="253" width="16.7109375" bestFit="1" customWidth="1"/>
    <col min="254" max="254" width="16" bestFit="1" customWidth="1"/>
    <col min="255" max="255" width="19.85546875" bestFit="1" customWidth="1"/>
    <col min="256" max="256" width="18.85546875" bestFit="1" customWidth="1"/>
    <col min="257" max="257" width="16.7109375" bestFit="1" customWidth="1"/>
    <col min="258" max="258" width="20.5703125" bestFit="1" customWidth="1"/>
    <col min="259" max="259" width="19.5703125" bestFit="1" customWidth="1"/>
    <col min="262" max="262" width="8.85546875" bestFit="1" customWidth="1"/>
    <col min="263" max="263" width="9.42578125" bestFit="1" customWidth="1"/>
    <col min="264" max="264" width="11.140625" bestFit="1" customWidth="1"/>
    <col min="265" max="265" width="11.28515625" bestFit="1" customWidth="1"/>
    <col min="266" max="266" width="13.28515625" bestFit="1" customWidth="1"/>
    <col min="267" max="267" width="31.140625" bestFit="1" customWidth="1"/>
    <col min="268" max="268" width="23.5703125" bestFit="1" customWidth="1"/>
    <col min="269" max="269" width="21.5703125" bestFit="1" customWidth="1"/>
    <col min="270" max="270" width="20.5703125" bestFit="1" customWidth="1"/>
    <col min="271" max="271" width="30.42578125" bestFit="1" customWidth="1"/>
    <col min="272" max="272" width="20.7109375" bestFit="1" customWidth="1"/>
    <col min="273" max="273" width="19.85546875" bestFit="1" customWidth="1"/>
    <col min="274" max="274" width="16.85546875" bestFit="1" customWidth="1"/>
    <col min="275" max="275" width="16.140625" bestFit="1" customWidth="1"/>
    <col min="276" max="276" width="20.140625" bestFit="1" customWidth="1"/>
    <col min="277" max="277" width="9.140625" bestFit="1" customWidth="1"/>
    <col min="278" max="278" width="31.7109375" bestFit="1" customWidth="1"/>
    <col min="279" max="279" width="45" bestFit="1" customWidth="1"/>
    <col min="280" max="280" width="31.5703125" bestFit="1" customWidth="1"/>
    <col min="281" max="281" width="44.7109375" bestFit="1" customWidth="1"/>
    <col min="286" max="286" width="9.42578125" bestFit="1" customWidth="1"/>
    <col min="287" max="290" width="9.42578125" customWidth="1"/>
    <col min="291" max="291" width="8.5703125" bestFit="1" customWidth="1"/>
    <col min="292" max="292" width="9.140625" bestFit="1" customWidth="1"/>
    <col min="293" max="293" width="21.28515625" bestFit="1" customWidth="1"/>
    <col min="294" max="294" width="22.28515625" bestFit="1" customWidth="1"/>
    <col min="296" max="296" width="6.7109375" customWidth="1"/>
    <col min="297" max="297" width="3.7109375" customWidth="1"/>
    <col min="298" max="298" width="8.85546875" bestFit="1" customWidth="1"/>
    <col min="299" max="299" width="9.42578125" bestFit="1" customWidth="1"/>
    <col min="300" max="300" width="22" bestFit="1" customWidth="1"/>
    <col min="301" max="301" width="23" bestFit="1" customWidth="1"/>
  </cols>
  <sheetData>
    <row r="2" spans="1:294" ht="21" x14ac:dyDescent="0.35">
      <c r="A2" s="797" t="s">
        <v>707</v>
      </c>
      <c r="B2" s="797"/>
      <c r="J2" s="797" t="s">
        <v>3170</v>
      </c>
      <c r="K2" s="797"/>
      <c r="Y2" s="797" t="s">
        <v>1631</v>
      </c>
      <c r="Z2" s="797"/>
      <c r="AQ2" s="797" t="s">
        <v>1632</v>
      </c>
      <c r="AR2" s="797"/>
      <c r="BC2" s="797" t="s">
        <v>656</v>
      </c>
      <c r="BD2" s="797"/>
      <c r="BN2" s="797" t="s">
        <v>682</v>
      </c>
      <c r="BO2" s="797"/>
      <c r="CO2" s="797" t="s">
        <v>790</v>
      </c>
      <c r="CP2" s="797"/>
      <c r="DC2" s="797" t="s">
        <v>697</v>
      </c>
      <c r="DD2" s="797"/>
      <c r="DT2" s="797" t="s">
        <v>705</v>
      </c>
      <c r="DU2" s="797"/>
      <c r="EK2" s="797" t="s">
        <v>1633</v>
      </c>
      <c r="EL2" s="797"/>
      <c r="EZ2" s="797" t="s">
        <v>3184</v>
      </c>
      <c r="FA2" s="797"/>
      <c r="FL2" s="797" t="s">
        <v>3194</v>
      </c>
      <c r="FM2" s="797"/>
      <c r="FS2" s="797" t="s">
        <v>1634</v>
      </c>
      <c r="FT2" s="797"/>
      <c r="GD2" s="797" t="s">
        <v>1635</v>
      </c>
      <c r="GE2" s="797"/>
      <c r="GJ2" s="797" t="s">
        <v>768</v>
      </c>
      <c r="GK2" s="797"/>
      <c r="GS2" s="797" t="s">
        <v>1636</v>
      </c>
      <c r="GT2" s="797"/>
      <c r="HH2" s="797" t="s">
        <v>1637</v>
      </c>
      <c r="HI2" s="797"/>
      <c r="HU2" s="797" t="s">
        <v>1638</v>
      </c>
      <c r="HV2" s="797"/>
      <c r="IC2" s="797" t="s">
        <v>1638</v>
      </c>
      <c r="ID2" s="797"/>
      <c r="IK2" s="797" t="s">
        <v>772</v>
      </c>
      <c r="IL2" s="797"/>
      <c r="IQ2" s="797" t="s">
        <v>1639</v>
      </c>
      <c r="IR2" s="797"/>
      <c r="JB2" s="797" t="s">
        <v>1640</v>
      </c>
      <c r="JC2" s="797"/>
      <c r="JD2" s="3"/>
      <c r="JE2" s="3"/>
      <c r="JF2" s="3"/>
      <c r="JG2" s="3"/>
      <c r="JH2" s="3"/>
      <c r="JI2" s="3"/>
      <c r="JJ2" s="3"/>
      <c r="JK2" s="3"/>
      <c r="JL2" s="3"/>
      <c r="JM2" s="3"/>
      <c r="KG2" s="797" t="s">
        <v>1641</v>
      </c>
      <c r="KH2" s="797"/>
    </row>
    <row r="4" spans="1:294" x14ac:dyDescent="0.25">
      <c r="A4" t="s">
        <v>1356</v>
      </c>
      <c r="B4" t="s">
        <v>1357</v>
      </c>
      <c r="C4" t="s">
        <v>1642</v>
      </c>
      <c r="D4" t="s">
        <v>1643</v>
      </c>
      <c r="E4" t="s">
        <v>1644</v>
      </c>
      <c r="F4" t="s">
        <v>1645</v>
      </c>
      <c r="G4" t="s">
        <v>1646</v>
      </c>
      <c r="H4" t="s">
        <v>1647</v>
      </c>
      <c r="J4" t="s">
        <v>1550</v>
      </c>
      <c r="K4" t="s">
        <v>1551</v>
      </c>
      <c r="L4" t="s">
        <v>3174</v>
      </c>
      <c r="M4" t="s">
        <v>3175</v>
      </c>
      <c r="N4" t="s">
        <v>3176</v>
      </c>
      <c r="O4" t="s">
        <v>3177</v>
      </c>
      <c r="P4" t="s">
        <v>3178</v>
      </c>
      <c r="Q4" t="s">
        <v>3179</v>
      </c>
      <c r="R4" t="s">
        <v>3180</v>
      </c>
      <c r="S4" t="s">
        <v>3181</v>
      </c>
      <c r="T4" t="s">
        <v>3182</v>
      </c>
      <c r="U4" t="s">
        <v>3183</v>
      </c>
      <c r="X4" t="s">
        <v>1356</v>
      </c>
      <c r="Y4" t="s">
        <v>1357</v>
      </c>
      <c r="Z4" t="s">
        <v>1648</v>
      </c>
      <c r="AA4" t="s">
        <v>1649</v>
      </c>
      <c r="AB4" t="s">
        <v>1650</v>
      </c>
      <c r="AC4" t="s">
        <v>1651</v>
      </c>
      <c r="AD4" t="s">
        <v>1652</v>
      </c>
      <c r="AE4" t="s">
        <v>1653</v>
      </c>
      <c r="AF4" t="s">
        <v>1654</v>
      </c>
      <c r="AG4" t="s">
        <v>1655</v>
      </c>
      <c r="AH4" t="s">
        <v>1656</v>
      </c>
      <c r="AI4" t="s">
        <v>1657</v>
      </c>
      <c r="AJ4" t="s">
        <v>1658</v>
      </c>
      <c r="AK4" t="s">
        <v>1659</v>
      </c>
      <c r="AL4" t="s">
        <v>1660</v>
      </c>
      <c r="AM4" t="s">
        <v>1661</v>
      </c>
      <c r="AN4" t="s">
        <v>1662</v>
      </c>
      <c r="AQ4" s="1" t="s">
        <v>1356</v>
      </c>
      <c r="AR4" t="s">
        <v>1357</v>
      </c>
      <c r="AS4" t="s">
        <v>1663</v>
      </c>
      <c r="AT4" t="s">
        <v>1649</v>
      </c>
      <c r="AU4" t="s">
        <v>1650</v>
      </c>
      <c r="AV4" t="s">
        <v>1651</v>
      </c>
      <c r="AW4" t="s">
        <v>1652</v>
      </c>
      <c r="AX4" t="s">
        <v>1653</v>
      </c>
      <c r="AY4" t="s">
        <v>1654</v>
      </c>
      <c r="AZ4" t="s">
        <v>1655</v>
      </c>
      <c r="BA4" t="s">
        <v>1656</v>
      </c>
      <c r="BC4" t="s">
        <v>1356</v>
      </c>
      <c r="BD4" t="s">
        <v>1357</v>
      </c>
      <c r="BE4" t="s">
        <v>1664</v>
      </c>
      <c r="BF4" t="s">
        <v>1665</v>
      </c>
      <c r="BG4" t="s">
        <v>1666</v>
      </c>
      <c r="BH4" t="s">
        <v>1667</v>
      </c>
      <c r="BI4" t="s">
        <v>1668</v>
      </c>
      <c r="BJ4" t="s">
        <v>1669</v>
      </c>
      <c r="BK4" t="s">
        <v>1670</v>
      </c>
      <c r="BL4" t="s">
        <v>1671</v>
      </c>
      <c r="BN4" t="s">
        <v>1356</v>
      </c>
      <c r="BO4" t="s">
        <v>1357</v>
      </c>
      <c r="BP4" t="s">
        <v>1672</v>
      </c>
      <c r="BQ4" t="s">
        <v>1673</v>
      </c>
      <c r="BR4" t="s">
        <v>1674</v>
      </c>
      <c r="BS4" t="s">
        <v>1675</v>
      </c>
      <c r="BT4" t="s">
        <v>1676</v>
      </c>
      <c r="BU4" t="s">
        <v>1677</v>
      </c>
      <c r="BV4" t="s">
        <v>1678</v>
      </c>
      <c r="BW4" t="s">
        <v>1679</v>
      </c>
      <c r="BX4" t="s">
        <v>1680</v>
      </c>
      <c r="BY4" t="s">
        <v>1681</v>
      </c>
      <c r="BZ4" t="s">
        <v>1682</v>
      </c>
      <c r="CA4" t="s">
        <v>1683</v>
      </c>
      <c r="CB4" t="s">
        <v>1684</v>
      </c>
      <c r="CC4" t="s">
        <v>1685</v>
      </c>
      <c r="CD4" t="s">
        <v>1686</v>
      </c>
      <c r="CE4" t="s">
        <v>1687</v>
      </c>
      <c r="CF4" t="s">
        <v>1688</v>
      </c>
      <c r="CG4" t="s">
        <v>1689</v>
      </c>
      <c r="CH4" t="s">
        <v>1690</v>
      </c>
      <c r="CI4" t="s">
        <v>1691</v>
      </c>
      <c r="CJ4" t="s">
        <v>1692</v>
      </c>
      <c r="CK4" t="s">
        <v>1693</v>
      </c>
      <c r="CL4" t="s">
        <v>1694</v>
      </c>
      <c r="CM4" t="s">
        <v>1695</v>
      </c>
      <c r="CO4" t="s">
        <v>1356</v>
      </c>
      <c r="CP4" t="s">
        <v>1357</v>
      </c>
      <c r="CQ4" t="s">
        <v>1696</v>
      </c>
      <c r="CR4" t="s">
        <v>1697</v>
      </c>
      <c r="CS4" t="s">
        <v>1698</v>
      </c>
      <c r="CT4" t="s">
        <v>1699</v>
      </c>
      <c r="CU4" t="s">
        <v>1700</v>
      </c>
      <c r="CV4" t="s">
        <v>1701</v>
      </c>
      <c r="CW4" t="s">
        <v>1702</v>
      </c>
      <c r="CX4" t="s">
        <v>1703</v>
      </c>
      <c r="CY4" t="s">
        <v>684</v>
      </c>
      <c r="CZ4" t="s">
        <v>1704</v>
      </c>
      <c r="DC4" t="s">
        <v>1356</v>
      </c>
      <c r="DD4" t="s">
        <v>1357</v>
      </c>
      <c r="DE4" t="s">
        <v>1705</v>
      </c>
      <c r="DF4" t="s">
        <v>1706</v>
      </c>
      <c r="DG4" t="s">
        <v>1707</v>
      </c>
      <c r="DH4" t="s">
        <v>1708</v>
      </c>
      <c r="DI4" t="s">
        <v>1709</v>
      </c>
      <c r="DJ4" t="s">
        <v>1710</v>
      </c>
      <c r="DK4" t="s">
        <v>1711</v>
      </c>
      <c r="DL4" t="s">
        <v>1712</v>
      </c>
      <c r="DM4" t="s">
        <v>1713</v>
      </c>
      <c r="DN4" t="s">
        <v>1714</v>
      </c>
      <c r="DO4" t="s">
        <v>1715</v>
      </c>
      <c r="DP4" t="s">
        <v>1716</v>
      </c>
      <c r="DT4" t="s">
        <v>1356</v>
      </c>
      <c r="DU4" t="s">
        <v>1357</v>
      </c>
      <c r="DV4" t="s">
        <v>1717</v>
      </c>
      <c r="DW4" t="s">
        <v>1706</v>
      </c>
      <c r="DX4" t="s">
        <v>1707</v>
      </c>
      <c r="DY4" t="s">
        <v>1708</v>
      </c>
      <c r="DZ4" t="s">
        <v>1709</v>
      </c>
      <c r="EA4" t="s">
        <v>1710</v>
      </c>
      <c r="EB4" t="s">
        <v>1718</v>
      </c>
      <c r="EC4" t="s">
        <v>1719</v>
      </c>
      <c r="ED4" t="s">
        <v>1720</v>
      </c>
      <c r="EE4" t="s">
        <v>1714</v>
      </c>
      <c r="EF4" t="s">
        <v>1721</v>
      </c>
      <c r="EG4" t="s">
        <v>1716</v>
      </c>
      <c r="EK4" t="s">
        <v>1356</v>
      </c>
      <c r="EL4" t="s">
        <v>1357</v>
      </c>
      <c r="EM4" t="s">
        <v>1722</v>
      </c>
      <c r="EN4" t="s">
        <v>1723</v>
      </c>
      <c r="EO4" t="s">
        <v>1724</v>
      </c>
      <c r="EP4" t="s">
        <v>1725</v>
      </c>
      <c r="EQ4" t="s">
        <v>1726</v>
      </c>
      <c r="ER4" t="s">
        <v>1727</v>
      </c>
      <c r="ES4" t="s">
        <v>1728</v>
      </c>
      <c r="ET4" t="s">
        <v>1729</v>
      </c>
      <c r="EU4" t="s">
        <v>1730</v>
      </c>
      <c r="EV4" t="s">
        <v>1731</v>
      </c>
      <c r="EW4" t="s">
        <v>3258</v>
      </c>
      <c r="EX4" t="s">
        <v>3259</v>
      </c>
      <c r="EZ4" t="s">
        <v>1550</v>
      </c>
      <c r="FA4" t="s">
        <v>1551</v>
      </c>
      <c r="FB4" t="s">
        <v>3185</v>
      </c>
      <c r="FC4" t="s">
        <v>3186</v>
      </c>
      <c r="FD4" t="s">
        <v>3187</v>
      </c>
      <c r="FE4" t="s">
        <v>3188</v>
      </c>
      <c r="FF4" t="s">
        <v>3189</v>
      </c>
      <c r="FG4" t="s">
        <v>3190</v>
      </c>
      <c r="FH4" t="s">
        <v>3191</v>
      </c>
      <c r="FI4" t="s">
        <v>3192</v>
      </c>
      <c r="FJ4" t="s">
        <v>3193</v>
      </c>
      <c r="FL4" t="s">
        <v>1550</v>
      </c>
      <c r="FM4" t="s">
        <v>1551</v>
      </c>
      <c r="FN4" t="s">
        <v>3195</v>
      </c>
      <c r="FO4" t="s">
        <v>3196</v>
      </c>
      <c r="FP4" t="s">
        <v>3197</v>
      </c>
      <c r="FQ4" t="s">
        <v>3198</v>
      </c>
      <c r="FS4" t="s">
        <v>1356</v>
      </c>
      <c r="FT4" t="s">
        <v>1357</v>
      </c>
      <c r="FU4" t="s">
        <v>1732</v>
      </c>
      <c r="FV4" t="s">
        <v>1733</v>
      </c>
      <c r="FW4" t="s">
        <v>1734</v>
      </c>
      <c r="FX4" t="s">
        <v>1735</v>
      </c>
      <c r="GD4" t="s">
        <v>1356</v>
      </c>
      <c r="GE4" t="s">
        <v>1357</v>
      </c>
      <c r="GF4" t="s">
        <v>1736</v>
      </c>
      <c r="GG4" t="s">
        <v>1737</v>
      </c>
      <c r="GJ4" t="s">
        <v>1356</v>
      </c>
      <c r="GK4" t="s">
        <v>1357</v>
      </c>
      <c r="GL4" t="s">
        <v>1738</v>
      </c>
      <c r="GM4" t="s">
        <v>1739</v>
      </c>
      <c r="GN4" t="s">
        <v>1740</v>
      </c>
      <c r="GO4" t="s">
        <v>1741</v>
      </c>
      <c r="GS4" t="s">
        <v>1356</v>
      </c>
      <c r="GT4" t="s">
        <v>1357</v>
      </c>
      <c r="GU4" t="s">
        <v>1696</v>
      </c>
      <c r="GV4" t="s">
        <v>1697</v>
      </c>
      <c r="GW4" t="s">
        <v>1698</v>
      </c>
      <c r="GX4" t="s">
        <v>1699</v>
      </c>
      <c r="GY4" t="s">
        <v>1700</v>
      </c>
      <c r="GZ4" t="s">
        <v>1701</v>
      </c>
      <c r="HA4" t="s">
        <v>1702</v>
      </c>
      <c r="HB4" t="s">
        <v>1703</v>
      </c>
      <c r="HC4" t="s">
        <v>684</v>
      </c>
      <c r="HD4" t="s">
        <v>1704</v>
      </c>
      <c r="HH4" t="s">
        <v>1356</v>
      </c>
      <c r="HI4" t="s">
        <v>1357</v>
      </c>
      <c r="HJ4" t="s">
        <v>1696</v>
      </c>
      <c r="HK4" t="s">
        <v>1697</v>
      </c>
      <c r="HL4" t="s">
        <v>1698</v>
      </c>
      <c r="HM4" t="s">
        <v>1699</v>
      </c>
      <c r="HN4" t="s">
        <v>1700</v>
      </c>
      <c r="HO4" t="s">
        <v>1701</v>
      </c>
      <c r="HP4" t="s">
        <v>1702</v>
      </c>
      <c r="HQ4" t="s">
        <v>1703</v>
      </c>
      <c r="HR4" t="s">
        <v>684</v>
      </c>
      <c r="HS4" t="s">
        <v>1704</v>
      </c>
      <c r="HU4" t="s">
        <v>1356</v>
      </c>
      <c r="HV4" t="s">
        <v>1357</v>
      </c>
      <c r="HW4" t="s">
        <v>1742</v>
      </c>
      <c r="HX4" t="s">
        <v>1743</v>
      </c>
      <c r="HY4" t="s">
        <v>1744</v>
      </c>
      <c r="HZ4" t="s">
        <v>1745</v>
      </c>
      <c r="IC4" t="s">
        <v>1356</v>
      </c>
      <c r="ID4" t="s">
        <v>1357</v>
      </c>
      <c r="IE4" t="s">
        <v>1525</v>
      </c>
      <c r="IF4" t="s">
        <v>1746</v>
      </c>
      <c r="IG4" t="s">
        <v>1747</v>
      </c>
      <c r="IH4" t="s">
        <v>1748</v>
      </c>
      <c r="IK4" t="s">
        <v>1356</v>
      </c>
      <c r="IL4" t="s">
        <v>1357</v>
      </c>
      <c r="IM4" t="s">
        <v>1525</v>
      </c>
      <c r="IN4" t="s">
        <v>1749</v>
      </c>
      <c r="IO4" t="s">
        <v>1750</v>
      </c>
      <c r="IQ4" t="s">
        <v>1356</v>
      </c>
      <c r="IR4" t="s">
        <v>1357</v>
      </c>
      <c r="IS4" t="s">
        <v>1751</v>
      </c>
      <c r="IT4" t="s">
        <v>1752</v>
      </c>
      <c r="IU4" t="s">
        <v>1753</v>
      </c>
      <c r="IV4" t="s">
        <v>1754</v>
      </c>
      <c r="IW4" t="s">
        <v>1755</v>
      </c>
      <c r="IX4" t="s">
        <v>1756</v>
      </c>
      <c r="IY4" t="s">
        <v>1757</v>
      </c>
      <c r="JB4" t="s">
        <v>1550</v>
      </c>
      <c r="JC4" t="s">
        <v>1551</v>
      </c>
      <c r="JD4" t="s">
        <v>3174</v>
      </c>
      <c r="JE4" t="s">
        <v>3175</v>
      </c>
      <c r="JF4" t="s">
        <v>3176</v>
      </c>
      <c r="JG4" t="s">
        <v>3177</v>
      </c>
      <c r="JH4" t="s">
        <v>3178</v>
      </c>
      <c r="JI4" t="s">
        <v>3179</v>
      </c>
      <c r="JJ4" t="s">
        <v>3180</v>
      </c>
      <c r="JK4" t="s">
        <v>3181</v>
      </c>
      <c r="JL4" t="s">
        <v>3182</v>
      </c>
      <c r="JM4" t="s">
        <v>3183</v>
      </c>
      <c r="JQ4" t="s">
        <v>1357</v>
      </c>
      <c r="JR4" t="s">
        <v>1758</v>
      </c>
      <c r="JS4" t="s">
        <v>1759</v>
      </c>
      <c r="JT4" t="s">
        <v>1760</v>
      </c>
      <c r="JU4" t="s">
        <v>1761</v>
      </c>
      <c r="KE4" t="s">
        <v>1356</v>
      </c>
      <c r="KF4" t="s">
        <v>1357</v>
      </c>
      <c r="KG4" t="s">
        <v>1762</v>
      </c>
      <c r="KH4" t="s">
        <v>1763</v>
      </c>
    </row>
    <row r="5" spans="1:294" x14ac:dyDescent="0.25">
      <c r="A5" t="s">
        <v>3393</v>
      </c>
      <c r="B5">
        <v>2019</v>
      </c>
      <c r="C5">
        <v>226</v>
      </c>
      <c r="D5">
        <v>0</v>
      </c>
      <c r="F5">
        <v>13875</v>
      </c>
      <c r="G5">
        <v>9453</v>
      </c>
      <c r="H5">
        <v>4577</v>
      </c>
      <c r="J5" t="s">
        <v>3393</v>
      </c>
      <c r="K5">
        <v>2019</v>
      </c>
      <c r="X5" t="s">
        <v>3393</v>
      </c>
      <c r="Y5">
        <v>2019</v>
      </c>
      <c r="Z5">
        <v>36.659999999999997</v>
      </c>
      <c r="AA5">
        <v>0</v>
      </c>
      <c r="AB5">
        <v>24.67</v>
      </c>
      <c r="AC5">
        <v>0</v>
      </c>
      <c r="AD5">
        <v>18.66</v>
      </c>
      <c r="AE5">
        <v>6.01</v>
      </c>
      <c r="AF5">
        <v>11.99</v>
      </c>
      <c r="AG5">
        <v>6.98</v>
      </c>
      <c r="AH5">
        <v>5.01</v>
      </c>
      <c r="AI5">
        <v>8.5399999999999991</v>
      </c>
      <c r="AJ5">
        <v>0.28000000000000003</v>
      </c>
      <c r="AK5">
        <v>31.405999999999999</v>
      </c>
      <c r="AL5">
        <v>11.353999999999999</v>
      </c>
      <c r="AM5">
        <v>50.125999999999998</v>
      </c>
      <c r="AN5">
        <v>14.135999999999999</v>
      </c>
      <c r="AQ5" t="s">
        <v>3393</v>
      </c>
      <c r="AR5">
        <v>2019</v>
      </c>
      <c r="AS5">
        <v>37.700000000000003</v>
      </c>
      <c r="AT5">
        <v>0</v>
      </c>
      <c r="AU5">
        <v>25.71</v>
      </c>
      <c r="AV5">
        <v>0</v>
      </c>
      <c r="AW5">
        <v>19.309999999999999</v>
      </c>
      <c r="AX5">
        <v>6.4</v>
      </c>
      <c r="AY5">
        <v>11.99</v>
      </c>
      <c r="AZ5">
        <v>6.98</v>
      </c>
      <c r="BA5">
        <v>5.01</v>
      </c>
      <c r="BC5" t="s">
        <v>3393</v>
      </c>
      <c r="BD5">
        <v>2019</v>
      </c>
      <c r="BE5">
        <v>10.35975552859942</v>
      </c>
      <c r="BF5">
        <v>6.8189549180327873</v>
      </c>
      <c r="BG5">
        <v>11.977592597078559</v>
      </c>
      <c r="BI5">
        <v>10.840510404030979</v>
      </c>
      <c r="BJ5">
        <v>7.1985655737704919</v>
      </c>
      <c r="BK5">
        <v>12.246142293064606</v>
      </c>
      <c r="BN5" t="s">
        <v>3393</v>
      </c>
      <c r="BO5">
        <v>2023</v>
      </c>
      <c r="BP5">
        <v>5727053</v>
      </c>
      <c r="BQ5">
        <v>3722888</v>
      </c>
      <c r="BR5">
        <v>3.0099999999999998E-2</v>
      </c>
      <c r="BS5">
        <v>0.61019999999999996</v>
      </c>
      <c r="BT5">
        <v>5.33E-2</v>
      </c>
      <c r="BU5">
        <v>2.2499999999999999E-2</v>
      </c>
      <c r="BV5">
        <v>0.1265</v>
      </c>
      <c r="BW5">
        <v>1.6400000000000001E-2</v>
      </c>
      <c r="BX5">
        <v>3.4599999999999999E-2</v>
      </c>
      <c r="BY5">
        <v>2.8899999999999999E-2</v>
      </c>
      <c r="BZ5">
        <v>0</v>
      </c>
      <c r="CA5">
        <v>5.2900000000000003E-2</v>
      </c>
      <c r="CB5">
        <v>3.5000000000000003E-2</v>
      </c>
      <c r="CC5">
        <v>0.2858</v>
      </c>
      <c r="CD5">
        <v>0.22500000000000001</v>
      </c>
      <c r="CE5">
        <v>0</v>
      </c>
      <c r="CF5">
        <v>1.9199999999999998E-2</v>
      </c>
      <c r="CG5">
        <v>8.4500000000000006E-2</v>
      </c>
      <c r="CH5">
        <v>0.15820000000000001</v>
      </c>
      <c r="CI5">
        <v>5.9299999999999999E-2</v>
      </c>
      <c r="CJ5">
        <v>0</v>
      </c>
      <c r="CK5">
        <v>0.1285</v>
      </c>
      <c r="CL5">
        <v>0</v>
      </c>
      <c r="CM5">
        <v>4.5999999999999999E-3</v>
      </c>
      <c r="CO5" t="s">
        <v>3393</v>
      </c>
      <c r="CP5">
        <v>2023</v>
      </c>
      <c r="CQ5" t="s">
        <v>685</v>
      </c>
      <c r="CR5">
        <v>0</v>
      </c>
      <c r="CS5">
        <v>6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C5" t="s">
        <v>3393</v>
      </c>
      <c r="DD5">
        <v>2019</v>
      </c>
      <c r="DE5">
        <v>348</v>
      </c>
      <c r="DF5">
        <v>104</v>
      </c>
      <c r="DG5">
        <v>244</v>
      </c>
      <c r="DH5">
        <v>108.3</v>
      </c>
      <c r="DI5">
        <v>107.28</v>
      </c>
      <c r="DJ5">
        <v>111.12</v>
      </c>
      <c r="DK5">
        <v>41730</v>
      </c>
      <c r="DL5">
        <v>30656</v>
      </c>
      <c r="DM5">
        <v>11074</v>
      </c>
      <c r="DN5">
        <v>119.91</v>
      </c>
      <c r="DO5">
        <v>294.77</v>
      </c>
      <c r="DP5">
        <v>45.39</v>
      </c>
      <c r="DT5" t="s">
        <v>3393</v>
      </c>
      <c r="DU5">
        <v>2019</v>
      </c>
      <c r="DV5">
        <v>467</v>
      </c>
      <c r="DW5">
        <v>228</v>
      </c>
      <c r="DX5">
        <v>239</v>
      </c>
      <c r="DY5">
        <v>121.3</v>
      </c>
      <c r="DZ5">
        <v>146.12</v>
      </c>
      <c r="EA5">
        <v>100.77</v>
      </c>
      <c r="EB5">
        <v>16023</v>
      </c>
      <c r="EC5">
        <v>7256</v>
      </c>
      <c r="ED5">
        <v>8767</v>
      </c>
      <c r="EE5">
        <v>34.31</v>
      </c>
      <c r="EF5">
        <v>31.82</v>
      </c>
      <c r="EG5">
        <v>36.68</v>
      </c>
      <c r="EK5" t="s">
        <v>3393</v>
      </c>
      <c r="EL5">
        <v>2019</v>
      </c>
      <c r="EM5">
        <v>2.38</v>
      </c>
      <c r="EN5">
        <v>0.84</v>
      </c>
      <c r="EO5">
        <v>6.64</v>
      </c>
      <c r="EP5">
        <v>0.78</v>
      </c>
      <c r="EQ5">
        <v>3.51</v>
      </c>
      <c r="ER5">
        <v>11.23</v>
      </c>
      <c r="ES5">
        <v>14.81</v>
      </c>
      <c r="ET5">
        <v>1.1399999999999999</v>
      </c>
      <c r="EU5">
        <v>2.69</v>
      </c>
      <c r="EV5">
        <v>2.2000000000000002</v>
      </c>
      <c r="EW5">
        <v>3.5</v>
      </c>
      <c r="EX5">
        <v>2</v>
      </c>
      <c r="EZ5" t="s">
        <v>3393</v>
      </c>
      <c r="FA5">
        <v>2019</v>
      </c>
      <c r="FB5">
        <v>2.2999999999999998</v>
      </c>
      <c r="FC5">
        <v>1.2</v>
      </c>
      <c r="FD5">
        <v>0.6</v>
      </c>
      <c r="FE5">
        <v>6.6</v>
      </c>
      <c r="FF5">
        <v>1.6</v>
      </c>
      <c r="FG5">
        <v>2.4</v>
      </c>
      <c r="FH5">
        <v>559</v>
      </c>
      <c r="FI5">
        <v>347</v>
      </c>
      <c r="FJ5">
        <v>212</v>
      </c>
      <c r="FL5" t="s">
        <v>3393</v>
      </c>
      <c r="FM5">
        <v>2019</v>
      </c>
      <c r="FN5">
        <v>483</v>
      </c>
      <c r="FO5">
        <v>244</v>
      </c>
      <c r="FP5">
        <v>239</v>
      </c>
      <c r="FQ5">
        <v>12</v>
      </c>
      <c r="FS5" t="s">
        <v>3393</v>
      </c>
      <c r="FT5">
        <v>2019</v>
      </c>
      <c r="FU5">
        <v>1.2</v>
      </c>
      <c r="FV5">
        <v>0.61</v>
      </c>
      <c r="FW5">
        <v>0.01</v>
      </c>
      <c r="FX5">
        <v>1.82</v>
      </c>
      <c r="GD5" t="s">
        <v>3393</v>
      </c>
      <c r="GE5">
        <v>2019</v>
      </c>
      <c r="GF5">
        <v>528</v>
      </c>
      <c r="GG5">
        <v>316</v>
      </c>
      <c r="GJ5" t="s">
        <v>3393</v>
      </c>
      <c r="GK5">
        <v>2019</v>
      </c>
      <c r="GL5">
        <v>720</v>
      </c>
      <c r="GM5">
        <v>720</v>
      </c>
      <c r="GN5">
        <v>0</v>
      </c>
      <c r="GO5">
        <v>0</v>
      </c>
      <c r="GS5" t="s">
        <v>3393</v>
      </c>
      <c r="GT5">
        <v>2023</v>
      </c>
      <c r="GU5" t="s">
        <v>805</v>
      </c>
      <c r="GV5">
        <v>0</v>
      </c>
      <c r="GW5">
        <v>21</v>
      </c>
      <c r="GX5">
        <v>1</v>
      </c>
      <c r="GY5">
        <v>9</v>
      </c>
      <c r="GZ5">
        <v>6</v>
      </c>
      <c r="HA5">
        <v>0</v>
      </c>
      <c r="HB5">
        <v>0</v>
      </c>
      <c r="HC5">
        <v>0</v>
      </c>
      <c r="HD5">
        <v>0</v>
      </c>
      <c r="HH5" t="s">
        <v>3393</v>
      </c>
      <c r="HI5">
        <v>2023</v>
      </c>
      <c r="HJ5" t="s">
        <v>686</v>
      </c>
      <c r="HK5">
        <v>0</v>
      </c>
      <c r="HL5">
        <v>11</v>
      </c>
      <c r="HM5">
        <v>8</v>
      </c>
      <c r="HN5">
        <v>41</v>
      </c>
      <c r="HO5">
        <v>13</v>
      </c>
      <c r="HP5">
        <v>0</v>
      </c>
      <c r="HQ5">
        <v>1</v>
      </c>
      <c r="HR5">
        <v>1</v>
      </c>
      <c r="HS5">
        <v>0</v>
      </c>
      <c r="HU5" t="s">
        <v>3393</v>
      </c>
      <c r="HV5">
        <v>2019</v>
      </c>
      <c r="HW5">
        <v>11.92</v>
      </c>
      <c r="HX5">
        <v>9.85</v>
      </c>
      <c r="HY5">
        <v>12.3</v>
      </c>
      <c r="HZ5">
        <v>10.199999999999999</v>
      </c>
      <c r="IC5" t="s">
        <v>3393</v>
      </c>
      <c r="ID5">
        <v>2017</v>
      </c>
      <c r="IE5" t="s">
        <v>3262</v>
      </c>
      <c r="IF5">
        <v>3435.8</v>
      </c>
      <c r="IG5">
        <v>1872.76</v>
      </c>
      <c r="IH5">
        <v>1563.04</v>
      </c>
      <c r="IK5" t="s">
        <v>3393</v>
      </c>
      <c r="IL5">
        <v>2019</v>
      </c>
      <c r="IM5" t="s">
        <v>3262</v>
      </c>
      <c r="IN5">
        <v>720</v>
      </c>
      <c r="IO5">
        <v>720</v>
      </c>
      <c r="IQ5" t="s">
        <v>3393</v>
      </c>
      <c r="IR5">
        <v>2019</v>
      </c>
      <c r="IS5">
        <v>4.4000000000000004</v>
      </c>
      <c r="IT5">
        <v>775913</v>
      </c>
      <c r="IU5">
        <v>759237</v>
      </c>
      <c r="IV5">
        <v>16676</v>
      </c>
      <c r="IW5">
        <v>5702</v>
      </c>
      <c r="IX5">
        <v>5602</v>
      </c>
      <c r="IY5">
        <v>100</v>
      </c>
      <c r="JB5" t="s">
        <v>3393</v>
      </c>
      <c r="JC5">
        <v>2019</v>
      </c>
      <c r="JQ5">
        <v>2019</v>
      </c>
      <c r="JR5">
        <v>64.2</v>
      </c>
      <c r="JS5">
        <v>64.400000000000006</v>
      </c>
      <c r="JT5">
        <v>93.4</v>
      </c>
      <c r="JU5">
        <v>86.966666666666669</v>
      </c>
      <c r="KE5" t="s">
        <v>3393</v>
      </c>
      <c r="KF5">
        <v>2022</v>
      </c>
      <c r="KG5">
        <v>20.07</v>
      </c>
      <c r="KH5">
        <v>97.63</v>
      </c>
    </row>
    <row r="6" spans="1:294" x14ac:dyDescent="0.25">
      <c r="A6" t="s">
        <v>3393</v>
      </c>
      <c r="B6">
        <v>2020</v>
      </c>
      <c r="C6">
        <v>44</v>
      </c>
      <c r="D6">
        <v>0</v>
      </c>
      <c r="F6">
        <v>14017</v>
      </c>
      <c r="G6">
        <v>8308</v>
      </c>
      <c r="H6">
        <v>6819</v>
      </c>
      <c r="J6" t="s">
        <v>3393</v>
      </c>
      <c r="K6">
        <v>2020</v>
      </c>
      <c r="L6">
        <v>49.7</v>
      </c>
      <c r="M6">
        <v>49.1</v>
      </c>
      <c r="N6">
        <v>0</v>
      </c>
      <c r="O6">
        <v>37.5</v>
      </c>
      <c r="P6">
        <v>0</v>
      </c>
      <c r="Q6">
        <v>31.7</v>
      </c>
      <c r="R6">
        <v>5.7</v>
      </c>
      <c r="S6">
        <v>11.6</v>
      </c>
      <c r="T6">
        <v>7.9</v>
      </c>
      <c r="U6">
        <v>3.8</v>
      </c>
      <c r="X6" t="s">
        <v>3393</v>
      </c>
      <c r="Y6">
        <v>2020</v>
      </c>
      <c r="Z6">
        <v>49.08</v>
      </c>
      <c r="AA6">
        <v>0</v>
      </c>
      <c r="AB6">
        <v>37.44</v>
      </c>
      <c r="AC6">
        <v>0</v>
      </c>
      <c r="AD6">
        <v>31.7</v>
      </c>
      <c r="AE6">
        <v>5.74</v>
      </c>
      <c r="AF6">
        <v>11.64</v>
      </c>
      <c r="AG6">
        <v>7.86</v>
      </c>
      <c r="AH6">
        <v>3.78</v>
      </c>
      <c r="AI6">
        <v>22.92</v>
      </c>
      <c r="AJ6">
        <v>0.46</v>
      </c>
      <c r="AK6">
        <v>28.81</v>
      </c>
      <c r="AL6">
        <v>10.130000000000001</v>
      </c>
      <c r="AM6">
        <v>43.7</v>
      </c>
      <c r="AN6">
        <v>14.7</v>
      </c>
      <c r="AQ6" t="s">
        <v>3393</v>
      </c>
      <c r="AR6">
        <v>2020</v>
      </c>
      <c r="AS6">
        <v>49.64</v>
      </c>
      <c r="AT6">
        <v>0</v>
      </c>
      <c r="AU6">
        <v>38</v>
      </c>
      <c r="AV6">
        <v>0</v>
      </c>
      <c r="AW6">
        <v>31.88</v>
      </c>
      <c r="AX6">
        <v>6.12</v>
      </c>
      <c r="AY6">
        <v>11.64</v>
      </c>
      <c r="AZ6">
        <v>7.86</v>
      </c>
      <c r="BA6">
        <v>3.78</v>
      </c>
      <c r="BC6" t="s">
        <v>3393</v>
      </c>
      <c r="BD6">
        <v>2020</v>
      </c>
      <c r="BE6">
        <v>81.473122277083945</v>
      </c>
      <c r="BF6">
        <v>29.744249949114593</v>
      </c>
      <c r="BG6">
        <v>16.791099470149344</v>
      </c>
      <c r="BI6">
        <v>81.843252977054902</v>
      </c>
      <c r="BJ6">
        <v>32.716466517402807</v>
      </c>
      <c r="BK6">
        <v>17.255157333205176</v>
      </c>
      <c r="DC6" t="s">
        <v>3393</v>
      </c>
      <c r="DD6">
        <v>2020</v>
      </c>
      <c r="DE6">
        <v>338</v>
      </c>
      <c r="DF6">
        <v>123</v>
      </c>
      <c r="DG6">
        <v>215</v>
      </c>
      <c r="DH6">
        <v>116.46</v>
      </c>
      <c r="DI6">
        <v>119.21</v>
      </c>
      <c r="DJ6">
        <v>106.57</v>
      </c>
      <c r="DK6">
        <v>60239</v>
      </c>
      <c r="DL6">
        <v>47154</v>
      </c>
      <c r="DM6">
        <v>13085</v>
      </c>
      <c r="DN6">
        <v>178.22</v>
      </c>
      <c r="DO6">
        <v>383.37</v>
      </c>
      <c r="DP6">
        <v>60.86</v>
      </c>
      <c r="DT6" t="s">
        <v>3393</v>
      </c>
      <c r="DU6">
        <v>2020</v>
      </c>
      <c r="DV6">
        <v>371</v>
      </c>
      <c r="DW6">
        <v>213</v>
      </c>
      <c r="DX6">
        <v>158</v>
      </c>
      <c r="DY6">
        <v>133.12</v>
      </c>
      <c r="DZ6">
        <v>141.4</v>
      </c>
      <c r="EA6">
        <v>122.24</v>
      </c>
      <c r="EB6">
        <v>12673</v>
      </c>
      <c r="EC6">
        <v>7195</v>
      </c>
      <c r="ED6">
        <v>5478</v>
      </c>
      <c r="EE6">
        <v>34.159999999999997</v>
      </c>
      <c r="EF6">
        <v>33.78</v>
      </c>
      <c r="EG6">
        <v>34.67</v>
      </c>
      <c r="EK6" t="s">
        <v>3393</v>
      </c>
      <c r="EL6">
        <v>2020</v>
      </c>
      <c r="EM6">
        <v>3.18</v>
      </c>
      <c r="EN6">
        <v>1.24</v>
      </c>
      <c r="EO6">
        <v>6.73</v>
      </c>
      <c r="EP6">
        <v>0.69</v>
      </c>
      <c r="EQ6">
        <v>3.82</v>
      </c>
      <c r="ER6">
        <v>15.3</v>
      </c>
      <c r="ES6">
        <v>5.35</v>
      </c>
      <c r="ET6">
        <v>1.48</v>
      </c>
      <c r="EU6">
        <v>2.69</v>
      </c>
      <c r="EV6">
        <v>2.44</v>
      </c>
      <c r="EW6">
        <v>3.4</v>
      </c>
      <c r="EX6">
        <v>2.2000000000000002</v>
      </c>
      <c r="EZ6" t="s">
        <v>3393</v>
      </c>
      <c r="FA6">
        <v>2020</v>
      </c>
      <c r="FB6">
        <v>2.7</v>
      </c>
      <c r="FC6">
        <v>1.6</v>
      </c>
      <c r="FD6">
        <v>0.5</v>
      </c>
      <c r="FE6">
        <v>6.5</v>
      </c>
      <c r="FF6">
        <v>1.9</v>
      </c>
      <c r="FG6">
        <v>2.1</v>
      </c>
      <c r="FH6">
        <v>637</v>
      </c>
      <c r="FI6">
        <v>363</v>
      </c>
      <c r="FJ6">
        <v>274</v>
      </c>
      <c r="FL6" t="s">
        <v>3393</v>
      </c>
      <c r="FM6">
        <v>2020</v>
      </c>
      <c r="FN6">
        <v>373</v>
      </c>
      <c r="FO6">
        <v>215</v>
      </c>
      <c r="FP6">
        <v>158</v>
      </c>
      <c r="FQ6">
        <v>12</v>
      </c>
      <c r="FS6" t="s">
        <v>3393</v>
      </c>
      <c r="FT6">
        <v>2020</v>
      </c>
      <c r="FU6">
        <v>1.54</v>
      </c>
      <c r="FV6">
        <v>0.72</v>
      </c>
      <c r="FW6">
        <v>0.02</v>
      </c>
      <c r="FX6">
        <v>2.27</v>
      </c>
      <c r="GD6" t="s">
        <v>3393</v>
      </c>
      <c r="GE6">
        <v>2020</v>
      </c>
      <c r="GF6">
        <v>643</v>
      </c>
      <c r="GG6">
        <v>370</v>
      </c>
      <c r="GJ6" t="s">
        <v>3393</v>
      </c>
      <c r="GK6">
        <v>2020</v>
      </c>
      <c r="GL6">
        <v>8451</v>
      </c>
      <c r="GM6">
        <v>8451</v>
      </c>
      <c r="GN6">
        <v>21024</v>
      </c>
      <c r="GO6">
        <v>21024</v>
      </c>
      <c r="GS6" t="s">
        <v>3393</v>
      </c>
      <c r="GT6">
        <v>2023</v>
      </c>
      <c r="GU6" t="s">
        <v>806</v>
      </c>
      <c r="GV6">
        <v>0</v>
      </c>
      <c r="GW6">
        <v>5</v>
      </c>
      <c r="GX6">
        <v>0</v>
      </c>
      <c r="GY6">
        <v>4</v>
      </c>
      <c r="GZ6">
        <v>2</v>
      </c>
      <c r="HA6">
        <v>0</v>
      </c>
      <c r="HB6">
        <v>0</v>
      </c>
      <c r="HC6">
        <v>0</v>
      </c>
      <c r="HD6">
        <v>0</v>
      </c>
      <c r="HH6" t="s">
        <v>3393</v>
      </c>
      <c r="HI6">
        <v>2023</v>
      </c>
      <c r="HJ6" t="s">
        <v>689</v>
      </c>
      <c r="HK6">
        <v>0</v>
      </c>
      <c r="HL6">
        <v>18</v>
      </c>
      <c r="HM6">
        <v>8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U6" t="s">
        <v>3393</v>
      </c>
      <c r="HV6">
        <v>2020</v>
      </c>
      <c r="HW6">
        <v>19.579999999999998</v>
      </c>
      <c r="HX6">
        <v>88.16</v>
      </c>
      <c r="HY6">
        <v>20.25</v>
      </c>
      <c r="HZ6">
        <v>88.61</v>
      </c>
      <c r="IC6" t="s">
        <v>3393</v>
      </c>
      <c r="ID6">
        <v>2017</v>
      </c>
      <c r="IE6" t="s">
        <v>1620</v>
      </c>
      <c r="IF6">
        <v>4570.6499999999996</v>
      </c>
      <c r="IG6">
        <v>2904.29</v>
      </c>
      <c r="IH6">
        <v>1666.37</v>
      </c>
      <c r="IK6" t="s">
        <v>3393</v>
      </c>
      <c r="IL6">
        <v>2019</v>
      </c>
      <c r="IM6" t="s">
        <v>1620</v>
      </c>
      <c r="IN6">
        <v>0</v>
      </c>
      <c r="IO6">
        <v>0</v>
      </c>
      <c r="IQ6" t="s">
        <v>3393</v>
      </c>
      <c r="IR6">
        <v>2020</v>
      </c>
      <c r="IS6">
        <v>10.9</v>
      </c>
      <c r="IT6">
        <v>1924112</v>
      </c>
      <c r="IU6">
        <v>1887629</v>
      </c>
      <c r="IV6">
        <v>36483</v>
      </c>
      <c r="IW6">
        <v>15854</v>
      </c>
      <c r="IX6">
        <v>15621</v>
      </c>
      <c r="IY6">
        <v>233</v>
      </c>
      <c r="JB6" t="s">
        <v>3393</v>
      </c>
      <c r="JC6">
        <v>2020</v>
      </c>
      <c r="JD6">
        <v>49.7</v>
      </c>
      <c r="JE6">
        <v>49.1</v>
      </c>
      <c r="JF6">
        <v>0</v>
      </c>
      <c r="JG6">
        <v>37.5</v>
      </c>
      <c r="JH6">
        <v>0</v>
      </c>
      <c r="JI6">
        <v>31.7</v>
      </c>
      <c r="JJ6">
        <v>5.7</v>
      </c>
      <c r="JK6">
        <v>11.6</v>
      </c>
      <c r="JL6">
        <v>7.9</v>
      </c>
      <c r="JM6">
        <v>3.8</v>
      </c>
      <c r="JQ6">
        <v>2020</v>
      </c>
      <c r="JR6">
        <v>58.4</v>
      </c>
      <c r="JS6">
        <v>62.166666666666664</v>
      </c>
      <c r="JT6">
        <v>67.2</v>
      </c>
      <c r="JU6">
        <v>79.066666666666663</v>
      </c>
    </row>
    <row r="7" spans="1:294" x14ac:dyDescent="0.25">
      <c r="A7" t="s">
        <v>3393</v>
      </c>
      <c r="B7">
        <v>2021</v>
      </c>
      <c r="C7">
        <v>0</v>
      </c>
      <c r="D7">
        <v>0</v>
      </c>
      <c r="F7">
        <v>12341</v>
      </c>
      <c r="G7">
        <v>5024</v>
      </c>
      <c r="H7">
        <v>5073</v>
      </c>
      <c r="J7" t="s">
        <v>3393</v>
      </c>
      <c r="K7">
        <v>2021</v>
      </c>
      <c r="L7">
        <v>40.6</v>
      </c>
      <c r="M7">
        <v>37.700000000000003</v>
      </c>
      <c r="N7">
        <v>0</v>
      </c>
      <c r="O7">
        <v>24.5</v>
      </c>
      <c r="P7">
        <v>0.7</v>
      </c>
      <c r="Q7">
        <v>16.3</v>
      </c>
      <c r="R7">
        <v>7.5</v>
      </c>
      <c r="S7">
        <v>13.2</v>
      </c>
      <c r="T7">
        <v>8.8000000000000007</v>
      </c>
      <c r="U7">
        <v>4.4000000000000004</v>
      </c>
      <c r="X7" t="s">
        <v>3393</v>
      </c>
      <c r="Y7">
        <v>2021</v>
      </c>
      <c r="Z7">
        <v>36.97</v>
      </c>
      <c r="AA7">
        <v>0</v>
      </c>
      <c r="AB7">
        <v>23.79</v>
      </c>
      <c r="AC7">
        <v>0</v>
      </c>
      <c r="AD7">
        <v>16.260000000000002</v>
      </c>
      <c r="AE7">
        <v>7.53</v>
      </c>
      <c r="AF7">
        <v>13.18</v>
      </c>
      <c r="AG7">
        <v>8.8000000000000007</v>
      </c>
      <c r="AH7">
        <v>4.38</v>
      </c>
      <c r="AI7">
        <v>4.4000000000000004</v>
      </c>
      <c r="AJ7">
        <v>0.76</v>
      </c>
      <c r="AK7">
        <v>24.395</v>
      </c>
      <c r="AL7">
        <v>12.792</v>
      </c>
      <c r="AM7">
        <v>39.883000000000003</v>
      </c>
      <c r="AN7">
        <v>16.135999999999999</v>
      </c>
      <c r="AQ7" t="s">
        <v>3393</v>
      </c>
      <c r="AR7">
        <v>2021</v>
      </c>
      <c r="AS7">
        <v>39.85</v>
      </c>
      <c r="AT7">
        <v>0</v>
      </c>
      <c r="AU7">
        <v>26.54</v>
      </c>
      <c r="AV7">
        <v>0</v>
      </c>
      <c r="AW7">
        <v>18.61</v>
      </c>
      <c r="AX7">
        <v>7.93</v>
      </c>
      <c r="AY7">
        <v>13.31</v>
      </c>
      <c r="AZ7">
        <v>8.84</v>
      </c>
      <c r="BA7">
        <v>4.47</v>
      </c>
      <c r="BC7" t="s">
        <v>3393</v>
      </c>
      <c r="BD7">
        <v>2021</v>
      </c>
      <c r="BE7">
        <v>54.31904960014792</v>
      </c>
      <c r="BF7">
        <v>10.443279217505294</v>
      </c>
      <c r="BG7">
        <v>21.507920273998668</v>
      </c>
      <c r="BI7">
        <v>59.798999214163544</v>
      </c>
      <c r="BJ7">
        <v>10.960270243017042</v>
      </c>
      <c r="BK7">
        <v>21.938611930358672</v>
      </c>
      <c r="DC7" t="s">
        <v>3393</v>
      </c>
      <c r="DD7">
        <v>2021</v>
      </c>
      <c r="DE7">
        <v>404</v>
      </c>
      <c r="DF7">
        <v>84</v>
      </c>
      <c r="DG7">
        <v>320</v>
      </c>
      <c r="DH7">
        <v>92.59</v>
      </c>
      <c r="DI7">
        <v>84.85</v>
      </c>
      <c r="DJ7">
        <v>111.35</v>
      </c>
      <c r="DK7">
        <v>48412</v>
      </c>
      <c r="DL7">
        <v>34279</v>
      </c>
      <c r="DM7">
        <v>14133</v>
      </c>
      <c r="DN7">
        <v>119.83</v>
      </c>
      <c r="DO7">
        <v>408.08</v>
      </c>
      <c r="DP7">
        <v>44.17</v>
      </c>
      <c r="DT7" t="s">
        <v>3393</v>
      </c>
      <c r="DU7">
        <v>2021</v>
      </c>
      <c r="DV7">
        <v>470</v>
      </c>
      <c r="DW7">
        <v>262</v>
      </c>
      <c r="DX7">
        <v>208</v>
      </c>
      <c r="DY7">
        <v>119.41</v>
      </c>
      <c r="DZ7">
        <v>137.91999999999999</v>
      </c>
      <c r="EA7">
        <v>97.04</v>
      </c>
      <c r="EB7">
        <v>17839</v>
      </c>
      <c r="EC7">
        <v>9763</v>
      </c>
      <c r="ED7">
        <v>8076</v>
      </c>
      <c r="EE7">
        <v>37.96</v>
      </c>
      <c r="EF7">
        <v>37.26</v>
      </c>
      <c r="EG7">
        <v>38.83</v>
      </c>
      <c r="EK7" t="s">
        <v>3393</v>
      </c>
      <c r="EL7">
        <v>2021</v>
      </c>
      <c r="EM7">
        <v>2.09</v>
      </c>
      <c r="EN7">
        <v>0.53</v>
      </c>
      <c r="EO7">
        <v>0</v>
      </c>
      <c r="EP7">
        <v>0.54</v>
      </c>
      <c r="EQ7">
        <v>3.66</v>
      </c>
      <c r="ER7">
        <v>14.64</v>
      </c>
      <c r="ES7">
        <v>20.9</v>
      </c>
      <c r="ET7">
        <v>1.49</v>
      </c>
      <c r="EU7">
        <v>3.12</v>
      </c>
      <c r="EV7">
        <v>2.15</v>
      </c>
      <c r="EW7">
        <v>3.8</v>
      </c>
      <c r="EX7">
        <v>1.9</v>
      </c>
      <c r="EZ7" t="s">
        <v>3393</v>
      </c>
      <c r="FA7">
        <v>2021</v>
      </c>
      <c r="FB7">
        <v>1.9</v>
      </c>
      <c r="FC7">
        <v>1</v>
      </c>
      <c r="FD7">
        <v>0.4</v>
      </c>
      <c r="FE7">
        <v>7.5</v>
      </c>
      <c r="FF7">
        <v>1.9</v>
      </c>
      <c r="FG7">
        <v>2.8</v>
      </c>
      <c r="FH7">
        <v>770</v>
      </c>
      <c r="FI7">
        <v>369</v>
      </c>
      <c r="FJ7">
        <v>401</v>
      </c>
      <c r="FL7" t="s">
        <v>3393</v>
      </c>
      <c r="FM7">
        <v>2021</v>
      </c>
      <c r="FN7">
        <v>534</v>
      </c>
      <c r="FO7">
        <v>322</v>
      </c>
      <c r="FP7">
        <v>212</v>
      </c>
      <c r="FQ7">
        <v>13</v>
      </c>
      <c r="FS7" t="s">
        <v>3393</v>
      </c>
      <c r="FT7">
        <v>2021</v>
      </c>
      <c r="FU7">
        <v>1.72</v>
      </c>
      <c r="FV7">
        <v>0.52</v>
      </c>
      <c r="FW7">
        <v>0.03</v>
      </c>
      <c r="FX7">
        <v>2.2599999999999998</v>
      </c>
      <c r="GD7" t="s">
        <v>3393</v>
      </c>
      <c r="GE7">
        <v>2021</v>
      </c>
      <c r="GF7">
        <v>775</v>
      </c>
      <c r="GG7">
        <v>468</v>
      </c>
      <c r="GJ7" t="s">
        <v>3393</v>
      </c>
      <c r="GK7">
        <v>2021</v>
      </c>
      <c r="GL7">
        <v>2086</v>
      </c>
      <c r="GM7">
        <v>2086</v>
      </c>
      <c r="GN7">
        <v>12989</v>
      </c>
      <c r="GO7">
        <v>12989</v>
      </c>
      <c r="GS7" t="s">
        <v>3393</v>
      </c>
      <c r="GT7">
        <v>2023</v>
      </c>
      <c r="GU7" t="s">
        <v>691</v>
      </c>
      <c r="GV7">
        <v>0</v>
      </c>
      <c r="GW7">
        <v>10</v>
      </c>
      <c r="GX7">
        <v>4</v>
      </c>
      <c r="GY7">
        <v>1</v>
      </c>
      <c r="GZ7">
        <v>10</v>
      </c>
      <c r="HA7">
        <v>0</v>
      </c>
      <c r="HB7">
        <v>6</v>
      </c>
      <c r="HC7">
        <v>0</v>
      </c>
      <c r="HD7">
        <v>0</v>
      </c>
      <c r="HH7" t="s">
        <v>3393</v>
      </c>
      <c r="HI7">
        <v>2023</v>
      </c>
      <c r="HJ7" t="s">
        <v>1764</v>
      </c>
      <c r="HK7">
        <v>0</v>
      </c>
      <c r="HL7">
        <v>7</v>
      </c>
      <c r="HM7">
        <v>1</v>
      </c>
      <c r="HN7">
        <v>0</v>
      </c>
      <c r="HO7">
        <v>2</v>
      </c>
      <c r="HP7">
        <v>0</v>
      </c>
      <c r="HQ7">
        <v>0</v>
      </c>
      <c r="HR7">
        <v>0</v>
      </c>
      <c r="HS7">
        <v>0</v>
      </c>
      <c r="HU7" t="s">
        <v>3393</v>
      </c>
      <c r="HV7">
        <v>2021</v>
      </c>
      <c r="HW7">
        <v>17.690000000000001</v>
      </c>
      <c r="HX7">
        <v>63.29</v>
      </c>
      <c r="HY7">
        <v>18.07</v>
      </c>
      <c r="HZ7">
        <v>69.45</v>
      </c>
      <c r="IC7" t="s">
        <v>3393</v>
      </c>
      <c r="ID7">
        <v>2018</v>
      </c>
      <c r="IE7" t="s">
        <v>3262</v>
      </c>
      <c r="IF7">
        <v>16.5</v>
      </c>
      <c r="IG7">
        <v>8.3800000000000008</v>
      </c>
      <c r="IH7">
        <v>8.1199999999999992</v>
      </c>
      <c r="IK7" t="s">
        <v>3393</v>
      </c>
      <c r="IL7">
        <v>2020</v>
      </c>
      <c r="IM7" t="s">
        <v>3262</v>
      </c>
      <c r="IN7">
        <v>8451</v>
      </c>
      <c r="IO7">
        <v>8451</v>
      </c>
      <c r="IQ7" t="s">
        <v>3393</v>
      </c>
      <c r="IR7">
        <v>2021</v>
      </c>
      <c r="IS7">
        <v>5.6</v>
      </c>
      <c r="IT7">
        <v>1006968</v>
      </c>
      <c r="IU7">
        <v>961566</v>
      </c>
      <c r="IV7">
        <v>45402</v>
      </c>
      <c r="IW7">
        <v>7642</v>
      </c>
      <c r="IX7">
        <v>7397</v>
      </c>
      <c r="IY7">
        <v>245</v>
      </c>
      <c r="JB7" t="s">
        <v>3393</v>
      </c>
      <c r="JC7">
        <v>2021</v>
      </c>
      <c r="JD7">
        <v>40.6</v>
      </c>
      <c r="JE7">
        <v>37.700000000000003</v>
      </c>
      <c r="JF7">
        <v>0</v>
      </c>
      <c r="JG7">
        <v>24.5</v>
      </c>
      <c r="JH7">
        <v>0.7</v>
      </c>
      <c r="JI7">
        <v>16.3</v>
      </c>
      <c r="JJ7">
        <v>7.5</v>
      </c>
      <c r="JK7">
        <v>13.2</v>
      </c>
      <c r="JL7">
        <v>8.8000000000000007</v>
      </c>
      <c r="JM7">
        <v>4.4000000000000004</v>
      </c>
      <c r="JQ7">
        <v>2023</v>
      </c>
      <c r="JR7">
        <v>72.927999999999997</v>
      </c>
      <c r="JS7">
        <v>62.811666666666667</v>
      </c>
      <c r="JT7">
        <v>72.900000000000006</v>
      </c>
      <c r="JU7">
        <v>65.63333333333334</v>
      </c>
    </row>
    <row r="8" spans="1:294" x14ac:dyDescent="0.25">
      <c r="A8" t="s">
        <v>3393</v>
      </c>
      <c r="B8">
        <v>2022</v>
      </c>
      <c r="C8">
        <v>84</v>
      </c>
      <c r="D8">
        <v>0</v>
      </c>
      <c r="F8">
        <v>15228</v>
      </c>
      <c r="G8">
        <v>6503</v>
      </c>
      <c r="H8">
        <v>4071</v>
      </c>
      <c r="J8" t="s">
        <v>3393</v>
      </c>
      <c r="K8">
        <v>2022</v>
      </c>
      <c r="L8">
        <v>71.400000000000006</v>
      </c>
      <c r="M8">
        <v>70.900000000000006</v>
      </c>
      <c r="N8">
        <v>33.6</v>
      </c>
      <c r="O8">
        <v>23.6</v>
      </c>
      <c r="P8">
        <v>0.2</v>
      </c>
      <c r="Q8">
        <v>17.7</v>
      </c>
      <c r="R8">
        <v>5.7</v>
      </c>
      <c r="S8">
        <v>13.7</v>
      </c>
      <c r="T8">
        <v>7.9</v>
      </c>
      <c r="U8">
        <v>5.7</v>
      </c>
      <c r="X8" t="s">
        <v>3393</v>
      </c>
      <c r="Y8">
        <v>2022</v>
      </c>
      <c r="Z8">
        <v>70.88</v>
      </c>
      <c r="AA8">
        <v>33.590000000000003</v>
      </c>
      <c r="AB8">
        <v>23.62</v>
      </c>
      <c r="AC8">
        <v>0.24</v>
      </c>
      <c r="AD8">
        <v>17.68</v>
      </c>
      <c r="AE8">
        <v>5.7</v>
      </c>
      <c r="AF8">
        <v>13.67</v>
      </c>
      <c r="AG8">
        <v>7.93</v>
      </c>
      <c r="AH8">
        <v>5.74</v>
      </c>
      <c r="AI8">
        <v>6.72</v>
      </c>
      <c r="AJ8">
        <v>0.4</v>
      </c>
      <c r="AK8">
        <v>29.335000000000001</v>
      </c>
      <c r="AL8">
        <v>10.788</v>
      </c>
      <c r="AM8">
        <v>43.186999999999998</v>
      </c>
      <c r="AN8">
        <v>16.300999999999998</v>
      </c>
      <c r="AQ8" t="s">
        <v>3393</v>
      </c>
      <c r="AR8">
        <v>2022</v>
      </c>
      <c r="AS8">
        <v>71.430000000000007</v>
      </c>
      <c r="AT8">
        <v>33.590000000000003</v>
      </c>
      <c r="AU8">
        <v>24.17</v>
      </c>
      <c r="AV8">
        <v>0.24</v>
      </c>
      <c r="AW8">
        <v>17.68</v>
      </c>
      <c r="AX8">
        <v>6.25</v>
      </c>
      <c r="AY8">
        <v>13.67</v>
      </c>
      <c r="AZ8">
        <v>7.93</v>
      </c>
      <c r="BA8">
        <v>5.74</v>
      </c>
      <c r="BC8" t="s">
        <v>3393</v>
      </c>
      <c r="BD8">
        <v>2022</v>
      </c>
      <c r="BE8">
        <v>10.910182390009298</v>
      </c>
      <c r="BF8">
        <v>34.419238114383354</v>
      </c>
      <c r="BG8">
        <v>9.0353646872675313</v>
      </c>
      <c r="BI8">
        <v>11.734599005980188</v>
      </c>
      <c r="BJ8">
        <v>34.610413106844909</v>
      </c>
      <c r="BK8">
        <v>9.3287676085442026</v>
      </c>
      <c r="DC8" t="s">
        <v>3393</v>
      </c>
      <c r="DD8">
        <v>2022</v>
      </c>
      <c r="DE8">
        <v>369</v>
      </c>
      <c r="DF8">
        <v>79</v>
      </c>
      <c r="DG8">
        <v>290</v>
      </c>
      <c r="DH8">
        <v>93.5</v>
      </c>
      <c r="DI8">
        <v>86.07</v>
      </c>
      <c r="DJ8">
        <v>115.78</v>
      </c>
      <c r="DK8">
        <v>49279</v>
      </c>
      <c r="DL8">
        <v>36956</v>
      </c>
      <c r="DM8">
        <v>12323</v>
      </c>
      <c r="DN8">
        <v>133.55000000000001</v>
      </c>
      <c r="DO8">
        <v>467.8</v>
      </c>
      <c r="DP8">
        <v>42.49</v>
      </c>
      <c r="DT8" t="s">
        <v>3393</v>
      </c>
      <c r="DU8">
        <v>2022</v>
      </c>
      <c r="DV8">
        <v>473</v>
      </c>
      <c r="DW8">
        <v>232</v>
      </c>
      <c r="DX8">
        <v>241</v>
      </c>
      <c r="DY8">
        <v>121.75</v>
      </c>
      <c r="DZ8">
        <v>127.53</v>
      </c>
      <c r="EA8">
        <v>116.49</v>
      </c>
      <c r="EB8">
        <v>16905</v>
      </c>
      <c r="EC8">
        <v>8047</v>
      </c>
      <c r="ED8">
        <v>8858</v>
      </c>
      <c r="EE8">
        <v>35.74</v>
      </c>
      <c r="EF8">
        <v>34.69</v>
      </c>
      <c r="EG8">
        <v>36.76</v>
      </c>
      <c r="EK8" t="s">
        <v>3393</v>
      </c>
      <c r="EL8">
        <v>2022</v>
      </c>
      <c r="EM8">
        <v>1.56</v>
      </c>
      <c r="EN8">
        <v>0.45</v>
      </c>
      <c r="EO8">
        <v>6.73</v>
      </c>
      <c r="EP8">
        <v>0.64</v>
      </c>
      <c r="EQ8">
        <v>3.37</v>
      </c>
      <c r="ER8">
        <v>12.01</v>
      </c>
      <c r="ES8">
        <v>9.26</v>
      </c>
      <c r="ET8">
        <v>1.68</v>
      </c>
      <c r="EU8">
        <v>2.15</v>
      </c>
      <c r="EV8">
        <v>1.73</v>
      </c>
      <c r="EW8">
        <v>4.8</v>
      </c>
      <c r="EX8">
        <v>2.9</v>
      </c>
      <c r="EZ8" t="s">
        <v>3393</v>
      </c>
      <c r="FA8">
        <v>2022</v>
      </c>
      <c r="FB8">
        <v>1.6</v>
      </c>
      <c r="FC8">
        <v>0.8</v>
      </c>
      <c r="FD8">
        <v>0.4</v>
      </c>
      <c r="FE8">
        <v>6.7</v>
      </c>
      <c r="FF8">
        <v>1.6</v>
      </c>
      <c r="FG8">
        <v>1.9</v>
      </c>
      <c r="FH8">
        <v>566</v>
      </c>
      <c r="FI8">
        <v>326</v>
      </c>
      <c r="FJ8">
        <v>240</v>
      </c>
      <c r="FL8" t="s">
        <v>3393</v>
      </c>
      <c r="FM8">
        <v>2022</v>
      </c>
      <c r="FN8">
        <v>524</v>
      </c>
      <c r="FO8">
        <v>290</v>
      </c>
      <c r="FP8">
        <v>234</v>
      </c>
      <c r="FQ8">
        <v>14</v>
      </c>
      <c r="FS8" t="s">
        <v>3393</v>
      </c>
      <c r="FT8">
        <v>2022</v>
      </c>
      <c r="FU8">
        <v>1.1499999999999999</v>
      </c>
      <c r="FV8">
        <v>0.44</v>
      </c>
      <c r="FW8">
        <v>0.04</v>
      </c>
      <c r="FX8">
        <v>1.62</v>
      </c>
      <c r="GD8" t="s">
        <v>3393</v>
      </c>
      <c r="GE8">
        <v>2022</v>
      </c>
      <c r="GF8">
        <v>550</v>
      </c>
      <c r="GG8">
        <v>344</v>
      </c>
      <c r="GJ8" t="s">
        <v>3393</v>
      </c>
      <c r="GK8">
        <v>2022</v>
      </c>
      <c r="GL8">
        <v>21215</v>
      </c>
      <c r="GM8">
        <v>21215</v>
      </c>
      <c r="GN8">
        <v>43198</v>
      </c>
      <c r="GO8">
        <v>43198</v>
      </c>
      <c r="GS8" t="s">
        <v>3393</v>
      </c>
      <c r="GT8">
        <v>2023</v>
      </c>
      <c r="GU8" t="s">
        <v>807</v>
      </c>
      <c r="GV8">
        <v>0</v>
      </c>
      <c r="GW8">
        <v>25</v>
      </c>
      <c r="GX8">
        <v>6</v>
      </c>
      <c r="GY8">
        <v>0</v>
      </c>
      <c r="GZ8">
        <v>2</v>
      </c>
      <c r="HA8">
        <v>0</v>
      </c>
      <c r="HB8">
        <v>0</v>
      </c>
      <c r="HC8">
        <v>0</v>
      </c>
      <c r="HD8">
        <v>0</v>
      </c>
      <c r="HH8" t="s">
        <v>3393</v>
      </c>
      <c r="HI8">
        <v>2023</v>
      </c>
      <c r="HJ8" t="s">
        <v>803</v>
      </c>
      <c r="HK8">
        <v>1</v>
      </c>
      <c r="HL8">
        <v>0</v>
      </c>
      <c r="HM8">
        <v>1</v>
      </c>
      <c r="HN8">
        <v>1</v>
      </c>
      <c r="HO8">
        <v>2</v>
      </c>
      <c r="HP8">
        <v>0</v>
      </c>
      <c r="HQ8">
        <v>3</v>
      </c>
      <c r="HR8">
        <v>0</v>
      </c>
      <c r="HS8">
        <v>0</v>
      </c>
      <c r="HU8" t="s">
        <v>3393</v>
      </c>
      <c r="HV8">
        <v>2022</v>
      </c>
      <c r="HW8">
        <v>49.3</v>
      </c>
      <c r="HX8">
        <v>98.75</v>
      </c>
      <c r="HY8">
        <v>49.88</v>
      </c>
      <c r="HZ8">
        <v>99.27</v>
      </c>
      <c r="IC8" t="s">
        <v>3393</v>
      </c>
      <c r="ID8">
        <v>2018</v>
      </c>
      <c r="IE8" t="s">
        <v>1620</v>
      </c>
      <c r="IF8">
        <v>8.82</v>
      </c>
      <c r="IG8">
        <v>6.06</v>
      </c>
      <c r="IH8">
        <v>2.76</v>
      </c>
      <c r="IK8" t="s">
        <v>3393</v>
      </c>
      <c r="IL8">
        <v>2020</v>
      </c>
      <c r="IM8" t="s">
        <v>1620</v>
      </c>
      <c r="IN8">
        <v>0</v>
      </c>
      <c r="IO8">
        <v>0</v>
      </c>
      <c r="IQ8" t="s">
        <v>3393</v>
      </c>
      <c r="IR8">
        <v>2022</v>
      </c>
      <c r="IS8">
        <v>4.5</v>
      </c>
      <c r="IT8">
        <v>807578</v>
      </c>
      <c r="IU8">
        <v>772653</v>
      </c>
      <c r="IV8">
        <v>34925</v>
      </c>
      <c r="IW8">
        <v>6067</v>
      </c>
      <c r="IX8">
        <v>5761</v>
      </c>
      <c r="IY8">
        <v>306</v>
      </c>
      <c r="JB8" t="s">
        <v>3393</v>
      </c>
      <c r="JC8">
        <v>2022</v>
      </c>
      <c r="JD8">
        <v>71.400000000000006</v>
      </c>
      <c r="JE8">
        <v>70.900000000000006</v>
      </c>
      <c r="JF8">
        <v>33.6</v>
      </c>
      <c r="JG8">
        <v>23.6</v>
      </c>
      <c r="JH8">
        <v>0.2</v>
      </c>
      <c r="JI8">
        <v>17.7</v>
      </c>
      <c r="JJ8">
        <v>5.7</v>
      </c>
      <c r="JK8">
        <v>13.7</v>
      </c>
      <c r="JL8">
        <v>7.9</v>
      </c>
      <c r="JM8">
        <v>5.7</v>
      </c>
      <c r="JQ8">
        <v>2021</v>
      </c>
      <c r="JR8">
        <v>56.018999999999998</v>
      </c>
      <c r="JS8">
        <v>59.539666666666669</v>
      </c>
      <c r="JT8">
        <v>59.9</v>
      </c>
      <c r="JU8">
        <v>73.5</v>
      </c>
    </row>
    <row r="9" spans="1:294" x14ac:dyDescent="0.25">
      <c r="A9" t="s">
        <v>3393</v>
      </c>
      <c r="B9">
        <v>2023</v>
      </c>
      <c r="C9">
        <v>62</v>
      </c>
      <c r="D9">
        <v>0</v>
      </c>
      <c r="F9">
        <v>18231</v>
      </c>
      <c r="G9">
        <v>8693</v>
      </c>
      <c r="H9">
        <v>7676</v>
      </c>
      <c r="X9" t="s">
        <v>3393</v>
      </c>
      <c r="Y9">
        <v>2023</v>
      </c>
      <c r="Z9">
        <v>52.13</v>
      </c>
      <c r="AA9">
        <v>0.06</v>
      </c>
      <c r="AB9">
        <v>31.53</v>
      </c>
      <c r="AC9">
        <v>0.89</v>
      </c>
      <c r="AD9">
        <v>25.67</v>
      </c>
      <c r="AE9">
        <v>4.97</v>
      </c>
      <c r="AF9">
        <v>20.54</v>
      </c>
      <c r="AG9">
        <v>11.7</v>
      </c>
      <c r="AH9">
        <v>8.84</v>
      </c>
      <c r="AI9">
        <v>15.44</v>
      </c>
      <c r="AJ9">
        <v>0.66</v>
      </c>
      <c r="AK9">
        <v>35.5</v>
      </c>
      <c r="AL9">
        <v>12.728999999999999</v>
      </c>
      <c r="AM9">
        <v>54.987000000000002</v>
      </c>
      <c r="AN9">
        <v>17.940999999999999</v>
      </c>
      <c r="AQ9" t="s">
        <v>3393</v>
      </c>
      <c r="AR9">
        <v>2023</v>
      </c>
      <c r="AS9">
        <v>52.8</v>
      </c>
      <c r="AT9">
        <v>0.06</v>
      </c>
      <c r="AU9">
        <v>31.98</v>
      </c>
      <c r="AV9">
        <v>0.89</v>
      </c>
      <c r="AW9">
        <v>25.8</v>
      </c>
      <c r="AX9">
        <v>5.29</v>
      </c>
      <c r="AY9">
        <v>20.76</v>
      </c>
      <c r="AZ9">
        <v>11.78</v>
      </c>
      <c r="BA9">
        <v>8.98</v>
      </c>
      <c r="BC9" t="s">
        <v>3393</v>
      </c>
      <c r="BD9">
        <v>2023</v>
      </c>
      <c r="BE9">
        <v>81.774167399271576</v>
      </c>
      <c r="BF9">
        <v>18.831727426244164</v>
      </c>
      <c r="BG9">
        <v>22.702345868207001</v>
      </c>
      <c r="BI9">
        <v>82.282941532419201</v>
      </c>
      <c r="BJ9">
        <v>19.461408562630378</v>
      </c>
      <c r="BK9">
        <v>23.535871743486972</v>
      </c>
      <c r="DC9" t="s">
        <v>3393</v>
      </c>
      <c r="DD9">
        <v>2023</v>
      </c>
      <c r="DE9">
        <v>446</v>
      </c>
      <c r="DF9">
        <v>119</v>
      </c>
      <c r="DG9">
        <v>327</v>
      </c>
      <c r="DH9">
        <v>124.87</v>
      </c>
      <c r="DI9">
        <v>113.63</v>
      </c>
      <c r="DJ9">
        <v>159.53</v>
      </c>
      <c r="DK9">
        <v>54244</v>
      </c>
      <c r="DL9">
        <v>40954</v>
      </c>
      <c r="DM9">
        <v>13290</v>
      </c>
      <c r="DN9">
        <v>121.62</v>
      </c>
      <c r="DO9">
        <v>344.15</v>
      </c>
      <c r="DP9">
        <v>40.64</v>
      </c>
      <c r="DT9" t="s">
        <v>3393</v>
      </c>
      <c r="DU9">
        <v>2023</v>
      </c>
      <c r="DV9">
        <v>519</v>
      </c>
      <c r="DW9">
        <v>219</v>
      </c>
      <c r="DX9">
        <v>300</v>
      </c>
      <c r="DY9">
        <v>150.69999999999999</v>
      </c>
      <c r="DZ9">
        <v>141.88</v>
      </c>
      <c r="EA9">
        <v>156.16</v>
      </c>
      <c r="EB9">
        <v>16617</v>
      </c>
      <c r="EC9">
        <v>6353</v>
      </c>
      <c r="ED9">
        <v>10264</v>
      </c>
      <c r="EE9">
        <v>32.020000000000003</v>
      </c>
      <c r="EF9">
        <v>29.01</v>
      </c>
      <c r="EG9">
        <v>34.21</v>
      </c>
      <c r="EK9" t="s">
        <v>3393</v>
      </c>
      <c r="EL9">
        <v>2023</v>
      </c>
      <c r="EM9">
        <v>3.2</v>
      </c>
      <c r="EN9">
        <v>1.07</v>
      </c>
      <c r="EO9">
        <v>39.68</v>
      </c>
      <c r="EP9">
        <v>0.71</v>
      </c>
      <c r="EQ9">
        <v>3.4</v>
      </c>
      <c r="ER9">
        <v>16.5</v>
      </c>
      <c r="ES9">
        <v>13.29</v>
      </c>
      <c r="ET9">
        <v>0.93</v>
      </c>
      <c r="EU9">
        <v>2.19</v>
      </c>
      <c r="EV9">
        <v>2.19</v>
      </c>
      <c r="EW9">
        <v>5</v>
      </c>
      <c r="EX9">
        <v>2.9</v>
      </c>
      <c r="FS9" t="s">
        <v>3393</v>
      </c>
      <c r="FT9">
        <v>2023</v>
      </c>
      <c r="FU9">
        <v>1.38</v>
      </c>
      <c r="FV9">
        <v>0.65</v>
      </c>
      <c r="FW9">
        <v>0.03</v>
      </c>
      <c r="FX9">
        <v>2.0699999999999998</v>
      </c>
      <c r="GD9" t="s">
        <v>3393</v>
      </c>
      <c r="GE9">
        <v>2023</v>
      </c>
      <c r="GF9">
        <v>655</v>
      </c>
      <c r="GG9">
        <v>404</v>
      </c>
      <c r="GJ9" t="s">
        <v>3393</v>
      </c>
      <c r="GK9">
        <v>2023</v>
      </c>
      <c r="GL9">
        <v>11783</v>
      </c>
      <c r="GM9">
        <v>11783</v>
      </c>
      <c r="GN9">
        <v>0</v>
      </c>
      <c r="GO9">
        <v>0</v>
      </c>
      <c r="GS9" t="s">
        <v>3393</v>
      </c>
      <c r="GT9">
        <v>2023</v>
      </c>
      <c r="GU9" t="s">
        <v>695</v>
      </c>
      <c r="GV9">
        <v>0</v>
      </c>
      <c r="GW9">
        <v>43</v>
      </c>
      <c r="GX9">
        <v>30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U9" t="s">
        <v>3393</v>
      </c>
      <c r="HV9">
        <v>2023</v>
      </c>
      <c r="HW9">
        <v>22.58</v>
      </c>
      <c r="HX9">
        <v>90.9</v>
      </c>
      <c r="HY9">
        <v>23.37</v>
      </c>
      <c r="HZ9">
        <v>91.38</v>
      </c>
      <c r="IC9" t="s">
        <v>3393</v>
      </c>
      <c r="ID9">
        <v>2019</v>
      </c>
      <c r="IE9" t="s">
        <v>3262</v>
      </c>
      <c r="IF9">
        <v>17.82</v>
      </c>
      <c r="IG9">
        <v>8.64</v>
      </c>
      <c r="IH9">
        <v>9.17</v>
      </c>
      <c r="IK9" t="s">
        <v>3393</v>
      </c>
      <c r="IL9">
        <v>2021</v>
      </c>
      <c r="IM9" t="s">
        <v>3262</v>
      </c>
      <c r="IN9">
        <v>780</v>
      </c>
      <c r="IO9">
        <v>780</v>
      </c>
      <c r="IQ9" t="s">
        <v>3393</v>
      </c>
      <c r="IR9">
        <v>2023</v>
      </c>
      <c r="IS9">
        <v>11</v>
      </c>
      <c r="IT9">
        <v>2002717</v>
      </c>
      <c r="IU9">
        <v>1947263</v>
      </c>
      <c r="IV9">
        <v>55454</v>
      </c>
      <c r="IW9">
        <v>15280</v>
      </c>
      <c r="IX9">
        <v>14967</v>
      </c>
      <c r="IY9">
        <v>313</v>
      </c>
      <c r="JQ9">
        <v>2022</v>
      </c>
      <c r="JR9">
        <v>59.488</v>
      </c>
      <c r="JS9">
        <v>57.969000000000001</v>
      </c>
      <c r="JT9">
        <v>64.099999999999994</v>
      </c>
      <c r="JU9">
        <v>63.733333333333334</v>
      </c>
    </row>
    <row r="10" spans="1:294" x14ac:dyDescent="0.25">
      <c r="GS10" t="s">
        <v>3393</v>
      </c>
      <c r="GT10">
        <v>2023</v>
      </c>
      <c r="GU10" t="s">
        <v>1765</v>
      </c>
      <c r="GV10">
        <v>0</v>
      </c>
      <c r="GW10">
        <v>30</v>
      </c>
      <c r="GX10">
        <v>2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IC10" t="s">
        <v>3393</v>
      </c>
      <c r="ID10">
        <v>2019</v>
      </c>
      <c r="IE10" t="s">
        <v>1620</v>
      </c>
      <c r="IF10">
        <v>12.44</v>
      </c>
      <c r="IG10">
        <v>7.22</v>
      </c>
      <c r="IH10">
        <v>5.21</v>
      </c>
      <c r="IK10" t="s">
        <v>3393</v>
      </c>
      <c r="IL10">
        <v>2021</v>
      </c>
      <c r="IM10" t="s">
        <v>1620</v>
      </c>
      <c r="IN10">
        <v>1306</v>
      </c>
      <c r="IO10">
        <v>1306</v>
      </c>
    </row>
    <row r="11" spans="1:294" x14ac:dyDescent="0.25">
      <c r="IC11" t="s">
        <v>3393</v>
      </c>
      <c r="ID11">
        <v>2020</v>
      </c>
      <c r="IE11" t="s">
        <v>3262</v>
      </c>
      <c r="IF11">
        <v>12.24</v>
      </c>
      <c r="IG11">
        <v>6.31</v>
      </c>
      <c r="IH11">
        <v>5.93</v>
      </c>
      <c r="IK11" t="s">
        <v>3393</v>
      </c>
      <c r="IL11">
        <v>2022</v>
      </c>
      <c r="IM11" t="s">
        <v>3262</v>
      </c>
      <c r="IN11">
        <v>2625</v>
      </c>
      <c r="IO11">
        <v>2625</v>
      </c>
    </row>
    <row r="12" spans="1:294" x14ac:dyDescent="0.25">
      <c r="IC12" t="s">
        <v>3393</v>
      </c>
      <c r="ID12">
        <v>2020</v>
      </c>
      <c r="IE12" t="s">
        <v>1620</v>
      </c>
      <c r="IF12">
        <v>12.28</v>
      </c>
      <c r="IG12">
        <v>7.79</v>
      </c>
      <c r="IH12">
        <v>4.49</v>
      </c>
      <c r="IK12" t="s">
        <v>3393</v>
      </c>
      <c r="IL12">
        <v>2022</v>
      </c>
      <c r="IM12" t="s">
        <v>1620</v>
      </c>
      <c r="IN12">
        <v>18590</v>
      </c>
      <c r="IO12">
        <v>18590</v>
      </c>
    </row>
    <row r="13" spans="1:294" x14ac:dyDescent="0.25">
      <c r="IC13" t="s">
        <v>3393</v>
      </c>
      <c r="ID13">
        <v>2021</v>
      </c>
      <c r="IE13" t="s">
        <v>3262</v>
      </c>
      <c r="IF13">
        <v>21.29</v>
      </c>
      <c r="IG13">
        <v>13.47</v>
      </c>
      <c r="IH13">
        <v>7.82</v>
      </c>
      <c r="IK13" t="s">
        <v>3393</v>
      </c>
      <c r="IL13">
        <v>2023</v>
      </c>
      <c r="IM13" t="s">
        <v>3262</v>
      </c>
      <c r="IN13">
        <v>1966</v>
      </c>
      <c r="IO13">
        <v>1966</v>
      </c>
    </row>
    <row r="14" spans="1:294" x14ac:dyDescent="0.25">
      <c r="IC14" t="s">
        <v>3393</v>
      </c>
      <c r="ID14">
        <v>2021</v>
      </c>
      <c r="IE14" t="s">
        <v>1620</v>
      </c>
      <c r="IF14">
        <v>12.71</v>
      </c>
      <c r="IG14">
        <v>8.0299999999999994</v>
      </c>
      <c r="IH14">
        <v>4.68</v>
      </c>
      <c r="IK14" t="s">
        <v>3393</v>
      </c>
      <c r="IL14">
        <v>2023</v>
      </c>
      <c r="IM14" t="s">
        <v>1620</v>
      </c>
      <c r="IN14">
        <v>9817</v>
      </c>
      <c r="IO14">
        <v>9817</v>
      </c>
    </row>
    <row r="15" spans="1:294" x14ac:dyDescent="0.25">
      <c r="IC15" t="s">
        <v>3393</v>
      </c>
      <c r="ID15">
        <v>2022</v>
      </c>
      <c r="IE15" t="s">
        <v>3262</v>
      </c>
      <c r="IF15">
        <v>19.239999999999998</v>
      </c>
      <c r="IG15">
        <v>9.61</v>
      </c>
      <c r="IH15">
        <v>9.6300000000000008</v>
      </c>
    </row>
    <row r="16" spans="1:294" x14ac:dyDescent="0.25">
      <c r="IC16" t="s">
        <v>3393</v>
      </c>
      <c r="ID16">
        <v>2022</v>
      </c>
      <c r="IE16" t="s">
        <v>1620</v>
      </c>
      <c r="IF16">
        <v>12.31</v>
      </c>
      <c r="IG16">
        <v>6.13</v>
      </c>
      <c r="IH16">
        <v>6.18</v>
      </c>
    </row>
    <row r="17" spans="237:242" x14ac:dyDescent="0.25">
      <c r="IC17" t="s">
        <v>3393</v>
      </c>
      <c r="ID17">
        <v>2023</v>
      </c>
      <c r="IE17" t="s">
        <v>3262</v>
      </c>
      <c r="IF17">
        <v>18.39</v>
      </c>
      <c r="IG17">
        <v>9.43</v>
      </c>
      <c r="IH17">
        <v>8.9600000000000009</v>
      </c>
    </row>
    <row r="18" spans="237:242" x14ac:dyDescent="0.25">
      <c r="IC18" t="s">
        <v>3393</v>
      </c>
      <c r="ID18">
        <v>2023</v>
      </c>
      <c r="IE18" t="s">
        <v>1620</v>
      </c>
      <c r="IF18">
        <v>16.05</v>
      </c>
      <c r="IG18">
        <v>4.53</v>
      </c>
      <c r="IH18">
        <v>11.51</v>
      </c>
    </row>
  </sheetData>
  <mergeCells count="23">
    <mergeCell ref="EZ2:FA2"/>
    <mergeCell ref="FL2:FM2"/>
    <mergeCell ref="GJ2:GK2"/>
    <mergeCell ref="IK2:IL2"/>
    <mergeCell ref="IC2:ID2"/>
    <mergeCell ref="HU2:HV2"/>
    <mergeCell ref="GS2:GT2"/>
    <mergeCell ref="KG2:KH2"/>
    <mergeCell ref="A2:B2"/>
    <mergeCell ref="GD2:GE2"/>
    <mergeCell ref="DC2:DD2"/>
    <mergeCell ref="CO2:CP2"/>
    <mergeCell ref="BN2:BO2"/>
    <mergeCell ref="Y2:Z2"/>
    <mergeCell ref="AQ2:AR2"/>
    <mergeCell ref="BC2:BD2"/>
    <mergeCell ref="DT2:DU2"/>
    <mergeCell ref="EK2:EL2"/>
    <mergeCell ref="FS2:FT2"/>
    <mergeCell ref="HH2:HI2"/>
    <mergeCell ref="IQ2:IR2"/>
    <mergeCell ref="JB2:JC2"/>
    <mergeCell ref="J2:K2"/>
  </mergeCells>
  <phoneticPr fontId="5" type="noConversion"/>
  <pageMargins left="0.7" right="0.7" top="0.75" bottom="0.75" header="0.3" footer="0.3"/>
  <pageSetup paperSize="9" orientation="portrait" r:id="rId1"/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8651-4692-4E4B-B201-D53B1B9451E9}">
  <sheetPr codeName="Feuil16">
    <tabColor theme="4" tint="0.39997558519241921"/>
  </sheetPr>
  <dimension ref="A2:AR9"/>
  <sheetViews>
    <sheetView topLeftCell="Z1" workbookViewId="0">
      <selection activeCell="AB4" sqref="AB4:AH9"/>
    </sheetView>
  </sheetViews>
  <sheetFormatPr defaultColWidth="11.42578125" defaultRowHeight="15" x14ac:dyDescent="0.25"/>
  <cols>
    <col min="1" max="1" width="7.7109375" bestFit="1" customWidth="1"/>
    <col min="2" max="2" width="8.42578125" bestFit="1" customWidth="1"/>
    <col min="3" max="3" width="34.28515625" bestFit="1" customWidth="1"/>
    <col min="4" max="5" width="40.7109375" bestFit="1" customWidth="1"/>
    <col min="6" max="6" width="44.7109375" bestFit="1" customWidth="1"/>
    <col min="7" max="7" width="52.7109375" bestFit="1" customWidth="1"/>
    <col min="8" max="8" width="53.5703125" bestFit="1" customWidth="1"/>
    <col min="10" max="10" width="7.7109375" bestFit="1" customWidth="1"/>
    <col min="11" max="11" width="8.42578125" bestFit="1" customWidth="1"/>
    <col min="12" max="12" width="15.5703125" bestFit="1" customWidth="1"/>
    <col min="13" max="13" width="13.85546875" bestFit="1" customWidth="1"/>
    <col min="14" max="14" width="13.42578125" bestFit="1" customWidth="1"/>
    <col min="15" max="15" width="30.28515625" bestFit="1" customWidth="1"/>
    <col min="16" max="16" width="31.5703125" bestFit="1" customWidth="1"/>
    <col min="17" max="17" width="7.7109375" bestFit="1" customWidth="1"/>
    <col min="18" max="18" width="8.42578125" bestFit="1" customWidth="1"/>
    <col min="19" max="19" width="20.42578125" bestFit="1" customWidth="1"/>
    <col min="20" max="20" width="35" bestFit="1" customWidth="1"/>
    <col min="21" max="21" width="38.42578125" bestFit="1" customWidth="1"/>
    <col min="22" max="22" width="24.42578125" bestFit="1" customWidth="1"/>
    <col min="23" max="23" width="29" bestFit="1" customWidth="1"/>
    <col min="24" max="24" width="35.5703125" bestFit="1" customWidth="1"/>
    <col min="25" max="25" width="34" bestFit="1" customWidth="1"/>
    <col min="26" max="26" width="37.42578125" bestFit="1" customWidth="1"/>
    <col min="27" max="27" width="35.7109375" bestFit="1" customWidth="1"/>
    <col min="28" max="28" width="7.7109375" bestFit="1" customWidth="1"/>
    <col min="29" max="29" width="8.42578125" bestFit="1" customWidth="1"/>
    <col min="30" max="30" width="26.28515625" bestFit="1" customWidth="1"/>
    <col min="31" max="32" width="34" bestFit="1" customWidth="1"/>
    <col min="33" max="33" width="40.28515625" bestFit="1" customWidth="1"/>
    <col min="34" max="34" width="33.28515625" bestFit="1" customWidth="1"/>
    <col min="35" max="35" width="41.7109375" bestFit="1" customWidth="1"/>
    <col min="36" max="36" width="34.7109375" bestFit="1" customWidth="1"/>
    <col min="37" max="37" width="7.7109375" bestFit="1" customWidth="1"/>
    <col min="38" max="38" width="8.42578125" bestFit="1" customWidth="1"/>
    <col min="39" max="39" width="25.85546875" bestFit="1" customWidth="1"/>
    <col min="40" max="40" width="32.42578125" bestFit="1" customWidth="1"/>
    <col min="41" max="41" width="30.85546875" bestFit="1" customWidth="1"/>
    <col min="42" max="42" width="25.85546875" bestFit="1" customWidth="1"/>
    <col min="43" max="43" width="32.42578125" bestFit="1" customWidth="1"/>
    <col min="44" max="44" width="30.85546875" bestFit="1" customWidth="1"/>
    <col min="45" max="45" width="34.5703125" bestFit="1" customWidth="1"/>
    <col min="46" max="46" width="32.7109375" bestFit="1" customWidth="1"/>
    <col min="47" max="47" width="31.7109375" bestFit="1" customWidth="1"/>
    <col min="48" max="48" width="33.7109375" bestFit="1" customWidth="1"/>
    <col min="50" max="50" width="8" bestFit="1" customWidth="1"/>
    <col min="51" max="51" width="12.28515625" bestFit="1" customWidth="1"/>
    <col min="52" max="52" width="8.5703125" bestFit="1" customWidth="1"/>
    <col min="53" max="54" width="26.7109375" bestFit="1" customWidth="1"/>
    <col min="55" max="55" width="33.5703125" bestFit="1" customWidth="1"/>
    <col min="56" max="56" width="31.7109375" bestFit="1" customWidth="1"/>
  </cols>
  <sheetData>
    <row r="2" spans="1:44" ht="21" x14ac:dyDescent="0.35">
      <c r="A2" s="797" t="s">
        <v>1766</v>
      </c>
      <c r="B2" s="797"/>
      <c r="J2" s="797" t="s">
        <v>1767</v>
      </c>
      <c r="K2" s="797"/>
      <c r="L2" s="3"/>
      <c r="M2" s="3"/>
      <c r="N2" s="3"/>
      <c r="S2" s="797" t="s">
        <v>1768</v>
      </c>
      <c r="T2" s="797"/>
      <c r="AD2" s="797" t="s">
        <v>1769</v>
      </c>
      <c r="AE2" s="797"/>
      <c r="AM2" s="797" t="s">
        <v>1770</v>
      </c>
      <c r="AN2" s="797"/>
    </row>
    <row r="4" spans="1:44" x14ac:dyDescent="0.25">
      <c r="A4" t="s">
        <v>1356</v>
      </c>
      <c r="B4" t="s">
        <v>1357</v>
      </c>
      <c r="C4" t="s">
        <v>1771</v>
      </c>
      <c r="D4" t="s">
        <v>1772</v>
      </c>
      <c r="E4" t="s">
        <v>1773</v>
      </c>
      <c r="F4" t="s">
        <v>1774</v>
      </c>
      <c r="G4" t="s">
        <v>1775</v>
      </c>
      <c r="J4" t="s">
        <v>1356</v>
      </c>
      <c r="K4" t="s">
        <v>1357</v>
      </c>
      <c r="L4" t="s">
        <v>1535</v>
      </c>
      <c r="M4" t="s">
        <v>1536</v>
      </c>
      <c r="N4" t="s">
        <v>1776</v>
      </c>
      <c r="Q4" t="s">
        <v>1356</v>
      </c>
      <c r="R4" t="s">
        <v>1357</v>
      </c>
      <c r="S4" t="s">
        <v>1777</v>
      </c>
      <c r="T4" t="s">
        <v>1778</v>
      </c>
      <c r="U4" t="s">
        <v>1779</v>
      </c>
      <c r="V4" t="s">
        <v>1780</v>
      </c>
      <c r="W4" t="s">
        <v>1781</v>
      </c>
      <c r="X4" t="s">
        <v>1782</v>
      </c>
      <c r="Y4" t="s">
        <v>1783</v>
      </c>
      <c r="AB4" t="s">
        <v>1356</v>
      </c>
      <c r="AC4" t="s">
        <v>1357</v>
      </c>
      <c r="AD4" t="s">
        <v>1784</v>
      </c>
      <c r="AE4" t="s">
        <v>1785</v>
      </c>
      <c r="AF4" t="s">
        <v>1786</v>
      </c>
      <c r="AG4" t="s">
        <v>1787</v>
      </c>
      <c r="AH4" t="s">
        <v>1788</v>
      </c>
      <c r="AK4" t="s">
        <v>1356</v>
      </c>
      <c r="AL4" t="s">
        <v>1357</v>
      </c>
      <c r="AM4" t="s">
        <v>1789</v>
      </c>
      <c r="AN4" t="s">
        <v>1790</v>
      </c>
      <c r="AO4" t="s">
        <v>1791</v>
      </c>
      <c r="AP4" t="s">
        <v>1792</v>
      </c>
      <c r="AQ4" t="s">
        <v>1793</v>
      </c>
      <c r="AR4" t="s">
        <v>1794</v>
      </c>
    </row>
    <row r="5" spans="1:44" x14ac:dyDescent="0.25">
      <c r="A5" t="s">
        <v>3393</v>
      </c>
      <c r="B5">
        <v>2019</v>
      </c>
      <c r="C5">
        <v>0</v>
      </c>
      <c r="D5">
        <v>1</v>
      </c>
      <c r="E5">
        <v>2</v>
      </c>
      <c r="F5">
        <v>1</v>
      </c>
      <c r="G5">
        <v>4.0000000000000001E-3</v>
      </c>
      <c r="J5" t="s">
        <v>3393</v>
      </c>
      <c r="K5">
        <v>2019</v>
      </c>
      <c r="L5">
        <v>0</v>
      </c>
      <c r="M5">
        <v>0</v>
      </c>
      <c r="N5">
        <v>0</v>
      </c>
      <c r="Q5" t="s">
        <v>3393</v>
      </c>
      <c r="R5">
        <v>2019</v>
      </c>
      <c r="S5">
        <v>10684</v>
      </c>
      <c r="T5">
        <v>35</v>
      </c>
      <c r="U5">
        <v>1.79</v>
      </c>
      <c r="V5">
        <v>0</v>
      </c>
      <c r="W5">
        <v>0</v>
      </c>
      <c r="X5">
        <v>0</v>
      </c>
      <c r="Y5">
        <v>0</v>
      </c>
      <c r="AB5" t="s">
        <v>3393</v>
      </c>
      <c r="AC5">
        <v>2019</v>
      </c>
      <c r="AD5">
        <v>1</v>
      </c>
      <c r="AE5">
        <v>0</v>
      </c>
      <c r="AF5">
        <v>90</v>
      </c>
      <c r="AG5">
        <v>91</v>
      </c>
      <c r="AH5">
        <v>8.5000000000000006E-3</v>
      </c>
      <c r="AK5" t="s">
        <v>3393</v>
      </c>
      <c r="AL5">
        <v>2019</v>
      </c>
      <c r="AM5">
        <v>1165</v>
      </c>
      <c r="AN5">
        <v>463</v>
      </c>
      <c r="AO5">
        <v>702</v>
      </c>
      <c r="AP5">
        <v>6.6E-3</v>
      </c>
      <c r="AQ5">
        <v>4.5999999999999999E-3</v>
      </c>
      <c r="AR5">
        <v>9.2999999999999992E-3</v>
      </c>
    </row>
    <row r="6" spans="1:44" x14ac:dyDescent="0.25">
      <c r="A6" t="s">
        <v>3393</v>
      </c>
      <c r="B6">
        <v>2020</v>
      </c>
      <c r="C6">
        <v>0</v>
      </c>
      <c r="D6">
        <v>2</v>
      </c>
      <c r="E6">
        <v>5</v>
      </c>
      <c r="F6">
        <v>2</v>
      </c>
      <c r="G6">
        <v>7.9000000000000008E-3</v>
      </c>
      <c r="J6" t="s">
        <v>3393</v>
      </c>
      <c r="K6">
        <v>2020</v>
      </c>
      <c r="L6">
        <v>29</v>
      </c>
      <c r="M6">
        <v>29</v>
      </c>
      <c r="N6">
        <v>79</v>
      </c>
      <c r="Q6" t="s">
        <v>3393</v>
      </c>
      <c r="R6">
        <v>2020</v>
      </c>
      <c r="S6">
        <v>10780</v>
      </c>
      <c r="T6">
        <v>43</v>
      </c>
      <c r="U6">
        <v>1.57</v>
      </c>
      <c r="V6">
        <v>0</v>
      </c>
      <c r="W6">
        <v>0</v>
      </c>
      <c r="X6">
        <v>0</v>
      </c>
      <c r="Y6">
        <v>0</v>
      </c>
      <c r="AB6" t="s">
        <v>3393</v>
      </c>
      <c r="AC6">
        <v>2020</v>
      </c>
      <c r="AD6">
        <v>0</v>
      </c>
      <c r="AE6">
        <v>0</v>
      </c>
      <c r="AF6">
        <v>74</v>
      </c>
      <c r="AG6">
        <v>74</v>
      </c>
      <c r="AH6">
        <v>6.8999999999999999E-3</v>
      </c>
      <c r="AK6" t="s">
        <v>3393</v>
      </c>
      <c r="AL6">
        <v>2020</v>
      </c>
      <c r="AM6">
        <v>1332</v>
      </c>
      <c r="AN6">
        <v>411</v>
      </c>
      <c r="AO6">
        <v>921</v>
      </c>
      <c r="AP6">
        <v>7.4999999999999997E-3</v>
      </c>
      <c r="AQ6">
        <v>4.1000000000000003E-3</v>
      </c>
      <c r="AR6">
        <v>1.21E-2</v>
      </c>
    </row>
    <row r="7" spans="1:44" x14ac:dyDescent="0.25">
      <c r="A7" t="s">
        <v>3393</v>
      </c>
      <c r="B7">
        <v>2021</v>
      </c>
      <c r="C7">
        <v>1</v>
      </c>
      <c r="D7">
        <v>1</v>
      </c>
      <c r="E7">
        <v>3</v>
      </c>
      <c r="F7">
        <v>2</v>
      </c>
      <c r="G7">
        <v>7.4000000000000003E-3</v>
      </c>
      <c r="J7" t="s">
        <v>3393</v>
      </c>
      <c r="K7">
        <v>2021</v>
      </c>
      <c r="L7">
        <v>36</v>
      </c>
      <c r="M7">
        <v>36</v>
      </c>
      <c r="N7">
        <v>93</v>
      </c>
      <c r="Q7" t="s">
        <v>3393</v>
      </c>
      <c r="R7">
        <v>2021</v>
      </c>
      <c r="S7">
        <v>10902</v>
      </c>
      <c r="T7">
        <v>34</v>
      </c>
      <c r="U7">
        <v>1.0900000000000001</v>
      </c>
      <c r="V7">
        <v>0</v>
      </c>
      <c r="W7">
        <v>0</v>
      </c>
      <c r="X7">
        <v>0</v>
      </c>
      <c r="Y7">
        <v>0</v>
      </c>
      <c r="AB7" t="s">
        <v>3393</v>
      </c>
      <c r="AC7">
        <v>2021</v>
      </c>
      <c r="AD7">
        <v>0</v>
      </c>
      <c r="AE7">
        <v>1</v>
      </c>
      <c r="AF7">
        <v>66</v>
      </c>
      <c r="AG7">
        <v>67</v>
      </c>
      <c r="AH7">
        <v>6.1000000000000004E-3</v>
      </c>
      <c r="AK7" t="s">
        <v>3393</v>
      </c>
      <c r="AL7">
        <v>2021</v>
      </c>
      <c r="AM7">
        <v>859</v>
      </c>
      <c r="AN7">
        <v>194</v>
      </c>
      <c r="AO7">
        <v>665</v>
      </c>
      <c r="AP7">
        <v>4.7999999999999996E-3</v>
      </c>
      <c r="AQ7">
        <v>1.9E-3</v>
      </c>
      <c r="AR7">
        <v>8.6999999999999994E-3</v>
      </c>
    </row>
    <row r="8" spans="1:44" x14ac:dyDescent="0.25">
      <c r="A8" t="s">
        <v>3393</v>
      </c>
      <c r="B8">
        <v>2022</v>
      </c>
      <c r="C8">
        <v>0</v>
      </c>
      <c r="D8">
        <v>2</v>
      </c>
      <c r="E8">
        <v>4</v>
      </c>
      <c r="F8">
        <v>2</v>
      </c>
      <c r="G8">
        <v>7.4000000000000003E-3</v>
      </c>
      <c r="J8" t="s">
        <v>3393</v>
      </c>
      <c r="K8">
        <v>2022</v>
      </c>
      <c r="L8">
        <v>26</v>
      </c>
      <c r="M8">
        <v>26</v>
      </c>
      <c r="N8">
        <v>44</v>
      </c>
      <c r="Q8" t="s">
        <v>3393</v>
      </c>
      <c r="R8">
        <v>2022</v>
      </c>
      <c r="S8">
        <v>11022</v>
      </c>
      <c r="T8">
        <v>33</v>
      </c>
      <c r="U8">
        <v>1.46</v>
      </c>
      <c r="V8">
        <v>0</v>
      </c>
      <c r="W8">
        <v>0</v>
      </c>
      <c r="X8">
        <v>0</v>
      </c>
      <c r="Y8">
        <v>0</v>
      </c>
      <c r="AB8" t="s">
        <v>3393</v>
      </c>
      <c r="AC8">
        <v>2022</v>
      </c>
      <c r="AD8">
        <v>0</v>
      </c>
      <c r="AE8">
        <v>2</v>
      </c>
      <c r="AF8">
        <v>78</v>
      </c>
      <c r="AG8">
        <v>80</v>
      </c>
      <c r="AH8">
        <v>7.3000000000000001E-3</v>
      </c>
      <c r="AK8" t="s">
        <v>3393</v>
      </c>
      <c r="AL8">
        <v>2022</v>
      </c>
      <c r="AM8">
        <v>780</v>
      </c>
      <c r="AN8">
        <v>288</v>
      </c>
      <c r="AO8">
        <v>492</v>
      </c>
      <c r="AP8">
        <v>4.3E-3</v>
      </c>
      <c r="AQ8">
        <v>2.8E-3</v>
      </c>
      <c r="AR8">
        <v>6.4000000000000003E-3</v>
      </c>
    </row>
    <row r="9" spans="1:44" x14ac:dyDescent="0.25">
      <c r="A9" t="s">
        <v>3393</v>
      </c>
      <c r="B9">
        <v>2023</v>
      </c>
      <c r="C9">
        <v>2</v>
      </c>
      <c r="D9">
        <v>1</v>
      </c>
      <c r="E9">
        <v>3</v>
      </c>
      <c r="F9">
        <v>3</v>
      </c>
      <c r="G9">
        <v>1.09E-2</v>
      </c>
      <c r="J9" t="s">
        <v>3393</v>
      </c>
      <c r="K9">
        <v>2023</v>
      </c>
      <c r="L9">
        <v>82</v>
      </c>
      <c r="M9">
        <v>82</v>
      </c>
      <c r="N9">
        <v>171</v>
      </c>
      <c r="Q9" t="s">
        <v>3393</v>
      </c>
      <c r="R9">
        <v>2023</v>
      </c>
      <c r="S9">
        <v>11172</v>
      </c>
      <c r="T9">
        <v>31</v>
      </c>
      <c r="U9">
        <v>0.72</v>
      </c>
      <c r="V9">
        <v>0</v>
      </c>
      <c r="W9">
        <v>0</v>
      </c>
      <c r="X9">
        <v>0</v>
      </c>
      <c r="Y9">
        <v>0</v>
      </c>
      <c r="AB9" t="s">
        <v>3393</v>
      </c>
      <c r="AC9">
        <v>2023</v>
      </c>
      <c r="AD9">
        <v>0</v>
      </c>
      <c r="AE9">
        <v>2</v>
      </c>
      <c r="AF9">
        <v>52</v>
      </c>
      <c r="AG9">
        <v>54</v>
      </c>
      <c r="AH9">
        <v>4.7999999999999996E-3</v>
      </c>
      <c r="AK9" t="s">
        <v>3393</v>
      </c>
      <c r="AL9">
        <v>2023</v>
      </c>
      <c r="AM9">
        <v>582</v>
      </c>
      <c r="AN9">
        <v>195</v>
      </c>
      <c r="AO9">
        <v>387</v>
      </c>
      <c r="AP9">
        <v>3.2000000000000002E-3</v>
      </c>
      <c r="AQ9">
        <v>1.9E-3</v>
      </c>
      <c r="AR9">
        <v>5.0000000000000001E-3</v>
      </c>
    </row>
  </sheetData>
  <mergeCells count="5">
    <mergeCell ref="A2:B2"/>
    <mergeCell ref="J2:K2"/>
    <mergeCell ref="S2:T2"/>
    <mergeCell ref="AD2:AE2"/>
    <mergeCell ref="AM2:AN2"/>
  </mergeCells>
  <phoneticPr fontId="5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ED9B-8A79-4859-A0E0-9B91D1A9D648}">
  <sheetPr codeName="Feuil17">
    <tabColor theme="4" tint="0.39997558519241921"/>
  </sheetPr>
  <dimension ref="A2:GS54"/>
  <sheetViews>
    <sheetView topLeftCell="GB1" workbookViewId="0">
      <selection activeCell="GJ20" sqref="GJ20"/>
    </sheetView>
  </sheetViews>
  <sheetFormatPr defaultColWidth="11.42578125" defaultRowHeight="15" x14ac:dyDescent="0.25"/>
  <cols>
    <col min="1" max="1" width="7.7109375" bestFit="1" customWidth="1"/>
    <col min="2" max="2" width="8.42578125" bestFit="1" customWidth="1"/>
    <col min="3" max="3" width="14.5703125" bestFit="1" customWidth="1"/>
    <col min="4" max="4" width="13.5703125" bestFit="1" customWidth="1"/>
    <col min="5" max="5" width="17.5703125" bestFit="1" customWidth="1"/>
    <col min="6" max="6" width="19" bestFit="1" customWidth="1"/>
    <col min="7" max="7" width="14.7109375" bestFit="1" customWidth="1"/>
    <col min="8" max="8" width="20.28515625" bestFit="1" customWidth="1"/>
    <col min="9" max="9" width="14.140625" bestFit="1" customWidth="1"/>
    <col min="10" max="10" width="18.140625" bestFit="1" customWidth="1"/>
    <col min="11" max="11" width="22.7109375" bestFit="1" customWidth="1"/>
    <col min="12" max="12" width="19.7109375" bestFit="1" customWidth="1"/>
    <col min="13" max="13" width="18.5703125" bestFit="1" customWidth="1"/>
    <col min="14" max="14" width="20.28515625" bestFit="1" customWidth="1"/>
    <col min="17" max="17" width="7.7109375" bestFit="1" customWidth="1"/>
    <col min="18" max="18" width="8.42578125" bestFit="1" customWidth="1"/>
    <col min="19" max="19" width="17.5703125" bestFit="1" customWidth="1"/>
    <col min="20" max="20" width="16.5703125" bestFit="1" customWidth="1"/>
    <col min="21" max="21" width="20.7109375" bestFit="1" customWidth="1"/>
    <col min="22" max="22" width="22" bestFit="1" customWidth="1"/>
    <col min="23" max="23" width="17.7109375" bestFit="1" customWidth="1"/>
    <col min="24" max="24" width="23.28515625" bestFit="1" customWidth="1"/>
    <col min="25" max="25" width="17.140625" bestFit="1" customWidth="1"/>
    <col min="26" max="26" width="21.28515625" bestFit="1" customWidth="1"/>
    <col min="27" max="27" width="25.85546875" bestFit="1" customWidth="1"/>
    <col min="28" max="28" width="22.7109375" bestFit="1" customWidth="1"/>
    <col min="29" max="29" width="21.5703125" bestFit="1" customWidth="1"/>
    <col min="30" max="30" width="23.28515625" bestFit="1" customWidth="1"/>
    <col min="34" max="34" width="7.7109375" bestFit="1" customWidth="1"/>
    <col min="35" max="35" width="8.42578125" bestFit="1" customWidth="1"/>
    <col min="36" max="36" width="16.140625" bestFit="1" customWidth="1"/>
    <col min="37" max="37" width="13.7109375" bestFit="1" customWidth="1"/>
    <col min="38" max="38" width="17" bestFit="1" customWidth="1"/>
    <col min="39" max="39" width="14.7109375" bestFit="1" customWidth="1"/>
    <col min="40" max="40" width="19.28515625" bestFit="1" customWidth="1"/>
    <col min="41" max="41" width="16.7109375" bestFit="1" customWidth="1"/>
    <col min="42" max="42" width="9.7109375" bestFit="1" customWidth="1"/>
    <col min="43" max="43" width="13.7109375" bestFit="1" customWidth="1"/>
    <col min="44" max="44" width="11.42578125" bestFit="1" customWidth="1"/>
    <col min="45" max="45" width="14.7109375" bestFit="1" customWidth="1"/>
    <col min="46" max="46" width="12.28515625" bestFit="1" customWidth="1"/>
    <col min="47" max="47" width="16.7109375" bestFit="1" customWidth="1"/>
    <col min="48" max="48" width="14.42578125" bestFit="1" customWidth="1"/>
    <col min="49" max="49" width="14.5703125" bestFit="1" customWidth="1"/>
    <col min="53" max="53" width="7.7109375" bestFit="1" customWidth="1"/>
    <col min="54" max="54" width="8.42578125" bestFit="1" customWidth="1"/>
    <col min="55" max="55" width="14.140625" bestFit="1" customWidth="1"/>
    <col min="56" max="56" width="13.140625" bestFit="1" customWidth="1"/>
    <col min="57" max="57" width="17.140625" bestFit="1" customWidth="1"/>
    <col min="58" max="58" width="18.5703125" bestFit="1" customWidth="1"/>
    <col min="59" max="59" width="14.28515625" bestFit="1" customWidth="1"/>
    <col min="60" max="60" width="19.7109375" bestFit="1" customWidth="1"/>
    <col min="61" max="61" width="13.7109375" bestFit="1" customWidth="1"/>
    <col min="62" max="62" width="17.7109375" bestFit="1" customWidth="1"/>
    <col min="63" max="63" width="22.28515625" bestFit="1" customWidth="1"/>
    <col min="64" max="64" width="19.28515625" bestFit="1" customWidth="1"/>
    <col min="65" max="65" width="18" bestFit="1" customWidth="1"/>
    <col min="66" max="66" width="19.7109375" bestFit="1" customWidth="1"/>
    <col min="69" max="69" width="7.7109375" bestFit="1" customWidth="1"/>
    <col min="70" max="70" width="8.42578125" bestFit="1" customWidth="1"/>
    <col min="71" max="71" width="14.28515625" bestFit="1" customWidth="1"/>
    <col min="72" max="72" width="13.28515625" bestFit="1" customWidth="1"/>
    <col min="73" max="73" width="17.28515625" bestFit="1" customWidth="1"/>
    <col min="74" max="74" width="18.7109375" bestFit="1" customWidth="1"/>
    <col min="75" max="75" width="14.42578125" bestFit="1" customWidth="1"/>
    <col min="76" max="76" width="19.85546875" bestFit="1" customWidth="1"/>
    <col min="77" max="77" width="13.7109375" bestFit="1" customWidth="1"/>
    <col min="78" max="78" width="17.7109375" bestFit="1" customWidth="1"/>
    <col min="79" max="79" width="22.42578125" bestFit="1" customWidth="1"/>
    <col min="80" max="80" width="19.28515625" bestFit="1" customWidth="1"/>
    <col min="81" max="81" width="18.140625" bestFit="1" customWidth="1"/>
    <col min="82" max="82" width="19.7109375" bestFit="1" customWidth="1"/>
    <col min="86" max="86" width="7.7109375" bestFit="1" customWidth="1"/>
    <col min="87" max="87" width="8.42578125" bestFit="1" customWidth="1"/>
    <col min="88" max="88" width="14.140625" bestFit="1" customWidth="1"/>
    <col min="89" max="89" width="41.28515625" bestFit="1" customWidth="1"/>
    <col min="90" max="90" width="36.7109375" bestFit="1" customWidth="1"/>
    <col min="91" max="91" width="11.7109375" bestFit="1" customWidth="1"/>
    <col min="92" max="92" width="39" bestFit="1" customWidth="1"/>
    <col min="93" max="93" width="34.28515625" bestFit="1" customWidth="1"/>
    <col min="94" max="94" width="34.5703125" bestFit="1" customWidth="1"/>
    <col min="98" max="98" width="7.7109375" bestFit="1" customWidth="1"/>
    <col min="99" max="99" width="8.42578125" bestFit="1" customWidth="1"/>
    <col min="100" max="100" width="14.140625" bestFit="1" customWidth="1"/>
    <col min="101" max="102" width="11.7109375" bestFit="1" customWidth="1"/>
    <col min="106" max="106" width="7.7109375" bestFit="1" customWidth="1"/>
    <col min="107" max="107" width="8.42578125" bestFit="1" customWidth="1"/>
    <col min="108" max="108" width="26.7109375" bestFit="1" customWidth="1"/>
    <col min="109" max="109" width="29.28515625" bestFit="1" customWidth="1"/>
    <col min="110" max="110" width="25.7109375" bestFit="1" customWidth="1"/>
    <col min="111" max="111" width="17.85546875" bestFit="1" customWidth="1"/>
    <col min="112" max="112" width="18.28515625" bestFit="1" customWidth="1"/>
    <col min="116" max="116" width="7.7109375" bestFit="1" customWidth="1"/>
    <col min="117" max="117" width="8.42578125" bestFit="1" customWidth="1"/>
    <col min="118" max="118" width="19" bestFit="1" customWidth="1"/>
    <col min="119" max="119" width="18.5703125" bestFit="1" customWidth="1"/>
    <col min="120" max="120" width="17.28515625" bestFit="1" customWidth="1"/>
    <col min="121" max="121" width="16.85546875" bestFit="1" customWidth="1"/>
    <col min="122" max="122" width="21.28515625" bestFit="1" customWidth="1"/>
    <col min="123" max="123" width="20.7109375" bestFit="1" customWidth="1"/>
    <col min="124" max="124" width="25.42578125" bestFit="1" customWidth="1"/>
    <col min="125" max="125" width="25" bestFit="1" customWidth="1"/>
    <col min="126" max="126" width="16.28515625" bestFit="1" customWidth="1"/>
    <col min="127" max="127" width="15.85546875" bestFit="1" customWidth="1"/>
    <col min="128" max="128" width="20.28515625" bestFit="1" customWidth="1"/>
    <col min="129" max="129" width="19.7109375" bestFit="1" customWidth="1"/>
    <col min="130" max="130" width="15.85546875" bestFit="1" customWidth="1"/>
    <col min="131" max="131" width="15.42578125" bestFit="1" customWidth="1"/>
    <col min="132" max="132" width="18.42578125" bestFit="1" customWidth="1"/>
    <col min="133" max="133" width="17.85546875" bestFit="1" customWidth="1"/>
    <col min="134" max="134" width="12.140625" bestFit="1" customWidth="1"/>
    <col min="135" max="135" width="11.7109375" bestFit="1" customWidth="1"/>
    <col min="136" max="136" width="12.5703125" bestFit="1" customWidth="1"/>
    <col min="137" max="137" width="12.140625" bestFit="1" customWidth="1"/>
    <col min="138" max="138" width="15.5703125" bestFit="1" customWidth="1"/>
    <col min="140" max="140" width="7.7109375" bestFit="1" customWidth="1"/>
    <col min="141" max="141" width="8.42578125" bestFit="1" customWidth="1"/>
    <col min="142" max="142" width="50.28515625" bestFit="1" customWidth="1"/>
    <col min="143" max="143" width="37.140625" bestFit="1" customWidth="1"/>
    <col min="144" max="144" width="29.140625" bestFit="1" customWidth="1"/>
    <col min="148" max="148" width="8" bestFit="1" customWidth="1"/>
    <col min="149" max="149" width="8.7109375" bestFit="1" customWidth="1"/>
    <col min="150" max="150" width="37.28515625" bestFit="1" customWidth="1"/>
    <col min="151" max="151" width="20.85546875" bestFit="1" customWidth="1"/>
    <col min="152" max="152" width="45.5703125" bestFit="1" customWidth="1"/>
    <col min="153" max="153" width="19.5703125" bestFit="1" customWidth="1"/>
    <col min="156" max="156" width="7.7109375" bestFit="1" customWidth="1"/>
    <col min="157" max="157" width="8.42578125" bestFit="1" customWidth="1"/>
    <col min="158" max="158" width="19.28515625" bestFit="1" customWidth="1"/>
    <col min="159" max="159" width="18.85546875" bestFit="1" customWidth="1"/>
    <col min="160" max="160" width="17.7109375" bestFit="1" customWidth="1"/>
    <col min="161" max="161" width="17.28515625" bestFit="1" customWidth="1"/>
    <col min="162" max="162" width="21.5703125" bestFit="1" customWidth="1"/>
    <col min="163" max="163" width="21.140625" bestFit="1" customWidth="1"/>
    <col min="164" max="164" width="25.7109375" bestFit="1" customWidth="1"/>
    <col min="165" max="165" width="25.28515625" bestFit="1" customWidth="1"/>
    <col min="166" max="166" width="16.7109375" bestFit="1" customWidth="1"/>
    <col min="167" max="167" width="16.28515625" bestFit="1" customWidth="1"/>
    <col min="168" max="168" width="20.5703125" bestFit="1" customWidth="1"/>
    <col min="169" max="169" width="20.140625" bestFit="1" customWidth="1"/>
    <col min="170" max="170" width="16.28515625" bestFit="1" customWidth="1"/>
    <col min="171" max="171" width="15.7109375" bestFit="1" customWidth="1"/>
    <col min="172" max="172" width="18.7109375" bestFit="1" customWidth="1"/>
    <col min="173" max="173" width="18.28515625" bestFit="1" customWidth="1"/>
    <col min="174" max="174" width="12.42578125" bestFit="1" customWidth="1"/>
    <col min="175" max="175" width="12" bestFit="1" customWidth="1"/>
    <col min="176" max="176" width="12.85546875" bestFit="1" customWidth="1"/>
    <col min="177" max="177" width="12.42578125" bestFit="1" customWidth="1"/>
    <col min="180" max="180" width="8" bestFit="1" customWidth="1"/>
    <col min="181" max="181" width="8.7109375" bestFit="1" customWidth="1"/>
    <col min="182" max="182" width="20.85546875" bestFit="1" customWidth="1"/>
    <col min="183" max="183" width="45.5703125" bestFit="1" customWidth="1"/>
    <col min="184" max="184" width="19.5703125" bestFit="1" customWidth="1"/>
    <col min="185" max="185" width="43.5703125" bestFit="1" customWidth="1"/>
    <col min="189" max="189" width="7.7109375" bestFit="1" customWidth="1"/>
    <col min="190" max="190" width="8.42578125" bestFit="1" customWidth="1"/>
    <col min="191" max="191" width="15.42578125" bestFit="1" customWidth="1"/>
    <col min="192" max="192" width="14.42578125" bestFit="1" customWidth="1"/>
    <col min="193" max="193" width="18.5703125" bestFit="1" customWidth="1"/>
    <col min="194" max="194" width="19.85546875" bestFit="1" customWidth="1"/>
    <col min="195" max="195" width="15.7109375" bestFit="1" customWidth="1"/>
    <col min="196" max="196" width="21.140625" bestFit="1" customWidth="1"/>
    <col min="197" max="197" width="15" bestFit="1" customWidth="1"/>
    <col min="198" max="198" width="19.140625" bestFit="1" customWidth="1"/>
    <col min="199" max="199" width="23.7109375" bestFit="1" customWidth="1"/>
    <col min="200" max="200" width="20.5703125" bestFit="1" customWidth="1"/>
    <col min="201" max="201" width="19.42578125" bestFit="1" customWidth="1"/>
  </cols>
  <sheetData>
    <row r="2" spans="1:201" ht="21" x14ac:dyDescent="0.35">
      <c r="A2" s="797" t="s">
        <v>1795</v>
      </c>
      <c r="B2" s="797"/>
      <c r="Q2" s="797" t="s">
        <v>1796</v>
      </c>
      <c r="R2" s="797"/>
      <c r="AH2" s="797" t="s">
        <v>1797</v>
      </c>
      <c r="AI2" s="797"/>
      <c r="BA2" s="797" t="s">
        <v>1798</v>
      </c>
      <c r="BB2" s="797"/>
      <c r="BQ2" s="797" t="s">
        <v>1799</v>
      </c>
      <c r="BR2" s="797"/>
      <c r="CH2" s="797" t="s">
        <v>1800</v>
      </c>
      <c r="CI2" s="797"/>
      <c r="CT2" s="797" t="s">
        <v>1801</v>
      </c>
      <c r="CU2" s="797"/>
      <c r="DB2" s="797" t="s">
        <v>1802</v>
      </c>
      <c r="DC2" s="797"/>
      <c r="DL2" s="797" t="s">
        <v>1803</v>
      </c>
      <c r="DM2" s="797"/>
      <c r="EJ2" s="797" t="s">
        <v>924</v>
      </c>
      <c r="EK2" s="797"/>
      <c r="ER2" s="797" t="s">
        <v>951</v>
      </c>
      <c r="ES2" s="797"/>
      <c r="EZ2" s="797" t="s">
        <v>965</v>
      </c>
      <c r="FA2" s="797"/>
      <c r="FX2" s="797" t="s">
        <v>1804</v>
      </c>
      <c r="FY2" s="797"/>
      <c r="GG2" s="797" t="s">
        <v>1805</v>
      </c>
      <c r="GH2" s="797"/>
    </row>
    <row r="4" spans="1:201" x14ac:dyDescent="0.25">
      <c r="A4" t="s">
        <v>1356</v>
      </c>
      <c r="B4" t="s">
        <v>1357</v>
      </c>
      <c r="C4" t="s">
        <v>1806</v>
      </c>
      <c r="D4" t="s">
        <v>1807</v>
      </c>
      <c r="E4" t="s">
        <v>1808</v>
      </c>
      <c r="F4" t="s">
        <v>1809</v>
      </c>
      <c r="G4" t="s">
        <v>1810</v>
      </c>
      <c r="H4" t="s">
        <v>1811</v>
      </c>
      <c r="I4" t="s">
        <v>1812</v>
      </c>
      <c r="J4" t="s">
        <v>1813</v>
      </c>
      <c r="K4" t="s">
        <v>1814</v>
      </c>
      <c r="L4" t="s">
        <v>1815</v>
      </c>
      <c r="M4" t="s">
        <v>1816</v>
      </c>
      <c r="Q4" t="s">
        <v>1356</v>
      </c>
      <c r="R4" t="s">
        <v>1357</v>
      </c>
      <c r="S4" t="s">
        <v>1817</v>
      </c>
      <c r="T4" t="s">
        <v>1818</v>
      </c>
      <c r="U4" t="s">
        <v>1819</v>
      </c>
      <c r="V4" t="s">
        <v>1820</v>
      </c>
      <c r="W4" t="s">
        <v>1821</v>
      </c>
      <c r="X4" t="s">
        <v>1822</v>
      </c>
      <c r="Y4" t="s">
        <v>1823</v>
      </c>
      <c r="Z4" t="s">
        <v>1824</v>
      </c>
      <c r="AA4" t="s">
        <v>1825</v>
      </c>
      <c r="AB4" t="s">
        <v>1826</v>
      </c>
      <c r="AC4" t="s">
        <v>1827</v>
      </c>
      <c r="AH4" t="s">
        <v>1356</v>
      </c>
      <c r="AI4" t="s">
        <v>1357</v>
      </c>
      <c r="AJ4" t="s">
        <v>1828</v>
      </c>
      <c r="AK4" t="s">
        <v>1829</v>
      </c>
      <c r="AL4" t="s">
        <v>1830</v>
      </c>
      <c r="AM4" t="s">
        <v>1831</v>
      </c>
      <c r="AN4" t="s">
        <v>1832</v>
      </c>
      <c r="AO4" t="s">
        <v>1833</v>
      </c>
      <c r="AP4" t="s">
        <v>1614</v>
      </c>
      <c r="AQ4" t="s">
        <v>1834</v>
      </c>
      <c r="AR4" t="s">
        <v>1835</v>
      </c>
      <c r="AS4" t="s">
        <v>1836</v>
      </c>
      <c r="AT4" t="s">
        <v>1837</v>
      </c>
      <c r="AU4" t="s">
        <v>1838</v>
      </c>
      <c r="AV4" t="s">
        <v>1839</v>
      </c>
      <c r="BA4" t="s">
        <v>1356</v>
      </c>
      <c r="BB4" t="s">
        <v>1357</v>
      </c>
      <c r="BC4" t="s">
        <v>1840</v>
      </c>
      <c r="BD4" t="s">
        <v>1841</v>
      </c>
      <c r="BE4" t="s">
        <v>1842</v>
      </c>
      <c r="BF4" t="s">
        <v>1843</v>
      </c>
      <c r="BG4" t="s">
        <v>1844</v>
      </c>
      <c r="BH4" t="s">
        <v>1845</v>
      </c>
      <c r="BI4" t="s">
        <v>1846</v>
      </c>
      <c r="BJ4" t="s">
        <v>1847</v>
      </c>
      <c r="BK4" t="s">
        <v>1848</v>
      </c>
      <c r="BL4" t="s">
        <v>1849</v>
      </c>
      <c r="BM4" t="s">
        <v>1850</v>
      </c>
      <c r="BQ4" t="s">
        <v>1356</v>
      </c>
      <c r="BR4" t="s">
        <v>1357</v>
      </c>
      <c r="BS4" t="s">
        <v>1851</v>
      </c>
      <c r="BT4" t="s">
        <v>1852</v>
      </c>
      <c r="BU4" t="s">
        <v>1853</v>
      </c>
      <c r="BV4" t="s">
        <v>1854</v>
      </c>
      <c r="BW4" t="s">
        <v>1855</v>
      </c>
      <c r="BX4" t="s">
        <v>1856</v>
      </c>
      <c r="BY4" t="s">
        <v>1857</v>
      </c>
      <c r="BZ4" t="s">
        <v>1858</v>
      </c>
      <c r="CA4" t="s">
        <v>1859</v>
      </c>
      <c r="CB4" t="s">
        <v>1860</v>
      </c>
      <c r="CC4" t="s">
        <v>1861</v>
      </c>
      <c r="CH4" t="s">
        <v>1356</v>
      </c>
      <c r="CI4" t="s">
        <v>1357</v>
      </c>
      <c r="CJ4" t="s">
        <v>1862</v>
      </c>
      <c r="CK4" t="s">
        <v>1863</v>
      </c>
      <c r="CL4" t="s">
        <v>1864</v>
      </c>
      <c r="CM4" t="s">
        <v>1865</v>
      </c>
      <c r="CN4" t="s">
        <v>1866</v>
      </c>
      <c r="CO4" t="s">
        <v>1867</v>
      </c>
      <c r="CT4" t="s">
        <v>1356</v>
      </c>
      <c r="CU4" t="s">
        <v>1357</v>
      </c>
      <c r="CV4" t="s">
        <v>1862</v>
      </c>
      <c r="CW4" t="s">
        <v>1865</v>
      </c>
      <c r="DB4" t="s">
        <v>1356</v>
      </c>
      <c r="DC4" t="s">
        <v>1357</v>
      </c>
      <c r="DD4" t="s">
        <v>1868</v>
      </c>
      <c r="DE4" t="s">
        <v>1869</v>
      </c>
      <c r="DF4" t="s">
        <v>1870</v>
      </c>
      <c r="DG4" t="s">
        <v>1871</v>
      </c>
      <c r="DL4" t="s">
        <v>1356</v>
      </c>
      <c r="DM4" t="s">
        <v>1357</v>
      </c>
      <c r="DN4" t="s">
        <v>1872</v>
      </c>
      <c r="DO4" t="s">
        <v>1873</v>
      </c>
      <c r="DP4" t="s">
        <v>1874</v>
      </c>
      <c r="DQ4" t="s">
        <v>1875</v>
      </c>
      <c r="DR4" t="s">
        <v>1876</v>
      </c>
      <c r="DS4" t="s">
        <v>1877</v>
      </c>
      <c r="DT4" t="s">
        <v>1878</v>
      </c>
      <c r="DU4" t="s">
        <v>1879</v>
      </c>
      <c r="DV4" t="s">
        <v>1880</v>
      </c>
      <c r="DW4" t="s">
        <v>1881</v>
      </c>
      <c r="DX4" t="s">
        <v>1882</v>
      </c>
      <c r="DY4" t="s">
        <v>1883</v>
      </c>
      <c r="DZ4" t="s">
        <v>1884</v>
      </c>
      <c r="EA4" t="s">
        <v>1885</v>
      </c>
      <c r="EB4" t="s">
        <v>1886</v>
      </c>
      <c r="EC4" t="s">
        <v>1887</v>
      </c>
      <c r="ED4" t="s">
        <v>1888</v>
      </c>
      <c r="EE4" t="s">
        <v>1889</v>
      </c>
      <c r="EF4" t="s">
        <v>1890</v>
      </c>
      <c r="EG4" t="s">
        <v>1891</v>
      </c>
      <c r="EJ4" t="s">
        <v>1356</v>
      </c>
      <c r="EK4" t="s">
        <v>1357</v>
      </c>
      <c r="EL4" t="s">
        <v>1892</v>
      </c>
      <c r="EM4" t="s">
        <v>1893</v>
      </c>
      <c r="EN4" t="s">
        <v>1894</v>
      </c>
      <c r="ER4" t="s">
        <v>1550</v>
      </c>
      <c r="ES4" t="s">
        <v>1551</v>
      </c>
      <c r="ET4" t="s">
        <v>1895</v>
      </c>
      <c r="EU4" t="s">
        <v>1896</v>
      </c>
      <c r="EV4" t="s">
        <v>1897</v>
      </c>
      <c r="EW4" t="s">
        <v>1898</v>
      </c>
      <c r="EZ4" t="s">
        <v>1356</v>
      </c>
      <c r="FA4" t="s">
        <v>1357</v>
      </c>
      <c r="FB4" t="s">
        <v>1899</v>
      </c>
      <c r="FC4" t="s">
        <v>1900</v>
      </c>
      <c r="FD4" t="s">
        <v>1901</v>
      </c>
      <c r="FE4" t="s">
        <v>1902</v>
      </c>
      <c r="FF4" t="s">
        <v>1903</v>
      </c>
      <c r="FG4" t="s">
        <v>1904</v>
      </c>
      <c r="FH4" t="s">
        <v>1905</v>
      </c>
      <c r="FI4" t="s">
        <v>1906</v>
      </c>
      <c r="FJ4" t="s">
        <v>1907</v>
      </c>
      <c r="FK4" t="s">
        <v>1908</v>
      </c>
      <c r="FL4" t="s">
        <v>1909</v>
      </c>
      <c r="FM4" t="s">
        <v>1910</v>
      </c>
      <c r="FN4" t="s">
        <v>1911</v>
      </c>
      <c r="FO4" t="s">
        <v>1912</v>
      </c>
      <c r="FP4" t="s">
        <v>1913</v>
      </c>
      <c r="FQ4" t="s">
        <v>1914</v>
      </c>
      <c r="FR4" t="s">
        <v>1915</v>
      </c>
      <c r="FS4" t="s">
        <v>1916</v>
      </c>
      <c r="FT4" t="s">
        <v>1917</v>
      </c>
      <c r="FU4" t="s">
        <v>1918</v>
      </c>
      <c r="FX4" t="s">
        <v>1550</v>
      </c>
      <c r="FY4" t="s">
        <v>1551</v>
      </c>
      <c r="FZ4" t="s">
        <v>1896</v>
      </c>
      <c r="GA4" t="s">
        <v>1897</v>
      </c>
      <c r="GB4" t="s">
        <v>1898</v>
      </c>
      <c r="GC4" t="s">
        <v>1919</v>
      </c>
      <c r="GG4" t="s">
        <v>1356</v>
      </c>
      <c r="GH4" t="s">
        <v>1357</v>
      </c>
      <c r="GI4" t="s">
        <v>1920</v>
      </c>
      <c r="GJ4" t="s">
        <v>1921</v>
      </c>
      <c r="GK4" t="s">
        <v>1922</v>
      </c>
      <c r="GL4" t="s">
        <v>1923</v>
      </c>
      <c r="GM4" t="s">
        <v>1924</v>
      </c>
      <c r="GN4" t="s">
        <v>1925</v>
      </c>
      <c r="GO4" t="s">
        <v>1926</v>
      </c>
      <c r="GP4" t="s">
        <v>1927</v>
      </c>
      <c r="GQ4" t="s">
        <v>1928</v>
      </c>
      <c r="GR4" t="s">
        <v>1929</v>
      </c>
      <c r="GS4" t="s">
        <v>1930</v>
      </c>
    </row>
    <row r="5" spans="1:201" x14ac:dyDescent="0.25">
      <c r="A5" t="s">
        <v>3393</v>
      </c>
      <c r="B5">
        <v>2017</v>
      </c>
      <c r="C5">
        <v>150533.024</v>
      </c>
      <c r="D5">
        <v>179335.5</v>
      </c>
      <c r="E5">
        <v>41142.749000000003</v>
      </c>
      <c r="F5">
        <v>15514.991</v>
      </c>
      <c r="G5">
        <v>0</v>
      </c>
      <c r="H5">
        <v>0</v>
      </c>
      <c r="I5">
        <v>7188.9639999999999</v>
      </c>
      <c r="J5">
        <v>16158.305</v>
      </c>
      <c r="K5">
        <v>81277.210000000006</v>
      </c>
      <c r="L5">
        <v>519.60900000000004</v>
      </c>
      <c r="M5">
        <v>0</v>
      </c>
      <c r="Q5" t="s">
        <v>3393</v>
      </c>
      <c r="R5">
        <v>2019</v>
      </c>
      <c r="S5">
        <v>74017.891000000003</v>
      </c>
      <c r="T5">
        <v>71959.391000000003</v>
      </c>
      <c r="U5">
        <v>30905.316999999999</v>
      </c>
      <c r="V5">
        <v>7504.8069999999998</v>
      </c>
      <c r="W5">
        <v>720.01800000000003</v>
      </c>
      <c r="X5">
        <v>3317.366</v>
      </c>
      <c r="Y5">
        <v>2053.0459999999998</v>
      </c>
      <c r="Z5">
        <v>7870.1570000000002</v>
      </c>
      <c r="AA5">
        <v>30746.763999999999</v>
      </c>
      <c r="AB5">
        <v>227.80699999999999</v>
      </c>
      <c r="AC5">
        <v>0</v>
      </c>
      <c r="AH5" t="s">
        <v>3393</v>
      </c>
      <c r="AI5">
        <v>2019</v>
      </c>
      <c r="AJ5">
        <v>439187.31800000003</v>
      </c>
      <c r="AK5">
        <v>90391.654999999999</v>
      </c>
      <c r="AL5">
        <v>248709.48199999999</v>
      </c>
      <c r="AM5">
        <v>51546.927000000003</v>
      </c>
      <c r="AN5">
        <v>190477.837</v>
      </c>
      <c r="AO5">
        <v>38844.726999999999</v>
      </c>
      <c r="AP5">
        <v>176922</v>
      </c>
      <c r="AQ5">
        <v>2482</v>
      </c>
      <c r="AR5">
        <v>511</v>
      </c>
      <c r="AS5">
        <v>1406</v>
      </c>
      <c r="AT5">
        <v>291</v>
      </c>
      <c r="AU5">
        <v>1077</v>
      </c>
      <c r="AV5">
        <v>220</v>
      </c>
      <c r="BA5" t="s">
        <v>3393</v>
      </c>
      <c r="BB5">
        <v>2019</v>
      </c>
      <c r="BC5">
        <v>225212.11600000001</v>
      </c>
      <c r="BD5">
        <v>239287.217</v>
      </c>
      <c r="BE5">
        <v>64840.659</v>
      </c>
      <c r="BF5">
        <v>19331.535</v>
      </c>
      <c r="BG5">
        <v>9041.6740000000009</v>
      </c>
      <c r="BH5">
        <v>11961.472</v>
      </c>
      <c r="BI5">
        <v>3641.0010000000002</v>
      </c>
      <c r="BJ5">
        <v>11009.98</v>
      </c>
      <c r="BK5">
        <v>97451.89</v>
      </c>
      <c r="BL5">
        <v>1133.4459999999999</v>
      </c>
      <c r="BM5">
        <v>0</v>
      </c>
      <c r="BQ5" t="s">
        <v>3393</v>
      </c>
      <c r="BR5">
        <v>2019</v>
      </c>
      <c r="BS5">
        <v>24434.003000000001</v>
      </c>
      <c r="BT5">
        <v>7421.64</v>
      </c>
      <c r="BU5">
        <v>4947.4110000000001</v>
      </c>
      <c r="BV5">
        <v>354.46</v>
      </c>
      <c r="BW5">
        <v>0</v>
      </c>
      <c r="BX5">
        <v>0</v>
      </c>
      <c r="BY5">
        <v>91.734999999999999</v>
      </c>
      <c r="BZ5">
        <v>0</v>
      </c>
      <c r="CA5">
        <v>4377.8649999999998</v>
      </c>
      <c r="CB5">
        <v>1.2649999999999999</v>
      </c>
      <c r="CC5">
        <v>0</v>
      </c>
      <c r="CH5" t="s">
        <v>3393</v>
      </c>
      <c r="CI5">
        <v>2019</v>
      </c>
      <c r="CJ5">
        <v>18373.606</v>
      </c>
      <c r="CK5">
        <v>9804.1689999999999</v>
      </c>
      <c r="CL5">
        <v>8863.5490000000009</v>
      </c>
      <c r="CM5">
        <v>3409.7370000000001</v>
      </c>
      <c r="CN5">
        <v>2455.1329999999998</v>
      </c>
      <c r="CO5">
        <v>973.20399999999995</v>
      </c>
      <c r="CT5" t="s">
        <v>3393</v>
      </c>
      <c r="CU5">
        <v>2019</v>
      </c>
      <c r="CV5">
        <v>-3701.5010000000002</v>
      </c>
      <c r="CW5">
        <v>-1801.64</v>
      </c>
      <c r="DB5" t="s">
        <v>3393</v>
      </c>
      <c r="DC5">
        <v>2019</v>
      </c>
      <c r="DD5">
        <v>300256.40899999999</v>
      </c>
      <c r="DE5">
        <v>122495.515</v>
      </c>
      <c r="DF5">
        <v>74337.752999999997</v>
      </c>
      <c r="DG5">
        <v>252098.64600000001</v>
      </c>
      <c r="DL5" t="s">
        <v>3393</v>
      </c>
      <c r="DM5">
        <v>2023</v>
      </c>
      <c r="DN5">
        <v>-1.410277</v>
      </c>
      <c r="DO5">
        <v>-12.400095</v>
      </c>
      <c r="DP5">
        <v>-7.4799709999999999</v>
      </c>
      <c r="DQ5">
        <v>-1.413022</v>
      </c>
      <c r="DR5">
        <v>-2.3124560000000001</v>
      </c>
      <c r="DS5">
        <v>0</v>
      </c>
      <c r="DT5">
        <v>-0.36896099999999998</v>
      </c>
      <c r="DU5">
        <v>0</v>
      </c>
      <c r="DV5">
        <v>-3.565785</v>
      </c>
      <c r="DW5">
        <v>0</v>
      </c>
      <c r="DX5">
        <v>-4.288392</v>
      </c>
      <c r="DY5">
        <v>-3.0661000000000001E-2</v>
      </c>
      <c r="DZ5">
        <v>-0.20935200000000001</v>
      </c>
      <c r="EA5">
        <v>-5.3053000000000003E-2</v>
      </c>
      <c r="EB5">
        <v>0</v>
      </c>
      <c r="EC5">
        <v>0</v>
      </c>
      <c r="ED5">
        <v>-2.9393340000000001</v>
      </c>
      <c r="EE5">
        <v>-4.4625450000000004</v>
      </c>
      <c r="EF5">
        <v>0</v>
      </c>
      <c r="EG5">
        <v>0</v>
      </c>
      <c r="EJ5" t="s">
        <v>3393</v>
      </c>
      <c r="EK5">
        <v>2019</v>
      </c>
      <c r="EL5">
        <v>122495515.49371715</v>
      </c>
      <c r="EM5">
        <v>-74337752.509911209</v>
      </c>
      <c r="EN5">
        <v>-41628379.33998283</v>
      </c>
      <c r="ER5" t="s">
        <v>3393</v>
      </c>
      <c r="ES5">
        <v>2019</v>
      </c>
      <c r="ET5" t="s">
        <v>1932</v>
      </c>
      <c r="EU5">
        <v>0.45</v>
      </c>
      <c r="EV5">
        <v>0.41</v>
      </c>
      <c r="EW5">
        <v>23382.03</v>
      </c>
      <c r="EZ5" t="s">
        <v>3393</v>
      </c>
      <c r="FA5">
        <v>2023</v>
      </c>
      <c r="FB5">
        <v>-0.704129</v>
      </c>
      <c r="FC5">
        <v>-7.8443100000000001</v>
      </c>
      <c r="FD5">
        <v>-6.2214499999999999</v>
      </c>
      <c r="FE5">
        <v>-14.010115000000001</v>
      </c>
      <c r="FF5">
        <v>-0.34692699999999999</v>
      </c>
      <c r="FG5">
        <v>0</v>
      </c>
      <c r="FH5">
        <v>-1.5120009999999999</v>
      </c>
      <c r="FI5">
        <v>0</v>
      </c>
      <c r="FJ5">
        <v>-13.448658</v>
      </c>
      <c r="FK5">
        <v>0</v>
      </c>
      <c r="FL5">
        <v>-5.4746889999999997</v>
      </c>
      <c r="FM5">
        <v>-0.482765</v>
      </c>
      <c r="FN5">
        <v>-1.815893</v>
      </c>
      <c r="FO5">
        <v>-2.9407169999999998</v>
      </c>
      <c r="FP5">
        <v>-0.89104300000000003</v>
      </c>
      <c r="FQ5">
        <v>-0.61061200000000004</v>
      </c>
      <c r="FR5">
        <v>-12.422319</v>
      </c>
      <c r="FS5">
        <v>-16.07039</v>
      </c>
      <c r="FT5">
        <v>-2.2887620000000002</v>
      </c>
      <c r="FU5">
        <v>-0.30222599999999999</v>
      </c>
      <c r="FX5" t="s">
        <v>3393</v>
      </c>
      <c r="FY5">
        <v>2023</v>
      </c>
      <c r="FZ5">
        <v>0.47</v>
      </c>
      <c r="GA5">
        <v>0.27</v>
      </c>
      <c r="GB5">
        <v>87765.27</v>
      </c>
      <c r="GC5">
        <v>149943.07</v>
      </c>
      <c r="GG5" t="s">
        <v>3393</v>
      </c>
      <c r="GH5">
        <v>2019</v>
      </c>
      <c r="GI5">
        <v>89909.125</v>
      </c>
      <c r="GJ5">
        <v>117746.97900000001</v>
      </c>
      <c r="GK5">
        <v>16466.528999999999</v>
      </c>
      <c r="GL5">
        <v>7948.6940000000004</v>
      </c>
      <c r="GM5">
        <v>8321.6560000000009</v>
      </c>
      <c r="GN5">
        <v>6916.165</v>
      </c>
      <c r="GO5">
        <v>1400.3330000000001</v>
      </c>
      <c r="GP5">
        <v>3139.8229999999999</v>
      </c>
      <c r="GQ5">
        <v>47507.595999999998</v>
      </c>
      <c r="GR5">
        <v>899.50800000000004</v>
      </c>
      <c r="GS5">
        <v>0</v>
      </c>
    </row>
    <row r="6" spans="1:201" x14ac:dyDescent="0.25">
      <c r="A6" t="s">
        <v>3393</v>
      </c>
      <c r="B6">
        <v>2018</v>
      </c>
      <c r="C6">
        <v>160895.59</v>
      </c>
      <c r="D6">
        <v>183969.38699999999</v>
      </c>
      <c r="E6">
        <v>46284.271000000001</v>
      </c>
      <c r="F6">
        <v>15623.503000000001</v>
      </c>
      <c r="G6">
        <v>5720.7089999999998</v>
      </c>
      <c r="H6">
        <v>10798.407999999999</v>
      </c>
      <c r="I6">
        <v>3220.1210000000001</v>
      </c>
      <c r="J6">
        <v>12162.306</v>
      </c>
      <c r="K6">
        <v>75554.495999999999</v>
      </c>
      <c r="L6">
        <v>816.91</v>
      </c>
      <c r="M6">
        <v>0</v>
      </c>
      <c r="Q6" t="s">
        <v>3393</v>
      </c>
      <c r="R6">
        <v>2020</v>
      </c>
      <c r="S6">
        <v>77624.517000000007</v>
      </c>
      <c r="T6">
        <v>76086.97</v>
      </c>
      <c r="U6">
        <v>32639.047999999999</v>
      </c>
      <c r="V6">
        <v>7759.9390000000003</v>
      </c>
      <c r="W6">
        <v>1237.598</v>
      </c>
      <c r="X6">
        <v>3492.5210000000002</v>
      </c>
      <c r="Y6">
        <v>2028.8340000000001</v>
      </c>
      <c r="Z6">
        <v>7663.9870000000001</v>
      </c>
      <c r="AA6">
        <v>32732.562000000002</v>
      </c>
      <c r="AB6">
        <v>298.27600000000001</v>
      </c>
      <c r="AC6">
        <v>0</v>
      </c>
      <c r="AH6" t="s">
        <v>3393</v>
      </c>
      <c r="AI6">
        <v>2020</v>
      </c>
      <c r="AJ6">
        <v>453703.80900000001</v>
      </c>
      <c r="AK6">
        <v>92568.414999999994</v>
      </c>
      <c r="AL6">
        <v>252834.38099999999</v>
      </c>
      <c r="AM6">
        <v>51873.59</v>
      </c>
      <c r="AN6">
        <v>200869.42800000001</v>
      </c>
      <c r="AO6">
        <v>40694.824999999997</v>
      </c>
      <c r="AP6">
        <v>177974</v>
      </c>
      <c r="AQ6">
        <v>2549</v>
      </c>
      <c r="AR6">
        <v>520</v>
      </c>
      <c r="AS6">
        <v>1421</v>
      </c>
      <c r="AT6">
        <v>291</v>
      </c>
      <c r="AU6">
        <v>1129</v>
      </c>
      <c r="AV6">
        <v>229</v>
      </c>
      <c r="BA6" t="s">
        <v>3393</v>
      </c>
      <c r="BB6">
        <v>2020</v>
      </c>
      <c r="BC6">
        <v>229846.038</v>
      </c>
      <c r="BD6">
        <v>246354.34099999999</v>
      </c>
      <c r="BE6">
        <v>66891.485000000001</v>
      </c>
      <c r="BF6">
        <v>19395.715</v>
      </c>
      <c r="BG6">
        <v>11870.473</v>
      </c>
      <c r="BH6">
        <v>14240.823</v>
      </c>
      <c r="BI6">
        <v>3689.86</v>
      </c>
      <c r="BJ6">
        <v>10456.924999999999</v>
      </c>
      <c r="BK6">
        <v>101070.55</v>
      </c>
      <c r="BL6">
        <v>1305.624</v>
      </c>
      <c r="BM6">
        <v>0</v>
      </c>
      <c r="BQ6" t="s">
        <v>3393</v>
      </c>
      <c r="BR6">
        <v>2020</v>
      </c>
      <c r="BS6">
        <v>23778.438999999998</v>
      </c>
      <c r="BT6">
        <v>7308.6310000000003</v>
      </c>
      <c r="BU6">
        <v>4964.067</v>
      </c>
      <c r="BV6">
        <v>339.59399999999999</v>
      </c>
      <c r="BW6">
        <v>0</v>
      </c>
      <c r="BX6">
        <v>0</v>
      </c>
      <c r="BY6">
        <v>115.751</v>
      </c>
      <c r="BZ6">
        <v>0</v>
      </c>
      <c r="CA6">
        <v>4531.2439999999997</v>
      </c>
      <c r="CB6">
        <v>1.3180000000000001</v>
      </c>
      <c r="CC6">
        <v>0</v>
      </c>
      <c r="CH6" t="s">
        <v>3393</v>
      </c>
      <c r="CI6">
        <v>2020</v>
      </c>
      <c r="CJ6">
        <v>17344.734</v>
      </c>
      <c r="CK6">
        <v>8858.9310000000005</v>
      </c>
      <c r="CL6">
        <v>9699.4889999999996</v>
      </c>
      <c r="CM6">
        <v>3052.4250000000002</v>
      </c>
      <c r="CN6">
        <v>2485.2109999999998</v>
      </c>
      <c r="CO6">
        <v>567.21400000000006</v>
      </c>
      <c r="CT6" t="s">
        <v>3393</v>
      </c>
      <c r="CU6">
        <v>2020</v>
      </c>
      <c r="CV6">
        <v>-1264.981</v>
      </c>
      <c r="CW6">
        <v>-837.55</v>
      </c>
      <c r="DB6" t="s">
        <v>3393</v>
      </c>
      <c r="DC6">
        <v>2020</v>
      </c>
      <c r="DD6">
        <v>304707.97100000002</v>
      </c>
      <c r="DE6">
        <v>125694.609</v>
      </c>
      <c r="DF6">
        <v>77932.36</v>
      </c>
      <c r="DG6">
        <v>256945.72200000001</v>
      </c>
      <c r="EJ6" t="s">
        <v>3393</v>
      </c>
      <c r="EK6">
        <v>2020</v>
      </c>
      <c r="EL6">
        <v>125694608.94170205</v>
      </c>
      <c r="EM6">
        <v>-77932359.649340048</v>
      </c>
      <c r="EN6">
        <v>-41039044.237480655</v>
      </c>
      <c r="ER6" t="s">
        <v>3393</v>
      </c>
      <c r="ES6">
        <v>2022</v>
      </c>
      <c r="ET6" t="s">
        <v>1932</v>
      </c>
      <c r="EU6">
        <v>0.48</v>
      </c>
      <c r="EV6">
        <v>0.45</v>
      </c>
      <c r="EW6">
        <v>27327.03</v>
      </c>
      <c r="FX6" t="s">
        <v>3393</v>
      </c>
      <c r="FY6">
        <v>2019</v>
      </c>
      <c r="FZ6">
        <v>0.43</v>
      </c>
      <c r="GA6">
        <v>0.25</v>
      </c>
      <c r="GB6">
        <v>74337.75</v>
      </c>
      <c r="GC6">
        <v>123105.67</v>
      </c>
      <c r="GG6" t="s">
        <v>3393</v>
      </c>
      <c r="GH6">
        <v>2020</v>
      </c>
      <c r="GI6">
        <v>89280.979000000007</v>
      </c>
      <c r="GJ6">
        <v>118597.41499999999</v>
      </c>
      <c r="GK6">
        <v>16202.982</v>
      </c>
      <c r="GL6">
        <v>7806.1379999999999</v>
      </c>
      <c r="GM6">
        <v>10632.876</v>
      </c>
      <c r="GN6">
        <v>8876.4390000000003</v>
      </c>
      <c r="GO6">
        <v>1437.5530000000001</v>
      </c>
      <c r="GP6">
        <v>2792.9380000000001</v>
      </c>
      <c r="GQ6">
        <v>48078.697999999997</v>
      </c>
      <c r="GR6">
        <v>1001.954</v>
      </c>
      <c r="GS6">
        <v>0</v>
      </c>
    </row>
    <row r="7" spans="1:201" x14ac:dyDescent="0.25">
      <c r="A7" t="s">
        <v>3393</v>
      </c>
      <c r="B7">
        <v>2019</v>
      </c>
      <c r="C7">
        <v>163927.016</v>
      </c>
      <c r="D7">
        <v>189706.37</v>
      </c>
      <c r="E7">
        <v>47371.845999999998</v>
      </c>
      <c r="F7">
        <v>15453.501</v>
      </c>
      <c r="G7">
        <v>9041.6740000000009</v>
      </c>
      <c r="H7">
        <v>10233.531999999999</v>
      </c>
      <c r="I7">
        <v>3453.3789999999999</v>
      </c>
      <c r="J7">
        <v>11009.98</v>
      </c>
      <c r="K7">
        <v>78254.36</v>
      </c>
      <c r="L7">
        <v>1127.3150000000001</v>
      </c>
      <c r="M7">
        <v>0</v>
      </c>
      <c r="Q7" t="s">
        <v>3393</v>
      </c>
      <c r="R7">
        <v>2021</v>
      </c>
      <c r="S7">
        <v>81461.244000000006</v>
      </c>
      <c r="T7">
        <v>80462.688999999998</v>
      </c>
      <c r="U7">
        <v>33859.192999999999</v>
      </c>
      <c r="V7">
        <v>8011.8649999999998</v>
      </c>
      <c r="W7">
        <v>1897.9469999999999</v>
      </c>
      <c r="X7">
        <v>3709.2860000000001</v>
      </c>
      <c r="Y7">
        <v>1947.5360000000001</v>
      </c>
      <c r="Z7">
        <v>7519.97</v>
      </c>
      <c r="AA7">
        <v>34760.050999999999</v>
      </c>
      <c r="AB7">
        <v>436.47800000000001</v>
      </c>
      <c r="AC7">
        <v>0</v>
      </c>
      <c r="AH7" t="s">
        <v>3393</v>
      </c>
      <c r="AI7">
        <v>2021</v>
      </c>
      <c r="AJ7">
        <v>473009.53100000002</v>
      </c>
      <c r="AK7">
        <v>95308.987999999998</v>
      </c>
      <c r="AL7">
        <v>261659.772</v>
      </c>
      <c r="AM7">
        <v>52592.49</v>
      </c>
      <c r="AN7">
        <v>211349.75899999999</v>
      </c>
      <c r="AO7">
        <v>42716.499000000003</v>
      </c>
      <c r="AP7">
        <v>179590</v>
      </c>
      <c r="AQ7">
        <v>2634</v>
      </c>
      <c r="AR7">
        <v>531</v>
      </c>
      <c r="AS7">
        <v>1457</v>
      </c>
      <c r="AT7">
        <v>293</v>
      </c>
      <c r="AU7">
        <v>1177</v>
      </c>
      <c r="AV7">
        <v>238</v>
      </c>
      <c r="BA7" t="s">
        <v>3393</v>
      </c>
      <c r="BB7">
        <v>2021</v>
      </c>
      <c r="BC7">
        <v>240873.56099999999</v>
      </c>
      <c r="BD7">
        <v>255332.383</v>
      </c>
      <c r="BE7">
        <v>67833.661999999997</v>
      </c>
      <c r="BF7">
        <v>19204.319</v>
      </c>
      <c r="BG7">
        <v>14793.63</v>
      </c>
      <c r="BH7">
        <v>14178.540999999999</v>
      </c>
      <c r="BI7">
        <v>3686.7130000000002</v>
      </c>
      <c r="BJ7">
        <v>10048.700999999999</v>
      </c>
      <c r="BK7">
        <v>105225.22199999999</v>
      </c>
      <c r="BL7">
        <v>1454.752</v>
      </c>
      <c r="BM7">
        <v>0</v>
      </c>
      <c r="BQ7" t="s">
        <v>3393</v>
      </c>
      <c r="BR7">
        <v>2021</v>
      </c>
      <c r="BS7">
        <v>23461.571</v>
      </c>
      <c r="BT7">
        <v>6872.192</v>
      </c>
      <c r="BU7">
        <v>4777.4070000000002</v>
      </c>
      <c r="BV7">
        <v>343.94200000000001</v>
      </c>
      <c r="BW7">
        <v>0</v>
      </c>
      <c r="BX7">
        <v>0</v>
      </c>
      <c r="BY7">
        <v>121.928</v>
      </c>
      <c r="BZ7">
        <v>0</v>
      </c>
      <c r="CA7">
        <v>4595.5</v>
      </c>
      <c r="CB7">
        <v>1.339</v>
      </c>
      <c r="CC7">
        <v>0</v>
      </c>
      <c r="CH7" t="s">
        <v>3393</v>
      </c>
      <c r="CI7">
        <v>2021</v>
      </c>
      <c r="CJ7">
        <v>23253.173999999999</v>
      </c>
      <c r="CK7">
        <v>15370.382</v>
      </c>
      <c r="CL7">
        <v>9070.6919999999991</v>
      </c>
      <c r="CM7">
        <v>3381.6529999999998</v>
      </c>
      <c r="CN7">
        <v>1788.6759999999999</v>
      </c>
      <c r="CO7">
        <v>1594.423</v>
      </c>
      <c r="CT7" t="s">
        <v>3393</v>
      </c>
      <c r="CU7">
        <v>2021</v>
      </c>
      <c r="CV7">
        <v>-1558.8320000000001</v>
      </c>
      <c r="CW7">
        <v>-755.58699999999999</v>
      </c>
      <c r="DB7" t="s">
        <v>3393</v>
      </c>
      <c r="DC7">
        <v>2021</v>
      </c>
      <c r="DD7">
        <v>314252.261</v>
      </c>
      <c r="DE7">
        <v>134837.128</v>
      </c>
      <c r="DF7">
        <v>80183.065000000002</v>
      </c>
      <c r="DG7">
        <v>259598.198</v>
      </c>
      <c r="EJ7" t="s">
        <v>3393</v>
      </c>
      <c r="EK7">
        <v>2021</v>
      </c>
      <c r="EL7">
        <v>134837128.39991185</v>
      </c>
      <c r="EM7">
        <v>-80183065.085852191</v>
      </c>
      <c r="EN7">
        <v>-40173878.527588867</v>
      </c>
      <c r="ER7" t="s">
        <v>3393</v>
      </c>
      <c r="ES7">
        <v>2020</v>
      </c>
      <c r="ET7" t="s">
        <v>1941</v>
      </c>
      <c r="EU7">
        <v>0.41</v>
      </c>
      <c r="EV7">
        <v>0.41</v>
      </c>
      <c r="EW7">
        <v>22288.98</v>
      </c>
      <c r="FX7" t="s">
        <v>3393</v>
      </c>
      <c r="FY7">
        <v>2020</v>
      </c>
      <c r="FZ7">
        <v>0.44</v>
      </c>
      <c r="GA7">
        <v>0.25</v>
      </c>
      <c r="GB7">
        <v>77932.36</v>
      </c>
      <c r="GC7">
        <v>129499.46</v>
      </c>
      <c r="GG7" t="s">
        <v>3393</v>
      </c>
      <c r="GH7">
        <v>2021</v>
      </c>
      <c r="GI7">
        <v>94618.328999999998</v>
      </c>
      <c r="GJ7">
        <v>120954.12699999999</v>
      </c>
      <c r="GK7">
        <v>15558.656000000001</v>
      </c>
      <c r="GL7">
        <v>7687.6589999999997</v>
      </c>
      <c r="GM7">
        <v>12895.683999999999</v>
      </c>
      <c r="GN7">
        <v>8440.3739999999998</v>
      </c>
      <c r="GO7">
        <v>1504.942</v>
      </c>
      <c r="GP7">
        <v>2528.7310000000002</v>
      </c>
      <c r="GQ7">
        <v>49097.23</v>
      </c>
      <c r="GR7">
        <v>966.52800000000002</v>
      </c>
      <c r="GS7">
        <v>0</v>
      </c>
    </row>
    <row r="8" spans="1:201" x14ac:dyDescent="0.25">
      <c r="A8" t="s">
        <v>3393</v>
      </c>
      <c r="B8">
        <v>2020</v>
      </c>
      <c r="C8">
        <v>166905.49600000001</v>
      </c>
      <c r="D8">
        <v>194684.38500000001</v>
      </c>
      <c r="E8">
        <v>48842.031000000003</v>
      </c>
      <c r="F8">
        <v>15566.076999999999</v>
      </c>
      <c r="G8">
        <v>11870.473</v>
      </c>
      <c r="H8">
        <v>12368.96</v>
      </c>
      <c r="I8">
        <v>3466.3870000000002</v>
      </c>
      <c r="J8">
        <v>10456.924999999999</v>
      </c>
      <c r="K8">
        <v>80811.259999999995</v>
      </c>
      <c r="L8">
        <v>1300.23</v>
      </c>
      <c r="M8">
        <v>0</v>
      </c>
      <c r="Q8" t="s">
        <v>3393</v>
      </c>
      <c r="R8">
        <v>2022</v>
      </c>
      <c r="S8">
        <v>85589.221999999994</v>
      </c>
      <c r="T8">
        <v>84779.634000000005</v>
      </c>
      <c r="U8">
        <v>35108.438000000002</v>
      </c>
      <c r="V8">
        <v>8237.0490000000009</v>
      </c>
      <c r="W8">
        <v>4193.6480000000001</v>
      </c>
      <c r="X8">
        <v>3961.0250000000001</v>
      </c>
      <c r="Y8">
        <v>2156.9609999999998</v>
      </c>
      <c r="Z8">
        <v>252.50700000000001</v>
      </c>
      <c r="AA8">
        <v>0</v>
      </c>
      <c r="AB8">
        <v>581.73900000000003</v>
      </c>
      <c r="AC8">
        <v>45562.828000000001</v>
      </c>
      <c r="AH8" t="s">
        <v>3393</v>
      </c>
      <c r="AI8">
        <v>2022</v>
      </c>
      <c r="AJ8">
        <v>586245.52599999995</v>
      </c>
      <c r="AK8">
        <v>1992.77</v>
      </c>
      <c r="AL8">
        <v>316656.71999999997</v>
      </c>
      <c r="AM8">
        <v>1158.5239999999999</v>
      </c>
      <c r="AN8">
        <v>269588.80599999998</v>
      </c>
      <c r="AO8">
        <v>834.24599999999998</v>
      </c>
      <c r="AP8">
        <v>180595</v>
      </c>
      <c r="AQ8">
        <v>3246</v>
      </c>
      <c r="AR8">
        <v>11</v>
      </c>
      <c r="AS8">
        <v>1753</v>
      </c>
      <c r="AT8">
        <v>6</v>
      </c>
      <c r="AU8">
        <v>1493</v>
      </c>
      <c r="AV8">
        <v>5</v>
      </c>
      <c r="BA8" t="s">
        <v>3393</v>
      </c>
      <c r="BB8">
        <v>2022</v>
      </c>
      <c r="BC8">
        <v>251768.035</v>
      </c>
      <c r="BD8">
        <v>268689.10600000003</v>
      </c>
      <c r="BE8">
        <v>70184.414999999994</v>
      </c>
      <c r="BF8">
        <v>21980.504000000001</v>
      </c>
      <c r="BG8">
        <v>17721.773000000001</v>
      </c>
      <c r="BH8">
        <v>15120.632</v>
      </c>
      <c r="BI8">
        <v>3909.3229999999999</v>
      </c>
      <c r="BJ8">
        <v>473.44499999999999</v>
      </c>
      <c r="BK8">
        <v>0</v>
      </c>
      <c r="BL8">
        <v>1622.7080000000001</v>
      </c>
      <c r="BM8">
        <v>131632.11900000001</v>
      </c>
      <c r="BQ8" t="s">
        <v>3393</v>
      </c>
      <c r="BR8">
        <v>2022</v>
      </c>
      <c r="BS8">
        <v>23249.892</v>
      </c>
      <c r="BT8">
        <v>6486.2380000000003</v>
      </c>
      <c r="BU8">
        <v>4319.7209999999995</v>
      </c>
      <c r="BV8">
        <v>324.96199999999999</v>
      </c>
      <c r="BW8">
        <v>0</v>
      </c>
      <c r="BX8">
        <v>0</v>
      </c>
      <c r="BY8">
        <v>121.928</v>
      </c>
      <c r="BZ8">
        <v>0</v>
      </c>
      <c r="CA8">
        <v>0</v>
      </c>
      <c r="CB8">
        <v>1.347</v>
      </c>
      <c r="CC8">
        <v>7450.7449999999999</v>
      </c>
      <c r="CH8" t="s">
        <v>3393</v>
      </c>
      <c r="CI8">
        <v>2022</v>
      </c>
      <c r="CJ8">
        <v>116333.334</v>
      </c>
      <c r="CK8">
        <v>51887.184999999998</v>
      </c>
      <c r="CL8">
        <v>65627.535999999993</v>
      </c>
      <c r="CM8">
        <v>390.15499999999997</v>
      </c>
      <c r="CN8">
        <v>388.49799999999999</v>
      </c>
      <c r="CO8">
        <v>1.6579999999999999</v>
      </c>
      <c r="CT8" t="s">
        <v>3393</v>
      </c>
      <c r="CU8">
        <v>2022</v>
      </c>
      <c r="CV8">
        <v>-1343.569</v>
      </c>
      <c r="CW8">
        <v>-93676.654999999999</v>
      </c>
      <c r="DB8" t="s">
        <v>3393</v>
      </c>
      <c r="DC8">
        <v>2022</v>
      </c>
      <c r="DD8">
        <v>317815.24400000001</v>
      </c>
      <c r="DE8">
        <v>142094.62599999999</v>
      </c>
      <c r="DF8">
        <v>83407.797999999995</v>
      </c>
      <c r="DG8">
        <v>259128.416</v>
      </c>
      <c r="EJ8" t="s">
        <v>3393</v>
      </c>
      <c r="EK8">
        <v>2022</v>
      </c>
      <c r="EL8">
        <v>142094626.2299276</v>
      </c>
      <c r="EM8">
        <v>-83407798.209836394</v>
      </c>
      <c r="EN8">
        <v>-41954833.377224639</v>
      </c>
      <c r="ER8" t="s">
        <v>3393</v>
      </c>
      <c r="ES8">
        <v>2019</v>
      </c>
      <c r="ET8" t="s">
        <v>1931</v>
      </c>
      <c r="EU8">
        <v>0.2</v>
      </c>
      <c r="EV8">
        <v>0.57999999999999996</v>
      </c>
      <c r="EW8">
        <v>1.89</v>
      </c>
      <c r="FX8" t="s">
        <v>3393</v>
      </c>
      <c r="FY8">
        <v>2022</v>
      </c>
      <c r="FZ8">
        <v>0.46</v>
      </c>
      <c r="GA8">
        <v>0.26</v>
      </c>
      <c r="GB8">
        <v>83407.8</v>
      </c>
      <c r="GC8">
        <v>142869.16</v>
      </c>
      <c r="GG8" t="s">
        <v>3393</v>
      </c>
      <c r="GH8">
        <v>2022</v>
      </c>
      <c r="GI8">
        <v>94126.997000000003</v>
      </c>
      <c r="GJ8">
        <v>121837.488</v>
      </c>
      <c r="GK8">
        <v>15195.668</v>
      </c>
      <c r="GL8">
        <v>7709.4880000000003</v>
      </c>
      <c r="GM8">
        <v>13528.125</v>
      </c>
      <c r="GN8">
        <v>8607.9259999999995</v>
      </c>
      <c r="GO8">
        <v>1433.2750000000001</v>
      </c>
      <c r="GP8">
        <v>220.93799999999999</v>
      </c>
      <c r="GQ8">
        <v>0</v>
      </c>
      <c r="GR8">
        <v>937.58600000000001</v>
      </c>
      <c r="GS8">
        <v>54217.752999999997</v>
      </c>
    </row>
    <row r="9" spans="1:201" x14ac:dyDescent="0.25">
      <c r="A9" t="s">
        <v>3393</v>
      </c>
      <c r="B9">
        <v>2021</v>
      </c>
      <c r="C9">
        <v>176079.573</v>
      </c>
      <c r="D9">
        <v>201416.81599999999</v>
      </c>
      <c r="E9">
        <v>49417.85</v>
      </c>
      <c r="F9">
        <v>15699.523999999999</v>
      </c>
      <c r="G9">
        <v>14793.63</v>
      </c>
      <c r="H9">
        <v>12149.66</v>
      </c>
      <c r="I9">
        <v>3452.4780000000001</v>
      </c>
      <c r="J9">
        <v>10048.700999999999</v>
      </c>
      <c r="K9">
        <v>83857.282000000007</v>
      </c>
      <c r="L9">
        <v>1403.0060000000001</v>
      </c>
      <c r="M9">
        <v>0</v>
      </c>
      <c r="Q9" t="s">
        <v>3393</v>
      </c>
      <c r="R9">
        <v>2023</v>
      </c>
      <c r="S9">
        <v>89902.27</v>
      </c>
      <c r="T9">
        <v>89324.239000000001</v>
      </c>
      <c r="U9">
        <v>36308.082999999999</v>
      </c>
      <c r="V9">
        <v>8573.6309999999994</v>
      </c>
      <c r="W9">
        <v>5015.8819999999996</v>
      </c>
      <c r="X9">
        <v>4219.08</v>
      </c>
      <c r="Y9">
        <v>1825.8889999999999</v>
      </c>
      <c r="Z9">
        <v>239.154</v>
      </c>
      <c r="AA9">
        <v>0</v>
      </c>
      <c r="AB9">
        <v>746.14800000000002</v>
      </c>
      <c r="AC9">
        <v>47634.358999999997</v>
      </c>
      <c r="AH9" t="s">
        <v>3393</v>
      </c>
      <c r="AI9">
        <v>2023</v>
      </c>
      <c r="AJ9">
        <v>603865.57499999995</v>
      </c>
      <c r="AK9">
        <v>2011.5239999999999</v>
      </c>
      <c r="AL9">
        <v>321062.14199999999</v>
      </c>
      <c r="AM9">
        <v>1026.222</v>
      </c>
      <c r="AN9">
        <v>282803.43300000002</v>
      </c>
      <c r="AO9">
        <v>985.30200000000002</v>
      </c>
      <c r="AP9">
        <v>181975</v>
      </c>
      <c r="AQ9">
        <v>3318</v>
      </c>
      <c r="AR9">
        <v>11</v>
      </c>
      <c r="AS9">
        <v>1764</v>
      </c>
      <c r="AT9">
        <v>6</v>
      </c>
      <c r="AU9">
        <v>1554</v>
      </c>
      <c r="AV9">
        <v>5</v>
      </c>
      <c r="BA9" t="s">
        <v>3393</v>
      </c>
      <c r="BB9">
        <v>2023</v>
      </c>
      <c r="BC9">
        <v>264408.95699999999</v>
      </c>
      <c r="BD9">
        <v>286158.86900000001</v>
      </c>
      <c r="BE9">
        <v>73476.160000000003</v>
      </c>
      <c r="BF9">
        <v>25311.286</v>
      </c>
      <c r="BG9">
        <v>18341.48</v>
      </c>
      <c r="BH9">
        <v>16152.098</v>
      </c>
      <c r="BI9">
        <v>3535.069</v>
      </c>
      <c r="BJ9">
        <v>350.75799999999998</v>
      </c>
      <c r="BK9">
        <v>0</v>
      </c>
      <c r="BL9">
        <v>1827.9760000000001</v>
      </c>
      <c r="BM9">
        <v>140394.693</v>
      </c>
      <c r="BQ9" t="s">
        <v>3393</v>
      </c>
      <c r="BR9">
        <v>2023</v>
      </c>
      <c r="BS9">
        <v>22703.365000000002</v>
      </c>
      <c r="BT9">
        <v>6247.2030000000004</v>
      </c>
      <c r="BU9">
        <v>4319.0529999999999</v>
      </c>
      <c r="BV9">
        <v>327.31599999999997</v>
      </c>
      <c r="BW9">
        <v>0</v>
      </c>
      <c r="BX9">
        <v>0</v>
      </c>
      <c r="BY9">
        <v>121.928</v>
      </c>
      <c r="BZ9">
        <v>0</v>
      </c>
      <c r="CA9">
        <v>0</v>
      </c>
      <c r="CB9">
        <v>1.35</v>
      </c>
      <c r="CC9">
        <v>7401.8789999999999</v>
      </c>
      <c r="CH9" t="s">
        <v>3393</v>
      </c>
      <c r="CI9">
        <v>2023</v>
      </c>
      <c r="CJ9">
        <v>22075.826000000001</v>
      </c>
      <c r="CK9">
        <v>14488.226000000001</v>
      </c>
      <c r="CL9">
        <v>9997.7019999999993</v>
      </c>
      <c r="CM9">
        <v>0</v>
      </c>
      <c r="CN9">
        <v>0</v>
      </c>
      <c r="CO9">
        <v>0</v>
      </c>
      <c r="CT9" t="s">
        <v>3393</v>
      </c>
      <c r="CU9">
        <v>2023</v>
      </c>
      <c r="CV9">
        <v>-2204.0030000000002</v>
      </c>
      <c r="CW9">
        <v>0</v>
      </c>
      <c r="EJ9" t="s">
        <v>3393</v>
      </c>
      <c r="EK9">
        <v>2023</v>
      </c>
      <c r="EL9">
        <v>148040201.10202429</v>
      </c>
      <c r="EM9">
        <v>-87765269.07008183</v>
      </c>
      <c r="EN9">
        <v>-41122094.754847467</v>
      </c>
      <c r="ER9" t="s">
        <v>3393</v>
      </c>
      <c r="ES9">
        <v>2019</v>
      </c>
      <c r="ET9" t="s">
        <v>1936</v>
      </c>
      <c r="EU9">
        <v>0.08</v>
      </c>
      <c r="EV9">
        <v>0.08</v>
      </c>
      <c r="EW9">
        <v>213.33</v>
      </c>
      <c r="FX9" t="s">
        <v>3393</v>
      </c>
      <c r="FY9">
        <v>2021</v>
      </c>
      <c r="FZ9">
        <v>0.45</v>
      </c>
      <c r="GA9">
        <v>0.25</v>
      </c>
      <c r="GB9">
        <v>80183.070000000007</v>
      </c>
      <c r="GC9">
        <v>136748.99</v>
      </c>
      <c r="GG9" t="s">
        <v>3393</v>
      </c>
      <c r="GH9">
        <v>2023</v>
      </c>
      <c r="GI9">
        <v>93593.248000000007</v>
      </c>
      <c r="GJ9">
        <v>124713.88800000001</v>
      </c>
      <c r="GK9">
        <v>15541.683999999999</v>
      </c>
      <c r="GL9">
        <v>8099.63</v>
      </c>
      <c r="GM9">
        <v>13325.598</v>
      </c>
      <c r="GN9">
        <v>8738.1689999999999</v>
      </c>
      <c r="GO9">
        <v>1351.3330000000001</v>
      </c>
      <c r="GP9">
        <v>111.604</v>
      </c>
      <c r="GQ9">
        <v>0</v>
      </c>
      <c r="GR9">
        <v>914.61900000000003</v>
      </c>
      <c r="GS9">
        <v>55698.591</v>
      </c>
    </row>
    <row r="10" spans="1:201" x14ac:dyDescent="0.25">
      <c r="A10" t="s">
        <v>3393</v>
      </c>
      <c r="B10">
        <v>2022</v>
      </c>
      <c r="C10">
        <v>179716.22</v>
      </c>
      <c r="D10">
        <v>206617.122</v>
      </c>
      <c r="E10">
        <v>50304.106</v>
      </c>
      <c r="F10">
        <v>15946.537</v>
      </c>
      <c r="G10">
        <v>17721.773000000001</v>
      </c>
      <c r="H10">
        <v>12568.950999999999</v>
      </c>
      <c r="I10">
        <v>3590.2359999999999</v>
      </c>
      <c r="J10">
        <v>473.44499999999999</v>
      </c>
      <c r="K10">
        <v>0</v>
      </c>
      <c r="L10">
        <v>1519.325</v>
      </c>
      <c r="M10">
        <v>99780.581999999995</v>
      </c>
      <c r="ER10" t="s">
        <v>3393</v>
      </c>
      <c r="ES10">
        <v>2021</v>
      </c>
      <c r="ET10" t="s">
        <v>1934</v>
      </c>
      <c r="EU10">
        <v>0.69</v>
      </c>
      <c r="EV10">
        <v>0.27</v>
      </c>
      <c r="EW10">
        <v>5825.37</v>
      </c>
    </row>
    <row r="11" spans="1:201" x14ac:dyDescent="0.25">
      <c r="A11" t="s">
        <v>3393</v>
      </c>
      <c r="B11">
        <v>2023</v>
      </c>
      <c r="C11">
        <v>183495.51800000001</v>
      </c>
      <c r="D11">
        <v>214038.12700000001</v>
      </c>
      <c r="E11">
        <v>51849.767999999996</v>
      </c>
      <c r="F11">
        <v>16673.260999999999</v>
      </c>
      <c r="G11">
        <v>18341.48</v>
      </c>
      <c r="H11">
        <v>12957.249</v>
      </c>
      <c r="I11">
        <v>3177.2220000000002</v>
      </c>
      <c r="J11">
        <v>350.75799999999998</v>
      </c>
      <c r="K11">
        <v>0</v>
      </c>
      <c r="L11">
        <v>1660.7660000000001</v>
      </c>
      <c r="M11">
        <v>103332.951</v>
      </c>
      <c r="ER11" t="s">
        <v>3393</v>
      </c>
      <c r="ES11">
        <v>2020</v>
      </c>
      <c r="ET11" t="s">
        <v>1936</v>
      </c>
      <c r="EU11">
        <v>0.1</v>
      </c>
      <c r="EV11">
        <v>0.11</v>
      </c>
      <c r="EW11">
        <v>357.52</v>
      </c>
    </row>
    <row r="12" spans="1:201" x14ac:dyDescent="0.25">
      <c r="ER12" t="s">
        <v>3393</v>
      </c>
      <c r="ES12">
        <v>2019</v>
      </c>
      <c r="ET12" t="s">
        <v>1940</v>
      </c>
      <c r="EU12">
        <v>0.59</v>
      </c>
      <c r="EV12">
        <v>0.53</v>
      </c>
      <c r="EW12">
        <v>192</v>
      </c>
    </row>
    <row r="13" spans="1:201" x14ac:dyDescent="0.25">
      <c r="ER13" t="s">
        <v>3393</v>
      </c>
      <c r="ES13">
        <v>2020</v>
      </c>
      <c r="ET13" t="s">
        <v>1939</v>
      </c>
      <c r="EU13">
        <v>0.39</v>
      </c>
      <c r="EV13">
        <v>0.09</v>
      </c>
      <c r="EW13">
        <v>13848.03</v>
      </c>
    </row>
    <row r="14" spans="1:201" x14ac:dyDescent="0.25">
      <c r="ER14" t="s">
        <v>3393</v>
      </c>
      <c r="ES14">
        <v>2023</v>
      </c>
      <c r="ET14" t="s">
        <v>1936</v>
      </c>
      <c r="EU14">
        <v>0.27</v>
      </c>
      <c r="EV14">
        <v>0.37</v>
      </c>
      <c r="EW14">
        <v>1507.86</v>
      </c>
    </row>
    <row r="15" spans="1:201" x14ac:dyDescent="0.25">
      <c r="ER15" t="s">
        <v>3393</v>
      </c>
      <c r="ES15">
        <v>2021</v>
      </c>
      <c r="ET15" t="s">
        <v>1937</v>
      </c>
      <c r="EU15">
        <v>0.31</v>
      </c>
      <c r="EV15">
        <v>0.32</v>
      </c>
      <c r="EW15">
        <v>2267.38</v>
      </c>
    </row>
    <row r="16" spans="1:201" x14ac:dyDescent="0.25">
      <c r="ER16" t="s">
        <v>3393</v>
      </c>
      <c r="ES16">
        <v>2023</v>
      </c>
      <c r="ET16" t="s">
        <v>1939</v>
      </c>
      <c r="EU16">
        <v>0.42</v>
      </c>
      <c r="EV16">
        <v>0.09</v>
      </c>
      <c r="EW16">
        <v>15307.59</v>
      </c>
    </row>
    <row r="17" spans="148:153" x14ac:dyDescent="0.25">
      <c r="ER17" t="s">
        <v>3393</v>
      </c>
      <c r="ES17">
        <v>2021</v>
      </c>
      <c r="ET17" t="s">
        <v>1939</v>
      </c>
      <c r="EU17">
        <v>0.4</v>
      </c>
      <c r="EV17">
        <v>0.09</v>
      </c>
      <c r="EW17">
        <v>13299.91</v>
      </c>
    </row>
    <row r="18" spans="148:153" x14ac:dyDescent="0.25">
      <c r="ER18" t="s">
        <v>3393</v>
      </c>
      <c r="ES18">
        <v>2021</v>
      </c>
      <c r="ET18" t="s">
        <v>1940</v>
      </c>
      <c r="EU18">
        <v>0.56000000000000005</v>
      </c>
      <c r="EV18">
        <v>0.48</v>
      </c>
      <c r="EW18">
        <v>188.25</v>
      </c>
    </row>
    <row r="19" spans="148:153" x14ac:dyDescent="0.25">
      <c r="ER19" t="s">
        <v>3393</v>
      </c>
      <c r="ES19">
        <v>2023</v>
      </c>
      <c r="ET19" t="s">
        <v>1940</v>
      </c>
      <c r="EU19">
        <v>0.56999999999999995</v>
      </c>
      <c r="EV19">
        <v>0.45</v>
      </c>
      <c r="EW19">
        <v>193.7</v>
      </c>
    </row>
    <row r="20" spans="148:153" x14ac:dyDescent="0.25">
      <c r="ER20" t="s">
        <v>3393</v>
      </c>
      <c r="ES20">
        <v>2019</v>
      </c>
      <c r="ET20" t="s">
        <v>1933</v>
      </c>
      <c r="EU20">
        <v>0.71</v>
      </c>
      <c r="EV20">
        <v>0.8</v>
      </c>
      <c r="EW20">
        <v>4295.7</v>
      </c>
    </row>
    <row r="21" spans="148:153" x14ac:dyDescent="0.25">
      <c r="ER21" t="s">
        <v>3393</v>
      </c>
      <c r="ES21">
        <v>2023</v>
      </c>
      <c r="ET21" t="s">
        <v>1932</v>
      </c>
      <c r="EU21">
        <v>0.49</v>
      </c>
      <c r="EV21">
        <v>0.47</v>
      </c>
      <c r="EW21">
        <v>28780</v>
      </c>
    </row>
    <row r="22" spans="148:153" x14ac:dyDescent="0.25">
      <c r="ER22" t="s">
        <v>3393</v>
      </c>
      <c r="ES22">
        <v>2020</v>
      </c>
      <c r="ET22" t="s">
        <v>1937</v>
      </c>
      <c r="EU22">
        <v>0.28000000000000003</v>
      </c>
      <c r="EV22">
        <v>0.28000000000000003</v>
      </c>
      <c r="EW22">
        <v>2124.56</v>
      </c>
    </row>
    <row r="23" spans="148:153" x14ac:dyDescent="0.25">
      <c r="ER23" t="s">
        <v>3393</v>
      </c>
      <c r="ES23">
        <v>2023</v>
      </c>
      <c r="ET23" t="s">
        <v>1931</v>
      </c>
      <c r="EU23">
        <v>0.45</v>
      </c>
      <c r="EV23">
        <v>0.31</v>
      </c>
      <c r="EW23">
        <v>2.7</v>
      </c>
    </row>
    <row r="24" spans="148:153" x14ac:dyDescent="0.25">
      <c r="ER24" t="s">
        <v>3393</v>
      </c>
      <c r="ES24">
        <v>2021</v>
      </c>
      <c r="ET24" t="s">
        <v>1941</v>
      </c>
      <c r="EU24">
        <v>0.41</v>
      </c>
      <c r="EV24">
        <v>0.43</v>
      </c>
      <c r="EW24">
        <v>23645.86</v>
      </c>
    </row>
    <row r="25" spans="148:153" x14ac:dyDescent="0.25">
      <c r="ER25" t="s">
        <v>3393</v>
      </c>
      <c r="ES25">
        <v>2023</v>
      </c>
      <c r="ET25" t="s">
        <v>1933</v>
      </c>
      <c r="EU25">
        <v>0.68</v>
      </c>
      <c r="EV25">
        <v>0.68</v>
      </c>
      <c r="EW25">
        <v>30.97</v>
      </c>
    </row>
    <row r="26" spans="148:153" x14ac:dyDescent="0.25">
      <c r="ER26" t="s">
        <v>3393</v>
      </c>
      <c r="ES26">
        <v>2019</v>
      </c>
      <c r="ET26" t="s">
        <v>1941</v>
      </c>
      <c r="EU26">
        <v>0.39</v>
      </c>
      <c r="EV26">
        <v>0.39</v>
      </c>
      <c r="EW26">
        <v>20944.91</v>
      </c>
    </row>
    <row r="27" spans="148:153" x14ac:dyDescent="0.25">
      <c r="ER27" t="s">
        <v>3393</v>
      </c>
      <c r="ES27">
        <v>2022</v>
      </c>
      <c r="ET27" t="s">
        <v>1934</v>
      </c>
      <c r="EU27">
        <v>0.7</v>
      </c>
      <c r="EV27">
        <v>0.26</v>
      </c>
      <c r="EW27">
        <v>5751</v>
      </c>
    </row>
    <row r="28" spans="148:153" x14ac:dyDescent="0.25">
      <c r="ER28" t="s">
        <v>3393</v>
      </c>
      <c r="ES28">
        <v>2020</v>
      </c>
      <c r="ET28" t="s">
        <v>1940</v>
      </c>
      <c r="EU28">
        <v>0.59</v>
      </c>
      <c r="EV28">
        <v>0.54</v>
      </c>
      <c r="EW28">
        <v>191.47</v>
      </c>
    </row>
    <row r="29" spans="148:153" x14ac:dyDescent="0.25">
      <c r="ER29" t="s">
        <v>3393</v>
      </c>
      <c r="ES29">
        <v>2020</v>
      </c>
      <c r="ET29" t="s">
        <v>1933</v>
      </c>
      <c r="EU29">
        <v>0.73</v>
      </c>
      <c r="EV29">
        <v>0.82</v>
      </c>
      <c r="EW29">
        <v>3863.24</v>
      </c>
    </row>
    <row r="30" spans="148:153" x14ac:dyDescent="0.25">
      <c r="ER30" t="s">
        <v>3393</v>
      </c>
      <c r="ES30">
        <v>2023</v>
      </c>
      <c r="ET30" t="s">
        <v>1938</v>
      </c>
      <c r="EU30">
        <v>0.46</v>
      </c>
      <c r="EV30">
        <v>0.5</v>
      </c>
      <c r="EW30">
        <v>28492.71</v>
      </c>
    </row>
    <row r="31" spans="148:153" x14ac:dyDescent="0.25">
      <c r="ER31" t="s">
        <v>3393</v>
      </c>
      <c r="ES31">
        <v>2021</v>
      </c>
      <c r="ET31" t="s">
        <v>1936</v>
      </c>
      <c r="EU31">
        <v>0.13</v>
      </c>
      <c r="EV31">
        <v>0.16</v>
      </c>
      <c r="EW31">
        <v>512.6</v>
      </c>
    </row>
    <row r="32" spans="148:153" x14ac:dyDescent="0.25">
      <c r="ER32" t="s">
        <v>3393</v>
      </c>
      <c r="ES32">
        <v>2021</v>
      </c>
      <c r="ET32" t="s">
        <v>1931</v>
      </c>
      <c r="EU32">
        <v>0.31</v>
      </c>
      <c r="EV32">
        <v>0.28999999999999998</v>
      </c>
      <c r="EW32">
        <v>2.27</v>
      </c>
    </row>
    <row r="33" spans="148:153" x14ac:dyDescent="0.25">
      <c r="ER33" t="s">
        <v>3393</v>
      </c>
      <c r="ES33">
        <v>2022</v>
      </c>
      <c r="ET33" t="s">
        <v>1938</v>
      </c>
      <c r="EU33">
        <v>0.46</v>
      </c>
      <c r="EV33">
        <v>0.48</v>
      </c>
      <c r="EW33">
        <v>27349.599999999999</v>
      </c>
    </row>
    <row r="34" spans="148:153" x14ac:dyDescent="0.25">
      <c r="ER34" t="s">
        <v>3393</v>
      </c>
      <c r="ES34">
        <v>2023</v>
      </c>
      <c r="ET34" t="s">
        <v>1934</v>
      </c>
      <c r="EU34">
        <v>0.7</v>
      </c>
      <c r="EV34">
        <v>0.27</v>
      </c>
      <c r="EW34">
        <v>5957.45</v>
      </c>
    </row>
    <row r="35" spans="148:153" x14ac:dyDescent="0.25">
      <c r="ER35" t="s">
        <v>3393</v>
      </c>
      <c r="ES35">
        <v>2020</v>
      </c>
      <c r="ET35" t="s">
        <v>1935</v>
      </c>
      <c r="EU35">
        <v>0.5</v>
      </c>
      <c r="EV35">
        <v>0.5</v>
      </c>
      <c r="EW35">
        <v>4440.18</v>
      </c>
    </row>
    <row r="36" spans="148:153" x14ac:dyDescent="0.25">
      <c r="ER36" t="s">
        <v>3393</v>
      </c>
      <c r="ES36">
        <v>2021</v>
      </c>
      <c r="ET36" t="s">
        <v>1933</v>
      </c>
      <c r="EU36">
        <v>0.75</v>
      </c>
      <c r="EV36">
        <v>0.84</v>
      </c>
      <c r="EW36">
        <v>3989.5</v>
      </c>
    </row>
    <row r="37" spans="148:153" x14ac:dyDescent="0.25">
      <c r="ER37" t="s">
        <v>3393</v>
      </c>
      <c r="ES37">
        <v>2021</v>
      </c>
      <c r="ET37" t="s">
        <v>1932</v>
      </c>
      <c r="EU37">
        <v>0.46</v>
      </c>
      <c r="EV37">
        <v>0.43</v>
      </c>
      <c r="EW37">
        <v>25863.13</v>
      </c>
    </row>
    <row r="38" spans="148:153" x14ac:dyDescent="0.25">
      <c r="ER38" t="s">
        <v>3393</v>
      </c>
      <c r="ES38">
        <v>2019</v>
      </c>
      <c r="ET38" t="s">
        <v>1935</v>
      </c>
      <c r="EU38">
        <v>0.49</v>
      </c>
      <c r="EV38">
        <v>0.48</v>
      </c>
      <c r="EW38">
        <v>4294.43</v>
      </c>
    </row>
    <row r="39" spans="148:153" x14ac:dyDescent="0.25">
      <c r="ER39" t="s">
        <v>3393</v>
      </c>
      <c r="ES39">
        <v>2020</v>
      </c>
      <c r="ET39" t="s">
        <v>1934</v>
      </c>
      <c r="EU39">
        <v>0.67</v>
      </c>
      <c r="EV39">
        <v>0.28000000000000003</v>
      </c>
      <c r="EW39">
        <v>6035.51</v>
      </c>
    </row>
    <row r="40" spans="148:153" x14ac:dyDescent="0.25">
      <c r="ER40" t="s">
        <v>3393</v>
      </c>
      <c r="ES40">
        <v>2022</v>
      </c>
      <c r="ET40" t="s">
        <v>1935</v>
      </c>
      <c r="EU40">
        <v>0.52</v>
      </c>
      <c r="EV40">
        <v>0.52</v>
      </c>
      <c r="EW40">
        <v>4716.13</v>
      </c>
    </row>
    <row r="41" spans="148:153" x14ac:dyDescent="0.25">
      <c r="ER41" t="s">
        <v>3393</v>
      </c>
      <c r="ES41">
        <v>2019</v>
      </c>
      <c r="ET41" t="s">
        <v>1939</v>
      </c>
      <c r="EU41">
        <v>0.38</v>
      </c>
      <c r="EV41">
        <v>0.09</v>
      </c>
      <c r="EW41">
        <v>13105.03</v>
      </c>
    </row>
    <row r="42" spans="148:153" x14ac:dyDescent="0.25">
      <c r="ER42" t="s">
        <v>3393</v>
      </c>
      <c r="ES42">
        <v>2022</v>
      </c>
      <c r="ET42" t="s">
        <v>1931</v>
      </c>
      <c r="EU42">
        <v>0.38</v>
      </c>
      <c r="EV42">
        <v>0.3</v>
      </c>
      <c r="EW42">
        <v>2.4700000000000002</v>
      </c>
    </row>
    <row r="43" spans="148:153" x14ac:dyDescent="0.25">
      <c r="ER43" t="s">
        <v>3393</v>
      </c>
      <c r="ES43">
        <v>2022</v>
      </c>
      <c r="ET43" t="s">
        <v>1933</v>
      </c>
      <c r="EU43">
        <v>0.53</v>
      </c>
      <c r="EV43">
        <v>0.53</v>
      </c>
      <c r="EW43">
        <v>31.47</v>
      </c>
    </row>
    <row r="44" spans="148:153" x14ac:dyDescent="0.25">
      <c r="ER44" t="s">
        <v>3393</v>
      </c>
      <c r="ES44">
        <v>2023</v>
      </c>
      <c r="ET44" t="s">
        <v>1935</v>
      </c>
      <c r="EU44">
        <v>0.51</v>
      </c>
      <c r="EV44">
        <v>0.53</v>
      </c>
      <c r="EW44">
        <v>4901.3</v>
      </c>
    </row>
    <row r="45" spans="148:153" x14ac:dyDescent="0.25">
      <c r="ER45" t="s">
        <v>3393</v>
      </c>
      <c r="ES45">
        <v>2021</v>
      </c>
      <c r="ET45" t="s">
        <v>1935</v>
      </c>
      <c r="EU45">
        <v>0.51</v>
      </c>
      <c r="EV45">
        <v>0.51</v>
      </c>
      <c r="EW45">
        <v>4588.79</v>
      </c>
    </row>
    <row r="46" spans="148:153" x14ac:dyDescent="0.25">
      <c r="ER46" t="s">
        <v>3393</v>
      </c>
      <c r="ES46">
        <v>2020</v>
      </c>
      <c r="ET46" t="s">
        <v>1931</v>
      </c>
      <c r="EU46">
        <v>0.23</v>
      </c>
      <c r="EV46">
        <v>0.28000000000000003</v>
      </c>
      <c r="EW46">
        <v>2.08</v>
      </c>
    </row>
    <row r="47" spans="148:153" x14ac:dyDescent="0.25">
      <c r="ER47" t="s">
        <v>3393</v>
      </c>
      <c r="ES47">
        <v>2019</v>
      </c>
      <c r="ET47" t="s">
        <v>1937</v>
      </c>
      <c r="EU47">
        <v>0.32</v>
      </c>
      <c r="EV47">
        <v>0.35</v>
      </c>
      <c r="EW47">
        <v>2012.61</v>
      </c>
    </row>
    <row r="48" spans="148:153" x14ac:dyDescent="0.25">
      <c r="ER48" t="s">
        <v>3393</v>
      </c>
      <c r="ES48">
        <v>2020</v>
      </c>
      <c r="ET48" t="s">
        <v>1932</v>
      </c>
      <c r="EU48">
        <v>0.47</v>
      </c>
      <c r="EV48">
        <v>0.42</v>
      </c>
      <c r="EW48">
        <v>24780.78</v>
      </c>
    </row>
    <row r="49" spans="148:153" x14ac:dyDescent="0.25">
      <c r="ER49" t="s">
        <v>3393</v>
      </c>
      <c r="ES49">
        <v>2022</v>
      </c>
      <c r="ET49" t="s">
        <v>1940</v>
      </c>
      <c r="EU49">
        <v>0.6</v>
      </c>
      <c r="EV49">
        <v>0.46</v>
      </c>
      <c r="EW49">
        <v>191.01</v>
      </c>
    </row>
    <row r="50" spans="148:153" x14ac:dyDescent="0.25">
      <c r="ER50" t="s">
        <v>3393</v>
      </c>
      <c r="ES50">
        <v>2019</v>
      </c>
      <c r="ET50" t="s">
        <v>1934</v>
      </c>
      <c r="EU50">
        <v>0.65</v>
      </c>
      <c r="EV50">
        <v>0.27</v>
      </c>
      <c r="EW50">
        <v>5895.82</v>
      </c>
    </row>
    <row r="51" spans="148:153" x14ac:dyDescent="0.25">
      <c r="ER51" t="s">
        <v>3393</v>
      </c>
      <c r="ES51">
        <v>2022</v>
      </c>
      <c r="ET51" t="s">
        <v>1939</v>
      </c>
      <c r="EU51">
        <v>0.41</v>
      </c>
      <c r="EV51">
        <v>0.09</v>
      </c>
      <c r="EW51">
        <v>14262.08</v>
      </c>
    </row>
    <row r="52" spans="148:153" x14ac:dyDescent="0.25">
      <c r="ER52" t="s">
        <v>3393</v>
      </c>
      <c r="ES52">
        <v>2022</v>
      </c>
      <c r="ET52" t="s">
        <v>1936</v>
      </c>
      <c r="EU52">
        <v>0.24</v>
      </c>
      <c r="EV52">
        <v>0.33</v>
      </c>
      <c r="EW52">
        <v>1342.14</v>
      </c>
    </row>
    <row r="53" spans="148:153" x14ac:dyDescent="0.25">
      <c r="ER53" t="s">
        <v>3393</v>
      </c>
      <c r="ES53">
        <v>2022</v>
      </c>
      <c r="ET53" t="s">
        <v>1937</v>
      </c>
      <c r="EU53">
        <v>0.32</v>
      </c>
      <c r="EV53">
        <v>0.34</v>
      </c>
      <c r="EW53">
        <v>2434.87</v>
      </c>
    </row>
    <row r="54" spans="148:153" x14ac:dyDescent="0.25">
      <c r="ER54" t="s">
        <v>3393</v>
      </c>
      <c r="ES54">
        <v>2023</v>
      </c>
      <c r="ET54" t="s">
        <v>1937</v>
      </c>
      <c r="EU54">
        <v>0.33</v>
      </c>
      <c r="EV54">
        <v>0.36</v>
      </c>
      <c r="EW54">
        <v>2590.9899999999998</v>
      </c>
    </row>
  </sheetData>
  <mergeCells count="14">
    <mergeCell ref="A2:B2"/>
    <mergeCell ref="Q2:R2"/>
    <mergeCell ref="AH2:AI2"/>
    <mergeCell ref="BA2:BB2"/>
    <mergeCell ref="DL2:DM2"/>
    <mergeCell ref="CH2:CI2"/>
    <mergeCell ref="CT2:CU2"/>
    <mergeCell ref="DB2:DC2"/>
    <mergeCell ref="BQ2:BR2"/>
    <mergeCell ref="GG2:GH2"/>
    <mergeCell ref="EJ2:EK2"/>
    <mergeCell ref="ER2:ES2"/>
    <mergeCell ref="EZ2:FA2"/>
    <mergeCell ref="FX2:FY2"/>
  </mergeCells>
  <phoneticPr fontId="5" type="noConversion"/>
  <pageMargins left="0.7" right="0.7" top="0.75" bottom="0.75" header="0.3" footer="0.3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9C1D-D93D-43A9-9C97-C2784915C4ED}">
  <sheetPr codeName="Feuil18">
    <tabColor theme="4" tint="0.39997558519241921"/>
  </sheetPr>
  <dimension ref="B2:BQ93"/>
  <sheetViews>
    <sheetView zoomScale="70" zoomScaleNormal="70" workbookViewId="0">
      <selection activeCell="A13" sqref="A13"/>
    </sheetView>
  </sheetViews>
  <sheetFormatPr defaultColWidth="11.42578125" defaultRowHeight="15" x14ac:dyDescent="0.25"/>
  <cols>
    <col min="2" max="2" width="9" bestFit="1" customWidth="1"/>
    <col min="3" max="3" width="9.7109375" bestFit="1" customWidth="1"/>
    <col min="4" max="4" width="14.28515625" bestFit="1" customWidth="1"/>
    <col min="5" max="5" width="22.28515625" bestFit="1" customWidth="1"/>
    <col min="6" max="6" width="17.140625" bestFit="1" customWidth="1"/>
    <col min="7" max="7" width="21.28515625" bestFit="1" customWidth="1"/>
    <col min="8" max="8" width="19.7109375" bestFit="1" customWidth="1"/>
    <col min="9" max="9" width="26.42578125" bestFit="1" customWidth="1"/>
    <col min="13" max="13" width="9" bestFit="1" customWidth="1"/>
    <col min="14" max="14" width="9.7109375" bestFit="1" customWidth="1"/>
    <col min="15" max="15" width="14.28515625" bestFit="1" customWidth="1"/>
    <col min="16" max="16" width="21.140625" bestFit="1" customWidth="1"/>
    <col min="17" max="17" width="21.28515625" bestFit="1" customWidth="1"/>
    <col min="18" max="18" width="23.7109375" bestFit="1" customWidth="1"/>
    <col min="19" max="19" width="25.7109375" bestFit="1" customWidth="1"/>
    <col min="20" max="20" width="17.28515625" bestFit="1" customWidth="1"/>
    <col min="26" max="26" width="9" bestFit="1" customWidth="1"/>
    <col min="27" max="27" width="9.7109375" bestFit="1" customWidth="1"/>
    <col min="28" max="28" width="14.28515625" bestFit="1" customWidth="1"/>
    <col min="29" max="29" width="23.28515625" bestFit="1" customWidth="1"/>
    <col min="30" max="30" width="18" bestFit="1" customWidth="1"/>
    <col min="31" max="31" width="22.28515625" bestFit="1" customWidth="1"/>
    <col min="32" max="32" width="20.7109375" bestFit="1" customWidth="1"/>
    <col min="33" max="33" width="27.5703125" bestFit="1" customWidth="1"/>
    <col min="37" max="37" width="9" bestFit="1" customWidth="1"/>
    <col min="38" max="38" width="9.7109375" bestFit="1" customWidth="1"/>
    <col min="39" max="39" width="14.28515625" bestFit="1" customWidth="1"/>
    <col min="40" max="40" width="22" bestFit="1" customWidth="1"/>
    <col min="41" max="41" width="22.28515625" bestFit="1" customWidth="1"/>
    <col min="42" max="42" width="24.7109375" bestFit="1" customWidth="1"/>
    <col min="43" max="43" width="26.85546875" bestFit="1" customWidth="1"/>
    <col min="44" max="44" width="18.28515625" bestFit="1" customWidth="1"/>
    <col min="48" max="48" width="9" bestFit="1" customWidth="1"/>
    <col min="49" max="49" width="9.7109375" bestFit="1" customWidth="1"/>
    <col min="50" max="50" width="14.28515625" bestFit="1" customWidth="1"/>
    <col min="51" max="51" width="17.140625" bestFit="1" customWidth="1"/>
    <col min="52" max="52" width="18.85546875" bestFit="1" customWidth="1"/>
    <col min="53" max="53" width="22.28515625" bestFit="1" customWidth="1"/>
    <col min="54" max="54" width="15.7109375" bestFit="1" customWidth="1"/>
    <col min="58" max="58" width="9" bestFit="1" customWidth="1"/>
    <col min="59" max="59" width="9.7109375" bestFit="1" customWidth="1"/>
    <col min="60" max="60" width="14.28515625" bestFit="1" customWidth="1"/>
    <col min="61" max="61" width="15.28515625" bestFit="1" customWidth="1"/>
    <col min="65" max="65" width="9" bestFit="1" customWidth="1"/>
    <col min="66" max="66" width="9.7109375" bestFit="1" customWidth="1"/>
    <col min="67" max="67" width="24.42578125" bestFit="1" customWidth="1"/>
    <col min="68" max="68" width="25.5703125" bestFit="1" customWidth="1"/>
    <col min="69" max="69" width="23.7109375" bestFit="1" customWidth="1"/>
  </cols>
  <sheetData>
    <row r="2" spans="2:69" ht="21" x14ac:dyDescent="0.35">
      <c r="B2" s="798" t="s">
        <v>1942</v>
      </c>
      <c r="C2" s="798"/>
      <c r="D2" s="798"/>
      <c r="E2" s="798"/>
      <c r="M2" s="798" t="s">
        <v>1943</v>
      </c>
      <c r="N2" s="798"/>
      <c r="O2" s="798"/>
      <c r="P2" s="798"/>
      <c r="Z2" s="798" t="s">
        <v>1944</v>
      </c>
      <c r="AA2" s="798"/>
      <c r="AB2" s="798"/>
      <c r="AC2" s="798"/>
      <c r="AK2" s="798" t="s">
        <v>1945</v>
      </c>
      <c r="AL2" s="798"/>
      <c r="AM2" s="798"/>
      <c r="AN2" s="798"/>
      <c r="AV2" s="798" t="s">
        <v>1946</v>
      </c>
      <c r="AW2" s="798"/>
      <c r="AX2" s="798"/>
      <c r="AY2" s="798"/>
      <c r="BF2" s="798" t="s">
        <v>1947</v>
      </c>
      <c r="BG2" s="798"/>
      <c r="BH2" s="798"/>
      <c r="BI2" s="798"/>
      <c r="BM2" s="798" t="s">
        <v>1948</v>
      </c>
      <c r="BN2" s="798"/>
      <c r="BO2" s="798"/>
      <c r="BP2" s="798"/>
    </row>
    <row r="4" spans="2:69" x14ac:dyDescent="0.25">
      <c r="B4" t="s">
        <v>1356</v>
      </c>
      <c r="C4" t="s">
        <v>1357</v>
      </c>
      <c r="D4" t="s">
        <v>1949</v>
      </c>
      <c r="E4" t="s">
        <v>1950</v>
      </c>
      <c r="F4" t="s">
        <v>1951</v>
      </c>
      <c r="G4" t="s">
        <v>1952</v>
      </c>
      <c r="H4" t="s">
        <v>1953</v>
      </c>
      <c r="I4" t="s">
        <v>1954</v>
      </c>
      <c r="M4" t="s">
        <v>1356</v>
      </c>
      <c r="N4" t="s">
        <v>1357</v>
      </c>
      <c r="O4" t="s">
        <v>1949</v>
      </c>
      <c r="P4" t="s">
        <v>1955</v>
      </c>
      <c r="Q4" t="s">
        <v>1956</v>
      </c>
      <c r="R4" t="s">
        <v>1957</v>
      </c>
      <c r="S4" t="s">
        <v>1958</v>
      </c>
      <c r="T4" t="s">
        <v>1959</v>
      </c>
      <c r="Z4" t="s">
        <v>1356</v>
      </c>
      <c r="AA4" t="s">
        <v>1357</v>
      </c>
      <c r="AB4" t="s">
        <v>1949</v>
      </c>
      <c r="AC4" t="s">
        <v>1960</v>
      </c>
      <c r="AD4" t="s">
        <v>1961</v>
      </c>
      <c r="AE4" t="s">
        <v>1962</v>
      </c>
      <c r="AF4" t="s">
        <v>1963</v>
      </c>
      <c r="AG4" t="s">
        <v>1964</v>
      </c>
      <c r="AK4" t="s">
        <v>1356</v>
      </c>
      <c r="AL4" t="s">
        <v>1357</v>
      </c>
      <c r="AM4" t="s">
        <v>1949</v>
      </c>
      <c r="AN4" t="s">
        <v>1965</v>
      </c>
      <c r="AO4" t="s">
        <v>1966</v>
      </c>
      <c r="AP4" t="s">
        <v>1967</v>
      </c>
      <c r="AQ4" t="s">
        <v>1968</v>
      </c>
      <c r="AR4" t="s">
        <v>1969</v>
      </c>
      <c r="AV4" t="s">
        <v>1356</v>
      </c>
      <c r="AW4" t="s">
        <v>1357</v>
      </c>
      <c r="AX4" t="s">
        <v>1949</v>
      </c>
      <c r="AY4" t="s">
        <v>1970</v>
      </c>
      <c r="AZ4" t="s">
        <v>1971</v>
      </c>
      <c r="BA4" t="s">
        <v>1972</v>
      </c>
      <c r="BB4" t="s">
        <v>1973</v>
      </c>
      <c r="BF4" t="s">
        <v>1356</v>
      </c>
      <c r="BG4" t="s">
        <v>1357</v>
      </c>
      <c r="BH4" t="s">
        <v>1949</v>
      </c>
      <c r="BI4" t="s">
        <v>1536</v>
      </c>
      <c r="BM4" t="s">
        <v>1356</v>
      </c>
      <c r="BN4" t="s">
        <v>1357</v>
      </c>
      <c r="BO4" t="s">
        <v>1974</v>
      </c>
      <c r="BP4" t="s">
        <v>1975</v>
      </c>
      <c r="BQ4" t="s">
        <v>1455</v>
      </c>
    </row>
    <row r="5" spans="2:69" x14ac:dyDescent="0.25">
      <c r="B5" t="s">
        <v>3393</v>
      </c>
      <c r="C5">
        <v>2023</v>
      </c>
      <c r="D5">
        <v>1946</v>
      </c>
      <c r="E5">
        <v>0</v>
      </c>
      <c r="F5">
        <v>107.29</v>
      </c>
      <c r="G5">
        <v>1.28</v>
      </c>
      <c r="H5">
        <v>52.15</v>
      </c>
      <c r="I5">
        <v>0</v>
      </c>
      <c r="M5" t="s">
        <v>3393</v>
      </c>
      <c r="N5">
        <v>2023</v>
      </c>
      <c r="O5">
        <v>1946</v>
      </c>
      <c r="P5">
        <v>44.11</v>
      </c>
      <c r="Q5">
        <v>64.040000000000006</v>
      </c>
      <c r="R5">
        <v>45.4</v>
      </c>
      <c r="S5">
        <v>7.16</v>
      </c>
      <c r="T5">
        <v>160.72</v>
      </c>
      <c r="Z5" t="s">
        <v>3393</v>
      </c>
      <c r="AA5">
        <v>2023</v>
      </c>
      <c r="AB5">
        <v>1946</v>
      </c>
      <c r="AC5">
        <v>0</v>
      </c>
      <c r="AD5">
        <v>0</v>
      </c>
      <c r="AE5">
        <v>0</v>
      </c>
      <c r="AF5">
        <v>0.48</v>
      </c>
      <c r="AG5">
        <v>0</v>
      </c>
      <c r="AK5" t="s">
        <v>3393</v>
      </c>
      <c r="AL5">
        <v>2023</v>
      </c>
      <c r="AM5">
        <v>1946</v>
      </c>
      <c r="AN5">
        <v>0.48</v>
      </c>
      <c r="AO5">
        <v>0</v>
      </c>
      <c r="AP5">
        <v>0</v>
      </c>
      <c r="AQ5">
        <v>0</v>
      </c>
      <c r="AR5">
        <v>0.48</v>
      </c>
      <c r="AV5" t="s">
        <v>3393</v>
      </c>
      <c r="AW5">
        <v>2023</v>
      </c>
      <c r="AX5">
        <v>1946</v>
      </c>
      <c r="AY5">
        <v>2</v>
      </c>
      <c r="AZ5">
        <v>3</v>
      </c>
      <c r="BA5">
        <v>1</v>
      </c>
      <c r="BB5">
        <v>0</v>
      </c>
      <c r="BF5" t="s">
        <v>3393</v>
      </c>
      <c r="BG5">
        <v>2023</v>
      </c>
      <c r="BH5">
        <v>1964</v>
      </c>
      <c r="BI5">
        <v>1</v>
      </c>
      <c r="BM5" t="s">
        <v>3393</v>
      </c>
      <c r="BN5">
        <v>2023</v>
      </c>
      <c r="BO5">
        <v>1947</v>
      </c>
      <c r="BP5" t="s">
        <v>3264</v>
      </c>
      <c r="BQ5">
        <v>2.31</v>
      </c>
    </row>
    <row r="6" spans="2:69" x14ac:dyDescent="0.25">
      <c r="B6" t="s">
        <v>3393</v>
      </c>
      <c r="C6">
        <v>2023</v>
      </c>
      <c r="D6">
        <v>1947</v>
      </c>
      <c r="E6">
        <v>0</v>
      </c>
      <c r="F6">
        <v>2.54</v>
      </c>
      <c r="G6">
        <v>0</v>
      </c>
      <c r="H6">
        <v>0.23</v>
      </c>
      <c r="I6">
        <v>0</v>
      </c>
      <c r="M6" t="s">
        <v>3393</v>
      </c>
      <c r="N6">
        <v>2023</v>
      </c>
      <c r="O6">
        <v>1947</v>
      </c>
      <c r="P6">
        <v>0.15</v>
      </c>
      <c r="Q6">
        <v>2.2000000000000002</v>
      </c>
      <c r="R6">
        <v>0.34</v>
      </c>
      <c r="S6">
        <v>0.08</v>
      </c>
      <c r="T6">
        <v>2.77</v>
      </c>
      <c r="Z6" t="s">
        <v>3393</v>
      </c>
      <c r="AA6">
        <v>2023</v>
      </c>
      <c r="AB6">
        <v>1947</v>
      </c>
      <c r="AC6">
        <v>0</v>
      </c>
      <c r="AD6">
        <v>0</v>
      </c>
      <c r="AE6">
        <v>2.31</v>
      </c>
      <c r="AF6">
        <v>0</v>
      </c>
      <c r="AG6">
        <v>0</v>
      </c>
      <c r="AK6" t="s">
        <v>3393</v>
      </c>
      <c r="AL6">
        <v>2023</v>
      </c>
      <c r="AM6">
        <v>1947</v>
      </c>
      <c r="AN6">
        <v>2.31</v>
      </c>
      <c r="AO6">
        <v>0</v>
      </c>
      <c r="AP6">
        <v>0</v>
      </c>
      <c r="AQ6">
        <v>0</v>
      </c>
      <c r="AR6">
        <v>2.31</v>
      </c>
      <c r="AV6" t="s">
        <v>3393</v>
      </c>
      <c r="AW6">
        <v>2023</v>
      </c>
      <c r="AX6">
        <v>1948</v>
      </c>
      <c r="AY6">
        <v>1</v>
      </c>
      <c r="AZ6">
        <v>1</v>
      </c>
      <c r="BA6">
        <v>0</v>
      </c>
      <c r="BB6">
        <v>0</v>
      </c>
      <c r="BF6" t="s">
        <v>3393</v>
      </c>
      <c r="BG6">
        <v>2023</v>
      </c>
      <c r="BH6">
        <v>1967</v>
      </c>
      <c r="BI6">
        <v>2</v>
      </c>
      <c r="BM6" t="s">
        <v>3393</v>
      </c>
      <c r="BN6">
        <v>2023</v>
      </c>
      <c r="BO6">
        <v>1954</v>
      </c>
      <c r="BP6" t="s">
        <v>3263</v>
      </c>
      <c r="BQ6">
        <v>0</v>
      </c>
    </row>
    <row r="7" spans="2:69" x14ac:dyDescent="0.25">
      <c r="B7" t="s">
        <v>3393</v>
      </c>
      <c r="C7">
        <v>2023</v>
      </c>
      <c r="D7">
        <v>1949</v>
      </c>
      <c r="E7">
        <v>0</v>
      </c>
      <c r="F7">
        <v>1</v>
      </c>
      <c r="G7">
        <v>0</v>
      </c>
      <c r="H7">
        <v>0</v>
      </c>
      <c r="I7">
        <v>0</v>
      </c>
      <c r="M7" t="s">
        <v>3393</v>
      </c>
      <c r="N7">
        <v>2023</v>
      </c>
      <c r="O7">
        <v>1949</v>
      </c>
      <c r="P7">
        <v>0</v>
      </c>
      <c r="Q7">
        <v>1</v>
      </c>
      <c r="R7">
        <v>0</v>
      </c>
      <c r="S7">
        <v>0</v>
      </c>
      <c r="T7">
        <v>1</v>
      </c>
      <c r="Z7" t="s">
        <v>3393</v>
      </c>
      <c r="AA7">
        <v>2023</v>
      </c>
      <c r="AB7">
        <v>1948</v>
      </c>
      <c r="AC7">
        <v>0</v>
      </c>
      <c r="AD7">
        <v>0</v>
      </c>
      <c r="AE7">
        <v>1.35</v>
      </c>
      <c r="AF7">
        <v>0.43</v>
      </c>
      <c r="AG7">
        <v>0</v>
      </c>
      <c r="AK7" t="s">
        <v>3393</v>
      </c>
      <c r="AL7">
        <v>2023</v>
      </c>
      <c r="AM7">
        <v>1948</v>
      </c>
      <c r="AN7">
        <v>1.65</v>
      </c>
      <c r="AO7">
        <v>0</v>
      </c>
      <c r="AP7">
        <v>0</v>
      </c>
      <c r="AQ7">
        <v>0.13</v>
      </c>
      <c r="AR7">
        <v>1.78</v>
      </c>
      <c r="AV7" t="s">
        <v>3393</v>
      </c>
      <c r="AW7">
        <v>2023</v>
      </c>
      <c r="AX7">
        <v>1949</v>
      </c>
      <c r="AY7">
        <v>0</v>
      </c>
      <c r="AZ7">
        <v>4</v>
      </c>
      <c r="BA7">
        <v>0</v>
      </c>
      <c r="BB7">
        <v>0</v>
      </c>
      <c r="BF7" t="s">
        <v>3393</v>
      </c>
      <c r="BG7">
        <v>2023</v>
      </c>
      <c r="BH7">
        <v>1970</v>
      </c>
      <c r="BI7">
        <v>1</v>
      </c>
      <c r="BM7" t="s">
        <v>3393</v>
      </c>
      <c r="BN7">
        <v>2023</v>
      </c>
      <c r="BO7">
        <v>1955</v>
      </c>
      <c r="BP7" t="s">
        <v>3264</v>
      </c>
      <c r="BQ7">
        <v>1</v>
      </c>
    </row>
    <row r="8" spans="2:69" x14ac:dyDescent="0.25">
      <c r="B8" t="s">
        <v>3393</v>
      </c>
      <c r="C8">
        <v>2023</v>
      </c>
      <c r="D8">
        <v>1950</v>
      </c>
      <c r="E8">
        <v>0</v>
      </c>
      <c r="F8">
        <v>0.85</v>
      </c>
      <c r="G8">
        <v>0</v>
      </c>
      <c r="H8">
        <v>0.32</v>
      </c>
      <c r="I8">
        <v>0</v>
      </c>
      <c r="M8" t="s">
        <v>3393</v>
      </c>
      <c r="N8">
        <v>2023</v>
      </c>
      <c r="O8">
        <v>1950</v>
      </c>
      <c r="P8">
        <v>0</v>
      </c>
      <c r="Q8">
        <v>0</v>
      </c>
      <c r="R8">
        <v>1.17</v>
      </c>
      <c r="S8">
        <v>0</v>
      </c>
      <c r="T8">
        <v>1.17</v>
      </c>
      <c r="Z8" t="s">
        <v>3393</v>
      </c>
      <c r="AA8">
        <v>2023</v>
      </c>
      <c r="AB8">
        <v>1949</v>
      </c>
      <c r="AC8">
        <v>0</v>
      </c>
      <c r="AD8">
        <v>0</v>
      </c>
      <c r="AE8">
        <v>1.75</v>
      </c>
      <c r="AF8">
        <v>0</v>
      </c>
      <c r="AG8">
        <v>0</v>
      </c>
      <c r="AK8" t="s">
        <v>3393</v>
      </c>
      <c r="AL8">
        <v>2023</v>
      </c>
      <c r="AM8">
        <v>1949</v>
      </c>
      <c r="AN8">
        <v>1.75</v>
      </c>
      <c r="AO8">
        <v>0</v>
      </c>
      <c r="AP8">
        <v>0</v>
      </c>
      <c r="AQ8">
        <v>0</v>
      </c>
      <c r="AR8">
        <v>1.75</v>
      </c>
      <c r="AV8" t="s">
        <v>3393</v>
      </c>
      <c r="AW8">
        <v>2023</v>
      </c>
      <c r="AX8">
        <v>1950</v>
      </c>
      <c r="AY8">
        <v>0</v>
      </c>
      <c r="AZ8">
        <v>1</v>
      </c>
      <c r="BA8">
        <v>0</v>
      </c>
      <c r="BB8">
        <v>0</v>
      </c>
      <c r="BF8" t="s">
        <v>3393</v>
      </c>
      <c r="BG8">
        <v>2023</v>
      </c>
      <c r="BH8">
        <v>1972</v>
      </c>
      <c r="BI8">
        <v>1</v>
      </c>
      <c r="BM8" t="s">
        <v>3393</v>
      </c>
      <c r="BN8">
        <v>2023</v>
      </c>
      <c r="BO8">
        <v>1956</v>
      </c>
      <c r="BP8" t="s">
        <v>3264</v>
      </c>
      <c r="BQ8">
        <v>0.18</v>
      </c>
    </row>
    <row r="9" spans="2:69" x14ac:dyDescent="0.25">
      <c r="B9" t="s">
        <v>3393</v>
      </c>
      <c r="C9">
        <v>2023</v>
      </c>
      <c r="D9">
        <v>1953</v>
      </c>
      <c r="E9">
        <v>0</v>
      </c>
      <c r="F9">
        <v>0</v>
      </c>
      <c r="G9">
        <v>0</v>
      </c>
      <c r="H9">
        <v>0.04</v>
      </c>
      <c r="I9">
        <v>0</v>
      </c>
      <c r="M9" t="s">
        <v>3393</v>
      </c>
      <c r="N9">
        <v>2023</v>
      </c>
      <c r="O9">
        <v>1953</v>
      </c>
      <c r="P9">
        <v>0.04</v>
      </c>
      <c r="Q9">
        <v>0</v>
      </c>
      <c r="R9">
        <v>0</v>
      </c>
      <c r="S9">
        <v>0</v>
      </c>
      <c r="T9">
        <v>0.04</v>
      </c>
      <c r="Z9" t="s">
        <v>3393</v>
      </c>
      <c r="AA9">
        <v>2023</v>
      </c>
      <c r="AB9">
        <v>1950</v>
      </c>
      <c r="AC9">
        <v>0</v>
      </c>
      <c r="AD9">
        <v>0</v>
      </c>
      <c r="AE9">
        <v>3.66</v>
      </c>
      <c r="AF9">
        <v>0.82</v>
      </c>
      <c r="AG9">
        <v>0</v>
      </c>
      <c r="AK9" t="s">
        <v>3393</v>
      </c>
      <c r="AL9">
        <v>2023</v>
      </c>
      <c r="AM9">
        <v>1950</v>
      </c>
      <c r="AN9">
        <v>4.17</v>
      </c>
      <c r="AO9">
        <v>0</v>
      </c>
      <c r="AP9">
        <v>0</v>
      </c>
      <c r="AQ9">
        <v>0.3</v>
      </c>
      <c r="AR9">
        <v>4.47</v>
      </c>
      <c r="AV9" t="s">
        <v>3393</v>
      </c>
      <c r="AW9">
        <v>2023</v>
      </c>
      <c r="AX9">
        <v>1951</v>
      </c>
      <c r="AY9">
        <v>0</v>
      </c>
      <c r="AZ9">
        <v>3</v>
      </c>
      <c r="BA9">
        <v>1</v>
      </c>
      <c r="BB9">
        <v>0</v>
      </c>
      <c r="BF9" t="s">
        <v>3393</v>
      </c>
      <c r="BG9">
        <v>2023</v>
      </c>
      <c r="BH9">
        <v>1974</v>
      </c>
      <c r="BI9">
        <v>2</v>
      </c>
      <c r="BM9" t="s">
        <v>3393</v>
      </c>
      <c r="BN9">
        <v>2023</v>
      </c>
      <c r="BO9">
        <v>1959</v>
      </c>
      <c r="BP9" t="s">
        <v>3264</v>
      </c>
      <c r="BQ9">
        <v>2.74</v>
      </c>
    </row>
    <row r="10" spans="2:69" x14ac:dyDescent="0.25">
      <c r="B10" t="s">
        <v>3393</v>
      </c>
      <c r="C10">
        <v>2023</v>
      </c>
      <c r="D10">
        <v>1954</v>
      </c>
      <c r="E10">
        <v>0</v>
      </c>
      <c r="F10">
        <v>0.45</v>
      </c>
      <c r="G10">
        <v>0</v>
      </c>
      <c r="H10">
        <v>0</v>
      </c>
      <c r="I10">
        <v>0</v>
      </c>
      <c r="M10" t="s">
        <v>3393</v>
      </c>
      <c r="N10">
        <v>2023</v>
      </c>
      <c r="O10">
        <v>1954</v>
      </c>
      <c r="P10">
        <v>0</v>
      </c>
      <c r="Q10">
        <v>0.45</v>
      </c>
      <c r="R10">
        <v>0</v>
      </c>
      <c r="S10">
        <v>0</v>
      </c>
      <c r="T10">
        <v>0.45</v>
      </c>
      <c r="Z10" t="s">
        <v>3393</v>
      </c>
      <c r="AA10">
        <v>2023</v>
      </c>
      <c r="AB10">
        <v>1951</v>
      </c>
      <c r="AC10">
        <v>0</v>
      </c>
      <c r="AD10">
        <v>0</v>
      </c>
      <c r="AE10">
        <v>1.41</v>
      </c>
      <c r="AF10">
        <v>0.16</v>
      </c>
      <c r="AG10">
        <v>0</v>
      </c>
      <c r="AK10" t="s">
        <v>3393</v>
      </c>
      <c r="AL10">
        <v>2023</v>
      </c>
      <c r="AM10">
        <v>1951</v>
      </c>
      <c r="AN10">
        <v>1.56</v>
      </c>
      <c r="AO10">
        <v>0</v>
      </c>
      <c r="AP10">
        <v>0</v>
      </c>
      <c r="AQ10">
        <v>0</v>
      </c>
      <c r="AR10">
        <v>1.56</v>
      </c>
      <c r="AV10" t="s">
        <v>3393</v>
      </c>
      <c r="AW10">
        <v>2023</v>
      </c>
      <c r="AX10">
        <v>1952</v>
      </c>
      <c r="AY10">
        <v>1</v>
      </c>
      <c r="AZ10">
        <v>7</v>
      </c>
      <c r="BA10">
        <v>0</v>
      </c>
      <c r="BB10">
        <v>0</v>
      </c>
      <c r="BF10" t="s">
        <v>3393</v>
      </c>
      <c r="BG10">
        <v>2023</v>
      </c>
      <c r="BH10">
        <v>1975</v>
      </c>
      <c r="BI10">
        <v>1</v>
      </c>
      <c r="BM10" t="s">
        <v>3393</v>
      </c>
      <c r="BN10">
        <v>2023</v>
      </c>
      <c r="BO10">
        <v>1960</v>
      </c>
      <c r="BP10" t="s">
        <v>3263</v>
      </c>
      <c r="BQ10">
        <v>0.11</v>
      </c>
    </row>
    <row r="11" spans="2:69" x14ac:dyDescent="0.25">
      <c r="B11" t="s">
        <v>3393</v>
      </c>
      <c r="C11">
        <v>2023</v>
      </c>
      <c r="D11">
        <v>1955</v>
      </c>
      <c r="E11">
        <v>0</v>
      </c>
      <c r="F11">
        <v>0.14000000000000001</v>
      </c>
      <c r="G11">
        <v>0</v>
      </c>
      <c r="H11">
        <v>0.04</v>
      </c>
      <c r="I11">
        <v>0</v>
      </c>
      <c r="M11" t="s">
        <v>3393</v>
      </c>
      <c r="N11">
        <v>2023</v>
      </c>
      <c r="O11">
        <v>1955</v>
      </c>
      <c r="P11">
        <v>0</v>
      </c>
      <c r="Q11">
        <v>0</v>
      </c>
      <c r="R11">
        <v>0.14000000000000001</v>
      </c>
      <c r="S11">
        <v>0.04</v>
      </c>
      <c r="T11">
        <v>0.19</v>
      </c>
      <c r="Z11" t="s">
        <v>3393</v>
      </c>
      <c r="AA11">
        <v>2023</v>
      </c>
      <c r="AB11">
        <v>1952</v>
      </c>
      <c r="AC11">
        <v>0</v>
      </c>
      <c r="AD11">
        <v>0</v>
      </c>
      <c r="AE11">
        <v>0.98</v>
      </c>
      <c r="AF11">
        <v>0</v>
      </c>
      <c r="AG11">
        <v>0</v>
      </c>
      <c r="AK11" t="s">
        <v>3393</v>
      </c>
      <c r="AL11">
        <v>2023</v>
      </c>
      <c r="AM11">
        <v>1952</v>
      </c>
      <c r="AN11">
        <v>0.32</v>
      </c>
      <c r="AO11">
        <v>0</v>
      </c>
      <c r="AP11">
        <v>0</v>
      </c>
      <c r="AQ11">
        <v>0.66</v>
      </c>
      <c r="AR11">
        <v>0.98</v>
      </c>
      <c r="AV11" t="s">
        <v>3393</v>
      </c>
      <c r="AW11">
        <v>2023</v>
      </c>
      <c r="AX11">
        <v>1953</v>
      </c>
      <c r="AY11">
        <v>0</v>
      </c>
      <c r="AZ11">
        <v>4</v>
      </c>
      <c r="BA11">
        <v>0</v>
      </c>
      <c r="BB11">
        <v>0</v>
      </c>
      <c r="BF11" t="s">
        <v>3393</v>
      </c>
      <c r="BG11">
        <v>2023</v>
      </c>
      <c r="BH11">
        <v>1976</v>
      </c>
      <c r="BI11">
        <v>1</v>
      </c>
      <c r="BM11" t="s">
        <v>3393</v>
      </c>
      <c r="BN11">
        <v>2023</v>
      </c>
      <c r="BO11">
        <v>1960</v>
      </c>
      <c r="BP11" t="s">
        <v>3264</v>
      </c>
      <c r="BQ11">
        <v>2.84</v>
      </c>
    </row>
    <row r="12" spans="2:69" x14ac:dyDescent="0.25">
      <c r="B12" t="s">
        <v>3393</v>
      </c>
      <c r="C12">
        <v>2023</v>
      </c>
      <c r="D12">
        <v>1959</v>
      </c>
      <c r="E12">
        <v>0</v>
      </c>
      <c r="F12">
        <v>0.39</v>
      </c>
      <c r="G12">
        <v>0</v>
      </c>
      <c r="H12">
        <v>0.21</v>
      </c>
      <c r="I12">
        <v>0</v>
      </c>
      <c r="M12" t="s">
        <v>3393</v>
      </c>
      <c r="N12">
        <v>2023</v>
      </c>
      <c r="O12">
        <v>1959</v>
      </c>
      <c r="P12">
        <v>0.21</v>
      </c>
      <c r="Q12">
        <v>0</v>
      </c>
      <c r="R12">
        <v>0.39</v>
      </c>
      <c r="S12">
        <v>0</v>
      </c>
      <c r="T12">
        <v>0.6</v>
      </c>
      <c r="Z12" t="s">
        <v>3393</v>
      </c>
      <c r="AA12">
        <v>2023</v>
      </c>
      <c r="AB12">
        <v>1953</v>
      </c>
      <c r="AC12">
        <v>0</v>
      </c>
      <c r="AD12">
        <v>0</v>
      </c>
      <c r="AE12">
        <v>0.75</v>
      </c>
      <c r="AF12">
        <v>0</v>
      </c>
      <c r="AG12">
        <v>0</v>
      </c>
      <c r="AK12" t="s">
        <v>3393</v>
      </c>
      <c r="AL12">
        <v>2023</v>
      </c>
      <c r="AM12">
        <v>1953</v>
      </c>
      <c r="AN12">
        <v>0.09</v>
      </c>
      <c r="AO12">
        <v>0</v>
      </c>
      <c r="AP12">
        <v>0</v>
      </c>
      <c r="AQ12">
        <v>0.67</v>
      </c>
      <c r="AR12">
        <v>0.75</v>
      </c>
      <c r="AV12" t="s">
        <v>3393</v>
      </c>
      <c r="AW12">
        <v>2023</v>
      </c>
      <c r="AX12">
        <v>1954</v>
      </c>
      <c r="AY12">
        <v>0</v>
      </c>
      <c r="AZ12">
        <v>0</v>
      </c>
      <c r="BA12">
        <v>0</v>
      </c>
      <c r="BB12">
        <v>0</v>
      </c>
      <c r="BF12" t="s">
        <v>3393</v>
      </c>
      <c r="BG12">
        <v>2023</v>
      </c>
      <c r="BH12">
        <v>1977</v>
      </c>
      <c r="BI12">
        <v>3</v>
      </c>
      <c r="BM12" t="s">
        <v>3393</v>
      </c>
      <c r="BN12">
        <v>2023</v>
      </c>
      <c r="BO12">
        <v>1961</v>
      </c>
      <c r="BP12" t="s">
        <v>3263</v>
      </c>
      <c r="BQ12">
        <v>1.0900000000000001</v>
      </c>
    </row>
    <row r="13" spans="2:69" x14ac:dyDescent="0.25">
      <c r="B13" t="s">
        <v>3393</v>
      </c>
      <c r="C13">
        <v>2023</v>
      </c>
      <c r="D13">
        <v>1962</v>
      </c>
      <c r="E13">
        <v>0</v>
      </c>
      <c r="F13">
        <v>0.13</v>
      </c>
      <c r="G13">
        <v>0</v>
      </c>
      <c r="H13">
        <v>0</v>
      </c>
      <c r="I13">
        <v>0</v>
      </c>
      <c r="M13" t="s">
        <v>3393</v>
      </c>
      <c r="N13">
        <v>2023</v>
      </c>
      <c r="O13">
        <v>1962</v>
      </c>
      <c r="P13">
        <v>0</v>
      </c>
      <c r="Q13">
        <v>0.04</v>
      </c>
      <c r="R13">
        <v>0.09</v>
      </c>
      <c r="S13">
        <v>0</v>
      </c>
      <c r="T13">
        <v>0.13</v>
      </c>
      <c r="Z13" t="s">
        <v>3393</v>
      </c>
      <c r="AA13">
        <v>2023</v>
      </c>
      <c r="AB13">
        <v>1954</v>
      </c>
      <c r="AC13">
        <v>0</v>
      </c>
      <c r="AD13">
        <v>0.01</v>
      </c>
      <c r="AE13">
        <v>0.02</v>
      </c>
      <c r="AF13">
        <v>0.25</v>
      </c>
      <c r="AG13">
        <v>0</v>
      </c>
      <c r="AK13" t="s">
        <v>3393</v>
      </c>
      <c r="AL13">
        <v>2023</v>
      </c>
      <c r="AM13">
        <v>1954</v>
      </c>
      <c r="AN13">
        <v>0.27</v>
      </c>
      <c r="AO13">
        <v>0</v>
      </c>
      <c r="AP13">
        <v>0.01</v>
      </c>
      <c r="AQ13">
        <v>0</v>
      </c>
      <c r="AR13">
        <v>0.28000000000000003</v>
      </c>
      <c r="AV13" t="s">
        <v>3393</v>
      </c>
      <c r="AW13">
        <v>2023</v>
      </c>
      <c r="AX13">
        <v>1955</v>
      </c>
      <c r="AY13">
        <v>0</v>
      </c>
      <c r="AZ13">
        <v>1</v>
      </c>
      <c r="BA13">
        <v>1</v>
      </c>
      <c r="BB13">
        <v>0</v>
      </c>
      <c r="BF13" t="s">
        <v>3393</v>
      </c>
      <c r="BG13">
        <v>2023</v>
      </c>
      <c r="BH13">
        <v>1978</v>
      </c>
      <c r="BI13">
        <v>9</v>
      </c>
      <c r="BM13" t="s">
        <v>3393</v>
      </c>
      <c r="BN13">
        <v>2023</v>
      </c>
      <c r="BO13">
        <v>1961</v>
      </c>
      <c r="BP13" t="s">
        <v>3264</v>
      </c>
      <c r="BQ13">
        <v>0.45</v>
      </c>
    </row>
    <row r="14" spans="2:69" x14ac:dyDescent="0.25">
      <c r="B14" t="s">
        <v>3393</v>
      </c>
      <c r="C14">
        <v>2023</v>
      </c>
      <c r="D14">
        <v>1964</v>
      </c>
      <c r="E14">
        <v>0</v>
      </c>
      <c r="F14">
        <v>0.25</v>
      </c>
      <c r="G14">
        <v>0</v>
      </c>
      <c r="H14">
        <v>0</v>
      </c>
      <c r="I14">
        <v>0</v>
      </c>
      <c r="M14" t="s">
        <v>3393</v>
      </c>
      <c r="N14">
        <v>2023</v>
      </c>
      <c r="O14">
        <v>1964</v>
      </c>
      <c r="P14">
        <v>0</v>
      </c>
      <c r="Q14">
        <v>0</v>
      </c>
      <c r="R14">
        <v>0.25</v>
      </c>
      <c r="S14">
        <v>0</v>
      </c>
      <c r="T14">
        <v>0.25</v>
      </c>
      <c r="Z14" t="s">
        <v>3393</v>
      </c>
      <c r="AA14">
        <v>2023</v>
      </c>
      <c r="AB14">
        <v>1955</v>
      </c>
      <c r="AC14">
        <v>0</v>
      </c>
      <c r="AD14">
        <v>0</v>
      </c>
      <c r="AE14">
        <v>4.28</v>
      </c>
      <c r="AF14">
        <v>0</v>
      </c>
      <c r="AG14">
        <v>0</v>
      </c>
      <c r="AK14" t="s">
        <v>3393</v>
      </c>
      <c r="AL14">
        <v>2023</v>
      </c>
      <c r="AM14">
        <v>1955</v>
      </c>
      <c r="AN14">
        <v>4.28</v>
      </c>
      <c r="AO14">
        <v>0</v>
      </c>
      <c r="AP14">
        <v>0</v>
      </c>
      <c r="AQ14">
        <v>0</v>
      </c>
      <c r="AR14">
        <v>4.28</v>
      </c>
      <c r="AV14" t="s">
        <v>3393</v>
      </c>
      <c r="AW14">
        <v>2023</v>
      </c>
      <c r="AX14">
        <v>1956</v>
      </c>
      <c r="AY14">
        <v>0</v>
      </c>
      <c r="AZ14">
        <v>5</v>
      </c>
      <c r="BA14">
        <v>0</v>
      </c>
      <c r="BB14">
        <v>0</v>
      </c>
      <c r="BF14" t="s">
        <v>3393</v>
      </c>
      <c r="BG14">
        <v>2023</v>
      </c>
      <c r="BH14">
        <v>1979</v>
      </c>
      <c r="BI14">
        <v>6</v>
      </c>
      <c r="BM14" t="s">
        <v>3393</v>
      </c>
      <c r="BN14">
        <v>2023</v>
      </c>
      <c r="BO14">
        <v>1962</v>
      </c>
      <c r="BP14" t="s">
        <v>3263</v>
      </c>
      <c r="BQ14">
        <v>0.09</v>
      </c>
    </row>
    <row r="15" spans="2:69" x14ac:dyDescent="0.25">
      <c r="B15" t="s">
        <v>3393</v>
      </c>
      <c r="C15">
        <v>2023</v>
      </c>
      <c r="D15">
        <v>1966</v>
      </c>
      <c r="E15">
        <v>0</v>
      </c>
      <c r="F15">
        <v>0</v>
      </c>
      <c r="G15">
        <v>0</v>
      </c>
      <c r="H15">
        <v>0.64</v>
      </c>
      <c r="I15">
        <v>0</v>
      </c>
      <c r="M15" t="s">
        <v>3393</v>
      </c>
      <c r="N15">
        <v>2023</v>
      </c>
      <c r="O15">
        <v>1966</v>
      </c>
      <c r="P15">
        <v>0</v>
      </c>
      <c r="Q15">
        <v>0</v>
      </c>
      <c r="R15">
        <v>0.64</v>
      </c>
      <c r="S15">
        <v>0</v>
      </c>
      <c r="T15">
        <v>0.64</v>
      </c>
      <c r="Z15" t="s">
        <v>3393</v>
      </c>
      <c r="AA15">
        <v>2023</v>
      </c>
      <c r="AB15">
        <v>1956</v>
      </c>
      <c r="AC15">
        <v>0</v>
      </c>
      <c r="AD15">
        <v>0</v>
      </c>
      <c r="AE15">
        <v>5.79</v>
      </c>
      <c r="AF15">
        <v>1.21</v>
      </c>
      <c r="AG15">
        <v>0</v>
      </c>
      <c r="AK15" t="s">
        <v>3393</v>
      </c>
      <c r="AL15">
        <v>2023</v>
      </c>
      <c r="AM15">
        <v>1956</v>
      </c>
      <c r="AN15">
        <v>3.89</v>
      </c>
      <c r="AO15">
        <v>0</v>
      </c>
      <c r="AP15">
        <v>0</v>
      </c>
      <c r="AQ15">
        <v>3.11</v>
      </c>
      <c r="AR15">
        <v>7</v>
      </c>
      <c r="AV15" t="s">
        <v>3393</v>
      </c>
      <c r="AW15">
        <v>2023</v>
      </c>
      <c r="AX15">
        <v>1957</v>
      </c>
      <c r="AY15">
        <v>0</v>
      </c>
      <c r="AZ15">
        <v>0</v>
      </c>
      <c r="BA15">
        <v>0</v>
      </c>
      <c r="BB15">
        <v>0</v>
      </c>
      <c r="BF15" t="s">
        <v>3393</v>
      </c>
      <c r="BG15">
        <v>2023</v>
      </c>
      <c r="BH15">
        <v>1980</v>
      </c>
      <c r="BI15">
        <v>11</v>
      </c>
      <c r="BM15" t="s">
        <v>3393</v>
      </c>
      <c r="BN15">
        <v>2023</v>
      </c>
      <c r="BO15">
        <v>1962</v>
      </c>
      <c r="BP15" t="s">
        <v>3264</v>
      </c>
      <c r="BQ15">
        <v>3.02</v>
      </c>
    </row>
    <row r="16" spans="2:69" x14ac:dyDescent="0.25">
      <c r="B16" t="s">
        <v>3393</v>
      </c>
      <c r="C16">
        <v>2023</v>
      </c>
      <c r="D16">
        <v>1967</v>
      </c>
      <c r="E16">
        <v>0</v>
      </c>
      <c r="F16">
        <v>0</v>
      </c>
      <c r="G16">
        <v>0</v>
      </c>
      <c r="H16">
        <v>0.02</v>
      </c>
      <c r="I16">
        <v>0</v>
      </c>
      <c r="M16" t="s">
        <v>3393</v>
      </c>
      <c r="N16">
        <v>2023</v>
      </c>
      <c r="O16">
        <v>1967</v>
      </c>
      <c r="P16">
        <v>0.02</v>
      </c>
      <c r="Q16">
        <v>0</v>
      </c>
      <c r="R16">
        <v>0</v>
      </c>
      <c r="S16">
        <v>0</v>
      </c>
      <c r="T16">
        <v>0.02</v>
      </c>
      <c r="Z16" t="s">
        <v>3393</v>
      </c>
      <c r="AA16">
        <v>2023</v>
      </c>
      <c r="AB16">
        <v>1957</v>
      </c>
      <c r="AC16">
        <v>9.5299999999999994</v>
      </c>
      <c r="AD16">
        <v>0</v>
      </c>
      <c r="AE16">
        <v>2.95</v>
      </c>
      <c r="AF16">
        <v>1.85</v>
      </c>
      <c r="AG16">
        <v>0</v>
      </c>
      <c r="AK16" t="s">
        <v>3393</v>
      </c>
      <c r="AL16">
        <v>2023</v>
      </c>
      <c r="AM16">
        <v>1957</v>
      </c>
      <c r="AN16">
        <v>14.33</v>
      </c>
      <c r="AO16">
        <v>0</v>
      </c>
      <c r="AP16">
        <v>0</v>
      </c>
      <c r="AQ16">
        <v>0</v>
      </c>
      <c r="AR16">
        <v>14.33</v>
      </c>
      <c r="AV16" t="s">
        <v>3393</v>
      </c>
      <c r="AW16">
        <v>2023</v>
      </c>
      <c r="AX16">
        <v>1958</v>
      </c>
      <c r="AY16">
        <v>0</v>
      </c>
      <c r="AZ16">
        <v>2</v>
      </c>
      <c r="BA16">
        <v>0</v>
      </c>
      <c r="BB16">
        <v>0</v>
      </c>
      <c r="BF16" t="s">
        <v>3393</v>
      </c>
      <c r="BG16">
        <v>2023</v>
      </c>
      <c r="BH16">
        <v>1981</v>
      </c>
      <c r="BI16">
        <v>25</v>
      </c>
      <c r="BM16" t="s">
        <v>3393</v>
      </c>
      <c r="BN16">
        <v>2023</v>
      </c>
      <c r="BO16">
        <v>1963</v>
      </c>
      <c r="BP16" t="s">
        <v>3264</v>
      </c>
      <c r="BQ16">
        <v>5.32</v>
      </c>
    </row>
    <row r="17" spans="2:69" x14ac:dyDescent="0.25">
      <c r="B17" t="s">
        <v>3393</v>
      </c>
      <c r="C17">
        <v>2023</v>
      </c>
      <c r="D17">
        <v>1968</v>
      </c>
      <c r="E17">
        <v>0</v>
      </c>
      <c r="F17">
        <v>0.61</v>
      </c>
      <c r="G17">
        <v>0</v>
      </c>
      <c r="H17">
        <v>0</v>
      </c>
      <c r="I17">
        <v>0</v>
      </c>
      <c r="M17" t="s">
        <v>3393</v>
      </c>
      <c r="N17">
        <v>2023</v>
      </c>
      <c r="O17">
        <v>1968</v>
      </c>
      <c r="P17">
        <v>0</v>
      </c>
      <c r="Q17">
        <v>0.59</v>
      </c>
      <c r="R17">
        <v>0.02</v>
      </c>
      <c r="S17">
        <v>0</v>
      </c>
      <c r="T17">
        <v>0.61</v>
      </c>
      <c r="Z17" t="s">
        <v>3393</v>
      </c>
      <c r="AA17">
        <v>2023</v>
      </c>
      <c r="AB17">
        <v>1958</v>
      </c>
      <c r="AC17">
        <v>0</v>
      </c>
      <c r="AD17">
        <v>0</v>
      </c>
      <c r="AE17">
        <v>2.27</v>
      </c>
      <c r="AF17">
        <v>1.1200000000000001</v>
      </c>
      <c r="AG17">
        <v>0</v>
      </c>
      <c r="AK17" t="s">
        <v>3393</v>
      </c>
      <c r="AL17">
        <v>2023</v>
      </c>
      <c r="AM17">
        <v>1958</v>
      </c>
      <c r="AN17">
        <v>3.22</v>
      </c>
      <c r="AO17">
        <v>0</v>
      </c>
      <c r="AP17">
        <v>0</v>
      </c>
      <c r="AQ17">
        <v>0.17</v>
      </c>
      <c r="AR17">
        <v>3.4</v>
      </c>
      <c r="AV17" t="s">
        <v>3393</v>
      </c>
      <c r="AW17">
        <v>2023</v>
      </c>
      <c r="AX17">
        <v>1959</v>
      </c>
      <c r="AY17">
        <v>0</v>
      </c>
      <c r="AZ17">
        <v>4</v>
      </c>
      <c r="BA17">
        <v>1</v>
      </c>
      <c r="BB17">
        <v>0</v>
      </c>
      <c r="BF17" t="s">
        <v>3393</v>
      </c>
      <c r="BG17">
        <v>2023</v>
      </c>
      <c r="BH17">
        <v>1982</v>
      </c>
      <c r="BI17">
        <v>20</v>
      </c>
      <c r="BM17" t="s">
        <v>3393</v>
      </c>
      <c r="BN17">
        <v>2023</v>
      </c>
      <c r="BO17">
        <v>1964</v>
      </c>
      <c r="BP17" t="s">
        <v>3263</v>
      </c>
      <c r="BQ17">
        <v>1.01</v>
      </c>
    </row>
    <row r="18" spans="2:69" x14ac:dyDescent="0.25">
      <c r="B18" t="s">
        <v>3393</v>
      </c>
      <c r="C18">
        <v>2023</v>
      </c>
      <c r="D18">
        <v>1970</v>
      </c>
      <c r="E18">
        <v>0</v>
      </c>
      <c r="F18">
        <v>1.2</v>
      </c>
      <c r="G18">
        <v>0</v>
      </c>
      <c r="H18">
        <v>0.05</v>
      </c>
      <c r="I18">
        <v>0</v>
      </c>
      <c r="M18" t="s">
        <v>3393</v>
      </c>
      <c r="N18">
        <v>2023</v>
      </c>
      <c r="O18">
        <v>1970</v>
      </c>
      <c r="P18">
        <v>0</v>
      </c>
      <c r="Q18">
        <v>0.05</v>
      </c>
      <c r="R18">
        <v>1.2</v>
      </c>
      <c r="S18">
        <v>0</v>
      </c>
      <c r="T18">
        <v>1.25</v>
      </c>
      <c r="Z18" t="s">
        <v>3393</v>
      </c>
      <c r="AA18">
        <v>2023</v>
      </c>
      <c r="AB18">
        <v>1959</v>
      </c>
      <c r="AC18">
        <v>0</v>
      </c>
      <c r="AD18">
        <v>0</v>
      </c>
      <c r="AE18">
        <v>6.39</v>
      </c>
      <c r="AF18">
        <v>1.96</v>
      </c>
      <c r="AG18">
        <v>0</v>
      </c>
      <c r="AK18" t="s">
        <v>3393</v>
      </c>
      <c r="AL18">
        <v>2023</v>
      </c>
      <c r="AM18">
        <v>1959</v>
      </c>
      <c r="AN18">
        <v>8.34</v>
      </c>
      <c r="AO18">
        <v>0</v>
      </c>
      <c r="AP18">
        <v>0</v>
      </c>
      <c r="AQ18">
        <v>0</v>
      </c>
      <c r="AR18">
        <v>8.34</v>
      </c>
      <c r="AV18" t="s">
        <v>3393</v>
      </c>
      <c r="AW18">
        <v>2023</v>
      </c>
      <c r="AX18">
        <v>1960</v>
      </c>
      <c r="AY18">
        <v>2</v>
      </c>
      <c r="AZ18">
        <v>5</v>
      </c>
      <c r="BA18">
        <v>0</v>
      </c>
      <c r="BB18">
        <v>0</v>
      </c>
      <c r="BF18" t="s">
        <v>3393</v>
      </c>
      <c r="BG18">
        <v>2023</v>
      </c>
      <c r="BH18">
        <v>1983</v>
      </c>
      <c r="BI18">
        <v>35</v>
      </c>
      <c r="BM18" t="s">
        <v>3393</v>
      </c>
      <c r="BN18">
        <v>2023</v>
      </c>
      <c r="BO18">
        <v>1964</v>
      </c>
      <c r="BP18" t="s">
        <v>3264</v>
      </c>
      <c r="BQ18">
        <v>17.22</v>
      </c>
    </row>
    <row r="19" spans="2:69" x14ac:dyDescent="0.25">
      <c r="B19" t="s">
        <v>3393</v>
      </c>
      <c r="C19">
        <v>2023</v>
      </c>
      <c r="D19">
        <v>1971</v>
      </c>
      <c r="E19">
        <v>0</v>
      </c>
      <c r="F19">
        <v>0.08</v>
      </c>
      <c r="G19">
        <v>0</v>
      </c>
      <c r="H19">
        <v>0.33</v>
      </c>
      <c r="I19">
        <v>0</v>
      </c>
      <c r="M19" t="s">
        <v>3393</v>
      </c>
      <c r="N19">
        <v>2023</v>
      </c>
      <c r="O19">
        <v>1971</v>
      </c>
      <c r="P19">
        <v>0.3</v>
      </c>
      <c r="Q19">
        <v>0.04</v>
      </c>
      <c r="R19">
        <v>0.03</v>
      </c>
      <c r="S19">
        <v>0.03</v>
      </c>
      <c r="T19">
        <v>0.4</v>
      </c>
      <c r="Z19" t="s">
        <v>3393</v>
      </c>
      <c r="AA19">
        <v>2023</v>
      </c>
      <c r="AB19">
        <v>1960</v>
      </c>
      <c r="AC19">
        <v>6.95</v>
      </c>
      <c r="AD19">
        <v>26.77</v>
      </c>
      <c r="AE19">
        <v>12.61</v>
      </c>
      <c r="AF19">
        <v>0.32</v>
      </c>
      <c r="AG19">
        <v>0</v>
      </c>
      <c r="AK19" t="s">
        <v>3393</v>
      </c>
      <c r="AL19">
        <v>2023</v>
      </c>
      <c r="AM19">
        <v>1960</v>
      </c>
      <c r="AN19">
        <v>19.88</v>
      </c>
      <c r="AO19">
        <v>0</v>
      </c>
      <c r="AP19">
        <v>26.77</v>
      </c>
      <c r="AQ19">
        <v>0</v>
      </c>
      <c r="AR19">
        <v>46.65</v>
      </c>
      <c r="AV19" t="s">
        <v>3393</v>
      </c>
      <c r="AW19">
        <v>2023</v>
      </c>
      <c r="AX19">
        <v>1961</v>
      </c>
      <c r="AY19">
        <v>4</v>
      </c>
      <c r="AZ19">
        <v>8</v>
      </c>
      <c r="BA19">
        <v>1</v>
      </c>
      <c r="BB19">
        <v>0</v>
      </c>
      <c r="BF19" t="s">
        <v>3393</v>
      </c>
      <c r="BG19">
        <v>2023</v>
      </c>
      <c r="BH19">
        <v>1984</v>
      </c>
      <c r="BI19">
        <v>31</v>
      </c>
      <c r="BM19" t="s">
        <v>3393</v>
      </c>
      <c r="BN19">
        <v>2023</v>
      </c>
      <c r="BO19">
        <v>1965</v>
      </c>
      <c r="BP19" t="s">
        <v>3263</v>
      </c>
      <c r="BQ19">
        <v>0.91</v>
      </c>
    </row>
    <row r="20" spans="2:69" x14ac:dyDescent="0.25">
      <c r="B20" t="s">
        <v>3393</v>
      </c>
      <c r="C20">
        <v>2023</v>
      </c>
      <c r="D20">
        <v>1972</v>
      </c>
      <c r="E20">
        <v>0</v>
      </c>
      <c r="F20">
        <v>0.34</v>
      </c>
      <c r="G20">
        <v>0</v>
      </c>
      <c r="H20">
        <v>0</v>
      </c>
      <c r="I20">
        <v>0</v>
      </c>
      <c r="M20" t="s">
        <v>3393</v>
      </c>
      <c r="N20">
        <v>2023</v>
      </c>
      <c r="O20">
        <v>1972</v>
      </c>
      <c r="P20">
        <v>0</v>
      </c>
      <c r="Q20">
        <v>0.34</v>
      </c>
      <c r="R20">
        <v>0</v>
      </c>
      <c r="S20">
        <v>0</v>
      </c>
      <c r="T20">
        <v>0.34</v>
      </c>
      <c r="Z20" t="s">
        <v>3393</v>
      </c>
      <c r="AA20">
        <v>2023</v>
      </c>
      <c r="AB20">
        <v>1961</v>
      </c>
      <c r="AC20">
        <v>3.01</v>
      </c>
      <c r="AD20">
        <v>2.17</v>
      </c>
      <c r="AE20">
        <v>10.34</v>
      </c>
      <c r="AF20">
        <v>4.58</v>
      </c>
      <c r="AG20">
        <v>0</v>
      </c>
      <c r="AK20" t="s">
        <v>3393</v>
      </c>
      <c r="AL20">
        <v>2023</v>
      </c>
      <c r="AM20">
        <v>1961</v>
      </c>
      <c r="AN20">
        <v>17.93</v>
      </c>
      <c r="AO20">
        <v>0</v>
      </c>
      <c r="AP20">
        <v>2.17</v>
      </c>
      <c r="AQ20">
        <v>0</v>
      </c>
      <c r="AR20">
        <v>20.100000000000001</v>
      </c>
      <c r="AV20" t="s">
        <v>3393</v>
      </c>
      <c r="AW20">
        <v>2023</v>
      </c>
      <c r="AX20">
        <v>1962</v>
      </c>
      <c r="AY20">
        <v>10</v>
      </c>
      <c r="AZ20">
        <v>6</v>
      </c>
      <c r="BA20">
        <v>0</v>
      </c>
      <c r="BB20">
        <v>0</v>
      </c>
      <c r="BF20" t="s">
        <v>3393</v>
      </c>
      <c r="BG20">
        <v>2023</v>
      </c>
      <c r="BH20">
        <v>1985</v>
      </c>
      <c r="BI20">
        <v>24</v>
      </c>
      <c r="BM20" t="s">
        <v>3393</v>
      </c>
      <c r="BN20">
        <v>2023</v>
      </c>
      <c r="BO20">
        <v>1965</v>
      </c>
      <c r="BP20" t="s">
        <v>3264</v>
      </c>
      <c r="BQ20">
        <v>16.170000000000002</v>
      </c>
    </row>
    <row r="21" spans="2:69" x14ac:dyDescent="0.25">
      <c r="B21" t="s">
        <v>3393</v>
      </c>
      <c r="C21">
        <v>2023</v>
      </c>
      <c r="D21">
        <v>1973</v>
      </c>
      <c r="E21">
        <v>0</v>
      </c>
      <c r="F21">
        <v>0.64</v>
      </c>
      <c r="G21">
        <v>0</v>
      </c>
      <c r="H21">
        <v>0</v>
      </c>
      <c r="I21">
        <v>0</v>
      </c>
      <c r="M21" t="s">
        <v>3393</v>
      </c>
      <c r="N21">
        <v>2023</v>
      </c>
      <c r="O21">
        <v>1973</v>
      </c>
      <c r="P21">
        <v>0</v>
      </c>
      <c r="Q21">
        <v>0.02</v>
      </c>
      <c r="R21">
        <v>0.62</v>
      </c>
      <c r="S21">
        <v>0</v>
      </c>
      <c r="T21">
        <v>0.64</v>
      </c>
      <c r="Z21" t="s">
        <v>3393</v>
      </c>
      <c r="AA21">
        <v>2023</v>
      </c>
      <c r="AB21">
        <v>1962</v>
      </c>
      <c r="AC21">
        <v>10.87</v>
      </c>
      <c r="AD21">
        <v>0</v>
      </c>
      <c r="AE21">
        <v>26.23</v>
      </c>
      <c r="AF21">
        <v>0.08</v>
      </c>
      <c r="AG21">
        <v>0</v>
      </c>
      <c r="AK21" t="s">
        <v>3393</v>
      </c>
      <c r="AL21">
        <v>2023</v>
      </c>
      <c r="AM21">
        <v>1962</v>
      </c>
      <c r="AN21">
        <v>37.1</v>
      </c>
      <c r="AO21">
        <v>0</v>
      </c>
      <c r="AP21">
        <v>0</v>
      </c>
      <c r="AQ21">
        <v>0.08</v>
      </c>
      <c r="AR21">
        <v>37.18</v>
      </c>
      <c r="AV21" t="s">
        <v>3393</v>
      </c>
      <c r="AW21">
        <v>2023</v>
      </c>
      <c r="AX21">
        <v>1963</v>
      </c>
      <c r="AY21">
        <v>7</v>
      </c>
      <c r="AZ21">
        <v>1</v>
      </c>
      <c r="BA21">
        <v>1</v>
      </c>
      <c r="BB21">
        <v>0</v>
      </c>
      <c r="BF21" t="s">
        <v>3393</v>
      </c>
      <c r="BG21">
        <v>2023</v>
      </c>
      <c r="BH21">
        <v>1986</v>
      </c>
      <c r="BI21">
        <v>36</v>
      </c>
      <c r="BM21" t="s">
        <v>3393</v>
      </c>
      <c r="BN21">
        <v>2023</v>
      </c>
      <c r="BO21">
        <v>1966</v>
      </c>
      <c r="BP21" t="s">
        <v>3263</v>
      </c>
      <c r="BQ21">
        <v>0.11</v>
      </c>
    </row>
    <row r="22" spans="2:69" x14ac:dyDescent="0.25">
      <c r="B22" t="s">
        <v>3393</v>
      </c>
      <c r="C22">
        <v>2023</v>
      </c>
      <c r="D22">
        <v>1974</v>
      </c>
      <c r="E22">
        <v>0</v>
      </c>
      <c r="F22">
        <v>0.08</v>
      </c>
      <c r="G22">
        <v>0</v>
      </c>
      <c r="H22">
        <v>0.1</v>
      </c>
      <c r="I22">
        <v>0</v>
      </c>
      <c r="M22" t="s">
        <v>3393</v>
      </c>
      <c r="N22">
        <v>2023</v>
      </c>
      <c r="O22">
        <v>1974</v>
      </c>
      <c r="P22">
        <v>0</v>
      </c>
      <c r="Q22">
        <v>0.08</v>
      </c>
      <c r="R22">
        <v>0</v>
      </c>
      <c r="S22">
        <v>0.1</v>
      </c>
      <c r="T22">
        <v>0.18</v>
      </c>
      <c r="Z22" t="s">
        <v>3393</v>
      </c>
      <c r="AA22">
        <v>2023</v>
      </c>
      <c r="AB22">
        <v>1963</v>
      </c>
      <c r="AC22">
        <v>0</v>
      </c>
      <c r="AD22">
        <v>0</v>
      </c>
      <c r="AE22">
        <v>40.82</v>
      </c>
      <c r="AF22">
        <v>0.57999999999999996</v>
      </c>
      <c r="AG22">
        <v>0</v>
      </c>
      <c r="AK22" t="s">
        <v>3393</v>
      </c>
      <c r="AL22">
        <v>2023</v>
      </c>
      <c r="AM22">
        <v>1963</v>
      </c>
      <c r="AN22">
        <v>41.16</v>
      </c>
      <c r="AO22">
        <v>0</v>
      </c>
      <c r="AP22">
        <v>0</v>
      </c>
      <c r="AQ22">
        <v>0.23</v>
      </c>
      <c r="AR22">
        <v>41.4</v>
      </c>
      <c r="AV22" t="s">
        <v>3393</v>
      </c>
      <c r="AW22">
        <v>2023</v>
      </c>
      <c r="AX22">
        <v>1964</v>
      </c>
      <c r="AY22">
        <v>13</v>
      </c>
      <c r="AZ22">
        <v>11</v>
      </c>
      <c r="BA22">
        <v>4</v>
      </c>
      <c r="BB22">
        <v>0</v>
      </c>
      <c r="BF22" t="s">
        <v>3393</v>
      </c>
      <c r="BG22">
        <v>2023</v>
      </c>
      <c r="BH22">
        <v>1987</v>
      </c>
      <c r="BI22">
        <v>38</v>
      </c>
      <c r="BM22" t="s">
        <v>3393</v>
      </c>
      <c r="BN22">
        <v>2023</v>
      </c>
      <c r="BO22">
        <v>1966</v>
      </c>
      <c r="BP22" t="s">
        <v>3264</v>
      </c>
      <c r="BQ22">
        <v>14.82</v>
      </c>
    </row>
    <row r="23" spans="2:69" x14ac:dyDescent="0.25">
      <c r="B23" t="s">
        <v>3393</v>
      </c>
      <c r="C23">
        <v>2023</v>
      </c>
      <c r="D23">
        <v>1975</v>
      </c>
      <c r="E23">
        <v>0</v>
      </c>
      <c r="F23">
        <v>0.15</v>
      </c>
      <c r="G23">
        <v>0</v>
      </c>
      <c r="H23">
        <v>0</v>
      </c>
      <c r="I23">
        <v>0</v>
      </c>
      <c r="M23" t="s">
        <v>3393</v>
      </c>
      <c r="N23">
        <v>2023</v>
      </c>
      <c r="O23">
        <v>1975</v>
      </c>
      <c r="P23">
        <v>0</v>
      </c>
      <c r="Q23">
        <v>0.08</v>
      </c>
      <c r="R23">
        <v>7.0000000000000007E-2</v>
      </c>
      <c r="S23">
        <v>0</v>
      </c>
      <c r="T23">
        <v>0.15</v>
      </c>
      <c r="Z23" t="s">
        <v>3393</v>
      </c>
      <c r="AA23">
        <v>2023</v>
      </c>
      <c r="AB23">
        <v>1964</v>
      </c>
      <c r="AC23">
        <v>0.16</v>
      </c>
      <c r="AD23">
        <v>1.1599999999999999</v>
      </c>
      <c r="AE23">
        <v>51.76</v>
      </c>
      <c r="AF23">
        <v>0.72</v>
      </c>
      <c r="AG23">
        <v>0</v>
      </c>
      <c r="AK23" t="s">
        <v>3393</v>
      </c>
      <c r="AL23">
        <v>2023</v>
      </c>
      <c r="AM23">
        <v>1964</v>
      </c>
      <c r="AN23">
        <v>52.53</v>
      </c>
      <c r="AO23">
        <v>0.25</v>
      </c>
      <c r="AP23">
        <v>0.91</v>
      </c>
      <c r="AQ23">
        <v>0.12</v>
      </c>
      <c r="AR23">
        <v>53.81</v>
      </c>
      <c r="AV23" t="s">
        <v>3393</v>
      </c>
      <c r="AW23">
        <v>2023</v>
      </c>
      <c r="AX23">
        <v>1965</v>
      </c>
      <c r="AY23">
        <v>21</v>
      </c>
      <c r="AZ23">
        <v>11</v>
      </c>
      <c r="BA23">
        <v>2</v>
      </c>
      <c r="BB23">
        <v>0</v>
      </c>
      <c r="BF23" t="s">
        <v>3393</v>
      </c>
      <c r="BG23">
        <v>2023</v>
      </c>
      <c r="BH23">
        <v>1988</v>
      </c>
      <c r="BI23">
        <v>40</v>
      </c>
      <c r="BM23" t="s">
        <v>3393</v>
      </c>
      <c r="BN23">
        <v>2023</v>
      </c>
      <c r="BO23">
        <v>1967</v>
      </c>
      <c r="BP23" t="s">
        <v>3263</v>
      </c>
      <c r="BQ23">
        <v>0.24</v>
      </c>
    </row>
    <row r="24" spans="2:69" x14ac:dyDescent="0.25">
      <c r="B24" t="s">
        <v>3393</v>
      </c>
      <c r="C24">
        <v>2023</v>
      </c>
      <c r="D24">
        <v>1977</v>
      </c>
      <c r="E24">
        <v>0</v>
      </c>
      <c r="F24">
        <v>0.01</v>
      </c>
      <c r="G24">
        <v>0</v>
      </c>
      <c r="H24">
        <v>0</v>
      </c>
      <c r="I24">
        <v>0</v>
      </c>
      <c r="M24" t="s">
        <v>3393</v>
      </c>
      <c r="N24">
        <v>2023</v>
      </c>
      <c r="O24">
        <v>1977</v>
      </c>
      <c r="P24">
        <v>0</v>
      </c>
      <c r="Q24">
        <v>0</v>
      </c>
      <c r="R24">
        <v>0.01</v>
      </c>
      <c r="S24">
        <v>0</v>
      </c>
      <c r="T24">
        <v>0.01</v>
      </c>
      <c r="Z24" t="s">
        <v>3393</v>
      </c>
      <c r="AA24">
        <v>2023</v>
      </c>
      <c r="AB24">
        <v>1965</v>
      </c>
      <c r="AC24">
        <v>0</v>
      </c>
      <c r="AD24">
        <v>1.2</v>
      </c>
      <c r="AE24">
        <v>67.84</v>
      </c>
      <c r="AF24">
        <v>0.55000000000000004</v>
      </c>
      <c r="AG24">
        <v>0</v>
      </c>
      <c r="AK24" t="s">
        <v>3393</v>
      </c>
      <c r="AL24">
        <v>2023</v>
      </c>
      <c r="AM24">
        <v>1965</v>
      </c>
      <c r="AN24">
        <v>68.36</v>
      </c>
      <c r="AO24">
        <v>0</v>
      </c>
      <c r="AP24">
        <v>1.2</v>
      </c>
      <c r="AQ24">
        <v>0.03</v>
      </c>
      <c r="AR24">
        <v>69.59</v>
      </c>
      <c r="AV24" t="s">
        <v>3393</v>
      </c>
      <c r="AW24">
        <v>2023</v>
      </c>
      <c r="AX24">
        <v>1966</v>
      </c>
      <c r="AY24">
        <v>20</v>
      </c>
      <c r="AZ24">
        <v>16</v>
      </c>
      <c r="BA24">
        <v>3</v>
      </c>
      <c r="BB24">
        <v>0</v>
      </c>
      <c r="BF24" t="s">
        <v>3393</v>
      </c>
      <c r="BG24">
        <v>2023</v>
      </c>
      <c r="BH24">
        <v>1989</v>
      </c>
      <c r="BI24">
        <v>41</v>
      </c>
      <c r="BM24" t="s">
        <v>3393</v>
      </c>
      <c r="BN24">
        <v>2023</v>
      </c>
      <c r="BO24">
        <v>1967</v>
      </c>
      <c r="BP24" t="s">
        <v>3264</v>
      </c>
      <c r="BQ24">
        <v>16.29</v>
      </c>
    </row>
    <row r="25" spans="2:69" x14ac:dyDescent="0.25">
      <c r="B25" t="s">
        <v>3393</v>
      </c>
      <c r="C25">
        <v>2023</v>
      </c>
      <c r="D25">
        <v>1978</v>
      </c>
      <c r="E25">
        <v>0</v>
      </c>
      <c r="F25">
        <v>0.97</v>
      </c>
      <c r="G25">
        <v>0</v>
      </c>
      <c r="H25">
        <v>0</v>
      </c>
      <c r="I25">
        <v>0</v>
      </c>
      <c r="M25" t="s">
        <v>3393</v>
      </c>
      <c r="N25">
        <v>2023</v>
      </c>
      <c r="O25">
        <v>1978</v>
      </c>
      <c r="P25">
        <v>0</v>
      </c>
      <c r="Q25">
        <v>0.09</v>
      </c>
      <c r="R25">
        <v>0.87</v>
      </c>
      <c r="S25">
        <v>0</v>
      </c>
      <c r="T25">
        <v>0.97</v>
      </c>
      <c r="Z25" t="s">
        <v>3393</v>
      </c>
      <c r="AA25">
        <v>2023</v>
      </c>
      <c r="AB25">
        <v>1966</v>
      </c>
      <c r="AC25">
        <v>8.57</v>
      </c>
      <c r="AD25">
        <v>19.600000000000001</v>
      </c>
      <c r="AE25">
        <v>66.86</v>
      </c>
      <c r="AF25">
        <v>2.5099999999999998</v>
      </c>
      <c r="AG25">
        <v>0</v>
      </c>
      <c r="AK25" t="s">
        <v>3393</v>
      </c>
      <c r="AL25">
        <v>2023</v>
      </c>
      <c r="AM25">
        <v>1966</v>
      </c>
      <c r="AN25">
        <v>77.94</v>
      </c>
      <c r="AO25">
        <v>0</v>
      </c>
      <c r="AP25">
        <v>19.600000000000001</v>
      </c>
      <c r="AQ25">
        <v>0</v>
      </c>
      <c r="AR25">
        <v>97.54</v>
      </c>
      <c r="AV25" t="s">
        <v>3393</v>
      </c>
      <c r="AW25">
        <v>2023</v>
      </c>
      <c r="AX25">
        <v>1967</v>
      </c>
      <c r="AY25">
        <v>36</v>
      </c>
      <c r="AZ25">
        <v>16</v>
      </c>
      <c r="BA25">
        <v>2</v>
      </c>
      <c r="BB25">
        <v>0</v>
      </c>
      <c r="BF25" t="s">
        <v>3393</v>
      </c>
      <c r="BG25">
        <v>2023</v>
      </c>
      <c r="BH25">
        <v>1990</v>
      </c>
      <c r="BI25">
        <v>43</v>
      </c>
      <c r="BM25" t="s">
        <v>3393</v>
      </c>
      <c r="BN25">
        <v>2023</v>
      </c>
      <c r="BO25">
        <v>1968</v>
      </c>
      <c r="BP25" t="s">
        <v>3263</v>
      </c>
      <c r="BQ25">
        <v>0.4</v>
      </c>
    </row>
    <row r="26" spans="2:69" x14ac:dyDescent="0.25">
      <c r="B26" t="s">
        <v>3393</v>
      </c>
      <c r="C26">
        <v>2023</v>
      </c>
      <c r="D26">
        <v>1979</v>
      </c>
      <c r="E26">
        <v>0</v>
      </c>
      <c r="F26">
        <v>0.37</v>
      </c>
      <c r="G26">
        <v>0</v>
      </c>
      <c r="H26">
        <v>0</v>
      </c>
      <c r="I26">
        <v>0</v>
      </c>
      <c r="M26" t="s">
        <v>3393</v>
      </c>
      <c r="N26">
        <v>2023</v>
      </c>
      <c r="O26">
        <v>1979</v>
      </c>
      <c r="P26">
        <v>0</v>
      </c>
      <c r="Q26">
        <v>0</v>
      </c>
      <c r="R26">
        <v>0.37</v>
      </c>
      <c r="S26">
        <v>0</v>
      </c>
      <c r="T26">
        <v>0.37</v>
      </c>
      <c r="Z26" t="s">
        <v>3393</v>
      </c>
      <c r="AA26">
        <v>2023</v>
      </c>
      <c r="AB26">
        <v>1967</v>
      </c>
      <c r="AC26">
        <v>9.1999999999999993</v>
      </c>
      <c r="AD26">
        <v>1.18</v>
      </c>
      <c r="AE26">
        <v>69.72</v>
      </c>
      <c r="AF26">
        <v>0.8</v>
      </c>
      <c r="AG26">
        <v>0</v>
      </c>
      <c r="AK26" t="s">
        <v>3393</v>
      </c>
      <c r="AL26">
        <v>2023</v>
      </c>
      <c r="AM26">
        <v>1967</v>
      </c>
      <c r="AN26">
        <v>78.92</v>
      </c>
      <c r="AO26">
        <v>0</v>
      </c>
      <c r="AP26">
        <v>1.51</v>
      </c>
      <c r="AQ26">
        <v>0.47</v>
      </c>
      <c r="AR26">
        <v>80.900000000000006</v>
      </c>
      <c r="AV26" t="s">
        <v>3393</v>
      </c>
      <c r="AW26">
        <v>2023</v>
      </c>
      <c r="AX26">
        <v>1968</v>
      </c>
      <c r="AY26">
        <v>16</v>
      </c>
      <c r="AZ26">
        <v>11</v>
      </c>
      <c r="BA26">
        <v>2</v>
      </c>
      <c r="BB26">
        <v>0</v>
      </c>
      <c r="BF26" t="s">
        <v>3393</v>
      </c>
      <c r="BG26">
        <v>2023</v>
      </c>
      <c r="BH26">
        <v>1991</v>
      </c>
      <c r="BI26">
        <v>27</v>
      </c>
      <c r="BM26" t="s">
        <v>3393</v>
      </c>
      <c r="BN26">
        <v>2023</v>
      </c>
      <c r="BO26">
        <v>1968</v>
      </c>
      <c r="BP26" t="s">
        <v>3264</v>
      </c>
      <c r="BQ26">
        <v>6.27</v>
      </c>
    </row>
    <row r="27" spans="2:69" x14ac:dyDescent="0.25">
      <c r="B27" t="s">
        <v>3393</v>
      </c>
      <c r="C27">
        <v>2023</v>
      </c>
      <c r="D27">
        <v>1980</v>
      </c>
      <c r="E27">
        <v>0</v>
      </c>
      <c r="F27">
        <v>0.46</v>
      </c>
      <c r="G27">
        <v>0</v>
      </c>
      <c r="H27">
        <v>0</v>
      </c>
      <c r="I27">
        <v>0</v>
      </c>
      <c r="M27" t="s">
        <v>3393</v>
      </c>
      <c r="N27">
        <v>2023</v>
      </c>
      <c r="O27">
        <v>1980</v>
      </c>
      <c r="P27">
        <v>0</v>
      </c>
      <c r="Q27">
        <v>0</v>
      </c>
      <c r="R27">
        <v>0.46</v>
      </c>
      <c r="S27">
        <v>0</v>
      </c>
      <c r="T27">
        <v>0.46</v>
      </c>
      <c r="Z27" t="s">
        <v>3393</v>
      </c>
      <c r="AA27">
        <v>2023</v>
      </c>
      <c r="AB27">
        <v>1968</v>
      </c>
      <c r="AC27">
        <v>5.69</v>
      </c>
      <c r="AD27">
        <v>0.18</v>
      </c>
      <c r="AE27">
        <v>42.09</v>
      </c>
      <c r="AF27">
        <v>7.0000000000000007E-2</v>
      </c>
      <c r="AG27">
        <v>0</v>
      </c>
      <c r="AK27" t="s">
        <v>3393</v>
      </c>
      <c r="AL27">
        <v>2023</v>
      </c>
      <c r="AM27">
        <v>1968</v>
      </c>
      <c r="AN27">
        <v>47.78</v>
      </c>
      <c r="AO27">
        <v>0</v>
      </c>
      <c r="AP27">
        <v>0.18</v>
      </c>
      <c r="AQ27">
        <v>7.0000000000000007E-2</v>
      </c>
      <c r="AR27">
        <v>48.04</v>
      </c>
      <c r="AV27" t="s">
        <v>3393</v>
      </c>
      <c r="AW27">
        <v>2023</v>
      </c>
      <c r="AX27">
        <v>1969</v>
      </c>
      <c r="AY27">
        <v>30</v>
      </c>
      <c r="AZ27">
        <v>9</v>
      </c>
      <c r="BA27">
        <v>0</v>
      </c>
      <c r="BB27">
        <v>0</v>
      </c>
      <c r="BF27" t="s">
        <v>3393</v>
      </c>
      <c r="BG27">
        <v>2023</v>
      </c>
      <c r="BH27">
        <v>1992</v>
      </c>
      <c r="BI27">
        <v>51</v>
      </c>
      <c r="BM27" t="s">
        <v>3393</v>
      </c>
      <c r="BN27">
        <v>2023</v>
      </c>
      <c r="BO27">
        <v>1969</v>
      </c>
      <c r="BP27" t="s">
        <v>3263</v>
      </c>
      <c r="BQ27">
        <v>0.08</v>
      </c>
    </row>
    <row r="28" spans="2:69" x14ac:dyDescent="0.25">
      <c r="B28" t="s">
        <v>3393</v>
      </c>
      <c r="C28">
        <v>2023</v>
      </c>
      <c r="D28">
        <v>1981</v>
      </c>
      <c r="E28">
        <v>0</v>
      </c>
      <c r="F28">
        <v>0</v>
      </c>
      <c r="G28">
        <v>0</v>
      </c>
      <c r="H28">
        <v>0.14000000000000001</v>
      </c>
      <c r="I28">
        <v>0</v>
      </c>
      <c r="M28" t="s">
        <v>3393</v>
      </c>
      <c r="N28">
        <v>2023</v>
      </c>
      <c r="O28">
        <v>1981</v>
      </c>
      <c r="P28">
        <v>0</v>
      </c>
      <c r="Q28">
        <v>0</v>
      </c>
      <c r="R28">
        <v>0.14000000000000001</v>
      </c>
      <c r="S28">
        <v>0</v>
      </c>
      <c r="T28">
        <v>0.14000000000000001</v>
      </c>
      <c r="Z28" t="s">
        <v>3393</v>
      </c>
      <c r="AA28">
        <v>2023</v>
      </c>
      <c r="AB28">
        <v>1969</v>
      </c>
      <c r="AC28">
        <v>5.88</v>
      </c>
      <c r="AD28">
        <v>0.97</v>
      </c>
      <c r="AE28">
        <v>40.950000000000003</v>
      </c>
      <c r="AF28">
        <v>0</v>
      </c>
      <c r="AG28">
        <v>0</v>
      </c>
      <c r="AK28" t="s">
        <v>3393</v>
      </c>
      <c r="AL28">
        <v>2023</v>
      </c>
      <c r="AM28">
        <v>1969</v>
      </c>
      <c r="AN28">
        <v>46.83</v>
      </c>
      <c r="AO28">
        <v>0</v>
      </c>
      <c r="AP28">
        <v>0.97</v>
      </c>
      <c r="AQ28">
        <v>0</v>
      </c>
      <c r="AR28">
        <v>47.79</v>
      </c>
      <c r="AV28" t="s">
        <v>3393</v>
      </c>
      <c r="AW28">
        <v>2023</v>
      </c>
      <c r="AX28">
        <v>1970</v>
      </c>
      <c r="AY28">
        <v>35</v>
      </c>
      <c r="AZ28">
        <v>10</v>
      </c>
      <c r="BA28">
        <v>0</v>
      </c>
      <c r="BB28">
        <v>0</v>
      </c>
      <c r="BF28" t="s">
        <v>3393</v>
      </c>
      <c r="BG28">
        <v>2023</v>
      </c>
      <c r="BH28">
        <v>1993</v>
      </c>
      <c r="BI28">
        <v>72</v>
      </c>
      <c r="BM28" t="s">
        <v>3393</v>
      </c>
      <c r="BN28">
        <v>2023</v>
      </c>
      <c r="BO28">
        <v>1969</v>
      </c>
      <c r="BP28" t="s">
        <v>3264</v>
      </c>
      <c r="BQ28">
        <v>2.54</v>
      </c>
    </row>
    <row r="29" spans="2:69" x14ac:dyDescent="0.25">
      <c r="B29" t="s">
        <v>3393</v>
      </c>
      <c r="C29">
        <v>2023</v>
      </c>
      <c r="D29">
        <v>1982</v>
      </c>
      <c r="E29">
        <v>0</v>
      </c>
      <c r="F29">
        <v>0.33</v>
      </c>
      <c r="G29">
        <v>0</v>
      </c>
      <c r="H29">
        <v>0.08</v>
      </c>
      <c r="I29">
        <v>0</v>
      </c>
      <c r="M29" t="s">
        <v>3393</v>
      </c>
      <c r="N29">
        <v>2023</v>
      </c>
      <c r="O29">
        <v>1982</v>
      </c>
      <c r="P29">
        <v>0.03</v>
      </c>
      <c r="Q29">
        <v>0.12</v>
      </c>
      <c r="R29">
        <v>0.26</v>
      </c>
      <c r="S29">
        <v>0</v>
      </c>
      <c r="T29">
        <v>0.4</v>
      </c>
      <c r="Z29" t="s">
        <v>3393</v>
      </c>
      <c r="AA29">
        <v>2023</v>
      </c>
      <c r="AB29">
        <v>1970</v>
      </c>
      <c r="AC29">
        <v>0</v>
      </c>
      <c r="AD29">
        <v>0.61</v>
      </c>
      <c r="AE29">
        <v>56.5</v>
      </c>
      <c r="AF29">
        <v>4.08</v>
      </c>
      <c r="AG29">
        <v>0</v>
      </c>
      <c r="AK29" t="s">
        <v>3393</v>
      </c>
      <c r="AL29">
        <v>2023</v>
      </c>
      <c r="AM29">
        <v>1970</v>
      </c>
      <c r="AN29">
        <v>60.58</v>
      </c>
      <c r="AO29">
        <v>0</v>
      </c>
      <c r="AP29">
        <v>0.61</v>
      </c>
      <c r="AQ29">
        <v>0</v>
      </c>
      <c r="AR29">
        <v>61.18</v>
      </c>
      <c r="AV29" t="s">
        <v>3393</v>
      </c>
      <c r="AW29">
        <v>2023</v>
      </c>
      <c r="AX29">
        <v>1971</v>
      </c>
      <c r="AY29">
        <v>52</v>
      </c>
      <c r="AZ29">
        <v>21</v>
      </c>
      <c r="BA29">
        <v>3</v>
      </c>
      <c r="BB29">
        <v>0</v>
      </c>
      <c r="BF29" t="s">
        <v>3393</v>
      </c>
      <c r="BG29">
        <v>2023</v>
      </c>
      <c r="BH29">
        <v>1994</v>
      </c>
      <c r="BI29">
        <v>149</v>
      </c>
      <c r="BM29" t="s">
        <v>3393</v>
      </c>
      <c r="BN29">
        <v>2023</v>
      </c>
      <c r="BO29">
        <v>1970</v>
      </c>
      <c r="BP29" t="s">
        <v>3263</v>
      </c>
      <c r="BQ29">
        <v>0.89</v>
      </c>
    </row>
    <row r="30" spans="2:69" x14ac:dyDescent="0.25">
      <c r="B30" t="s">
        <v>3393</v>
      </c>
      <c r="C30">
        <v>2023</v>
      </c>
      <c r="D30">
        <v>1983</v>
      </c>
      <c r="E30">
        <v>0</v>
      </c>
      <c r="F30">
        <v>2.1</v>
      </c>
      <c r="G30">
        <v>0</v>
      </c>
      <c r="H30">
        <v>0.09</v>
      </c>
      <c r="I30">
        <v>0</v>
      </c>
      <c r="M30" t="s">
        <v>3393</v>
      </c>
      <c r="N30">
        <v>2023</v>
      </c>
      <c r="O30">
        <v>1983</v>
      </c>
      <c r="P30">
        <v>0.08</v>
      </c>
      <c r="Q30">
        <v>0.99</v>
      </c>
      <c r="R30">
        <v>1.1200000000000001</v>
      </c>
      <c r="S30">
        <v>0</v>
      </c>
      <c r="T30">
        <v>2.19</v>
      </c>
      <c r="Z30" t="s">
        <v>3393</v>
      </c>
      <c r="AA30">
        <v>2023</v>
      </c>
      <c r="AB30">
        <v>1971</v>
      </c>
      <c r="AC30">
        <v>0</v>
      </c>
      <c r="AD30">
        <v>0.67</v>
      </c>
      <c r="AE30">
        <v>47.82</v>
      </c>
      <c r="AF30">
        <v>0.1</v>
      </c>
      <c r="AG30">
        <v>0</v>
      </c>
      <c r="AK30" t="s">
        <v>3393</v>
      </c>
      <c r="AL30">
        <v>2023</v>
      </c>
      <c r="AM30">
        <v>1971</v>
      </c>
      <c r="AN30">
        <v>46.82</v>
      </c>
      <c r="AO30">
        <v>0</v>
      </c>
      <c r="AP30">
        <v>0.67</v>
      </c>
      <c r="AQ30">
        <v>1.0900000000000001</v>
      </c>
      <c r="AR30">
        <v>48.58</v>
      </c>
      <c r="AV30" t="s">
        <v>3393</v>
      </c>
      <c r="AW30">
        <v>2023</v>
      </c>
      <c r="AX30">
        <v>1972</v>
      </c>
      <c r="AY30">
        <v>61</v>
      </c>
      <c r="AZ30">
        <v>22</v>
      </c>
      <c r="BA30">
        <v>3</v>
      </c>
      <c r="BB30">
        <v>0</v>
      </c>
      <c r="BF30" t="s">
        <v>3393</v>
      </c>
      <c r="BG30">
        <v>2023</v>
      </c>
      <c r="BH30">
        <v>1995</v>
      </c>
      <c r="BI30">
        <v>94</v>
      </c>
      <c r="BM30" t="s">
        <v>3393</v>
      </c>
      <c r="BN30">
        <v>2023</v>
      </c>
      <c r="BO30">
        <v>1970</v>
      </c>
      <c r="BP30" t="s">
        <v>3264</v>
      </c>
      <c r="BQ30">
        <v>8.75</v>
      </c>
    </row>
    <row r="31" spans="2:69" x14ac:dyDescent="0.25">
      <c r="B31" t="s">
        <v>3393</v>
      </c>
      <c r="C31">
        <v>2023</v>
      </c>
      <c r="D31">
        <v>1984</v>
      </c>
      <c r="E31">
        <v>0</v>
      </c>
      <c r="F31">
        <v>3.54</v>
      </c>
      <c r="G31">
        <v>0.04</v>
      </c>
      <c r="H31">
        <v>0.06</v>
      </c>
      <c r="I31">
        <v>0</v>
      </c>
      <c r="M31" t="s">
        <v>3393</v>
      </c>
      <c r="N31">
        <v>2023</v>
      </c>
      <c r="O31">
        <v>1984</v>
      </c>
      <c r="P31">
        <v>0</v>
      </c>
      <c r="Q31">
        <v>0.99</v>
      </c>
      <c r="R31">
        <v>2.5499999999999998</v>
      </c>
      <c r="S31">
        <v>0.1</v>
      </c>
      <c r="T31">
        <v>3.64</v>
      </c>
      <c r="Z31" t="s">
        <v>3393</v>
      </c>
      <c r="AA31">
        <v>2023</v>
      </c>
      <c r="AB31">
        <v>1972</v>
      </c>
      <c r="AC31">
        <v>0</v>
      </c>
      <c r="AD31">
        <v>0.43</v>
      </c>
      <c r="AE31">
        <v>42.39</v>
      </c>
      <c r="AF31">
        <v>0.03</v>
      </c>
      <c r="AG31">
        <v>0</v>
      </c>
      <c r="AK31" t="s">
        <v>3393</v>
      </c>
      <c r="AL31">
        <v>2023</v>
      </c>
      <c r="AM31">
        <v>1972</v>
      </c>
      <c r="AN31">
        <v>42.17</v>
      </c>
      <c r="AO31">
        <v>0</v>
      </c>
      <c r="AP31">
        <v>0.43</v>
      </c>
      <c r="AQ31">
        <v>0.25</v>
      </c>
      <c r="AR31">
        <v>42.85</v>
      </c>
      <c r="AV31" t="s">
        <v>3393</v>
      </c>
      <c r="AW31">
        <v>2023</v>
      </c>
      <c r="AX31">
        <v>1973</v>
      </c>
      <c r="AY31">
        <v>73</v>
      </c>
      <c r="AZ31">
        <v>16</v>
      </c>
      <c r="BA31">
        <v>7</v>
      </c>
      <c r="BB31">
        <v>0</v>
      </c>
      <c r="BF31" t="s">
        <v>3393</v>
      </c>
      <c r="BG31">
        <v>2023</v>
      </c>
      <c r="BH31">
        <v>1996</v>
      </c>
      <c r="BI31">
        <v>191</v>
      </c>
      <c r="BM31" t="s">
        <v>3393</v>
      </c>
      <c r="BN31">
        <v>2023</v>
      </c>
      <c r="BO31">
        <v>1971</v>
      </c>
      <c r="BP31" t="s">
        <v>3263</v>
      </c>
      <c r="BQ31">
        <v>4.32</v>
      </c>
    </row>
    <row r="32" spans="2:69" x14ac:dyDescent="0.25">
      <c r="B32" t="s">
        <v>3393</v>
      </c>
      <c r="C32">
        <v>2023</v>
      </c>
      <c r="D32">
        <v>1985</v>
      </c>
      <c r="E32">
        <v>0</v>
      </c>
      <c r="F32">
        <v>24</v>
      </c>
      <c r="G32">
        <v>0</v>
      </c>
      <c r="H32">
        <v>5.39</v>
      </c>
      <c r="I32">
        <v>0</v>
      </c>
      <c r="M32" t="s">
        <v>3393</v>
      </c>
      <c r="N32">
        <v>2023</v>
      </c>
      <c r="O32">
        <v>1985</v>
      </c>
      <c r="P32">
        <v>4.7</v>
      </c>
      <c r="Q32">
        <v>14.72</v>
      </c>
      <c r="R32">
        <v>9.33</v>
      </c>
      <c r="S32">
        <v>0.64</v>
      </c>
      <c r="T32">
        <v>29.39</v>
      </c>
      <c r="Z32" t="s">
        <v>3393</v>
      </c>
      <c r="AA32">
        <v>2023</v>
      </c>
      <c r="AB32">
        <v>1973</v>
      </c>
      <c r="AC32">
        <v>0.73</v>
      </c>
      <c r="AD32">
        <v>0.94</v>
      </c>
      <c r="AE32">
        <v>63.87</v>
      </c>
      <c r="AF32">
        <v>0.36</v>
      </c>
      <c r="AG32">
        <v>0</v>
      </c>
      <c r="AK32" t="s">
        <v>3393</v>
      </c>
      <c r="AL32">
        <v>2023</v>
      </c>
      <c r="AM32">
        <v>1973</v>
      </c>
      <c r="AN32">
        <v>64.510000000000005</v>
      </c>
      <c r="AO32">
        <v>0</v>
      </c>
      <c r="AP32">
        <v>0.94</v>
      </c>
      <c r="AQ32">
        <v>0.45</v>
      </c>
      <c r="AR32">
        <v>65.89</v>
      </c>
      <c r="AV32" t="s">
        <v>3393</v>
      </c>
      <c r="AW32">
        <v>2023</v>
      </c>
      <c r="AX32">
        <v>1974</v>
      </c>
      <c r="AY32">
        <v>62</v>
      </c>
      <c r="AZ32">
        <v>16</v>
      </c>
      <c r="BA32">
        <v>4</v>
      </c>
      <c r="BB32">
        <v>0</v>
      </c>
      <c r="BF32" t="s">
        <v>3393</v>
      </c>
      <c r="BG32">
        <v>2023</v>
      </c>
      <c r="BH32">
        <v>1997</v>
      </c>
      <c r="BI32">
        <v>215</v>
      </c>
      <c r="BM32" t="s">
        <v>3393</v>
      </c>
      <c r="BN32">
        <v>2023</v>
      </c>
      <c r="BO32">
        <v>1971</v>
      </c>
      <c r="BP32" t="s">
        <v>3264</v>
      </c>
      <c r="BQ32">
        <v>9.82</v>
      </c>
    </row>
    <row r="33" spans="2:69" x14ac:dyDescent="0.25">
      <c r="B33" t="s">
        <v>3393</v>
      </c>
      <c r="C33">
        <v>2023</v>
      </c>
      <c r="D33">
        <v>1986</v>
      </c>
      <c r="E33">
        <v>0</v>
      </c>
      <c r="F33">
        <v>73.5</v>
      </c>
      <c r="G33">
        <v>0.14000000000000001</v>
      </c>
      <c r="H33">
        <v>29.67</v>
      </c>
      <c r="I33">
        <v>0</v>
      </c>
      <c r="M33" t="s">
        <v>3393</v>
      </c>
      <c r="N33">
        <v>2023</v>
      </c>
      <c r="O33">
        <v>1986</v>
      </c>
      <c r="P33">
        <v>26.03</v>
      </c>
      <c r="Q33">
        <v>25.72</v>
      </c>
      <c r="R33">
        <v>50</v>
      </c>
      <c r="S33">
        <v>1.57</v>
      </c>
      <c r="T33">
        <v>103.32</v>
      </c>
      <c r="Z33" t="s">
        <v>3393</v>
      </c>
      <c r="AA33">
        <v>2023</v>
      </c>
      <c r="AB33">
        <v>1974</v>
      </c>
      <c r="AC33">
        <v>0</v>
      </c>
      <c r="AD33">
        <v>0.04</v>
      </c>
      <c r="AE33">
        <v>50.3</v>
      </c>
      <c r="AF33">
        <v>0.82</v>
      </c>
      <c r="AG33">
        <v>0</v>
      </c>
      <c r="AK33" t="s">
        <v>3393</v>
      </c>
      <c r="AL33">
        <v>2023</v>
      </c>
      <c r="AM33">
        <v>1974</v>
      </c>
      <c r="AN33">
        <v>51.13</v>
      </c>
      <c r="AO33">
        <v>0</v>
      </c>
      <c r="AP33">
        <v>0.04</v>
      </c>
      <c r="AQ33">
        <v>0</v>
      </c>
      <c r="AR33">
        <v>51.16</v>
      </c>
      <c r="AV33" t="s">
        <v>3393</v>
      </c>
      <c r="AW33">
        <v>2023</v>
      </c>
      <c r="AX33">
        <v>1975</v>
      </c>
      <c r="AY33">
        <v>26</v>
      </c>
      <c r="AZ33">
        <v>31</v>
      </c>
      <c r="BA33">
        <v>5</v>
      </c>
      <c r="BB33">
        <v>0</v>
      </c>
      <c r="BF33" t="s">
        <v>3393</v>
      </c>
      <c r="BG33">
        <v>2023</v>
      </c>
      <c r="BH33">
        <v>1998</v>
      </c>
      <c r="BI33">
        <v>298</v>
      </c>
      <c r="BM33" t="s">
        <v>3393</v>
      </c>
      <c r="BN33">
        <v>2023</v>
      </c>
      <c r="BO33">
        <v>1972</v>
      </c>
      <c r="BP33" t="s">
        <v>3264</v>
      </c>
      <c r="BQ33">
        <v>9.56</v>
      </c>
    </row>
    <row r="34" spans="2:69" x14ac:dyDescent="0.25">
      <c r="B34" t="s">
        <v>3393</v>
      </c>
      <c r="C34">
        <v>2023</v>
      </c>
      <c r="D34">
        <v>1987</v>
      </c>
      <c r="E34">
        <v>0</v>
      </c>
      <c r="F34">
        <v>127.68</v>
      </c>
      <c r="G34">
        <v>0.15</v>
      </c>
      <c r="H34">
        <v>20.260000000000002</v>
      </c>
      <c r="I34">
        <v>0</v>
      </c>
      <c r="M34" t="s">
        <v>3393</v>
      </c>
      <c r="N34">
        <v>2023</v>
      </c>
      <c r="O34">
        <v>1987</v>
      </c>
      <c r="P34">
        <v>6.01</v>
      </c>
      <c r="Q34">
        <v>51.05</v>
      </c>
      <c r="R34">
        <v>90.65</v>
      </c>
      <c r="S34">
        <v>0.37</v>
      </c>
      <c r="T34">
        <v>148.09</v>
      </c>
      <c r="Z34" t="s">
        <v>3393</v>
      </c>
      <c r="AA34">
        <v>2023</v>
      </c>
      <c r="AB34">
        <v>1975</v>
      </c>
      <c r="AC34">
        <v>0.57999999999999996</v>
      </c>
      <c r="AD34">
        <v>2.5499999999999998</v>
      </c>
      <c r="AE34">
        <v>31.29</v>
      </c>
      <c r="AF34">
        <v>0.23</v>
      </c>
      <c r="AG34">
        <v>0</v>
      </c>
      <c r="AK34" t="s">
        <v>3393</v>
      </c>
      <c r="AL34">
        <v>2023</v>
      </c>
      <c r="AM34">
        <v>1975</v>
      </c>
      <c r="AN34">
        <v>32.1</v>
      </c>
      <c r="AO34">
        <v>0</v>
      </c>
      <c r="AP34">
        <v>2.5499999999999998</v>
      </c>
      <c r="AQ34">
        <v>0</v>
      </c>
      <c r="AR34">
        <v>34.64</v>
      </c>
      <c r="AV34" t="s">
        <v>3393</v>
      </c>
      <c r="AW34">
        <v>2023</v>
      </c>
      <c r="AX34">
        <v>1976</v>
      </c>
      <c r="AY34">
        <v>39</v>
      </c>
      <c r="AZ34">
        <v>22</v>
      </c>
      <c r="BA34">
        <v>14</v>
      </c>
      <c r="BB34">
        <v>0</v>
      </c>
      <c r="BF34" t="s">
        <v>3393</v>
      </c>
      <c r="BG34">
        <v>2023</v>
      </c>
      <c r="BH34">
        <v>1999</v>
      </c>
      <c r="BI34">
        <v>380</v>
      </c>
      <c r="BM34" t="s">
        <v>3393</v>
      </c>
      <c r="BN34">
        <v>2023</v>
      </c>
      <c r="BO34">
        <v>1973</v>
      </c>
      <c r="BP34" t="s">
        <v>3263</v>
      </c>
      <c r="BQ34">
        <v>0.75</v>
      </c>
    </row>
    <row r="35" spans="2:69" x14ac:dyDescent="0.25">
      <c r="B35" t="s">
        <v>3393</v>
      </c>
      <c r="C35">
        <v>2023</v>
      </c>
      <c r="D35">
        <v>1988</v>
      </c>
      <c r="E35">
        <v>0</v>
      </c>
      <c r="F35">
        <v>0.39</v>
      </c>
      <c r="G35">
        <v>0</v>
      </c>
      <c r="H35">
        <v>0</v>
      </c>
      <c r="I35">
        <v>0</v>
      </c>
      <c r="M35" t="s">
        <v>3393</v>
      </c>
      <c r="N35">
        <v>2023</v>
      </c>
      <c r="O35">
        <v>1988</v>
      </c>
      <c r="P35">
        <v>0</v>
      </c>
      <c r="Q35">
        <v>0.16</v>
      </c>
      <c r="R35">
        <v>0.24</v>
      </c>
      <c r="S35">
        <v>0</v>
      </c>
      <c r="T35">
        <v>0.39</v>
      </c>
      <c r="Z35" t="s">
        <v>3393</v>
      </c>
      <c r="AA35">
        <v>2023</v>
      </c>
      <c r="AB35">
        <v>1976</v>
      </c>
      <c r="AC35">
        <v>0</v>
      </c>
      <c r="AD35">
        <v>0.56999999999999995</v>
      </c>
      <c r="AE35">
        <v>34.65</v>
      </c>
      <c r="AF35">
        <v>0</v>
      </c>
      <c r="AG35">
        <v>0</v>
      </c>
      <c r="AK35" t="s">
        <v>3393</v>
      </c>
      <c r="AL35">
        <v>2023</v>
      </c>
      <c r="AM35">
        <v>1976</v>
      </c>
      <c r="AN35">
        <v>34.65</v>
      </c>
      <c r="AO35">
        <v>0</v>
      </c>
      <c r="AP35">
        <v>0.56999999999999995</v>
      </c>
      <c r="AQ35">
        <v>0</v>
      </c>
      <c r="AR35">
        <v>35.22</v>
      </c>
      <c r="AV35" t="s">
        <v>3393</v>
      </c>
      <c r="AW35">
        <v>2023</v>
      </c>
      <c r="AX35">
        <v>1977</v>
      </c>
      <c r="AY35">
        <v>32</v>
      </c>
      <c r="AZ35">
        <v>25</v>
      </c>
      <c r="BA35">
        <v>17</v>
      </c>
      <c r="BB35">
        <v>0</v>
      </c>
      <c r="BF35" t="s">
        <v>3393</v>
      </c>
      <c r="BG35">
        <v>2023</v>
      </c>
      <c r="BH35">
        <v>2000</v>
      </c>
      <c r="BI35">
        <v>313</v>
      </c>
      <c r="BM35" t="s">
        <v>3393</v>
      </c>
      <c r="BN35">
        <v>2023</v>
      </c>
      <c r="BO35">
        <v>1973</v>
      </c>
      <c r="BP35" t="s">
        <v>3264</v>
      </c>
      <c r="BQ35">
        <v>12.15</v>
      </c>
    </row>
    <row r="36" spans="2:69" x14ac:dyDescent="0.25">
      <c r="B36" t="s">
        <v>3393</v>
      </c>
      <c r="C36">
        <v>2023</v>
      </c>
      <c r="D36">
        <v>1989</v>
      </c>
      <c r="E36">
        <v>0</v>
      </c>
      <c r="F36">
        <v>104.38</v>
      </c>
      <c r="G36">
        <v>0.23</v>
      </c>
      <c r="H36">
        <v>35.39</v>
      </c>
      <c r="I36">
        <v>0</v>
      </c>
      <c r="M36" t="s">
        <v>3393</v>
      </c>
      <c r="N36">
        <v>2023</v>
      </c>
      <c r="O36">
        <v>1989</v>
      </c>
      <c r="P36">
        <v>25.43</v>
      </c>
      <c r="Q36">
        <v>50.25</v>
      </c>
      <c r="R36">
        <v>62.56</v>
      </c>
      <c r="S36">
        <v>1.75</v>
      </c>
      <c r="T36">
        <v>140</v>
      </c>
      <c r="Z36" t="s">
        <v>3393</v>
      </c>
      <c r="AA36">
        <v>2023</v>
      </c>
      <c r="AB36">
        <v>1977</v>
      </c>
      <c r="AC36">
        <v>0</v>
      </c>
      <c r="AD36">
        <v>4.5599999999999996</v>
      </c>
      <c r="AE36">
        <v>25.08</v>
      </c>
      <c r="AF36">
        <v>0.05</v>
      </c>
      <c r="AG36">
        <v>0</v>
      </c>
      <c r="AK36" t="s">
        <v>3393</v>
      </c>
      <c r="AL36">
        <v>2023</v>
      </c>
      <c r="AM36">
        <v>1977</v>
      </c>
      <c r="AN36">
        <v>25.12</v>
      </c>
      <c r="AO36">
        <v>0</v>
      </c>
      <c r="AP36">
        <v>4.5599999999999996</v>
      </c>
      <c r="AQ36">
        <v>0.01</v>
      </c>
      <c r="AR36">
        <v>29.69</v>
      </c>
      <c r="AV36" t="s">
        <v>3393</v>
      </c>
      <c r="AW36">
        <v>2023</v>
      </c>
      <c r="AX36">
        <v>1978</v>
      </c>
      <c r="AY36">
        <v>24</v>
      </c>
      <c r="AZ36">
        <v>7</v>
      </c>
      <c r="BA36">
        <v>3</v>
      </c>
      <c r="BB36">
        <v>0</v>
      </c>
      <c r="BF36" t="s">
        <v>3393</v>
      </c>
      <c r="BG36">
        <v>2023</v>
      </c>
      <c r="BH36">
        <v>2001</v>
      </c>
      <c r="BI36">
        <v>452</v>
      </c>
      <c r="BM36" t="s">
        <v>3393</v>
      </c>
      <c r="BN36">
        <v>2023</v>
      </c>
      <c r="BO36">
        <v>1974</v>
      </c>
      <c r="BP36" t="s">
        <v>3263</v>
      </c>
      <c r="BQ36">
        <v>0.1</v>
      </c>
    </row>
    <row r="37" spans="2:69" x14ac:dyDescent="0.25">
      <c r="B37" t="s">
        <v>3393</v>
      </c>
      <c r="C37">
        <v>2023</v>
      </c>
      <c r="D37">
        <v>1990</v>
      </c>
      <c r="E37">
        <v>0</v>
      </c>
      <c r="F37">
        <v>95.71</v>
      </c>
      <c r="G37">
        <v>0</v>
      </c>
      <c r="H37">
        <v>9.83</v>
      </c>
      <c r="I37">
        <v>0</v>
      </c>
      <c r="M37" t="s">
        <v>3393</v>
      </c>
      <c r="N37">
        <v>2023</v>
      </c>
      <c r="O37">
        <v>1990</v>
      </c>
      <c r="P37">
        <v>9.15</v>
      </c>
      <c r="Q37">
        <v>61.11</v>
      </c>
      <c r="R37">
        <v>35.01</v>
      </c>
      <c r="S37">
        <v>0.27</v>
      </c>
      <c r="T37">
        <v>105.54</v>
      </c>
      <c r="Z37" t="s">
        <v>3393</v>
      </c>
      <c r="AA37">
        <v>2023</v>
      </c>
      <c r="AB37">
        <v>1978</v>
      </c>
      <c r="AC37">
        <v>0</v>
      </c>
      <c r="AD37">
        <v>51.74</v>
      </c>
      <c r="AE37">
        <v>43.28</v>
      </c>
      <c r="AF37">
        <v>0</v>
      </c>
      <c r="AG37">
        <v>0</v>
      </c>
      <c r="AK37" t="s">
        <v>3393</v>
      </c>
      <c r="AL37">
        <v>2023</v>
      </c>
      <c r="AM37">
        <v>1978</v>
      </c>
      <c r="AN37">
        <v>43.28</v>
      </c>
      <c r="AO37">
        <v>1.3</v>
      </c>
      <c r="AP37">
        <v>50.44</v>
      </c>
      <c r="AQ37">
        <v>0</v>
      </c>
      <c r="AR37">
        <v>95.02</v>
      </c>
      <c r="AV37" t="s">
        <v>3393</v>
      </c>
      <c r="AW37">
        <v>2023</v>
      </c>
      <c r="AX37">
        <v>1979</v>
      </c>
      <c r="AY37">
        <v>34</v>
      </c>
      <c r="AZ37">
        <v>4</v>
      </c>
      <c r="BA37">
        <v>9</v>
      </c>
      <c r="BB37">
        <v>0</v>
      </c>
      <c r="BF37" t="s">
        <v>3393</v>
      </c>
      <c r="BG37">
        <v>2023</v>
      </c>
      <c r="BH37">
        <v>2002</v>
      </c>
      <c r="BI37">
        <v>294</v>
      </c>
      <c r="BM37" t="s">
        <v>3393</v>
      </c>
      <c r="BN37">
        <v>2023</v>
      </c>
      <c r="BO37">
        <v>1974</v>
      </c>
      <c r="BP37" t="s">
        <v>3264</v>
      </c>
      <c r="BQ37">
        <v>8.5</v>
      </c>
    </row>
    <row r="38" spans="2:69" x14ac:dyDescent="0.25">
      <c r="B38" t="s">
        <v>3393</v>
      </c>
      <c r="C38">
        <v>2023</v>
      </c>
      <c r="D38">
        <v>1991</v>
      </c>
      <c r="E38">
        <v>0</v>
      </c>
      <c r="F38">
        <v>269.47000000000003</v>
      </c>
      <c r="G38">
        <v>2.19</v>
      </c>
      <c r="H38">
        <v>34.159999999999997</v>
      </c>
      <c r="I38">
        <v>0</v>
      </c>
      <c r="M38" t="s">
        <v>3393</v>
      </c>
      <c r="N38">
        <v>2023</v>
      </c>
      <c r="O38">
        <v>1991</v>
      </c>
      <c r="P38">
        <v>26.25</v>
      </c>
      <c r="Q38">
        <v>199.41</v>
      </c>
      <c r="R38">
        <v>71.569999999999993</v>
      </c>
      <c r="S38">
        <v>8.59</v>
      </c>
      <c r="T38">
        <v>305.82</v>
      </c>
      <c r="Z38" t="s">
        <v>3393</v>
      </c>
      <c r="AA38">
        <v>2023</v>
      </c>
      <c r="AB38">
        <v>1979</v>
      </c>
      <c r="AC38">
        <v>0</v>
      </c>
      <c r="AD38">
        <v>3.08</v>
      </c>
      <c r="AE38">
        <v>51.36</v>
      </c>
      <c r="AF38">
        <v>1.1399999999999999</v>
      </c>
      <c r="AG38">
        <v>0</v>
      </c>
      <c r="AK38" t="s">
        <v>3393</v>
      </c>
      <c r="AL38">
        <v>2023</v>
      </c>
      <c r="AM38">
        <v>1979</v>
      </c>
      <c r="AN38">
        <v>52.23</v>
      </c>
      <c r="AO38">
        <v>0</v>
      </c>
      <c r="AP38">
        <v>3.08</v>
      </c>
      <c r="AQ38">
        <v>0.27</v>
      </c>
      <c r="AR38">
        <v>55.57</v>
      </c>
      <c r="AV38" t="s">
        <v>3393</v>
      </c>
      <c r="AW38">
        <v>2023</v>
      </c>
      <c r="AX38">
        <v>1980</v>
      </c>
      <c r="AY38">
        <v>26</v>
      </c>
      <c r="AZ38">
        <v>2</v>
      </c>
      <c r="BA38">
        <v>11</v>
      </c>
      <c r="BB38">
        <v>0</v>
      </c>
      <c r="BF38" t="s">
        <v>3393</v>
      </c>
      <c r="BG38">
        <v>2023</v>
      </c>
      <c r="BH38">
        <v>2003</v>
      </c>
      <c r="BI38">
        <v>71</v>
      </c>
      <c r="BM38" t="s">
        <v>3393</v>
      </c>
      <c r="BN38">
        <v>2023</v>
      </c>
      <c r="BO38">
        <v>1975</v>
      </c>
      <c r="BP38" t="s">
        <v>3263</v>
      </c>
      <c r="BQ38">
        <v>0.28999999999999998</v>
      </c>
    </row>
    <row r="39" spans="2:69" x14ac:dyDescent="0.25">
      <c r="B39" t="s">
        <v>3393</v>
      </c>
      <c r="C39">
        <v>2023</v>
      </c>
      <c r="D39">
        <v>1992</v>
      </c>
      <c r="E39">
        <v>0</v>
      </c>
      <c r="F39">
        <v>262.93</v>
      </c>
      <c r="G39">
        <v>4.0199999999999996</v>
      </c>
      <c r="H39">
        <v>37.89</v>
      </c>
      <c r="I39">
        <v>0</v>
      </c>
      <c r="M39" t="s">
        <v>3393</v>
      </c>
      <c r="N39">
        <v>2023</v>
      </c>
      <c r="O39">
        <v>1992</v>
      </c>
      <c r="P39">
        <v>36.799999999999997</v>
      </c>
      <c r="Q39">
        <v>149.72</v>
      </c>
      <c r="R39">
        <v>110.38</v>
      </c>
      <c r="S39">
        <v>7.94</v>
      </c>
      <c r="T39">
        <v>304.83999999999997</v>
      </c>
      <c r="Z39" t="s">
        <v>3393</v>
      </c>
      <c r="AA39">
        <v>2023</v>
      </c>
      <c r="AB39">
        <v>1980</v>
      </c>
      <c r="AC39">
        <v>0</v>
      </c>
      <c r="AD39">
        <v>9.31</v>
      </c>
      <c r="AE39">
        <v>27.42</v>
      </c>
      <c r="AF39">
        <v>1.68</v>
      </c>
      <c r="AG39">
        <v>0</v>
      </c>
      <c r="AK39" t="s">
        <v>3393</v>
      </c>
      <c r="AL39">
        <v>2023</v>
      </c>
      <c r="AM39">
        <v>1980</v>
      </c>
      <c r="AN39">
        <v>28.67</v>
      </c>
      <c r="AO39">
        <v>0</v>
      </c>
      <c r="AP39">
        <v>9.31</v>
      </c>
      <c r="AQ39">
        <v>0.43</v>
      </c>
      <c r="AR39">
        <v>38.409999999999997</v>
      </c>
      <c r="AV39" t="s">
        <v>3393</v>
      </c>
      <c r="AW39">
        <v>2023</v>
      </c>
      <c r="AX39">
        <v>1981</v>
      </c>
      <c r="AY39">
        <v>29</v>
      </c>
      <c r="AZ39">
        <v>3</v>
      </c>
      <c r="BA39">
        <v>7</v>
      </c>
      <c r="BB39">
        <v>0</v>
      </c>
      <c r="BF39" t="s">
        <v>3393</v>
      </c>
      <c r="BG39">
        <v>2023</v>
      </c>
      <c r="BH39">
        <v>2004</v>
      </c>
      <c r="BI39">
        <v>59</v>
      </c>
      <c r="BM39" t="s">
        <v>3393</v>
      </c>
      <c r="BN39">
        <v>2023</v>
      </c>
      <c r="BO39">
        <v>1975</v>
      </c>
      <c r="BP39" t="s">
        <v>3264</v>
      </c>
      <c r="BQ39">
        <v>4.46</v>
      </c>
    </row>
    <row r="40" spans="2:69" x14ac:dyDescent="0.25">
      <c r="B40" t="s">
        <v>3393</v>
      </c>
      <c r="C40">
        <v>2023</v>
      </c>
      <c r="D40">
        <v>1993</v>
      </c>
      <c r="E40">
        <v>0</v>
      </c>
      <c r="F40">
        <v>102.53</v>
      </c>
      <c r="G40">
        <v>0.05</v>
      </c>
      <c r="H40">
        <v>12.03</v>
      </c>
      <c r="I40">
        <v>0</v>
      </c>
      <c r="M40" t="s">
        <v>3393</v>
      </c>
      <c r="N40">
        <v>2023</v>
      </c>
      <c r="O40">
        <v>1993</v>
      </c>
      <c r="P40">
        <v>11.31</v>
      </c>
      <c r="Q40">
        <v>52.64</v>
      </c>
      <c r="R40">
        <v>50.07</v>
      </c>
      <c r="S40">
        <v>0.59</v>
      </c>
      <c r="T40">
        <v>114.61</v>
      </c>
      <c r="Z40" t="s">
        <v>3393</v>
      </c>
      <c r="AA40">
        <v>2023</v>
      </c>
      <c r="AB40">
        <v>1981</v>
      </c>
      <c r="AC40">
        <v>1.77</v>
      </c>
      <c r="AD40">
        <v>15.44</v>
      </c>
      <c r="AE40">
        <v>16.7</v>
      </c>
      <c r="AF40">
        <v>0.82</v>
      </c>
      <c r="AG40">
        <v>0</v>
      </c>
      <c r="AK40" t="s">
        <v>3393</v>
      </c>
      <c r="AL40">
        <v>2023</v>
      </c>
      <c r="AM40">
        <v>1981</v>
      </c>
      <c r="AN40">
        <v>19.29</v>
      </c>
      <c r="AO40">
        <v>0</v>
      </c>
      <c r="AP40">
        <v>15.44</v>
      </c>
      <c r="AQ40">
        <v>0</v>
      </c>
      <c r="AR40">
        <v>34.729999999999997</v>
      </c>
      <c r="AV40" t="s">
        <v>3393</v>
      </c>
      <c r="AW40">
        <v>2023</v>
      </c>
      <c r="AX40">
        <v>1982</v>
      </c>
      <c r="AY40">
        <v>38</v>
      </c>
      <c r="AZ40">
        <v>4</v>
      </c>
      <c r="BA40">
        <v>27</v>
      </c>
      <c r="BB40">
        <v>0</v>
      </c>
      <c r="BF40" t="s">
        <v>3393</v>
      </c>
      <c r="BG40">
        <v>2023</v>
      </c>
      <c r="BH40">
        <v>2005</v>
      </c>
      <c r="BI40">
        <v>55</v>
      </c>
      <c r="BM40" t="s">
        <v>3393</v>
      </c>
      <c r="BN40">
        <v>2023</v>
      </c>
      <c r="BO40">
        <v>1976</v>
      </c>
      <c r="BP40" t="s">
        <v>3263</v>
      </c>
      <c r="BQ40">
        <v>0.46</v>
      </c>
    </row>
    <row r="41" spans="2:69" x14ac:dyDescent="0.25">
      <c r="B41" t="s">
        <v>3393</v>
      </c>
      <c r="C41">
        <v>2023</v>
      </c>
      <c r="D41">
        <v>1994</v>
      </c>
      <c r="E41">
        <v>0</v>
      </c>
      <c r="F41">
        <v>116.68</v>
      </c>
      <c r="G41">
        <v>0.41</v>
      </c>
      <c r="H41">
        <v>2.11</v>
      </c>
      <c r="I41">
        <v>0</v>
      </c>
      <c r="M41" t="s">
        <v>3393</v>
      </c>
      <c r="N41">
        <v>2023</v>
      </c>
      <c r="O41">
        <v>1994</v>
      </c>
      <c r="P41">
        <v>2.08</v>
      </c>
      <c r="Q41">
        <v>57.47</v>
      </c>
      <c r="R41">
        <v>59.54</v>
      </c>
      <c r="S41">
        <v>0.11</v>
      </c>
      <c r="T41">
        <v>119.19</v>
      </c>
      <c r="Z41" t="s">
        <v>3393</v>
      </c>
      <c r="AA41">
        <v>2023</v>
      </c>
      <c r="AB41">
        <v>1982</v>
      </c>
      <c r="AC41">
        <v>0.43</v>
      </c>
      <c r="AD41">
        <v>15.62</v>
      </c>
      <c r="AE41">
        <v>57.45</v>
      </c>
      <c r="AF41">
        <v>2.09</v>
      </c>
      <c r="AG41">
        <v>0</v>
      </c>
      <c r="AK41" t="s">
        <v>3393</v>
      </c>
      <c r="AL41">
        <v>2023</v>
      </c>
      <c r="AM41">
        <v>1982</v>
      </c>
      <c r="AN41">
        <v>59.36</v>
      </c>
      <c r="AO41">
        <v>0</v>
      </c>
      <c r="AP41">
        <v>15.96</v>
      </c>
      <c r="AQ41">
        <v>0.28000000000000003</v>
      </c>
      <c r="AR41">
        <v>75.599999999999994</v>
      </c>
      <c r="AV41" t="s">
        <v>3393</v>
      </c>
      <c r="AW41">
        <v>2023</v>
      </c>
      <c r="AX41">
        <v>1983</v>
      </c>
      <c r="AY41">
        <v>37</v>
      </c>
      <c r="AZ41">
        <v>10</v>
      </c>
      <c r="BA41">
        <v>23</v>
      </c>
      <c r="BB41">
        <v>0</v>
      </c>
      <c r="BF41" t="s">
        <v>3393</v>
      </c>
      <c r="BG41">
        <v>2023</v>
      </c>
      <c r="BH41">
        <v>2006</v>
      </c>
      <c r="BI41">
        <v>61</v>
      </c>
      <c r="BM41" t="s">
        <v>3393</v>
      </c>
      <c r="BN41">
        <v>2023</v>
      </c>
      <c r="BO41">
        <v>1976</v>
      </c>
      <c r="BP41" t="s">
        <v>3264</v>
      </c>
      <c r="BQ41">
        <v>6.53</v>
      </c>
    </row>
    <row r="42" spans="2:69" x14ac:dyDescent="0.25">
      <c r="B42" t="s">
        <v>3393</v>
      </c>
      <c r="C42">
        <v>2023</v>
      </c>
      <c r="D42">
        <v>1995</v>
      </c>
      <c r="E42">
        <v>0</v>
      </c>
      <c r="F42">
        <v>102.53</v>
      </c>
      <c r="G42">
        <v>0.04</v>
      </c>
      <c r="H42">
        <v>0.79</v>
      </c>
      <c r="I42">
        <v>0</v>
      </c>
      <c r="M42" t="s">
        <v>3393</v>
      </c>
      <c r="N42">
        <v>2023</v>
      </c>
      <c r="O42">
        <v>1995</v>
      </c>
      <c r="P42">
        <v>1.49</v>
      </c>
      <c r="Q42">
        <v>45.59</v>
      </c>
      <c r="R42">
        <v>55.77</v>
      </c>
      <c r="S42">
        <v>0.5</v>
      </c>
      <c r="T42">
        <v>103.35</v>
      </c>
      <c r="Z42" t="s">
        <v>3393</v>
      </c>
      <c r="AA42">
        <v>2023</v>
      </c>
      <c r="AB42">
        <v>1983</v>
      </c>
      <c r="AC42">
        <v>0</v>
      </c>
      <c r="AD42">
        <v>12.73</v>
      </c>
      <c r="AE42">
        <v>50.6</v>
      </c>
      <c r="AF42">
        <v>2</v>
      </c>
      <c r="AG42">
        <v>0</v>
      </c>
      <c r="AK42" t="s">
        <v>3393</v>
      </c>
      <c r="AL42">
        <v>2023</v>
      </c>
      <c r="AM42">
        <v>1983</v>
      </c>
      <c r="AN42">
        <v>52.11</v>
      </c>
      <c r="AO42">
        <v>0</v>
      </c>
      <c r="AP42">
        <v>12.73</v>
      </c>
      <c r="AQ42">
        <v>0.49</v>
      </c>
      <c r="AR42">
        <v>65.33</v>
      </c>
      <c r="AV42" t="s">
        <v>3393</v>
      </c>
      <c r="AW42">
        <v>2023</v>
      </c>
      <c r="AX42">
        <v>1984</v>
      </c>
      <c r="AY42">
        <v>47</v>
      </c>
      <c r="AZ42">
        <v>7</v>
      </c>
      <c r="BA42">
        <v>45</v>
      </c>
      <c r="BB42">
        <v>0</v>
      </c>
      <c r="BF42" t="s">
        <v>3393</v>
      </c>
      <c r="BG42">
        <v>2023</v>
      </c>
      <c r="BH42">
        <v>2007</v>
      </c>
      <c r="BI42">
        <v>66</v>
      </c>
      <c r="BM42" t="s">
        <v>3393</v>
      </c>
      <c r="BN42">
        <v>2023</v>
      </c>
      <c r="BO42">
        <v>1977</v>
      </c>
      <c r="BP42" t="s">
        <v>3263</v>
      </c>
      <c r="BQ42">
        <v>0.02</v>
      </c>
    </row>
    <row r="43" spans="2:69" x14ac:dyDescent="0.25">
      <c r="B43" t="s">
        <v>3393</v>
      </c>
      <c r="C43">
        <v>2023</v>
      </c>
      <c r="D43">
        <v>1996</v>
      </c>
      <c r="E43">
        <v>0</v>
      </c>
      <c r="F43">
        <v>89.4</v>
      </c>
      <c r="G43">
        <v>0.25</v>
      </c>
      <c r="H43">
        <v>0.05</v>
      </c>
      <c r="I43">
        <v>0</v>
      </c>
      <c r="M43" t="s">
        <v>3393</v>
      </c>
      <c r="N43">
        <v>2023</v>
      </c>
      <c r="O43">
        <v>1996</v>
      </c>
      <c r="P43">
        <v>0</v>
      </c>
      <c r="Q43">
        <v>21.17</v>
      </c>
      <c r="R43">
        <v>68.290000000000006</v>
      </c>
      <c r="S43">
        <v>0.25</v>
      </c>
      <c r="T43">
        <v>89.7</v>
      </c>
      <c r="Z43" t="s">
        <v>3393</v>
      </c>
      <c r="AA43">
        <v>2023</v>
      </c>
      <c r="AB43">
        <v>1984</v>
      </c>
      <c r="AC43">
        <v>0.86</v>
      </c>
      <c r="AD43">
        <v>18.260000000000002</v>
      </c>
      <c r="AE43">
        <v>83.86</v>
      </c>
      <c r="AF43">
        <v>0</v>
      </c>
      <c r="AG43">
        <v>0</v>
      </c>
      <c r="AK43" t="s">
        <v>3393</v>
      </c>
      <c r="AL43">
        <v>2023</v>
      </c>
      <c r="AM43">
        <v>1984</v>
      </c>
      <c r="AN43">
        <v>83.77</v>
      </c>
      <c r="AO43">
        <v>0</v>
      </c>
      <c r="AP43">
        <v>18.260000000000002</v>
      </c>
      <c r="AQ43">
        <v>0.95</v>
      </c>
      <c r="AR43">
        <v>102.98</v>
      </c>
      <c r="AV43" t="s">
        <v>3393</v>
      </c>
      <c r="AW43">
        <v>2023</v>
      </c>
      <c r="AX43">
        <v>1985</v>
      </c>
      <c r="AY43">
        <v>51</v>
      </c>
      <c r="AZ43">
        <v>7</v>
      </c>
      <c r="BA43">
        <v>43</v>
      </c>
      <c r="BB43">
        <v>0</v>
      </c>
      <c r="BF43" t="s">
        <v>3393</v>
      </c>
      <c r="BG43">
        <v>2023</v>
      </c>
      <c r="BH43">
        <v>2008</v>
      </c>
      <c r="BI43">
        <v>91</v>
      </c>
      <c r="BM43" t="s">
        <v>3393</v>
      </c>
      <c r="BN43">
        <v>2023</v>
      </c>
      <c r="BO43">
        <v>1977</v>
      </c>
      <c r="BP43" t="s">
        <v>3264</v>
      </c>
      <c r="BQ43">
        <v>2.74</v>
      </c>
    </row>
    <row r="44" spans="2:69" x14ac:dyDescent="0.25">
      <c r="B44" t="s">
        <v>3393</v>
      </c>
      <c r="C44">
        <v>2023</v>
      </c>
      <c r="D44">
        <v>1997</v>
      </c>
      <c r="E44">
        <v>0</v>
      </c>
      <c r="F44">
        <v>73.849999999999994</v>
      </c>
      <c r="G44">
        <v>0</v>
      </c>
      <c r="H44">
        <v>0</v>
      </c>
      <c r="I44">
        <v>0</v>
      </c>
      <c r="M44" t="s">
        <v>3393</v>
      </c>
      <c r="N44">
        <v>2023</v>
      </c>
      <c r="O44">
        <v>1997</v>
      </c>
      <c r="P44">
        <v>0</v>
      </c>
      <c r="Q44">
        <v>15.25</v>
      </c>
      <c r="R44">
        <v>58.6</v>
      </c>
      <c r="S44">
        <v>0</v>
      </c>
      <c r="T44">
        <v>73.849999999999994</v>
      </c>
      <c r="Z44" t="s">
        <v>3393</v>
      </c>
      <c r="AA44">
        <v>2023</v>
      </c>
      <c r="AB44">
        <v>1985</v>
      </c>
      <c r="AC44">
        <v>0.34</v>
      </c>
      <c r="AD44">
        <v>17.079999999999998</v>
      </c>
      <c r="AE44">
        <v>88.98</v>
      </c>
      <c r="AF44">
        <v>0.12</v>
      </c>
      <c r="AG44">
        <v>0</v>
      </c>
      <c r="AK44" t="s">
        <v>3393</v>
      </c>
      <c r="AL44">
        <v>2023</v>
      </c>
      <c r="AM44">
        <v>1985</v>
      </c>
      <c r="AN44">
        <v>89.03</v>
      </c>
      <c r="AO44">
        <v>0</v>
      </c>
      <c r="AP44">
        <v>17.079999999999998</v>
      </c>
      <c r="AQ44">
        <v>0.42</v>
      </c>
      <c r="AR44">
        <v>106.53</v>
      </c>
      <c r="AV44" t="s">
        <v>3393</v>
      </c>
      <c r="AW44">
        <v>2023</v>
      </c>
      <c r="AX44">
        <v>1986</v>
      </c>
      <c r="AY44">
        <v>31</v>
      </c>
      <c r="AZ44">
        <v>8</v>
      </c>
      <c r="BA44">
        <v>40</v>
      </c>
      <c r="BB44">
        <v>0</v>
      </c>
      <c r="BF44" t="s">
        <v>3393</v>
      </c>
      <c r="BG44">
        <v>2023</v>
      </c>
      <c r="BH44">
        <v>2009</v>
      </c>
      <c r="BI44">
        <v>67</v>
      </c>
      <c r="BM44" t="s">
        <v>3393</v>
      </c>
      <c r="BN44">
        <v>2023</v>
      </c>
      <c r="BO44">
        <v>1978</v>
      </c>
      <c r="BP44" t="s">
        <v>3263</v>
      </c>
      <c r="BQ44">
        <v>0.46</v>
      </c>
    </row>
    <row r="45" spans="2:69" x14ac:dyDescent="0.25">
      <c r="B45" t="s">
        <v>3393</v>
      </c>
      <c r="C45">
        <v>2023</v>
      </c>
      <c r="D45">
        <v>1998</v>
      </c>
      <c r="E45">
        <v>0</v>
      </c>
      <c r="F45">
        <v>86.14</v>
      </c>
      <c r="G45">
        <v>0</v>
      </c>
      <c r="H45">
        <v>0.04</v>
      </c>
      <c r="I45">
        <v>0</v>
      </c>
      <c r="M45" t="s">
        <v>3393</v>
      </c>
      <c r="N45">
        <v>2023</v>
      </c>
      <c r="O45">
        <v>1998</v>
      </c>
      <c r="P45">
        <v>0</v>
      </c>
      <c r="Q45">
        <v>12.28</v>
      </c>
      <c r="R45">
        <v>73.900000000000006</v>
      </c>
      <c r="S45">
        <v>0</v>
      </c>
      <c r="T45">
        <v>86.18</v>
      </c>
      <c r="Z45" t="s">
        <v>3393</v>
      </c>
      <c r="AA45">
        <v>2023</v>
      </c>
      <c r="AB45">
        <v>1986</v>
      </c>
      <c r="AC45">
        <v>3.26</v>
      </c>
      <c r="AD45">
        <v>17.329999999999998</v>
      </c>
      <c r="AE45">
        <v>57.15</v>
      </c>
      <c r="AF45">
        <v>0.14000000000000001</v>
      </c>
      <c r="AG45">
        <v>0</v>
      </c>
      <c r="AK45" t="s">
        <v>3393</v>
      </c>
      <c r="AL45">
        <v>2023</v>
      </c>
      <c r="AM45">
        <v>1986</v>
      </c>
      <c r="AN45">
        <v>60.55</v>
      </c>
      <c r="AO45">
        <v>0</v>
      </c>
      <c r="AP45">
        <v>17.329999999999998</v>
      </c>
      <c r="AQ45">
        <v>0</v>
      </c>
      <c r="AR45">
        <v>77.88</v>
      </c>
      <c r="AV45" t="s">
        <v>3393</v>
      </c>
      <c r="AW45">
        <v>2023</v>
      </c>
      <c r="AX45">
        <v>1987</v>
      </c>
      <c r="AY45">
        <v>37</v>
      </c>
      <c r="AZ45">
        <v>11</v>
      </c>
      <c r="BA45">
        <v>39</v>
      </c>
      <c r="BB45">
        <v>0</v>
      </c>
      <c r="BF45" t="s">
        <v>3393</v>
      </c>
      <c r="BG45">
        <v>2023</v>
      </c>
      <c r="BH45">
        <v>2010</v>
      </c>
      <c r="BI45">
        <v>52</v>
      </c>
      <c r="BM45" t="s">
        <v>3393</v>
      </c>
      <c r="BN45">
        <v>2023</v>
      </c>
      <c r="BO45">
        <v>1978</v>
      </c>
      <c r="BP45" t="s">
        <v>3264</v>
      </c>
      <c r="BQ45">
        <v>5.4</v>
      </c>
    </row>
    <row r="46" spans="2:69" x14ac:dyDescent="0.25">
      <c r="B46" t="s">
        <v>3393</v>
      </c>
      <c r="C46">
        <v>2023</v>
      </c>
      <c r="D46">
        <v>1999</v>
      </c>
      <c r="E46">
        <v>0</v>
      </c>
      <c r="F46">
        <v>77.56</v>
      </c>
      <c r="G46">
        <v>0</v>
      </c>
      <c r="H46">
        <v>0</v>
      </c>
      <c r="I46">
        <v>0</v>
      </c>
      <c r="M46" t="s">
        <v>3393</v>
      </c>
      <c r="N46">
        <v>2023</v>
      </c>
      <c r="O46">
        <v>1999</v>
      </c>
      <c r="P46">
        <v>0</v>
      </c>
      <c r="Q46">
        <v>13.16</v>
      </c>
      <c r="R46">
        <v>64.41</v>
      </c>
      <c r="S46">
        <v>0</v>
      </c>
      <c r="T46">
        <v>77.56</v>
      </c>
      <c r="Z46" t="s">
        <v>3393</v>
      </c>
      <c r="AA46">
        <v>2023</v>
      </c>
      <c r="AB46">
        <v>1987</v>
      </c>
      <c r="AC46">
        <v>0</v>
      </c>
      <c r="AD46">
        <v>17.53</v>
      </c>
      <c r="AE46">
        <v>97.26</v>
      </c>
      <c r="AF46">
        <v>0.97</v>
      </c>
      <c r="AG46">
        <v>0</v>
      </c>
      <c r="AK46" t="s">
        <v>3393</v>
      </c>
      <c r="AL46">
        <v>2023</v>
      </c>
      <c r="AM46">
        <v>1987</v>
      </c>
      <c r="AN46">
        <v>98.16</v>
      </c>
      <c r="AO46">
        <v>1.28</v>
      </c>
      <c r="AP46">
        <v>16.260000000000002</v>
      </c>
      <c r="AQ46">
        <v>7.0000000000000007E-2</v>
      </c>
      <c r="AR46">
        <v>115.77</v>
      </c>
      <c r="AV46" t="s">
        <v>3393</v>
      </c>
      <c r="AW46">
        <v>2023</v>
      </c>
      <c r="AX46">
        <v>1988</v>
      </c>
      <c r="AY46">
        <v>44</v>
      </c>
      <c r="AZ46">
        <v>3</v>
      </c>
      <c r="BA46">
        <v>41</v>
      </c>
      <c r="BB46">
        <v>0</v>
      </c>
      <c r="BF46" t="s">
        <v>3393</v>
      </c>
      <c r="BG46">
        <v>2023</v>
      </c>
      <c r="BH46">
        <v>2011</v>
      </c>
      <c r="BI46">
        <v>85</v>
      </c>
      <c r="BM46" t="s">
        <v>3393</v>
      </c>
      <c r="BN46">
        <v>2023</v>
      </c>
      <c r="BO46">
        <v>1979</v>
      </c>
      <c r="BP46" t="s">
        <v>3263</v>
      </c>
      <c r="BQ46">
        <v>0.96</v>
      </c>
    </row>
    <row r="47" spans="2:69" x14ac:dyDescent="0.25">
      <c r="B47" t="s">
        <v>3393</v>
      </c>
      <c r="C47">
        <v>2023</v>
      </c>
      <c r="D47">
        <v>2000</v>
      </c>
      <c r="E47">
        <v>0</v>
      </c>
      <c r="F47">
        <v>72.69</v>
      </c>
      <c r="G47">
        <v>0</v>
      </c>
      <c r="H47">
        <v>0.04</v>
      </c>
      <c r="I47">
        <v>0</v>
      </c>
      <c r="M47" t="s">
        <v>3393</v>
      </c>
      <c r="N47">
        <v>2023</v>
      </c>
      <c r="O47">
        <v>2000</v>
      </c>
      <c r="P47">
        <v>0</v>
      </c>
      <c r="Q47">
        <v>15.4</v>
      </c>
      <c r="R47">
        <v>57.33</v>
      </c>
      <c r="S47">
        <v>0</v>
      </c>
      <c r="T47">
        <v>72.72</v>
      </c>
      <c r="Z47" t="s">
        <v>3393</v>
      </c>
      <c r="AA47">
        <v>2023</v>
      </c>
      <c r="AB47">
        <v>1988</v>
      </c>
      <c r="AC47">
        <v>0.65</v>
      </c>
      <c r="AD47">
        <v>25.24</v>
      </c>
      <c r="AE47">
        <v>166.32</v>
      </c>
      <c r="AF47">
        <v>1.92</v>
      </c>
      <c r="AG47">
        <v>0</v>
      </c>
      <c r="AK47" t="s">
        <v>3393</v>
      </c>
      <c r="AL47">
        <v>2023</v>
      </c>
      <c r="AM47">
        <v>1988</v>
      </c>
      <c r="AN47">
        <v>168.86</v>
      </c>
      <c r="AO47">
        <v>0.83</v>
      </c>
      <c r="AP47">
        <v>24.41</v>
      </c>
      <c r="AQ47">
        <v>0.02</v>
      </c>
      <c r="AR47">
        <v>194.12</v>
      </c>
      <c r="AV47" t="s">
        <v>3393</v>
      </c>
      <c r="AW47">
        <v>2023</v>
      </c>
      <c r="AX47">
        <v>1989</v>
      </c>
      <c r="AY47">
        <v>32</v>
      </c>
      <c r="AZ47">
        <v>5</v>
      </c>
      <c r="BA47">
        <v>44</v>
      </c>
      <c r="BB47">
        <v>0</v>
      </c>
      <c r="BF47" t="s">
        <v>3393</v>
      </c>
      <c r="BG47">
        <v>2023</v>
      </c>
      <c r="BH47">
        <v>2012</v>
      </c>
      <c r="BI47">
        <v>94</v>
      </c>
      <c r="BM47" t="s">
        <v>3393</v>
      </c>
      <c r="BN47">
        <v>2023</v>
      </c>
      <c r="BO47">
        <v>1979</v>
      </c>
      <c r="BP47" t="s">
        <v>3264</v>
      </c>
      <c r="BQ47">
        <v>6</v>
      </c>
    </row>
    <row r="48" spans="2:69" x14ac:dyDescent="0.25">
      <c r="B48" t="s">
        <v>3393</v>
      </c>
      <c r="C48">
        <v>2023</v>
      </c>
      <c r="D48">
        <v>2001</v>
      </c>
      <c r="E48">
        <v>0</v>
      </c>
      <c r="F48">
        <v>111.86</v>
      </c>
      <c r="G48">
        <v>0</v>
      </c>
      <c r="H48">
        <v>0.03</v>
      </c>
      <c r="I48">
        <v>0</v>
      </c>
      <c r="M48" t="s">
        <v>3393</v>
      </c>
      <c r="N48">
        <v>2023</v>
      </c>
      <c r="O48">
        <v>2001</v>
      </c>
      <c r="P48">
        <v>0</v>
      </c>
      <c r="Q48">
        <v>43.01</v>
      </c>
      <c r="R48">
        <v>68.88</v>
      </c>
      <c r="S48">
        <v>0</v>
      </c>
      <c r="T48">
        <v>111.89</v>
      </c>
      <c r="Z48" t="s">
        <v>3393</v>
      </c>
      <c r="AA48">
        <v>2023</v>
      </c>
      <c r="AB48">
        <v>1989</v>
      </c>
      <c r="AC48">
        <v>2.81</v>
      </c>
      <c r="AD48">
        <v>20.53</v>
      </c>
      <c r="AE48">
        <v>131.51</v>
      </c>
      <c r="AF48">
        <v>0.14000000000000001</v>
      </c>
      <c r="AG48">
        <v>0</v>
      </c>
      <c r="AK48" t="s">
        <v>3393</v>
      </c>
      <c r="AL48">
        <v>2023</v>
      </c>
      <c r="AM48">
        <v>1989</v>
      </c>
      <c r="AN48">
        <v>133.66999999999999</v>
      </c>
      <c r="AO48">
        <v>0.96</v>
      </c>
      <c r="AP48">
        <v>19.57</v>
      </c>
      <c r="AQ48">
        <v>0.79</v>
      </c>
      <c r="AR48">
        <v>154.97999999999999</v>
      </c>
      <c r="AV48" t="s">
        <v>3393</v>
      </c>
      <c r="AW48">
        <v>2023</v>
      </c>
      <c r="AX48">
        <v>1990</v>
      </c>
      <c r="AY48">
        <v>36</v>
      </c>
      <c r="AZ48">
        <v>7</v>
      </c>
      <c r="BA48">
        <v>37</v>
      </c>
      <c r="BB48">
        <v>0</v>
      </c>
      <c r="BF48" t="s">
        <v>3393</v>
      </c>
      <c r="BG48">
        <v>2023</v>
      </c>
      <c r="BH48">
        <v>2013</v>
      </c>
      <c r="BI48">
        <v>59</v>
      </c>
      <c r="BM48" t="s">
        <v>3393</v>
      </c>
      <c r="BN48">
        <v>2023</v>
      </c>
      <c r="BO48">
        <v>1980</v>
      </c>
      <c r="BP48" t="s">
        <v>3263</v>
      </c>
      <c r="BQ48">
        <v>0.24</v>
      </c>
    </row>
    <row r="49" spans="2:69" x14ac:dyDescent="0.25">
      <c r="B49" t="s">
        <v>3393</v>
      </c>
      <c r="C49">
        <v>2023</v>
      </c>
      <c r="D49">
        <v>2002</v>
      </c>
      <c r="E49">
        <v>0</v>
      </c>
      <c r="F49">
        <v>91.91</v>
      </c>
      <c r="G49">
        <v>0</v>
      </c>
      <c r="H49">
        <v>0</v>
      </c>
      <c r="I49">
        <v>0</v>
      </c>
      <c r="M49" t="s">
        <v>3393</v>
      </c>
      <c r="N49">
        <v>2023</v>
      </c>
      <c r="O49">
        <v>2002</v>
      </c>
      <c r="P49">
        <v>0</v>
      </c>
      <c r="Q49">
        <v>38.5</v>
      </c>
      <c r="R49">
        <v>53.42</v>
      </c>
      <c r="S49">
        <v>0</v>
      </c>
      <c r="T49">
        <v>91.91</v>
      </c>
      <c r="Z49" t="s">
        <v>3393</v>
      </c>
      <c r="AA49">
        <v>2023</v>
      </c>
      <c r="AB49">
        <v>1990</v>
      </c>
      <c r="AC49">
        <v>0.55000000000000004</v>
      </c>
      <c r="AD49">
        <v>15.84</v>
      </c>
      <c r="AE49">
        <v>93.4</v>
      </c>
      <c r="AF49">
        <v>3.87</v>
      </c>
      <c r="AG49">
        <v>0</v>
      </c>
      <c r="AK49" t="s">
        <v>3393</v>
      </c>
      <c r="AL49">
        <v>2023</v>
      </c>
      <c r="AM49">
        <v>1990</v>
      </c>
      <c r="AN49">
        <v>96.57</v>
      </c>
      <c r="AO49">
        <v>0</v>
      </c>
      <c r="AP49">
        <v>15.84</v>
      </c>
      <c r="AQ49">
        <v>1.26</v>
      </c>
      <c r="AR49">
        <v>113.67</v>
      </c>
      <c r="AV49" t="s">
        <v>3393</v>
      </c>
      <c r="AW49">
        <v>2023</v>
      </c>
      <c r="AX49">
        <v>1991</v>
      </c>
      <c r="AY49">
        <v>42</v>
      </c>
      <c r="AZ49">
        <v>12</v>
      </c>
      <c r="BA49">
        <v>42</v>
      </c>
      <c r="BB49">
        <v>0</v>
      </c>
      <c r="BF49" t="s">
        <v>3393</v>
      </c>
      <c r="BG49">
        <v>2023</v>
      </c>
      <c r="BH49">
        <v>2014</v>
      </c>
      <c r="BI49">
        <v>37</v>
      </c>
      <c r="BM49" t="s">
        <v>3393</v>
      </c>
      <c r="BN49">
        <v>2023</v>
      </c>
      <c r="BO49">
        <v>1980</v>
      </c>
      <c r="BP49" t="s">
        <v>3264</v>
      </c>
      <c r="BQ49">
        <v>4.22</v>
      </c>
    </row>
    <row r="50" spans="2:69" x14ac:dyDescent="0.25">
      <c r="B50" t="s">
        <v>3393</v>
      </c>
      <c r="C50">
        <v>2023</v>
      </c>
      <c r="D50">
        <v>2003</v>
      </c>
      <c r="E50">
        <v>0</v>
      </c>
      <c r="F50">
        <v>116.85</v>
      </c>
      <c r="G50">
        <v>0</v>
      </c>
      <c r="H50">
        <v>0</v>
      </c>
      <c r="I50">
        <v>0</v>
      </c>
      <c r="M50" t="s">
        <v>3393</v>
      </c>
      <c r="N50">
        <v>2023</v>
      </c>
      <c r="O50">
        <v>2003</v>
      </c>
      <c r="P50">
        <v>0</v>
      </c>
      <c r="Q50">
        <v>52.36</v>
      </c>
      <c r="R50">
        <v>64.489999999999995</v>
      </c>
      <c r="S50">
        <v>0</v>
      </c>
      <c r="T50">
        <v>116.85</v>
      </c>
      <c r="Z50" t="s">
        <v>3393</v>
      </c>
      <c r="AA50">
        <v>2023</v>
      </c>
      <c r="AB50">
        <v>1991</v>
      </c>
      <c r="AC50">
        <v>0</v>
      </c>
      <c r="AD50">
        <v>17.86</v>
      </c>
      <c r="AE50">
        <v>108.12</v>
      </c>
      <c r="AF50">
        <v>0.24</v>
      </c>
      <c r="AG50">
        <v>0</v>
      </c>
      <c r="AK50" t="s">
        <v>3393</v>
      </c>
      <c r="AL50">
        <v>2023</v>
      </c>
      <c r="AM50">
        <v>1991</v>
      </c>
      <c r="AN50">
        <v>108.36</v>
      </c>
      <c r="AO50">
        <v>0</v>
      </c>
      <c r="AP50">
        <v>17.86</v>
      </c>
      <c r="AQ50">
        <v>0</v>
      </c>
      <c r="AR50">
        <v>126.23</v>
      </c>
      <c r="AV50" t="s">
        <v>3393</v>
      </c>
      <c r="AW50">
        <v>2023</v>
      </c>
      <c r="AX50">
        <v>1992</v>
      </c>
      <c r="AY50">
        <v>38</v>
      </c>
      <c r="AZ50">
        <v>6</v>
      </c>
      <c r="BA50">
        <v>31</v>
      </c>
      <c r="BB50">
        <v>0</v>
      </c>
      <c r="BF50" t="s">
        <v>3393</v>
      </c>
      <c r="BG50">
        <v>2023</v>
      </c>
      <c r="BH50">
        <v>2015</v>
      </c>
      <c r="BI50">
        <v>38</v>
      </c>
      <c r="BM50" t="s">
        <v>3393</v>
      </c>
      <c r="BN50">
        <v>2023</v>
      </c>
      <c r="BO50">
        <v>1981</v>
      </c>
      <c r="BP50" t="s">
        <v>3264</v>
      </c>
      <c r="BQ50">
        <v>0.16</v>
      </c>
    </row>
    <row r="51" spans="2:69" x14ac:dyDescent="0.25">
      <c r="B51" t="s">
        <v>3393</v>
      </c>
      <c r="C51">
        <v>2023</v>
      </c>
      <c r="D51">
        <v>2004</v>
      </c>
      <c r="E51">
        <v>0</v>
      </c>
      <c r="F51">
        <v>70.92</v>
      </c>
      <c r="G51">
        <v>0</v>
      </c>
      <c r="H51">
        <v>0.01</v>
      </c>
      <c r="I51">
        <v>0</v>
      </c>
      <c r="M51" t="s">
        <v>3393</v>
      </c>
      <c r="N51">
        <v>2023</v>
      </c>
      <c r="O51">
        <v>2004</v>
      </c>
      <c r="P51">
        <v>0</v>
      </c>
      <c r="Q51">
        <v>16.38</v>
      </c>
      <c r="R51">
        <v>54.55</v>
      </c>
      <c r="S51">
        <v>0</v>
      </c>
      <c r="T51">
        <v>70.930000000000007</v>
      </c>
      <c r="Z51" t="s">
        <v>3393</v>
      </c>
      <c r="AA51">
        <v>2023</v>
      </c>
      <c r="AB51">
        <v>1992</v>
      </c>
      <c r="AC51">
        <v>2.56</v>
      </c>
      <c r="AD51">
        <v>30.34</v>
      </c>
      <c r="AE51">
        <v>98.14</v>
      </c>
      <c r="AF51">
        <v>3.45</v>
      </c>
      <c r="AG51">
        <v>0</v>
      </c>
      <c r="AK51" t="s">
        <v>3393</v>
      </c>
      <c r="AL51">
        <v>2023</v>
      </c>
      <c r="AM51">
        <v>1992</v>
      </c>
      <c r="AN51">
        <v>101.83</v>
      </c>
      <c r="AO51">
        <v>0</v>
      </c>
      <c r="AP51">
        <v>30.34</v>
      </c>
      <c r="AQ51">
        <v>2.3199999999999998</v>
      </c>
      <c r="AR51">
        <v>134.49</v>
      </c>
      <c r="AV51" t="s">
        <v>3393</v>
      </c>
      <c r="AW51">
        <v>2023</v>
      </c>
      <c r="AX51">
        <v>1993</v>
      </c>
      <c r="AY51">
        <v>24</v>
      </c>
      <c r="AZ51">
        <v>9</v>
      </c>
      <c r="BA51">
        <v>29</v>
      </c>
      <c r="BB51">
        <v>0</v>
      </c>
      <c r="BF51" t="s">
        <v>3393</v>
      </c>
      <c r="BG51">
        <v>2023</v>
      </c>
      <c r="BH51">
        <v>2016</v>
      </c>
      <c r="BI51">
        <v>59</v>
      </c>
      <c r="BM51" t="s">
        <v>3393</v>
      </c>
      <c r="BN51">
        <v>2023</v>
      </c>
      <c r="BO51">
        <v>1982</v>
      </c>
      <c r="BP51" t="s">
        <v>3263</v>
      </c>
      <c r="BQ51">
        <v>3.02</v>
      </c>
    </row>
    <row r="52" spans="2:69" x14ac:dyDescent="0.25">
      <c r="B52" t="s">
        <v>3393</v>
      </c>
      <c r="C52">
        <v>2023</v>
      </c>
      <c r="D52">
        <v>2005</v>
      </c>
      <c r="E52">
        <v>0</v>
      </c>
      <c r="F52">
        <v>76.42</v>
      </c>
      <c r="G52">
        <v>0</v>
      </c>
      <c r="H52">
        <v>0.01</v>
      </c>
      <c r="I52">
        <v>0</v>
      </c>
      <c r="M52" t="s">
        <v>3393</v>
      </c>
      <c r="N52">
        <v>2023</v>
      </c>
      <c r="O52">
        <v>2005</v>
      </c>
      <c r="P52">
        <v>0</v>
      </c>
      <c r="Q52">
        <v>9.99</v>
      </c>
      <c r="R52">
        <v>66.430000000000007</v>
      </c>
      <c r="S52">
        <v>0</v>
      </c>
      <c r="T52">
        <v>76.42</v>
      </c>
      <c r="Z52" t="s">
        <v>3393</v>
      </c>
      <c r="AA52">
        <v>2023</v>
      </c>
      <c r="AB52">
        <v>1993</v>
      </c>
      <c r="AC52">
        <v>1.1499999999999999</v>
      </c>
      <c r="AD52">
        <v>47.65</v>
      </c>
      <c r="AE52">
        <v>36.659999999999997</v>
      </c>
      <c r="AF52">
        <v>0.22</v>
      </c>
      <c r="AG52">
        <v>0</v>
      </c>
      <c r="AK52" t="s">
        <v>3393</v>
      </c>
      <c r="AL52">
        <v>2023</v>
      </c>
      <c r="AM52">
        <v>1993</v>
      </c>
      <c r="AN52">
        <v>38.03</v>
      </c>
      <c r="AO52">
        <v>0</v>
      </c>
      <c r="AP52">
        <v>47.65</v>
      </c>
      <c r="AQ52">
        <v>0</v>
      </c>
      <c r="AR52">
        <v>85.68</v>
      </c>
      <c r="AV52" t="s">
        <v>3393</v>
      </c>
      <c r="AW52">
        <v>2023</v>
      </c>
      <c r="AX52">
        <v>1994</v>
      </c>
      <c r="AY52">
        <v>13</v>
      </c>
      <c r="AZ52">
        <v>8</v>
      </c>
      <c r="BA52">
        <v>41</v>
      </c>
      <c r="BB52">
        <v>0</v>
      </c>
      <c r="BF52" t="s">
        <v>3393</v>
      </c>
      <c r="BG52">
        <v>2023</v>
      </c>
      <c r="BH52">
        <v>2017</v>
      </c>
      <c r="BI52">
        <v>37</v>
      </c>
      <c r="BM52" t="s">
        <v>3393</v>
      </c>
      <c r="BN52">
        <v>2023</v>
      </c>
      <c r="BO52">
        <v>1982</v>
      </c>
      <c r="BP52" t="s">
        <v>3264</v>
      </c>
      <c r="BQ52">
        <v>1.92</v>
      </c>
    </row>
    <row r="53" spans="2:69" x14ac:dyDescent="0.25">
      <c r="B53" t="s">
        <v>3393</v>
      </c>
      <c r="C53">
        <v>2023</v>
      </c>
      <c r="D53">
        <v>2006</v>
      </c>
      <c r="E53">
        <v>0</v>
      </c>
      <c r="F53">
        <v>80.069999999999993</v>
      </c>
      <c r="G53">
        <v>0</v>
      </c>
      <c r="H53">
        <v>0</v>
      </c>
      <c r="I53">
        <v>0</v>
      </c>
      <c r="M53" t="s">
        <v>3393</v>
      </c>
      <c r="N53">
        <v>2023</v>
      </c>
      <c r="O53">
        <v>2006</v>
      </c>
      <c r="P53">
        <v>0</v>
      </c>
      <c r="Q53">
        <v>16.66</v>
      </c>
      <c r="R53">
        <v>63.41</v>
      </c>
      <c r="S53">
        <v>0</v>
      </c>
      <c r="T53">
        <v>80.069999999999993</v>
      </c>
      <c r="Z53" t="s">
        <v>3393</v>
      </c>
      <c r="AA53">
        <v>2023</v>
      </c>
      <c r="AB53">
        <v>1994</v>
      </c>
      <c r="AC53">
        <v>0</v>
      </c>
      <c r="AD53">
        <v>49.87</v>
      </c>
      <c r="AE53">
        <v>17.739999999999998</v>
      </c>
      <c r="AF53">
        <v>0</v>
      </c>
      <c r="AG53">
        <v>0</v>
      </c>
      <c r="AK53" t="s">
        <v>3393</v>
      </c>
      <c r="AL53">
        <v>2023</v>
      </c>
      <c r="AM53">
        <v>1994</v>
      </c>
      <c r="AN53">
        <v>17.739999999999998</v>
      </c>
      <c r="AO53">
        <v>0</v>
      </c>
      <c r="AP53">
        <v>49.87</v>
      </c>
      <c r="AQ53">
        <v>0</v>
      </c>
      <c r="AR53">
        <v>67.61</v>
      </c>
      <c r="AV53" t="s">
        <v>3393</v>
      </c>
      <c r="AW53">
        <v>2023</v>
      </c>
      <c r="AX53">
        <v>1995</v>
      </c>
      <c r="AY53">
        <v>19</v>
      </c>
      <c r="AZ53">
        <v>6</v>
      </c>
      <c r="BA53">
        <v>43</v>
      </c>
      <c r="BB53">
        <v>0</v>
      </c>
      <c r="BF53" t="s">
        <v>3393</v>
      </c>
      <c r="BG53">
        <v>2023</v>
      </c>
      <c r="BH53">
        <v>2018</v>
      </c>
      <c r="BI53">
        <v>36</v>
      </c>
      <c r="BM53" t="s">
        <v>3393</v>
      </c>
      <c r="BN53">
        <v>2023</v>
      </c>
      <c r="BO53">
        <v>1983</v>
      </c>
      <c r="BP53" t="s">
        <v>3263</v>
      </c>
      <c r="BQ53">
        <v>0.01</v>
      </c>
    </row>
    <row r="54" spans="2:69" x14ac:dyDescent="0.25">
      <c r="B54" t="s">
        <v>3393</v>
      </c>
      <c r="C54">
        <v>2023</v>
      </c>
      <c r="D54">
        <v>2007</v>
      </c>
      <c r="E54">
        <v>0</v>
      </c>
      <c r="F54">
        <v>93.86</v>
      </c>
      <c r="G54">
        <v>0</v>
      </c>
      <c r="H54">
        <v>0</v>
      </c>
      <c r="I54">
        <v>0</v>
      </c>
      <c r="M54" t="s">
        <v>3393</v>
      </c>
      <c r="N54">
        <v>2023</v>
      </c>
      <c r="O54">
        <v>2007</v>
      </c>
      <c r="P54">
        <v>0</v>
      </c>
      <c r="Q54">
        <v>5.25</v>
      </c>
      <c r="R54">
        <v>88.61</v>
      </c>
      <c r="S54">
        <v>0</v>
      </c>
      <c r="T54">
        <v>93.86</v>
      </c>
      <c r="Z54" t="s">
        <v>3393</v>
      </c>
      <c r="AA54">
        <v>2023</v>
      </c>
      <c r="AB54">
        <v>1995</v>
      </c>
      <c r="AC54">
        <v>0</v>
      </c>
      <c r="AD54">
        <v>40.119999999999997</v>
      </c>
      <c r="AE54">
        <v>15.78</v>
      </c>
      <c r="AF54">
        <v>0</v>
      </c>
      <c r="AG54">
        <v>0</v>
      </c>
      <c r="AK54" t="s">
        <v>3393</v>
      </c>
      <c r="AL54">
        <v>2023</v>
      </c>
      <c r="AM54">
        <v>1995</v>
      </c>
      <c r="AN54">
        <v>15.78</v>
      </c>
      <c r="AO54">
        <v>0</v>
      </c>
      <c r="AP54">
        <v>40.119999999999997</v>
      </c>
      <c r="AQ54">
        <v>0</v>
      </c>
      <c r="AR54">
        <v>55.89</v>
      </c>
      <c r="AV54" t="s">
        <v>3393</v>
      </c>
      <c r="AW54">
        <v>2023</v>
      </c>
      <c r="AX54">
        <v>1996</v>
      </c>
      <c r="AY54">
        <v>16</v>
      </c>
      <c r="AZ54">
        <v>8</v>
      </c>
      <c r="BA54">
        <v>56</v>
      </c>
      <c r="BB54">
        <v>0</v>
      </c>
      <c r="BF54" t="s">
        <v>3393</v>
      </c>
      <c r="BG54">
        <v>2023</v>
      </c>
      <c r="BH54">
        <v>2019</v>
      </c>
      <c r="BI54">
        <v>54</v>
      </c>
      <c r="BM54" t="s">
        <v>3393</v>
      </c>
      <c r="BN54">
        <v>2023</v>
      </c>
      <c r="BO54">
        <v>1983</v>
      </c>
      <c r="BP54" t="s">
        <v>3264</v>
      </c>
      <c r="BQ54">
        <v>2.93</v>
      </c>
    </row>
    <row r="55" spans="2:69" x14ac:dyDescent="0.25">
      <c r="B55" t="s">
        <v>3393</v>
      </c>
      <c r="C55">
        <v>2023</v>
      </c>
      <c r="D55">
        <v>2008</v>
      </c>
      <c r="E55">
        <v>0</v>
      </c>
      <c r="F55">
        <v>81.66</v>
      </c>
      <c r="G55">
        <v>0</v>
      </c>
      <c r="H55">
        <v>0</v>
      </c>
      <c r="I55">
        <v>0</v>
      </c>
      <c r="M55" t="s">
        <v>3393</v>
      </c>
      <c r="N55">
        <v>2023</v>
      </c>
      <c r="O55">
        <v>2008</v>
      </c>
      <c r="P55">
        <v>0</v>
      </c>
      <c r="Q55">
        <v>5.08</v>
      </c>
      <c r="R55">
        <v>76.58</v>
      </c>
      <c r="S55">
        <v>0</v>
      </c>
      <c r="T55">
        <v>81.66</v>
      </c>
      <c r="Z55" t="s">
        <v>3393</v>
      </c>
      <c r="AA55">
        <v>2023</v>
      </c>
      <c r="AB55">
        <v>1996</v>
      </c>
      <c r="AC55">
        <v>0</v>
      </c>
      <c r="AD55">
        <v>90.2</v>
      </c>
      <c r="AE55">
        <v>16.48</v>
      </c>
      <c r="AF55">
        <v>0</v>
      </c>
      <c r="AG55">
        <v>0</v>
      </c>
      <c r="AK55" t="s">
        <v>3393</v>
      </c>
      <c r="AL55">
        <v>2023</v>
      </c>
      <c r="AM55">
        <v>1996</v>
      </c>
      <c r="AN55">
        <v>16.48</v>
      </c>
      <c r="AO55">
        <v>0</v>
      </c>
      <c r="AP55">
        <v>90.2</v>
      </c>
      <c r="AQ55">
        <v>0</v>
      </c>
      <c r="AR55">
        <v>106.68</v>
      </c>
      <c r="AV55" t="s">
        <v>3393</v>
      </c>
      <c r="AW55">
        <v>2023</v>
      </c>
      <c r="AX55">
        <v>1997</v>
      </c>
      <c r="AY55">
        <v>10</v>
      </c>
      <c r="AZ55">
        <v>4</v>
      </c>
      <c r="BA55">
        <v>50</v>
      </c>
      <c r="BB55">
        <v>0</v>
      </c>
      <c r="BF55" t="s">
        <v>3393</v>
      </c>
      <c r="BG55">
        <v>2023</v>
      </c>
      <c r="BH55">
        <v>2020</v>
      </c>
      <c r="BI55">
        <v>76</v>
      </c>
      <c r="BM55" t="s">
        <v>3393</v>
      </c>
      <c r="BN55">
        <v>2023</v>
      </c>
      <c r="BO55">
        <v>1984</v>
      </c>
      <c r="BP55" t="s">
        <v>3263</v>
      </c>
      <c r="BQ55">
        <v>2.2799999999999998</v>
      </c>
    </row>
    <row r="56" spans="2:69" x14ac:dyDescent="0.25">
      <c r="B56" t="s">
        <v>3393</v>
      </c>
      <c r="C56">
        <v>2023</v>
      </c>
      <c r="D56">
        <v>2009</v>
      </c>
      <c r="E56">
        <v>0</v>
      </c>
      <c r="F56">
        <v>84.8</v>
      </c>
      <c r="G56">
        <v>0</v>
      </c>
      <c r="H56">
        <v>0.12</v>
      </c>
      <c r="I56">
        <v>0</v>
      </c>
      <c r="M56" t="s">
        <v>3393</v>
      </c>
      <c r="N56">
        <v>2023</v>
      </c>
      <c r="O56">
        <v>2009</v>
      </c>
      <c r="P56">
        <v>0</v>
      </c>
      <c r="Q56">
        <v>19.87</v>
      </c>
      <c r="R56">
        <v>65.05</v>
      </c>
      <c r="S56">
        <v>0</v>
      </c>
      <c r="T56">
        <v>84.92</v>
      </c>
      <c r="Z56" t="s">
        <v>3393</v>
      </c>
      <c r="AA56">
        <v>2023</v>
      </c>
      <c r="AB56">
        <v>1997</v>
      </c>
      <c r="AC56">
        <v>0.43</v>
      </c>
      <c r="AD56">
        <v>61.63</v>
      </c>
      <c r="AE56">
        <v>5.95</v>
      </c>
      <c r="AF56">
        <v>0</v>
      </c>
      <c r="AG56">
        <v>0</v>
      </c>
      <c r="AK56" t="s">
        <v>3393</v>
      </c>
      <c r="AL56">
        <v>2023</v>
      </c>
      <c r="AM56">
        <v>1997</v>
      </c>
      <c r="AN56">
        <v>6.38</v>
      </c>
      <c r="AO56">
        <v>0</v>
      </c>
      <c r="AP56">
        <v>61.63</v>
      </c>
      <c r="AQ56">
        <v>0</v>
      </c>
      <c r="AR56">
        <v>68.010000000000005</v>
      </c>
      <c r="AV56" t="s">
        <v>3393</v>
      </c>
      <c r="AW56">
        <v>2023</v>
      </c>
      <c r="AX56">
        <v>1998</v>
      </c>
      <c r="AY56">
        <v>10</v>
      </c>
      <c r="AZ56">
        <v>1</v>
      </c>
      <c r="BA56">
        <v>67</v>
      </c>
      <c r="BB56">
        <v>0</v>
      </c>
      <c r="BF56" t="s">
        <v>3393</v>
      </c>
      <c r="BG56">
        <v>2023</v>
      </c>
      <c r="BH56">
        <v>2021</v>
      </c>
      <c r="BI56">
        <v>60</v>
      </c>
      <c r="BM56" t="s">
        <v>3393</v>
      </c>
      <c r="BN56">
        <v>2023</v>
      </c>
      <c r="BO56">
        <v>1984</v>
      </c>
      <c r="BP56" t="s">
        <v>3264</v>
      </c>
      <c r="BQ56">
        <v>15.03</v>
      </c>
    </row>
    <row r="57" spans="2:69" x14ac:dyDescent="0.25">
      <c r="B57" t="s">
        <v>3393</v>
      </c>
      <c r="C57">
        <v>2023</v>
      </c>
      <c r="D57">
        <v>2010</v>
      </c>
      <c r="E57">
        <v>0</v>
      </c>
      <c r="F57">
        <v>84.55</v>
      </c>
      <c r="G57">
        <v>0</v>
      </c>
      <c r="H57">
        <v>0</v>
      </c>
      <c r="I57">
        <v>0</v>
      </c>
      <c r="M57" t="s">
        <v>3393</v>
      </c>
      <c r="N57">
        <v>2023</v>
      </c>
      <c r="O57">
        <v>2010</v>
      </c>
      <c r="P57">
        <v>0</v>
      </c>
      <c r="Q57">
        <v>14.03</v>
      </c>
      <c r="R57">
        <v>70.52</v>
      </c>
      <c r="S57">
        <v>0</v>
      </c>
      <c r="T57">
        <v>84.55</v>
      </c>
      <c r="Z57" t="s">
        <v>3393</v>
      </c>
      <c r="AA57">
        <v>2023</v>
      </c>
      <c r="AB57">
        <v>1998</v>
      </c>
      <c r="AC57">
        <v>0</v>
      </c>
      <c r="AD57">
        <v>51.89</v>
      </c>
      <c r="AE57">
        <v>5.46</v>
      </c>
      <c r="AF57">
        <v>1.73</v>
      </c>
      <c r="AG57">
        <v>0</v>
      </c>
      <c r="AK57" t="s">
        <v>3393</v>
      </c>
      <c r="AL57">
        <v>2023</v>
      </c>
      <c r="AM57">
        <v>1998</v>
      </c>
      <c r="AN57">
        <v>7.19</v>
      </c>
      <c r="AO57">
        <v>0</v>
      </c>
      <c r="AP57">
        <v>51.89</v>
      </c>
      <c r="AQ57">
        <v>0</v>
      </c>
      <c r="AR57">
        <v>59.08</v>
      </c>
      <c r="AV57" t="s">
        <v>3393</v>
      </c>
      <c r="AW57">
        <v>2023</v>
      </c>
      <c r="AX57">
        <v>1999</v>
      </c>
      <c r="AY57">
        <v>12</v>
      </c>
      <c r="AZ57">
        <v>4</v>
      </c>
      <c r="BA57">
        <v>58</v>
      </c>
      <c r="BB57">
        <v>0</v>
      </c>
      <c r="BF57" t="s">
        <v>3393</v>
      </c>
      <c r="BG57">
        <v>2023</v>
      </c>
      <c r="BH57">
        <v>2022</v>
      </c>
      <c r="BI57">
        <v>54</v>
      </c>
      <c r="BM57" t="s">
        <v>3393</v>
      </c>
      <c r="BN57">
        <v>2023</v>
      </c>
      <c r="BO57">
        <v>1985</v>
      </c>
      <c r="BP57" t="s">
        <v>3263</v>
      </c>
      <c r="BQ57">
        <v>0.19</v>
      </c>
    </row>
    <row r="58" spans="2:69" x14ac:dyDescent="0.25">
      <c r="B58" t="s">
        <v>3393</v>
      </c>
      <c r="C58">
        <v>2023</v>
      </c>
      <c r="D58">
        <v>2011</v>
      </c>
      <c r="E58">
        <v>0</v>
      </c>
      <c r="F58">
        <v>88.91</v>
      </c>
      <c r="G58">
        <v>0</v>
      </c>
      <c r="H58">
        <v>0</v>
      </c>
      <c r="I58">
        <v>0</v>
      </c>
      <c r="M58" t="s">
        <v>3393</v>
      </c>
      <c r="N58">
        <v>2023</v>
      </c>
      <c r="O58">
        <v>2011</v>
      </c>
      <c r="P58">
        <v>0</v>
      </c>
      <c r="Q58">
        <v>13.04</v>
      </c>
      <c r="R58">
        <v>75.87</v>
      </c>
      <c r="S58">
        <v>0</v>
      </c>
      <c r="T58">
        <v>88.91</v>
      </c>
      <c r="Z58" t="s">
        <v>3393</v>
      </c>
      <c r="AA58">
        <v>2023</v>
      </c>
      <c r="AB58">
        <v>1999</v>
      </c>
      <c r="AC58">
        <v>0.82</v>
      </c>
      <c r="AD58">
        <v>92.82</v>
      </c>
      <c r="AE58">
        <v>6.13</v>
      </c>
      <c r="AF58">
        <v>0.57999999999999996</v>
      </c>
      <c r="AG58">
        <v>0</v>
      </c>
      <c r="AK58" t="s">
        <v>3393</v>
      </c>
      <c r="AL58">
        <v>2023</v>
      </c>
      <c r="AM58">
        <v>1999</v>
      </c>
      <c r="AN58">
        <v>7.53</v>
      </c>
      <c r="AO58">
        <v>0.46</v>
      </c>
      <c r="AP58">
        <v>92.36</v>
      </c>
      <c r="AQ58">
        <v>0</v>
      </c>
      <c r="AR58">
        <v>100.35</v>
      </c>
      <c r="AV58" t="s">
        <v>3393</v>
      </c>
      <c r="AW58">
        <v>2023</v>
      </c>
      <c r="AX58">
        <v>2000</v>
      </c>
      <c r="AY58">
        <v>5</v>
      </c>
      <c r="AZ58">
        <v>1</v>
      </c>
      <c r="BA58">
        <v>71</v>
      </c>
      <c r="BB58">
        <v>0</v>
      </c>
      <c r="BF58" t="s">
        <v>3393</v>
      </c>
      <c r="BG58">
        <v>2023</v>
      </c>
      <c r="BH58">
        <v>2023</v>
      </c>
      <c r="BI58">
        <v>26</v>
      </c>
      <c r="BM58" t="s">
        <v>3393</v>
      </c>
      <c r="BN58">
        <v>2023</v>
      </c>
      <c r="BO58">
        <v>1985</v>
      </c>
      <c r="BP58" t="s">
        <v>3264</v>
      </c>
      <c r="BQ58">
        <v>7.08</v>
      </c>
    </row>
    <row r="59" spans="2:69" x14ac:dyDescent="0.25">
      <c r="B59" t="s">
        <v>3393</v>
      </c>
      <c r="C59">
        <v>2023</v>
      </c>
      <c r="D59">
        <v>2012</v>
      </c>
      <c r="E59">
        <v>0</v>
      </c>
      <c r="F59">
        <v>79.75</v>
      </c>
      <c r="G59">
        <v>0</v>
      </c>
      <c r="H59">
        <v>0</v>
      </c>
      <c r="I59">
        <v>0</v>
      </c>
      <c r="M59" t="s">
        <v>3393</v>
      </c>
      <c r="N59">
        <v>2023</v>
      </c>
      <c r="O59">
        <v>2012</v>
      </c>
      <c r="P59">
        <v>0</v>
      </c>
      <c r="Q59">
        <v>8</v>
      </c>
      <c r="R59">
        <v>71.739999999999995</v>
      </c>
      <c r="S59">
        <v>0</v>
      </c>
      <c r="T59">
        <v>79.75</v>
      </c>
      <c r="Z59" t="s">
        <v>3393</v>
      </c>
      <c r="AA59">
        <v>2023</v>
      </c>
      <c r="AB59">
        <v>2000</v>
      </c>
      <c r="AC59">
        <v>0.61</v>
      </c>
      <c r="AD59">
        <v>83.03</v>
      </c>
      <c r="AE59">
        <v>13.18</v>
      </c>
      <c r="AF59">
        <v>0</v>
      </c>
      <c r="AG59">
        <v>0</v>
      </c>
      <c r="AK59" t="s">
        <v>3393</v>
      </c>
      <c r="AL59">
        <v>2023</v>
      </c>
      <c r="AM59">
        <v>2000</v>
      </c>
      <c r="AN59">
        <v>13.79</v>
      </c>
      <c r="AO59">
        <v>0.32</v>
      </c>
      <c r="AP59">
        <v>82.71</v>
      </c>
      <c r="AQ59">
        <v>0</v>
      </c>
      <c r="AR59">
        <v>96.82</v>
      </c>
      <c r="AV59" t="s">
        <v>3393</v>
      </c>
      <c r="AW59">
        <v>2023</v>
      </c>
      <c r="AX59">
        <v>2001</v>
      </c>
      <c r="AY59">
        <v>3</v>
      </c>
      <c r="AZ59">
        <v>1</v>
      </c>
      <c r="BA59">
        <v>63</v>
      </c>
      <c r="BB59">
        <v>0</v>
      </c>
      <c r="BM59" t="s">
        <v>3393</v>
      </c>
      <c r="BN59">
        <v>2023</v>
      </c>
      <c r="BO59">
        <v>1986</v>
      </c>
      <c r="BP59" t="s">
        <v>3263</v>
      </c>
      <c r="BQ59">
        <v>0.25</v>
      </c>
    </row>
    <row r="60" spans="2:69" x14ac:dyDescent="0.25">
      <c r="B60" t="s">
        <v>3393</v>
      </c>
      <c r="C60">
        <v>2023</v>
      </c>
      <c r="D60">
        <v>2013</v>
      </c>
      <c r="E60">
        <v>0</v>
      </c>
      <c r="F60">
        <v>66.239999999999995</v>
      </c>
      <c r="G60">
        <v>0</v>
      </c>
      <c r="H60">
        <v>0</v>
      </c>
      <c r="I60">
        <v>0</v>
      </c>
      <c r="M60" t="s">
        <v>3393</v>
      </c>
      <c r="N60">
        <v>2023</v>
      </c>
      <c r="O60">
        <v>2013</v>
      </c>
      <c r="P60">
        <v>0</v>
      </c>
      <c r="Q60">
        <v>9.2100000000000009</v>
      </c>
      <c r="R60">
        <v>57.03</v>
      </c>
      <c r="S60">
        <v>0</v>
      </c>
      <c r="T60">
        <v>66.239999999999995</v>
      </c>
      <c r="Z60" t="s">
        <v>3393</v>
      </c>
      <c r="AA60">
        <v>2023</v>
      </c>
      <c r="AB60">
        <v>2001</v>
      </c>
      <c r="AC60">
        <v>0</v>
      </c>
      <c r="AD60">
        <v>79.709999999999994</v>
      </c>
      <c r="AE60">
        <v>2.65</v>
      </c>
      <c r="AF60">
        <v>0</v>
      </c>
      <c r="AG60">
        <v>0</v>
      </c>
      <c r="AK60" t="s">
        <v>3393</v>
      </c>
      <c r="AL60">
        <v>2023</v>
      </c>
      <c r="AM60">
        <v>2001</v>
      </c>
      <c r="AN60">
        <v>2.65</v>
      </c>
      <c r="AO60">
        <v>0</v>
      </c>
      <c r="AP60">
        <v>79.709999999999994</v>
      </c>
      <c r="AQ60">
        <v>0</v>
      </c>
      <c r="AR60">
        <v>82.36</v>
      </c>
      <c r="AV60" t="s">
        <v>3393</v>
      </c>
      <c r="AW60">
        <v>2023</v>
      </c>
      <c r="AX60">
        <v>2002</v>
      </c>
      <c r="AY60">
        <v>1</v>
      </c>
      <c r="AZ60">
        <v>2</v>
      </c>
      <c r="BA60">
        <v>58</v>
      </c>
      <c r="BB60">
        <v>0</v>
      </c>
      <c r="BM60" t="s">
        <v>3393</v>
      </c>
      <c r="BN60">
        <v>2023</v>
      </c>
      <c r="BO60">
        <v>1986</v>
      </c>
      <c r="BP60" t="s">
        <v>3264</v>
      </c>
      <c r="BQ60">
        <v>7.68</v>
      </c>
    </row>
    <row r="61" spans="2:69" x14ac:dyDescent="0.25">
      <c r="B61" t="s">
        <v>3393</v>
      </c>
      <c r="C61">
        <v>2023</v>
      </c>
      <c r="D61">
        <v>2014</v>
      </c>
      <c r="E61">
        <v>0</v>
      </c>
      <c r="F61">
        <v>75.34</v>
      </c>
      <c r="G61">
        <v>0</v>
      </c>
      <c r="H61">
        <v>0</v>
      </c>
      <c r="I61">
        <v>0</v>
      </c>
      <c r="M61" t="s">
        <v>3393</v>
      </c>
      <c r="N61">
        <v>2023</v>
      </c>
      <c r="O61">
        <v>2014</v>
      </c>
      <c r="P61">
        <v>0</v>
      </c>
      <c r="Q61">
        <v>15.9</v>
      </c>
      <c r="R61">
        <v>59.44</v>
      </c>
      <c r="S61">
        <v>0</v>
      </c>
      <c r="T61">
        <v>75.34</v>
      </c>
      <c r="Z61" t="s">
        <v>3393</v>
      </c>
      <c r="AA61">
        <v>2023</v>
      </c>
      <c r="AB61">
        <v>2002</v>
      </c>
      <c r="AC61">
        <v>0</v>
      </c>
      <c r="AD61">
        <v>112.06</v>
      </c>
      <c r="AE61">
        <v>1.72</v>
      </c>
      <c r="AF61">
        <v>0</v>
      </c>
      <c r="AG61">
        <v>0</v>
      </c>
      <c r="AK61" t="s">
        <v>3393</v>
      </c>
      <c r="AL61">
        <v>2023</v>
      </c>
      <c r="AM61">
        <v>2002</v>
      </c>
      <c r="AN61">
        <v>1.72</v>
      </c>
      <c r="AO61">
        <v>0</v>
      </c>
      <c r="AP61">
        <v>112.06</v>
      </c>
      <c r="AQ61">
        <v>0</v>
      </c>
      <c r="AR61">
        <v>113.79</v>
      </c>
      <c r="AV61" t="s">
        <v>3393</v>
      </c>
      <c r="AW61">
        <v>2023</v>
      </c>
      <c r="AX61">
        <v>2003</v>
      </c>
      <c r="AY61">
        <v>0</v>
      </c>
      <c r="AZ61">
        <v>1</v>
      </c>
      <c r="BA61">
        <v>36</v>
      </c>
      <c r="BB61">
        <v>0</v>
      </c>
      <c r="BM61" t="s">
        <v>3393</v>
      </c>
      <c r="BN61">
        <v>2023</v>
      </c>
      <c r="BO61">
        <v>1987</v>
      </c>
      <c r="BP61" t="s">
        <v>3263</v>
      </c>
      <c r="BQ61">
        <v>1.21</v>
      </c>
    </row>
    <row r="62" spans="2:69" x14ac:dyDescent="0.25">
      <c r="B62" t="s">
        <v>3393</v>
      </c>
      <c r="C62">
        <v>2023</v>
      </c>
      <c r="D62">
        <v>2015</v>
      </c>
      <c r="E62">
        <v>0</v>
      </c>
      <c r="F62">
        <v>55.31</v>
      </c>
      <c r="G62">
        <v>0</v>
      </c>
      <c r="H62">
        <v>0</v>
      </c>
      <c r="I62">
        <v>0</v>
      </c>
      <c r="M62" t="s">
        <v>3393</v>
      </c>
      <c r="N62">
        <v>2023</v>
      </c>
      <c r="O62">
        <v>2015</v>
      </c>
      <c r="P62">
        <v>0</v>
      </c>
      <c r="Q62">
        <v>14.01</v>
      </c>
      <c r="R62">
        <v>41.3</v>
      </c>
      <c r="S62">
        <v>0</v>
      </c>
      <c r="T62">
        <v>55.31</v>
      </c>
      <c r="Z62" t="s">
        <v>3393</v>
      </c>
      <c r="AA62">
        <v>2023</v>
      </c>
      <c r="AB62">
        <v>2003</v>
      </c>
      <c r="AC62">
        <v>0</v>
      </c>
      <c r="AD62">
        <v>31.51</v>
      </c>
      <c r="AE62">
        <v>1.02</v>
      </c>
      <c r="AF62">
        <v>0</v>
      </c>
      <c r="AG62">
        <v>0</v>
      </c>
      <c r="AK62" t="s">
        <v>3393</v>
      </c>
      <c r="AL62">
        <v>2023</v>
      </c>
      <c r="AM62">
        <v>2003</v>
      </c>
      <c r="AN62">
        <v>1.02</v>
      </c>
      <c r="AO62">
        <v>0</v>
      </c>
      <c r="AP62">
        <v>31.51</v>
      </c>
      <c r="AQ62">
        <v>0</v>
      </c>
      <c r="AR62">
        <v>32.53</v>
      </c>
      <c r="AV62" t="s">
        <v>3393</v>
      </c>
      <c r="AW62">
        <v>2023</v>
      </c>
      <c r="AX62">
        <v>2004</v>
      </c>
      <c r="AY62">
        <v>4</v>
      </c>
      <c r="AZ62">
        <v>1</v>
      </c>
      <c r="BA62">
        <v>30</v>
      </c>
      <c r="BB62">
        <v>0</v>
      </c>
      <c r="BM62" t="s">
        <v>3393</v>
      </c>
      <c r="BN62">
        <v>2023</v>
      </c>
      <c r="BO62">
        <v>1987</v>
      </c>
      <c r="BP62" t="s">
        <v>3264</v>
      </c>
      <c r="BQ62">
        <v>12.51</v>
      </c>
    </row>
    <row r="63" spans="2:69" x14ac:dyDescent="0.25">
      <c r="B63" t="s">
        <v>3393</v>
      </c>
      <c r="C63">
        <v>2023</v>
      </c>
      <c r="D63">
        <v>2016</v>
      </c>
      <c r="E63">
        <v>0</v>
      </c>
      <c r="F63">
        <v>50.86</v>
      </c>
      <c r="G63">
        <v>0</v>
      </c>
      <c r="H63">
        <v>0</v>
      </c>
      <c r="I63">
        <v>0</v>
      </c>
      <c r="M63" t="s">
        <v>3393</v>
      </c>
      <c r="N63">
        <v>2023</v>
      </c>
      <c r="O63">
        <v>2016</v>
      </c>
      <c r="P63">
        <v>0</v>
      </c>
      <c r="Q63">
        <v>7.56</v>
      </c>
      <c r="R63">
        <v>43.3</v>
      </c>
      <c r="S63">
        <v>0</v>
      </c>
      <c r="T63">
        <v>50.86</v>
      </c>
      <c r="Z63" t="s">
        <v>3393</v>
      </c>
      <c r="AA63">
        <v>2023</v>
      </c>
      <c r="AB63">
        <v>2004</v>
      </c>
      <c r="AC63">
        <v>0</v>
      </c>
      <c r="AD63">
        <v>38.46</v>
      </c>
      <c r="AE63">
        <v>1.2</v>
      </c>
      <c r="AF63">
        <v>0</v>
      </c>
      <c r="AG63">
        <v>0</v>
      </c>
      <c r="AK63" t="s">
        <v>3393</v>
      </c>
      <c r="AL63">
        <v>2023</v>
      </c>
      <c r="AM63">
        <v>2004</v>
      </c>
      <c r="AN63">
        <v>1.2</v>
      </c>
      <c r="AO63">
        <v>0</v>
      </c>
      <c r="AP63">
        <v>38.46</v>
      </c>
      <c r="AQ63">
        <v>0</v>
      </c>
      <c r="AR63">
        <v>39.659999999999997</v>
      </c>
      <c r="AV63" t="s">
        <v>3393</v>
      </c>
      <c r="AW63">
        <v>2023</v>
      </c>
      <c r="AX63">
        <v>2005</v>
      </c>
      <c r="AY63">
        <v>6</v>
      </c>
      <c r="AZ63">
        <v>2</v>
      </c>
      <c r="BA63">
        <v>31</v>
      </c>
      <c r="BB63">
        <v>0</v>
      </c>
      <c r="BM63" t="s">
        <v>3393</v>
      </c>
      <c r="BN63">
        <v>2023</v>
      </c>
      <c r="BO63">
        <v>1988</v>
      </c>
      <c r="BP63" t="s">
        <v>3263</v>
      </c>
      <c r="BQ63">
        <v>3</v>
      </c>
    </row>
    <row r="64" spans="2:69" x14ac:dyDescent="0.25">
      <c r="B64" t="s">
        <v>3393</v>
      </c>
      <c r="C64">
        <v>2023</v>
      </c>
      <c r="D64">
        <v>2017</v>
      </c>
      <c r="E64">
        <v>0</v>
      </c>
      <c r="F64">
        <v>62.82</v>
      </c>
      <c r="G64">
        <v>0</v>
      </c>
      <c r="H64">
        <v>0</v>
      </c>
      <c r="I64">
        <v>0</v>
      </c>
      <c r="M64" t="s">
        <v>3393</v>
      </c>
      <c r="N64">
        <v>2023</v>
      </c>
      <c r="O64">
        <v>2017</v>
      </c>
      <c r="P64">
        <v>0</v>
      </c>
      <c r="Q64">
        <v>7.36</v>
      </c>
      <c r="R64">
        <v>55.46</v>
      </c>
      <c r="S64">
        <v>0</v>
      </c>
      <c r="T64">
        <v>62.82</v>
      </c>
      <c r="Z64" t="s">
        <v>3393</v>
      </c>
      <c r="AA64">
        <v>2023</v>
      </c>
      <c r="AB64">
        <v>2005</v>
      </c>
      <c r="AC64">
        <v>0</v>
      </c>
      <c r="AD64">
        <v>20.64</v>
      </c>
      <c r="AE64">
        <v>2.35</v>
      </c>
      <c r="AF64">
        <v>35.229999999999997</v>
      </c>
      <c r="AG64">
        <v>0</v>
      </c>
      <c r="AK64" t="s">
        <v>3393</v>
      </c>
      <c r="AL64">
        <v>2023</v>
      </c>
      <c r="AM64">
        <v>2005</v>
      </c>
      <c r="AN64">
        <v>2.35</v>
      </c>
      <c r="AO64">
        <v>0</v>
      </c>
      <c r="AP64">
        <v>55.87</v>
      </c>
      <c r="AQ64">
        <v>0</v>
      </c>
      <c r="AR64">
        <v>58.21</v>
      </c>
      <c r="AV64" t="s">
        <v>3393</v>
      </c>
      <c r="AW64">
        <v>2023</v>
      </c>
      <c r="AX64">
        <v>2006</v>
      </c>
      <c r="AY64">
        <v>4</v>
      </c>
      <c r="AZ64">
        <v>0</v>
      </c>
      <c r="BA64">
        <v>24</v>
      </c>
      <c r="BB64">
        <v>0</v>
      </c>
      <c r="BM64" t="s">
        <v>3393</v>
      </c>
      <c r="BN64">
        <v>2023</v>
      </c>
      <c r="BO64">
        <v>1988</v>
      </c>
      <c r="BP64" t="s">
        <v>3264</v>
      </c>
      <c r="BQ64">
        <v>8.41</v>
      </c>
    </row>
    <row r="65" spans="2:69" x14ac:dyDescent="0.25">
      <c r="B65" t="s">
        <v>3393</v>
      </c>
      <c r="C65">
        <v>2023</v>
      </c>
      <c r="D65">
        <v>2018</v>
      </c>
      <c r="E65">
        <v>0</v>
      </c>
      <c r="F65">
        <v>48.15</v>
      </c>
      <c r="G65">
        <v>0</v>
      </c>
      <c r="H65">
        <v>0</v>
      </c>
      <c r="I65">
        <v>0</v>
      </c>
      <c r="M65" t="s">
        <v>3393</v>
      </c>
      <c r="N65">
        <v>2023</v>
      </c>
      <c r="O65">
        <v>2018</v>
      </c>
      <c r="P65">
        <v>0</v>
      </c>
      <c r="Q65">
        <v>4.3499999999999996</v>
      </c>
      <c r="R65">
        <v>43.81</v>
      </c>
      <c r="S65">
        <v>0</v>
      </c>
      <c r="T65">
        <v>48.15</v>
      </c>
      <c r="Z65" t="s">
        <v>3393</v>
      </c>
      <c r="AA65">
        <v>2023</v>
      </c>
      <c r="AB65">
        <v>2006</v>
      </c>
      <c r="AC65">
        <v>0</v>
      </c>
      <c r="AD65">
        <v>22.86</v>
      </c>
      <c r="AE65">
        <v>1.54</v>
      </c>
      <c r="AF65">
        <v>0</v>
      </c>
      <c r="AG65">
        <v>0</v>
      </c>
      <c r="AK65" t="s">
        <v>3393</v>
      </c>
      <c r="AL65">
        <v>2023</v>
      </c>
      <c r="AM65">
        <v>2006</v>
      </c>
      <c r="AN65">
        <v>1.54</v>
      </c>
      <c r="AO65">
        <v>0</v>
      </c>
      <c r="AP65">
        <v>22.86</v>
      </c>
      <c r="AQ65">
        <v>0</v>
      </c>
      <c r="AR65">
        <v>24.39</v>
      </c>
      <c r="AV65" t="s">
        <v>3393</v>
      </c>
      <c r="AW65">
        <v>2023</v>
      </c>
      <c r="AX65">
        <v>2007</v>
      </c>
      <c r="AY65">
        <v>5</v>
      </c>
      <c r="AZ65">
        <v>0</v>
      </c>
      <c r="BA65">
        <v>38</v>
      </c>
      <c r="BB65">
        <v>0</v>
      </c>
      <c r="BM65" t="s">
        <v>3393</v>
      </c>
      <c r="BN65">
        <v>2023</v>
      </c>
      <c r="BO65">
        <v>1989</v>
      </c>
      <c r="BP65" t="s">
        <v>3263</v>
      </c>
      <c r="BQ65">
        <v>2.92</v>
      </c>
    </row>
    <row r="66" spans="2:69" x14ac:dyDescent="0.25">
      <c r="B66" t="s">
        <v>3393</v>
      </c>
      <c r="C66">
        <v>2023</v>
      </c>
      <c r="D66">
        <v>2019</v>
      </c>
      <c r="E66">
        <v>0</v>
      </c>
      <c r="F66">
        <v>57.97</v>
      </c>
      <c r="G66">
        <v>0</v>
      </c>
      <c r="H66">
        <v>0</v>
      </c>
      <c r="I66">
        <v>0</v>
      </c>
      <c r="M66" t="s">
        <v>3393</v>
      </c>
      <c r="N66">
        <v>2023</v>
      </c>
      <c r="O66">
        <v>2019</v>
      </c>
      <c r="P66">
        <v>0</v>
      </c>
      <c r="Q66">
        <v>6.65</v>
      </c>
      <c r="R66">
        <v>51.32</v>
      </c>
      <c r="S66">
        <v>0</v>
      </c>
      <c r="T66">
        <v>57.97</v>
      </c>
      <c r="Z66" t="s">
        <v>3393</v>
      </c>
      <c r="AA66">
        <v>2023</v>
      </c>
      <c r="AB66">
        <v>2007</v>
      </c>
      <c r="AC66">
        <v>0</v>
      </c>
      <c r="AD66">
        <v>42.26</v>
      </c>
      <c r="AE66">
        <v>1.27</v>
      </c>
      <c r="AF66">
        <v>0</v>
      </c>
      <c r="AG66">
        <v>0</v>
      </c>
      <c r="AK66" t="s">
        <v>3393</v>
      </c>
      <c r="AL66">
        <v>2023</v>
      </c>
      <c r="AM66">
        <v>2007</v>
      </c>
      <c r="AN66">
        <v>1.27</v>
      </c>
      <c r="AO66">
        <v>0</v>
      </c>
      <c r="AP66">
        <v>42.26</v>
      </c>
      <c r="AQ66">
        <v>0</v>
      </c>
      <c r="AR66">
        <v>43.53</v>
      </c>
      <c r="AV66" t="s">
        <v>3393</v>
      </c>
      <c r="AW66">
        <v>2023</v>
      </c>
      <c r="AX66">
        <v>2008</v>
      </c>
      <c r="AY66">
        <v>7</v>
      </c>
      <c r="AZ66">
        <v>1</v>
      </c>
      <c r="BA66">
        <v>43</v>
      </c>
      <c r="BB66">
        <v>0</v>
      </c>
      <c r="BM66" t="s">
        <v>3393</v>
      </c>
      <c r="BN66">
        <v>2023</v>
      </c>
      <c r="BO66">
        <v>1989</v>
      </c>
      <c r="BP66" t="s">
        <v>3264</v>
      </c>
      <c r="BQ66">
        <v>9.15</v>
      </c>
    </row>
    <row r="67" spans="2:69" x14ac:dyDescent="0.25">
      <c r="B67" t="s">
        <v>3393</v>
      </c>
      <c r="C67">
        <v>2023</v>
      </c>
      <c r="D67">
        <v>2020</v>
      </c>
      <c r="E67">
        <v>0</v>
      </c>
      <c r="F67">
        <v>50.32</v>
      </c>
      <c r="G67">
        <v>0</v>
      </c>
      <c r="H67">
        <v>0</v>
      </c>
      <c r="I67">
        <v>0</v>
      </c>
      <c r="M67" t="s">
        <v>3393</v>
      </c>
      <c r="N67">
        <v>2023</v>
      </c>
      <c r="O67">
        <v>2020</v>
      </c>
      <c r="P67">
        <v>0</v>
      </c>
      <c r="Q67">
        <v>4.6500000000000004</v>
      </c>
      <c r="R67">
        <v>45.67</v>
      </c>
      <c r="S67">
        <v>0</v>
      </c>
      <c r="T67">
        <v>50.32</v>
      </c>
      <c r="Z67" t="s">
        <v>3393</v>
      </c>
      <c r="AA67">
        <v>2023</v>
      </c>
      <c r="AB67">
        <v>2008</v>
      </c>
      <c r="AC67">
        <v>0</v>
      </c>
      <c r="AD67">
        <v>46.08</v>
      </c>
      <c r="AE67">
        <v>1.78</v>
      </c>
      <c r="AF67">
        <v>32.31</v>
      </c>
      <c r="AG67">
        <v>0</v>
      </c>
      <c r="AK67" t="s">
        <v>3393</v>
      </c>
      <c r="AL67">
        <v>2023</v>
      </c>
      <c r="AM67">
        <v>2008</v>
      </c>
      <c r="AN67">
        <v>1.78</v>
      </c>
      <c r="AO67">
        <v>0</v>
      </c>
      <c r="AP67">
        <v>78.39</v>
      </c>
      <c r="AQ67">
        <v>0</v>
      </c>
      <c r="AR67">
        <v>80.17</v>
      </c>
      <c r="AV67" t="s">
        <v>3393</v>
      </c>
      <c r="AW67">
        <v>2023</v>
      </c>
      <c r="AX67">
        <v>2009</v>
      </c>
      <c r="AY67">
        <v>2</v>
      </c>
      <c r="AZ67">
        <v>0</v>
      </c>
      <c r="BA67">
        <v>31</v>
      </c>
      <c r="BB67">
        <v>0</v>
      </c>
      <c r="BM67" t="s">
        <v>3393</v>
      </c>
      <c r="BN67">
        <v>2023</v>
      </c>
      <c r="BO67">
        <v>1990</v>
      </c>
      <c r="BP67" t="s">
        <v>3263</v>
      </c>
      <c r="BQ67">
        <v>4.45</v>
      </c>
    </row>
    <row r="68" spans="2:69" x14ac:dyDescent="0.25">
      <c r="B68" t="s">
        <v>3393</v>
      </c>
      <c r="C68">
        <v>2023</v>
      </c>
      <c r="D68">
        <v>2021</v>
      </c>
      <c r="E68">
        <v>0</v>
      </c>
      <c r="F68">
        <v>55.57</v>
      </c>
      <c r="G68">
        <v>0</v>
      </c>
      <c r="H68">
        <v>0</v>
      </c>
      <c r="I68">
        <v>0</v>
      </c>
      <c r="M68" t="s">
        <v>3393</v>
      </c>
      <c r="N68">
        <v>2023</v>
      </c>
      <c r="O68">
        <v>2021</v>
      </c>
      <c r="P68">
        <v>0</v>
      </c>
      <c r="Q68">
        <v>7.22</v>
      </c>
      <c r="R68">
        <v>48.35</v>
      </c>
      <c r="S68">
        <v>0</v>
      </c>
      <c r="T68">
        <v>55.58</v>
      </c>
      <c r="Z68" t="s">
        <v>3393</v>
      </c>
      <c r="AA68">
        <v>2023</v>
      </c>
      <c r="AB68">
        <v>2009</v>
      </c>
      <c r="AC68">
        <v>0</v>
      </c>
      <c r="AD68">
        <v>88.55</v>
      </c>
      <c r="AE68">
        <v>0.15</v>
      </c>
      <c r="AF68">
        <v>3.51</v>
      </c>
      <c r="AG68">
        <v>0</v>
      </c>
      <c r="AK68" t="s">
        <v>3393</v>
      </c>
      <c r="AL68">
        <v>2023</v>
      </c>
      <c r="AM68">
        <v>2009</v>
      </c>
      <c r="AN68">
        <v>0.15</v>
      </c>
      <c r="AO68">
        <v>0</v>
      </c>
      <c r="AP68">
        <v>92.06</v>
      </c>
      <c r="AQ68">
        <v>0</v>
      </c>
      <c r="AR68">
        <v>92.21</v>
      </c>
      <c r="AV68" t="s">
        <v>3393</v>
      </c>
      <c r="AW68">
        <v>2023</v>
      </c>
      <c r="AX68">
        <v>2010</v>
      </c>
      <c r="AY68">
        <v>4</v>
      </c>
      <c r="AZ68">
        <v>2</v>
      </c>
      <c r="BA68">
        <v>29</v>
      </c>
      <c r="BB68">
        <v>0</v>
      </c>
      <c r="BM68" t="s">
        <v>3393</v>
      </c>
      <c r="BN68">
        <v>2023</v>
      </c>
      <c r="BO68">
        <v>1990</v>
      </c>
      <c r="BP68" t="s">
        <v>3264</v>
      </c>
      <c r="BQ68">
        <v>4.28</v>
      </c>
    </row>
    <row r="69" spans="2:69" x14ac:dyDescent="0.25">
      <c r="B69" t="s">
        <v>3393</v>
      </c>
      <c r="C69">
        <v>2023</v>
      </c>
      <c r="D69">
        <v>2022</v>
      </c>
      <c r="E69">
        <v>0</v>
      </c>
      <c r="F69">
        <v>51.38</v>
      </c>
      <c r="G69">
        <v>0</v>
      </c>
      <c r="H69">
        <v>0</v>
      </c>
      <c r="I69">
        <v>0</v>
      </c>
      <c r="M69" t="s">
        <v>3393</v>
      </c>
      <c r="N69">
        <v>2023</v>
      </c>
      <c r="O69">
        <v>2022</v>
      </c>
      <c r="P69">
        <v>0</v>
      </c>
      <c r="Q69">
        <v>6.81</v>
      </c>
      <c r="R69">
        <v>44.57</v>
      </c>
      <c r="S69">
        <v>0</v>
      </c>
      <c r="T69">
        <v>51.38</v>
      </c>
      <c r="Z69" t="s">
        <v>3393</v>
      </c>
      <c r="AA69">
        <v>2023</v>
      </c>
      <c r="AB69">
        <v>2010</v>
      </c>
      <c r="AC69">
        <v>0</v>
      </c>
      <c r="AD69">
        <v>105.3</v>
      </c>
      <c r="AE69">
        <v>0.87</v>
      </c>
      <c r="AF69">
        <v>1.2</v>
      </c>
      <c r="AG69">
        <v>0</v>
      </c>
      <c r="AK69" t="s">
        <v>3393</v>
      </c>
      <c r="AL69">
        <v>2023</v>
      </c>
      <c r="AM69">
        <v>2010</v>
      </c>
      <c r="AN69">
        <v>0.87</v>
      </c>
      <c r="AO69">
        <v>0</v>
      </c>
      <c r="AP69">
        <v>106.5</v>
      </c>
      <c r="AQ69">
        <v>0</v>
      </c>
      <c r="AR69">
        <v>107.37</v>
      </c>
      <c r="AV69" t="s">
        <v>3393</v>
      </c>
      <c r="AW69">
        <v>2023</v>
      </c>
      <c r="AX69">
        <v>2011</v>
      </c>
      <c r="AY69">
        <v>8</v>
      </c>
      <c r="AZ69">
        <v>2</v>
      </c>
      <c r="BA69">
        <v>54</v>
      </c>
      <c r="BB69">
        <v>0</v>
      </c>
      <c r="BM69" t="s">
        <v>3393</v>
      </c>
      <c r="BN69">
        <v>2023</v>
      </c>
      <c r="BO69">
        <v>1991</v>
      </c>
      <c r="BP69" t="s">
        <v>3263</v>
      </c>
      <c r="BQ69">
        <v>3.86</v>
      </c>
    </row>
    <row r="70" spans="2:69" x14ac:dyDescent="0.25">
      <c r="B70" t="s">
        <v>3393</v>
      </c>
      <c r="C70">
        <v>2023</v>
      </c>
      <c r="D70">
        <v>2023</v>
      </c>
      <c r="E70">
        <v>0</v>
      </c>
      <c r="F70">
        <v>50</v>
      </c>
      <c r="G70">
        <v>0</v>
      </c>
      <c r="H70">
        <v>0</v>
      </c>
      <c r="I70">
        <v>0</v>
      </c>
      <c r="M70" t="s">
        <v>3393</v>
      </c>
      <c r="N70">
        <v>2023</v>
      </c>
      <c r="O70">
        <v>2023</v>
      </c>
      <c r="P70">
        <v>0</v>
      </c>
      <c r="Q70">
        <v>4.91</v>
      </c>
      <c r="R70">
        <v>45.09</v>
      </c>
      <c r="S70">
        <v>0</v>
      </c>
      <c r="T70">
        <v>50</v>
      </c>
      <c r="Z70" t="s">
        <v>3393</v>
      </c>
      <c r="AA70">
        <v>2023</v>
      </c>
      <c r="AB70">
        <v>2011</v>
      </c>
      <c r="AC70">
        <v>0</v>
      </c>
      <c r="AD70">
        <v>89.41</v>
      </c>
      <c r="AE70">
        <v>0.27</v>
      </c>
      <c r="AF70">
        <v>0.61</v>
      </c>
      <c r="AG70">
        <v>0</v>
      </c>
      <c r="AK70" t="s">
        <v>3393</v>
      </c>
      <c r="AL70">
        <v>2023</v>
      </c>
      <c r="AM70">
        <v>2011</v>
      </c>
      <c r="AN70">
        <v>0.27</v>
      </c>
      <c r="AO70">
        <v>0</v>
      </c>
      <c r="AP70">
        <v>90.02</v>
      </c>
      <c r="AQ70">
        <v>0</v>
      </c>
      <c r="AR70">
        <v>90.29</v>
      </c>
      <c r="AV70" t="s">
        <v>3393</v>
      </c>
      <c r="AW70">
        <v>2023</v>
      </c>
      <c r="AX70">
        <v>2012</v>
      </c>
      <c r="AY70">
        <v>6</v>
      </c>
      <c r="AZ70">
        <v>7</v>
      </c>
      <c r="BA70">
        <v>61</v>
      </c>
      <c r="BB70">
        <v>0</v>
      </c>
      <c r="BM70" t="s">
        <v>3393</v>
      </c>
      <c r="BN70">
        <v>2023</v>
      </c>
      <c r="BO70">
        <v>1991</v>
      </c>
      <c r="BP70" t="s">
        <v>3264</v>
      </c>
      <c r="BQ70">
        <v>3.21</v>
      </c>
    </row>
    <row r="71" spans="2:69" x14ac:dyDescent="0.25">
      <c r="Z71" t="s">
        <v>3393</v>
      </c>
      <c r="AA71">
        <v>2023</v>
      </c>
      <c r="AB71">
        <v>2012</v>
      </c>
      <c r="AC71">
        <v>0</v>
      </c>
      <c r="AD71">
        <v>172.63</v>
      </c>
      <c r="AE71">
        <v>0.42</v>
      </c>
      <c r="AF71">
        <v>8.1</v>
      </c>
      <c r="AG71">
        <v>0</v>
      </c>
      <c r="AK71" t="s">
        <v>3393</v>
      </c>
      <c r="AL71">
        <v>2023</v>
      </c>
      <c r="AM71">
        <v>2012</v>
      </c>
      <c r="AN71">
        <v>0.42</v>
      </c>
      <c r="AO71">
        <v>0</v>
      </c>
      <c r="AP71">
        <v>180.73</v>
      </c>
      <c r="AQ71">
        <v>0</v>
      </c>
      <c r="AR71">
        <v>181.14</v>
      </c>
      <c r="AV71" t="s">
        <v>3393</v>
      </c>
      <c r="AW71">
        <v>2023</v>
      </c>
      <c r="AX71">
        <v>2013</v>
      </c>
      <c r="AY71">
        <v>3</v>
      </c>
      <c r="AZ71">
        <v>1</v>
      </c>
      <c r="BA71">
        <v>42</v>
      </c>
      <c r="BB71">
        <v>0</v>
      </c>
      <c r="BM71" t="s">
        <v>3393</v>
      </c>
      <c r="BN71">
        <v>2023</v>
      </c>
      <c r="BO71">
        <v>1992</v>
      </c>
      <c r="BP71" t="s">
        <v>3263</v>
      </c>
      <c r="BQ71">
        <v>0.48</v>
      </c>
    </row>
    <row r="72" spans="2:69" x14ac:dyDescent="0.25">
      <c r="Z72" t="s">
        <v>3393</v>
      </c>
      <c r="AA72">
        <v>2023</v>
      </c>
      <c r="AB72">
        <v>2013</v>
      </c>
      <c r="AC72">
        <v>0</v>
      </c>
      <c r="AD72">
        <v>38.22</v>
      </c>
      <c r="AE72">
        <v>0.73</v>
      </c>
      <c r="AF72">
        <v>0</v>
      </c>
      <c r="AG72">
        <v>0</v>
      </c>
      <c r="AK72" t="s">
        <v>3393</v>
      </c>
      <c r="AL72">
        <v>2023</v>
      </c>
      <c r="AM72">
        <v>2013</v>
      </c>
      <c r="AN72">
        <v>0.73</v>
      </c>
      <c r="AO72">
        <v>0</v>
      </c>
      <c r="AP72">
        <v>38.22</v>
      </c>
      <c r="AQ72">
        <v>0</v>
      </c>
      <c r="AR72">
        <v>38.950000000000003</v>
      </c>
      <c r="AV72" t="s">
        <v>3393</v>
      </c>
      <c r="AW72">
        <v>2023</v>
      </c>
      <c r="AX72">
        <v>2014</v>
      </c>
      <c r="AY72">
        <v>11</v>
      </c>
      <c r="AZ72">
        <v>1</v>
      </c>
      <c r="BA72">
        <v>41</v>
      </c>
      <c r="BB72">
        <v>0</v>
      </c>
      <c r="BM72" t="s">
        <v>3393</v>
      </c>
      <c r="BN72">
        <v>2023</v>
      </c>
      <c r="BO72">
        <v>1992</v>
      </c>
      <c r="BP72" t="s">
        <v>3264</v>
      </c>
      <c r="BQ72">
        <v>2.12</v>
      </c>
    </row>
    <row r="73" spans="2:69" x14ac:dyDescent="0.25">
      <c r="Z73" t="s">
        <v>3393</v>
      </c>
      <c r="AA73">
        <v>2023</v>
      </c>
      <c r="AB73">
        <v>2014</v>
      </c>
      <c r="AC73">
        <v>0</v>
      </c>
      <c r="AD73">
        <v>79</v>
      </c>
      <c r="AE73">
        <v>0.28000000000000003</v>
      </c>
      <c r="AF73">
        <v>5.13</v>
      </c>
      <c r="AG73">
        <v>0</v>
      </c>
      <c r="AK73" t="s">
        <v>3393</v>
      </c>
      <c r="AL73">
        <v>2023</v>
      </c>
      <c r="AM73">
        <v>2014</v>
      </c>
      <c r="AN73">
        <v>0.28000000000000003</v>
      </c>
      <c r="AO73">
        <v>0</v>
      </c>
      <c r="AP73">
        <v>84.13</v>
      </c>
      <c r="AQ73">
        <v>0</v>
      </c>
      <c r="AR73">
        <v>84.41</v>
      </c>
      <c r="AV73" t="s">
        <v>3393</v>
      </c>
      <c r="AW73">
        <v>2023</v>
      </c>
      <c r="AX73">
        <v>2015</v>
      </c>
      <c r="AY73">
        <v>6</v>
      </c>
      <c r="AZ73">
        <v>2</v>
      </c>
      <c r="BA73">
        <v>38</v>
      </c>
      <c r="BB73">
        <v>0</v>
      </c>
      <c r="BM73" t="s">
        <v>3393</v>
      </c>
      <c r="BN73">
        <v>2023</v>
      </c>
      <c r="BO73">
        <v>1993</v>
      </c>
      <c r="BP73" t="s">
        <v>3263</v>
      </c>
      <c r="BQ73">
        <v>0.36</v>
      </c>
    </row>
    <row r="74" spans="2:69" x14ac:dyDescent="0.25">
      <c r="Z74" t="s">
        <v>3393</v>
      </c>
      <c r="AA74">
        <v>2023</v>
      </c>
      <c r="AB74">
        <v>2015</v>
      </c>
      <c r="AC74">
        <v>0</v>
      </c>
      <c r="AD74">
        <v>101.35</v>
      </c>
      <c r="AE74">
        <v>0.92</v>
      </c>
      <c r="AF74">
        <v>8.39</v>
      </c>
      <c r="AG74">
        <v>0</v>
      </c>
      <c r="AK74" t="s">
        <v>3393</v>
      </c>
      <c r="AL74">
        <v>2023</v>
      </c>
      <c r="AM74">
        <v>2015</v>
      </c>
      <c r="AN74">
        <v>0.92</v>
      </c>
      <c r="AO74">
        <v>0</v>
      </c>
      <c r="AP74">
        <v>109.74</v>
      </c>
      <c r="AQ74">
        <v>0</v>
      </c>
      <c r="AR74">
        <v>110.66</v>
      </c>
      <c r="AV74" t="s">
        <v>3393</v>
      </c>
      <c r="AW74">
        <v>2023</v>
      </c>
      <c r="AX74">
        <v>2016</v>
      </c>
      <c r="AY74">
        <v>4</v>
      </c>
      <c r="AZ74">
        <v>0</v>
      </c>
      <c r="BA74">
        <v>28</v>
      </c>
      <c r="BB74">
        <v>0</v>
      </c>
      <c r="BM74" t="s">
        <v>3393</v>
      </c>
      <c r="BN74">
        <v>2023</v>
      </c>
      <c r="BO74">
        <v>1993</v>
      </c>
      <c r="BP74" t="s">
        <v>3264</v>
      </c>
      <c r="BQ74">
        <v>5.95</v>
      </c>
    </row>
    <row r="75" spans="2:69" x14ac:dyDescent="0.25">
      <c r="Z75" t="s">
        <v>3393</v>
      </c>
      <c r="AA75">
        <v>2023</v>
      </c>
      <c r="AB75">
        <v>2016</v>
      </c>
      <c r="AC75">
        <v>0</v>
      </c>
      <c r="AD75">
        <v>72.069999999999993</v>
      </c>
      <c r="AE75">
        <v>0.35</v>
      </c>
      <c r="AF75">
        <v>1.78</v>
      </c>
      <c r="AG75">
        <v>0</v>
      </c>
      <c r="AK75" t="s">
        <v>3393</v>
      </c>
      <c r="AL75">
        <v>2023</v>
      </c>
      <c r="AM75">
        <v>2016</v>
      </c>
      <c r="AN75">
        <v>0.35</v>
      </c>
      <c r="AO75">
        <v>0</v>
      </c>
      <c r="AP75">
        <v>73.849999999999994</v>
      </c>
      <c r="AQ75">
        <v>0</v>
      </c>
      <c r="AR75">
        <v>74.2</v>
      </c>
      <c r="AV75" t="s">
        <v>3393</v>
      </c>
      <c r="AW75">
        <v>2023</v>
      </c>
      <c r="AX75">
        <v>2017</v>
      </c>
      <c r="AY75">
        <v>4</v>
      </c>
      <c r="AZ75">
        <v>0</v>
      </c>
      <c r="BA75">
        <v>32</v>
      </c>
      <c r="BB75">
        <v>0</v>
      </c>
      <c r="BM75" t="s">
        <v>3393</v>
      </c>
      <c r="BN75">
        <v>2023</v>
      </c>
      <c r="BO75">
        <v>1994</v>
      </c>
      <c r="BP75" t="s">
        <v>3263</v>
      </c>
      <c r="BQ75">
        <v>0.12</v>
      </c>
    </row>
    <row r="76" spans="2:69" x14ac:dyDescent="0.25">
      <c r="Z76" t="s">
        <v>3393</v>
      </c>
      <c r="AA76">
        <v>2023</v>
      </c>
      <c r="AB76">
        <v>2017</v>
      </c>
      <c r="AC76">
        <v>0</v>
      </c>
      <c r="AD76">
        <v>84.56</v>
      </c>
      <c r="AE76">
        <v>0.23</v>
      </c>
      <c r="AF76">
        <v>6.89</v>
      </c>
      <c r="AG76">
        <v>0</v>
      </c>
      <c r="AK76" t="s">
        <v>3393</v>
      </c>
      <c r="AL76">
        <v>2023</v>
      </c>
      <c r="AM76">
        <v>2017</v>
      </c>
      <c r="AN76">
        <v>0.23</v>
      </c>
      <c r="AO76">
        <v>0</v>
      </c>
      <c r="AP76">
        <v>91.45</v>
      </c>
      <c r="AQ76">
        <v>0</v>
      </c>
      <c r="AR76">
        <v>91.68</v>
      </c>
      <c r="AV76" t="s">
        <v>3393</v>
      </c>
      <c r="AW76">
        <v>2023</v>
      </c>
      <c r="AX76">
        <v>2018</v>
      </c>
      <c r="AY76">
        <v>13</v>
      </c>
      <c r="AZ76">
        <v>0</v>
      </c>
      <c r="BA76">
        <v>33</v>
      </c>
      <c r="BB76">
        <v>0</v>
      </c>
      <c r="BM76" t="s">
        <v>3393</v>
      </c>
      <c r="BN76">
        <v>2023</v>
      </c>
      <c r="BO76">
        <v>1994</v>
      </c>
      <c r="BP76" t="s">
        <v>3264</v>
      </c>
      <c r="BQ76">
        <v>0.09</v>
      </c>
    </row>
    <row r="77" spans="2:69" x14ac:dyDescent="0.25">
      <c r="Z77" t="s">
        <v>3393</v>
      </c>
      <c r="AA77">
        <v>2023</v>
      </c>
      <c r="AB77">
        <v>2018</v>
      </c>
      <c r="AC77">
        <v>0</v>
      </c>
      <c r="AD77">
        <v>178.35</v>
      </c>
      <c r="AE77">
        <v>2.19</v>
      </c>
      <c r="AF77">
        <v>8.9</v>
      </c>
      <c r="AG77">
        <v>0</v>
      </c>
      <c r="AK77" t="s">
        <v>3393</v>
      </c>
      <c r="AL77">
        <v>2023</v>
      </c>
      <c r="AM77">
        <v>2018</v>
      </c>
      <c r="AN77">
        <v>2.19</v>
      </c>
      <c r="AO77">
        <v>0</v>
      </c>
      <c r="AP77">
        <v>187.25</v>
      </c>
      <c r="AQ77">
        <v>0</v>
      </c>
      <c r="AR77">
        <v>189.43</v>
      </c>
      <c r="AV77" t="s">
        <v>3393</v>
      </c>
      <c r="AW77">
        <v>2023</v>
      </c>
      <c r="AX77">
        <v>2019</v>
      </c>
      <c r="AY77">
        <v>5</v>
      </c>
      <c r="AZ77">
        <v>0</v>
      </c>
      <c r="BA77">
        <v>35</v>
      </c>
      <c r="BB77">
        <v>0</v>
      </c>
      <c r="BM77" t="s">
        <v>3393</v>
      </c>
      <c r="BN77">
        <v>2023</v>
      </c>
      <c r="BO77">
        <v>1995</v>
      </c>
      <c r="BP77" t="s">
        <v>3263</v>
      </c>
      <c r="BQ77">
        <v>0.14000000000000001</v>
      </c>
    </row>
    <row r="78" spans="2:69" x14ac:dyDescent="0.25">
      <c r="Z78" t="s">
        <v>3393</v>
      </c>
      <c r="AA78">
        <v>2023</v>
      </c>
      <c r="AB78">
        <v>2019</v>
      </c>
      <c r="AC78">
        <v>0</v>
      </c>
      <c r="AD78">
        <v>33.57</v>
      </c>
      <c r="AE78">
        <v>0.25</v>
      </c>
      <c r="AF78">
        <v>0.81</v>
      </c>
      <c r="AG78">
        <v>0</v>
      </c>
      <c r="AK78" t="s">
        <v>3393</v>
      </c>
      <c r="AL78">
        <v>2023</v>
      </c>
      <c r="AM78">
        <v>2019</v>
      </c>
      <c r="AN78">
        <v>0.25</v>
      </c>
      <c r="AO78">
        <v>0</v>
      </c>
      <c r="AP78">
        <v>34.380000000000003</v>
      </c>
      <c r="AQ78">
        <v>0</v>
      </c>
      <c r="AR78">
        <v>34.630000000000003</v>
      </c>
      <c r="AV78" t="s">
        <v>3393</v>
      </c>
      <c r="AW78">
        <v>2023</v>
      </c>
      <c r="AX78">
        <v>2020</v>
      </c>
      <c r="AY78">
        <v>5</v>
      </c>
      <c r="AZ78">
        <v>2</v>
      </c>
      <c r="BA78">
        <v>27</v>
      </c>
      <c r="BB78">
        <v>0</v>
      </c>
      <c r="BM78" t="s">
        <v>3393</v>
      </c>
      <c r="BN78">
        <v>2023</v>
      </c>
      <c r="BO78">
        <v>1995</v>
      </c>
      <c r="BP78" t="s">
        <v>3264</v>
      </c>
      <c r="BQ78">
        <v>0.03</v>
      </c>
    </row>
    <row r="79" spans="2:69" x14ac:dyDescent="0.25">
      <c r="Z79" t="s">
        <v>3393</v>
      </c>
      <c r="AA79">
        <v>2023</v>
      </c>
      <c r="AB79">
        <v>2020</v>
      </c>
      <c r="AC79">
        <v>0</v>
      </c>
      <c r="AD79">
        <v>35.909999999999997</v>
      </c>
      <c r="AE79">
        <v>0</v>
      </c>
      <c r="AF79">
        <v>0.16</v>
      </c>
      <c r="AG79">
        <v>0</v>
      </c>
      <c r="AK79" t="s">
        <v>3393</v>
      </c>
      <c r="AL79">
        <v>2023</v>
      </c>
      <c r="AM79">
        <v>2020</v>
      </c>
      <c r="AN79">
        <v>0</v>
      </c>
      <c r="AO79">
        <v>0</v>
      </c>
      <c r="AP79">
        <v>36.08</v>
      </c>
      <c r="AQ79">
        <v>0</v>
      </c>
      <c r="AR79">
        <v>36.08</v>
      </c>
      <c r="AV79" t="s">
        <v>3393</v>
      </c>
      <c r="AW79">
        <v>2023</v>
      </c>
      <c r="AX79">
        <v>2021</v>
      </c>
      <c r="AY79">
        <v>9</v>
      </c>
      <c r="AZ79">
        <v>0</v>
      </c>
      <c r="BA79">
        <v>32</v>
      </c>
      <c r="BB79">
        <v>0</v>
      </c>
      <c r="BM79" t="s">
        <v>3393</v>
      </c>
      <c r="BN79">
        <v>2023</v>
      </c>
      <c r="BO79">
        <v>1996</v>
      </c>
      <c r="BP79" t="s">
        <v>3263</v>
      </c>
      <c r="BQ79">
        <v>0.83</v>
      </c>
    </row>
    <row r="80" spans="2:69" x14ac:dyDescent="0.25">
      <c r="Z80" t="s">
        <v>3393</v>
      </c>
      <c r="AA80">
        <v>2023</v>
      </c>
      <c r="AB80">
        <v>2021</v>
      </c>
      <c r="AC80">
        <v>0</v>
      </c>
      <c r="AD80">
        <v>143.49</v>
      </c>
      <c r="AE80">
        <v>0</v>
      </c>
      <c r="AF80">
        <v>11.64</v>
      </c>
      <c r="AG80">
        <v>0</v>
      </c>
      <c r="AK80" t="s">
        <v>3393</v>
      </c>
      <c r="AL80">
        <v>2023</v>
      </c>
      <c r="AM80">
        <v>2021</v>
      </c>
      <c r="AN80">
        <v>0</v>
      </c>
      <c r="AO80">
        <v>0</v>
      </c>
      <c r="AP80">
        <v>155.13999999999999</v>
      </c>
      <c r="AQ80">
        <v>0</v>
      </c>
      <c r="AR80">
        <v>155.13999999999999</v>
      </c>
      <c r="AV80" t="s">
        <v>3393</v>
      </c>
      <c r="AW80">
        <v>2023</v>
      </c>
      <c r="AX80">
        <v>2022</v>
      </c>
      <c r="AY80">
        <v>3</v>
      </c>
      <c r="AZ80">
        <v>0</v>
      </c>
      <c r="BA80">
        <v>42</v>
      </c>
      <c r="BB80">
        <v>0</v>
      </c>
      <c r="BM80" t="s">
        <v>3393</v>
      </c>
      <c r="BN80">
        <v>2023</v>
      </c>
      <c r="BO80">
        <v>1996</v>
      </c>
      <c r="BP80" t="s">
        <v>3264</v>
      </c>
      <c r="BQ80">
        <v>0.01</v>
      </c>
    </row>
    <row r="81" spans="26:69" x14ac:dyDescent="0.25">
      <c r="Z81" t="s">
        <v>3393</v>
      </c>
      <c r="AA81">
        <v>2023</v>
      </c>
      <c r="AB81">
        <v>2022</v>
      </c>
      <c r="AC81">
        <v>0</v>
      </c>
      <c r="AD81">
        <v>38.56</v>
      </c>
      <c r="AE81">
        <v>0.01</v>
      </c>
      <c r="AF81">
        <v>0</v>
      </c>
      <c r="AG81">
        <v>0</v>
      </c>
      <c r="AK81" t="s">
        <v>3393</v>
      </c>
      <c r="AL81">
        <v>2023</v>
      </c>
      <c r="AM81">
        <v>2022</v>
      </c>
      <c r="AN81">
        <v>0.01</v>
      </c>
      <c r="AO81">
        <v>0</v>
      </c>
      <c r="AP81">
        <v>38.56</v>
      </c>
      <c r="AQ81">
        <v>0</v>
      </c>
      <c r="AR81">
        <v>38.57</v>
      </c>
      <c r="AV81" t="s">
        <v>3393</v>
      </c>
      <c r="AW81">
        <v>2023</v>
      </c>
      <c r="AX81">
        <v>2023</v>
      </c>
      <c r="AY81">
        <v>0</v>
      </c>
      <c r="AZ81">
        <v>2</v>
      </c>
      <c r="BA81">
        <v>61</v>
      </c>
      <c r="BB81">
        <v>0</v>
      </c>
      <c r="BM81" t="s">
        <v>3393</v>
      </c>
      <c r="BN81">
        <v>2023</v>
      </c>
      <c r="BO81">
        <v>1997</v>
      </c>
      <c r="BP81" t="s">
        <v>3263</v>
      </c>
      <c r="BQ81">
        <v>0.28999999999999998</v>
      </c>
    </row>
    <row r="82" spans="26:69" x14ac:dyDescent="0.25">
      <c r="Z82" t="s">
        <v>3393</v>
      </c>
      <c r="AA82">
        <v>2023</v>
      </c>
      <c r="AB82">
        <v>2023</v>
      </c>
      <c r="AC82">
        <v>0</v>
      </c>
      <c r="AD82">
        <v>27.87</v>
      </c>
      <c r="AE82">
        <v>0</v>
      </c>
      <c r="AF82">
        <v>4.1399999999999997</v>
      </c>
      <c r="AG82">
        <v>0</v>
      </c>
      <c r="AK82" t="s">
        <v>3393</v>
      </c>
      <c r="AL82">
        <v>2023</v>
      </c>
      <c r="AM82">
        <v>2023</v>
      </c>
      <c r="AN82">
        <v>0</v>
      </c>
      <c r="AO82">
        <v>0</v>
      </c>
      <c r="AP82">
        <v>32.01</v>
      </c>
      <c r="AQ82">
        <v>0</v>
      </c>
      <c r="AR82">
        <v>32.01</v>
      </c>
      <c r="BM82" t="s">
        <v>3393</v>
      </c>
      <c r="BN82">
        <v>2023</v>
      </c>
      <c r="BO82">
        <v>1998</v>
      </c>
      <c r="BP82" t="s">
        <v>3263</v>
      </c>
      <c r="BQ82">
        <v>0.41</v>
      </c>
    </row>
    <row r="83" spans="26:69" x14ac:dyDescent="0.25">
      <c r="BM83" t="s">
        <v>3393</v>
      </c>
      <c r="BN83">
        <v>2023</v>
      </c>
      <c r="BO83">
        <v>1998</v>
      </c>
      <c r="BP83" t="s">
        <v>3264</v>
      </c>
      <c r="BQ83">
        <v>0.52</v>
      </c>
    </row>
    <row r="84" spans="26:69" x14ac:dyDescent="0.25">
      <c r="BM84" t="s">
        <v>3393</v>
      </c>
      <c r="BN84">
        <v>2023</v>
      </c>
      <c r="BO84">
        <v>1999</v>
      </c>
      <c r="BP84" t="s">
        <v>3263</v>
      </c>
      <c r="BQ84">
        <v>1.02</v>
      </c>
    </row>
    <row r="85" spans="26:69" x14ac:dyDescent="0.25">
      <c r="BM85" t="s">
        <v>3393</v>
      </c>
      <c r="BN85">
        <v>2023</v>
      </c>
      <c r="BO85">
        <v>1999</v>
      </c>
      <c r="BP85" t="s">
        <v>3264</v>
      </c>
      <c r="BQ85">
        <v>1.1599999999999999</v>
      </c>
    </row>
    <row r="86" spans="26:69" x14ac:dyDescent="0.25">
      <c r="BM86" t="s">
        <v>3393</v>
      </c>
      <c r="BN86">
        <v>2023</v>
      </c>
      <c r="BO86">
        <v>2000</v>
      </c>
      <c r="BP86" t="s">
        <v>3263</v>
      </c>
      <c r="BQ86">
        <v>1.78</v>
      </c>
    </row>
    <row r="87" spans="26:69" x14ac:dyDescent="0.25">
      <c r="BM87" t="s">
        <v>3393</v>
      </c>
      <c r="BN87">
        <v>2023</v>
      </c>
      <c r="BO87">
        <v>2001</v>
      </c>
      <c r="BP87" t="s">
        <v>3263</v>
      </c>
      <c r="BQ87">
        <v>0.67</v>
      </c>
    </row>
    <row r="88" spans="26:69" x14ac:dyDescent="0.25">
      <c r="BM88" t="s">
        <v>3393</v>
      </c>
      <c r="BN88">
        <v>2023</v>
      </c>
      <c r="BO88">
        <v>2001</v>
      </c>
      <c r="BP88" t="s">
        <v>3264</v>
      </c>
      <c r="BQ88">
        <v>0.89</v>
      </c>
    </row>
    <row r="89" spans="26:69" x14ac:dyDescent="0.25">
      <c r="BM89" t="s">
        <v>3393</v>
      </c>
      <c r="BN89">
        <v>2023</v>
      </c>
      <c r="BO89">
        <v>2003</v>
      </c>
      <c r="BP89" t="s">
        <v>3263</v>
      </c>
      <c r="BQ89">
        <v>0.46</v>
      </c>
    </row>
    <row r="90" spans="26:69" x14ac:dyDescent="0.25">
      <c r="BM90" t="s">
        <v>3393</v>
      </c>
      <c r="BN90">
        <v>2023</v>
      </c>
      <c r="BO90">
        <v>2006</v>
      </c>
      <c r="BP90" t="s">
        <v>3263</v>
      </c>
      <c r="BQ90">
        <v>0.23</v>
      </c>
    </row>
    <row r="91" spans="26:69" x14ac:dyDescent="0.25">
      <c r="BM91" t="s">
        <v>3393</v>
      </c>
      <c r="BN91">
        <v>2023</v>
      </c>
      <c r="BO91">
        <v>2007</v>
      </c>
      <c r="BP91" t="s">
        <v>3263</v>
      </c>
      <c r="BQ91">
        <v>0.18</v>
      </c>
    </row>
    <row r="92" spans="26:69" x14ac:dyDescent="0.25">
      <c r="BM92" t="s">
        <v>3393</v>
      </c>
      <c r="BN92">
        <v>2023</v>
      </c>
      <c r="BO92">
        <v>2008</v>
      </c>
      <c r="BP92" t="s">
        <v>3264</v>
      </c>
      <c r="BQ92">
        <v>0.04</v>
      </c>
    </row>
    <row r="93" spans="26:69" x14ac:dyDescent="0.25">
      <c r="BM93" t="s">
        <v>3393</v>
      </c>
      <c r="BN93">
        <v>2023</v>
      </c>
      <c r="BO93">
        <v>2013</v>
      </c>
      <c r="BP93" t="s">
        <v>3263</v>
      </c>
      <c r="BQ93">
        <v>0.01</v>
      </c>
    </row>
  </sheetData>
  <mergeCells count="7">
    <mergeCell ref="BF2:BI2"/>
    <mergeCell ref="BM2:BP2"/>
    <mergeCell ref="B2:E2"/>
    <mergeCell ref="M2:P2"/>
    <mergeCell ref="Z2:AC2"/>
    <mergeCell ref="AK2:AN2"/>
    <mergeCell ref="AV2:AY2"/>
  </mergeCells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F9DA3-D1A9-4E5B-9AA9-5DAE93AE4144}">
  <sheetPr codeName="Feuil19">
    <tabColor theme="4" tint="0.39997558519241921"/>
  </sheetPr>
  <dimension ref="B2:Y484"/>
  <sheetViews>
    <sheetView zoomScale="55" zoomScaleNormal="55" workbookViewId="0">
      <selection activeCell="I4" sqref="I4"/>
    </sheetView>
  </sheetViews>
  <sheetFormatPr defaultColWidth="11.42578125" defaultRowHeight="15" x14ac:dyDescent="0.25"/>
  <cols>
    <col min="1" max="2" width="11.42578125" style="28"/>
    <col min="3" max="3" width="31.7109375" style="28" bestFit="1" customWidth="1"/>
    <col min="4" max="4" width="23.140625" style="28" bestFit="1" customWidth="1"/>
    <col min="5" max="5" width="21.85546875" style="28" bestFit="1" customWidth="1"/>
    <col min="6" max="6" width="37.7109375" style="28" bestFit="1" customWidth="1"/>
    <col min="7" max="7" width="27" style="28" bestFit="1" customWidth="1"/>
    <col min="8" max="8" width="23.140625" style="28" bestFit="1" customWidth="1"/>
    <col min="9" max="9" width="21.7109375" style="28" bestFit="1" customWidth="1"/>
    <col min="10" max="10" width="36.28515625" style="28" bestFit="1" customWidth="1"/>
    <col min="11" max="11" width="25.28515625" style="28" bestFit="1" customWidth="1"/>
    <col min="12" max="12" width="8.7109375" style="28" bestFit="1" customWidth="1"/>
    <col min="13" max="13" width="11.42578125" style="28"/>
    <col min="14" max="14" width="12.28515625" style="28" bestFit="1" customWidth="1"/>
    <col min="15" max="15" width="23.140625" style="28" bestFit="1" customWidth="1"/>
    <col min="16" max="16" width="8.7109375" style="28" bestFit="1" customWidth="1"/>
    <col min="17" max="17" width="13.85546875" style="28" bestFit="1" customWidth="1"/>
    <col min="18" max="18" width="12.42578125" style="28" bestFit="1" customWidth="1"/>
    <col min="19" max="19" width="17.42578125" style="28" bestFit="1" customWidth="1"/>
    <col min="20" max="21" width="15.28515625" style="28" bestFit="1" customWidth="1"/>
    <col min="22" max="22" width="11.28515625" style="28" bestFit="1" customWidth="1"/>
    <col min="23" max="16384" width="11.42578125" style="28"/>
  </cols>
  <sheetData>
    <row r="2" spans="3:25" ht="21" x14ac:dyDescent="0.35">
      <c r="C2" s="799" t="s">
        <v>1976</v>
      </c>
      <c r="D2" s="799"/>
      <c r="E2" s="799"/>
      <c r="F2" s="799"/>
      <c r="G2" s="532"/>
      <c r="H2" s="532"/>
      <c r="I2" s="532"/>
      <c r="J2" s="532"/>
      <c r="K2" s="532"/>
      <c r="L2" s="532"/>
      <c r="N2" s="531" t="s">
        <v>1977</v>
      </c>
      <c r="O2" s="531"/>
      <c r="P2" s="531"/>
      <c r="Q2" s="531"/>
      <c r="R2" s="531"/>
      <c r="S2" s="531"/>
      <c r="T2" s="529"/>
    </row>
    <row r="3" spans="3:25" x14ac:dyDescent="0.25">
      <c r="E3" s="530" t="s">
        <v>1978</v>
      </c>
      <c r="F3" s="530" t="s">
        <v>1978</v>
      </c>
      <c r="H3" s="530" t="s">
        <v>1978</v>
      </c>
      <c r="I3" s="530" t="s">
        <v>1978</v>
      </c>
    </row>
    <row r="4" spans="3:25" x14ac:dyDescent="0.25">
      <c r="C4" s="533" t="s">
        <v>1979</v>
      </c>
      <c r="D4" s="533" t="s">
        <v>1980</v>
      </c>
      <c r="E4" s="533" t="s">
        <v>1981</v>
      </c>
      <c r="F4" s="533" t="s">
        <v>1982</v>
      </c>
      <c r="G4" s="533" t="s">
        <v>1983</v>
      </c>
      <c r="H4" s="533" t="s">
        <v>1984</v>
      </c>
      <c r="I4" t="s">
        <v>3099</v>
      </c>
      <c r="J4" s="533" t="s">
        <v>1985</v>
      </c>
      <c r="K4" s="533" t="s">
        <v>1986</v>
      </c>
      <c r="L4" s="533" t="s">
        <v>1357</v>
      </c>
      <c r="N4" s="533" t="s">
        <v>1979</v>
      </c>
      <c r="O4" s="533" t="s">
        <v>1980</v>
      </c>
      <c r="P4" s="533" t="s">
        <v>1357</v>
      </c>
      <c r="Q4" s="533" t="s">
        <v>1987</v>
      </c>
      <c r="R4" s="533" t="s">
        <v>1988</v>
      </c>
      <c r="S4" s="533" t="s">
        <v>1989</v>
      </c>
      <c r="U4" s="28" t="s">
        <v>1990</v>
      </c>
      <c r="Y4" s="28" t="s">
        <v>1991</v>
      </c>
    </row>
    <row r="5" spans="3:25" x14ac:dyDescent="0.25">
      <c r="C5" s="28" t="s">
        <v>1992</v>
      </c>
      <c r="D5" s="28" t="s">
        <v>1993</v>
      </c>
      <c r="F5" s="28">
        <v>52.8078</v>
      </c>
      <c r="G5" s="28">
        <v>1</v>
      </c>
      <c r="I5"/>
      <c r="J5" s="28">
        <v>47.306600000000003</v>
      </c>
      <c r="K5" s="28">
        <v>1</v>
      </c>
      <c r="L5" s="28">
        <v>2019</v>
      </c>
      <c r="N5" s="28" t="s">
        <v>1996</v>
      </c>
      <c r="O5" s="28" t="s">
        <v>1997</v>
      </c>
      <c r="P5" s="28">
        <v>2011</v>
      </c>
      <c r="Q5" s="28">
        <v>0.4118</v>
      </c>
      <c r="R5" s="28">
        <v>0.51549999999999996</v>
      </c>
      <c r="S5" s="28">
        <v>0.45900000000000002</v>
      </c>
      <c r="U5" s="28" t="e" cm="1">
        <f t="array" ref="U5">LINEST(E7:E484,F7:F484^{1,2})</f>
        <v>#VALUE!</v>
      </c>
      <c r="Y5" s="28" t="e" cm="1">
        <f t="array" ref="Y5">LINEST(H7:H484,J7:J484)</f>
        <v>#VALUE!</v>
      </c>
    </row>
    <row r="6" spans="3:25" x14ac:dyDescent="0.25">
      <c r="C6" s="28" t="s">
        <v>1992</v>
      </c>
      <c r="D6" s="28" t="s">
        <v>1993</v>
      </c>
      <c r="F6" s="28">
        <v>52.508600000000001</v>
      </c>
      <c r="G6" s="28">
        <v>1</v>
      </c>
      <c r="I6"/>
      <c r="J6" s="28">
        <v>47.100700000000003</v>
      </c>
      <c r="K6" s="28">
        <v>1</v>
      </c>
      <c r="L6" s="28">
        <v>2020</v>
      </c>
      <c r="N6" s="28" t="s">
        <v>1996</v>
      </c>
      <c r="O6" s="28" t="s">
        <v>1997</v>
      </c>
      <c r="P6" s="28">
        <v>2012</v>
      </c>
      <c r="Q6" s="28">
        <v>0.43669999999999998</v>
      </c>
      <c r="R6" s="28">
        <v>0.52790000000000004</v>
      </c>
      <c r="S6" s="28">
        <v>0.4778</v>
      </c>
    </row>
    <row r="7" spans="3:25" x14ac:dyDescent="0.25">
      <c r="C7" s="28" t="s">
        <v>1992</v>
      </c>
      <c r="D7" s="28" t="s">
        <v>1993</v>
      </c>
      <c r="F7" s="28">
        <v>52.077100000000002</v>
      </c>
      <c r="G7" s="28">
        <v>1</v>
      </c>
      <c r="I7"/>
      <c r="J7" s="28">
        <v>46.811999999999998</v>
      </c>
      <c r="K7" s="28">
        <v>1</v>
      </c>
      <c r="L7" s="28">
        <v>2021</v>
      </c>
      <c r="N7" s="28" t="s">
        <v>1996</v>
      </c>
      <c r="O7" s="28" t="s">
        <v>1997</v>
      </c>
      <c r="P7" s="28">
        <v>2013</v>
      </c>
      <c r="Q7" s="28">
        <v>0.4476</v>
      </c>
      <c r="R7" s="28">
        <v>0.53839999999999999</v>
      </c>
      <c r="S7" s="28">
        <v>0.48849999999999999</v>
      </c>
    </row>
    <row r="8" spans="3:25" x14ac:dyDescent="0.25">
      <c r="C8" s="28" t="s">
        <v>1992</v>
      </c>
      <c r="D8" s="28" t="s">
        <v>1993</v>
      </c>
      <c r="F8" s="28">
        <v>51.6374</v>
      </c>
      <c r="G8" s="28">
        <v>1</v>
      </c>
      <c r="I8"/>
      <c r="J8" s="28">
        <v>46.551900000000003</v>
      </c>
      <c r="K8" s="28">
        <v>1</v>
      </c>
      <c r="L8" s="28">
        <v>2022</v>
      </c>
      <c r="N8" s="28" t="s">
        <v>1996</v>
      </c>
      <c r="O8" s="28" t="s">
        <v>1997</v>
      </c>
      <c r="P8" s="28">
        <v>2014</v>
      </c>
      <c r="Q8" s="28">
        <v>0.45950000000000002</v>
      </c>
      <c r="R8" s="28">
        <v>0.55030000000000001</v>
      </c>
      <c r="S8" s="28">
        <v>0.50019999999999998</v>
      </c>
    </row>
    <row r="9" spans="3:25" x14ac:dyDescent="0.25">
      <c r="C9" s="28" t="s">
        <v>1992</v>
      </c>
      <c r="D9" s="28" t="s">
        <v>1993</v>
      </c>
      <c r="F9" s="28">
        <v>51.3065</v>
      </c>
      <c r="G9" s="28">
        <v>1</v>
      </c>
      <c r="I9"/>
      <c r="J9" s="28">
        <v>46.341200000000001</v>
      </c>
      <c r="K9" s="28">
        <v>1</v>
      </c>
      <c r="L9" s="28">
        <v>2023</v>
      </c>
      <c r="N9" s="28" t="s">
        <v>1996</v>
      </c>
      <c r="O9" s="28" t="s">
        <v>1997</v>
      </c>
      <c r="P9" s="28">
        <v>2015</v>
      </c>
      <c r="Q9" s="28">
        <v>0.46789999999999998</v>
      </c>
      <c r="R9" s="28">
        <v>0.55800000000000005</v>
      </c>
      <c r="S9" s="28">
        <v>0.50819999999999999</v>
      </c>
    </row>
    <row r="10" spans="3:25" x14ac:dyDescent="0.25">
      <c r="C10" s="28" t="s">
        <v>3393</v>
      </c>
      <c r="D10" s="28" t="s">
        <v>1993</v>
      </c>
      <c r="E10" s="28">
        <v>0.51719999999999999</v>
      </c>
      <c r="F10" s="28">
        <v>64.556799999999996</v>
      </c>
      <c r="G10" s="28">
        <v>227</v>
      </c>
      <c r="H10" s="28">
        <v>0.92900000000000005</v>
      </c>
      <c r="I10">
        <v>0.59230000000000005</v>
      </c>
      <c r="J10" s="28">
        <v>83.274799999999999</v>
      </c>
      <c r="K10" s="28">
        <v>315</v>
      </c>
      <c r="L10" s="28">
        <v>2019</v>
      </c>
      <c r="N10" s="28" t="s">
        <v>1996</v>
      </c>
      <c r="O10" s="28" t="s">
        <v>1997</v>
      </c>
      <c r="P10" s="28">
        <v>2016</v>
      </c>
      <c r="Q10" s="28">
        <v>0.48070000000000002</v>
      </c>
      <c r="R10" s="28">
        <v>0.56630000000000003</v>
      </c>
      <c r="S10" s="28">
        <v>0.51880000000000004</v>
      </c>
    </row>
    <row r="11" spans="3:25" x14ac:dyDescent="0.25">
      <c r="C11" s="28" t="s">
        <v>3393</v>
      </c>
      <c r="D11" s="28" t="s">
        <v>1993</v>
      </c>
      <c r="E11" s="28">
        <v>0.5202</v>
      </c>
      <c r="F11" s="28">
        <v>64.293899999999994</v>
      </c>
      <c r="G11" s="28">
        <v>219</v>
      </c>
      <c r="H11" s="28">
        <v>0.93210000000000004</v>
      </c>
      <c r="I11">
        <v>0.59970000000000001</v>
      </c>
      <c r="J11" s="28">
        <v>82.778300000000002</v>
      </c>
      <c r="K11" s="28">
        <v>301</v>
      </c>
      <c r="L11" s="28">
        <v>2020</v>
      </c>
      <c r="N11" s="28" t="s">
        <v>1996</v>
      </c>
      <c r="O11" s="28" t="s">
        <v>1997</v>
      </c>
      <c r="P11" s="28">
        <v>2017</v>
      </c>
      <c r="Q11" s="28">
        <v>0.49320000000000003</v>
      </c>
      <c r="R11" s="28">
        <v>0.57420000000000004</v>
      </c>
      <c r="S11" s="28">
        <v>0.52910000000000001</v>
      </c>
    </row>
    <row r="12" spans="3:25" x14ac:dyDescent="0.25">
      <c r="C12" s="28" t="s">
        <v>3393</v>
      </c>
      <c r="D12" s="28" t="s">
        <v>1993</v>
      </c>
      <c r="E12" s="28">
        <v>0.5363</v>
      </c>
      <c r="F12" s="28">
        <v>62.345999999999997</v>
      </c>
      <c r="G12" s="28">
        <v>200</v>
      </c>
      <c r="H12" s="28">
        <v>0.93520000000000003</v>
      </c>
      <c r="I12">
        <v>0.6079</v>
      </c>
      <c r="J12" s="28">
        <v>82.075000000000003</v>
      </c>
      <c r="K12" s="28">
        <v>285</v>
      </c>
      <c r="L12" s="28">
        <v>2021</v>
      </c>
      <c r="N12" s="28" t="s">
        <v>1996</v>
      </c>
      <c r="O12" s="28" t="s">
        <v>1997</v>
      </c>
      <c r="P12" s="28">
        <v>2018</v>
      </c>
      <c r="Q12" s="28">
        <v>0.50819999999999999</v>
      </c>
      <c r="R12" s="28">
        <v>0.58020000000000005</v>
      </c>
      <c r="S12" s="28">
        <v>0.53969999999999996</v>
      </c>
    </row>
    <row r="13" spans="3:25" x14ac:dyDescent="0.25">
      <c r="C13" s="28" t="s">
        <v>3393</v>
      </c>
      <c r="D13" s="28" t="s">
        <v>1993</v>
      </c>
      <c r="E13" s="28">
        <v>0.5403</v>
      </c>
      <c r="F13" s="28">
        <v>61.910899999999998</v>
      </c>
      <c r="G13" s="28">
        <v>189</v>
      </c>
      <c r="H13" s="28">
        <v>0.93710000000000004</v>
      </c>
      <c r="I13">
        <v>0.61550000000000005</v>
      </c>
      <c r="J13" s="28">
        <v>81.730800000000002</v>
      </c>
      <c r="K13" s="28">
        <v>275</v>
      </c>
      <c r="L13" s="28">
        <v>2022</v>
      </c>
      <c r="N13" s="28" t="s">
        <v>1996</v>
      </c>
      <c r="O13" s="28" t="s">
        <v>1997</v>
      </c>
      <c r="P13" s="28">
        <v>2019</v>
      </c>
      <c r="Q13" s="28">
        <v>0.51800000000000002</v>
      </c>
      <c r="R13" s="28">
        <v>0.59319999999999995</v>
      </c>
      <c r="S13" s="28">
        <v>0.55059999999999998</v>
      </c>
    </row>
    <row r="14" spans="3:25" x14ac:dyDescent="0.25">
      <c r="C14" s="28" t="s">
        <v>3393</v>
      </c>
      <c r="D14" s="28" t="s">
        <v>1993</v>
      </c>
      <c r="E14" s="28">
        <v>0.54300000000000004</v>
      </c>
      <c r="F14" s="28">
        <v>61.576999999999998</v>
      </c>
      <c r="G14" s="28">
        <v>185</v>
      </c>
      <c r="H14" s="28">
        <v>0.94</v>
      </c>
      <c r="I14">
        <v>0.62260000000000004</v>
      </c>
      <c r="J14" s="28">
        <v>81.117800000000003</v>
      </c>
      <c r="K14" s="28">
        <v>258</v>
      </c>
      <c r="L14" s="28">
        <v>2023</v>
      </c>
      <c r="N14" s="28" t="s">
        <v>1996</v>
      </c>
      <c r="O14" s="28" t="s">
        <v>1997</v>
      </c>
      <c r="P14" s="28">
        <v>2020</v>
      </c>
      <c r="Q14" s="28">
        <v>0.52100000000000002</v>
      </c>
      <c r="R14" s="28">
        <v>0.60219999999999996</v>
      </c>
      <c r="S14" s="28">
        <v>0.55630000000000002</v>
      </c>
    </row>
    <row r="15" spans="3:25" x14ac:dyDescent="0.25">
      <c r="C15" s="28" t="s">
        <v>1994</v>
      </c>
      <c r="D15" s="28" t="s">
        <v>1995</v>
      </c>
      <c r="E15" s="28">
        <v>0.46529999999999999</v>
      </c>
      <c r="F15" s="28">
        <v>97.913300000000007</v>
      </c>
      <c r="G15" s="28">
        <v>283</v>
      </c>
      <c r="H15" s="28">
        <v>0.98140000000000005</v>
      </c>
      <c r="I15">
        <v>0.5242</v>
      </c>
      <c r="J15" s="28">
        <v>81.635499999999993</v>
      </c>
      <c r="K15" s="28">
        <v>38</v>
      </c>
      <c r="L15" s="28">
        <v>2019</v>
      </c>
      <c r="N15" s="28" t="s">
        <v>1996</v>
      </c>
      <c r="O15" s="28" t="s">
        <v>1997</v>
      </c>
      <c r="P15" s="28">
        <v>2021</v>
      </c>
      <c r="Q15" s="28">
        <v>0.53680000000000005</v>
      </c>
      <c r="R15" s="28">
        <v>0.61170000000000002</v>
      </c>
      <c r="S15" s="28">
        <v>0.56889999999999996</v>
      </c>
    </row>
    <row r="16" spans="3:25" x14ac:dyDescent="0.25">
      <c r="C16" s="28" t="s">
        <v>1994</v>
      </c>
      <c r="D16" s="28" t="s">
        <v>1995</v>
      </c>
      <c r="E16" s="28">
        <v>0.46939999999999998</v>
      </c>
      <c r="F16" s="28">
        <v>97.913300000000007</v>
      </c>
      <c r="G16" s="28">
        <v>277</v>
      </c>
      <c r="H16" s="28">
        <v>0.98299999999999998</v>
      </c>
      <c r="I16">
        <v>0.53</v>
      </c>
      <c r="J16" s="28">
        <v>81.635499999999993</v>
      </c>
      <c r="K16" s="28">
        <v>33</v>
      </c>
      <c r="L16" s="28">
        <v>2020</v>
      </c>
      <c r="N16" s="28" t="s">
        <v>1996</v>
      </c>
      <c r="O16" s="28" t="s">
        <v>1997</v>
      </c>
      <c r="P16" s="28">
        <v>2022</v>
      </c>
      <c r="Q16" s="28">
        <v>0.54079999999999995</v>
      </c>
      <c r="R16" s="28">
        <v>0.61829999999999996</v>
      </c>
      <c r="S16" s="28">
        <v>0.57399999999999995</v>
      </c>
    </row>
    <row r="17" spans="2:19" x14ac:dyDescent="0.25">
      <c r="C17" s="28" t="s">
        <v>1994</v>
      </c>
      <c r="D17" s="28" t="s">
        <v>1995</v>
      </c>
      <c r="E17" s="28">
        <v>0.4748</v>
      </c>
      <c r="F17" s="28">
        <v>97.913300000000007</v>
      </c>
      <c r="G17" s="28">
        <v>265</v>
      </c>
      <c r="H17" s="28">
        <v>0.98480000000000001</v>
      </c>
      <c r="I17">
        <v>0.53559999999999997</v>
      </c>
      <c r="J17" s="28">
        <v>81.635499999999993</v>
      </c>
      <c r="K17" s="28">
        <v>28</v>
      </c>
      <c r="L17" s="28">
        <v>2021</v>
      </c>
      <c r="N17" s="28" t="s">
        <v>1996</v>
      </c>
      <c r="O17" s="28" t="s">
        <v>1997</v>
      </c>
      <c r="P17" s="28">
        <v>2023</v>
      </c>
      <c r="Q17" s="28">
        <v>0.54379999999999995</v>
      </c>
      <c r="R17" s="28">
        <v>0.62649999999999995</v>
      </c>
      <c r="S17" s="28">
        <v>0.57920000000000005</v>
      </c>
    </row>
    <row r="18" spans="2:19" x14ac:dyDescent="0.25">
      <c r="C18" s="28" t="s">
        <v>1994</v>
      </c>
      <c r="D18" s="28" t="s">
        <v>1995</v>
      </c>
      <c r="E18" s="28">
        <v>0.47760000000000002</v>
      </c>
      <c r="F18" s="28">
        <v>97.913300000000007</v>
      </c>
      <c r="G18" s="28">
        <v>261</v>
      </c>
      <c r="H18" s="28">
        <v>0.98740000000000006</v>
      </c>
      <c r="I18">
        <v>0.54110000000000003</v>
      </c>
      <c r="J18" s="28">
        <v>81.635499999999993</v>
      </c>
      <c r="K18" s="28">
        <v>23</v>
      </c>
      <c r="L18" s="28">
        <v>2022</v>
      </c>
      <c r="N18" s="28" t="s">
        <v>1992</v>
      </c>
      <c r="O18" s="28" t="s">
        <v>1993</v>
      </c>
      <c r="P18" s="28">
        <v>2011</v>
      </c>
      <c r="Q18" s="28">
        <v>0.4264</v>
      </c>
      <c r="R18" s="28">
        <v>0.40010000000000001</v>
      </c>
      <c r="S18" s="28">
        <v>0.41249999999999998</v>
      </c>
    </row>
    <row r="19" spans="2:19" x14ac:dyDescent="0.25">
      <c r="C19" s="28" t="s">
        <v>1994</v>
      </c>
      <c r="D19" s="28" t="s">
        <v>1995</v>
      </c>
      <c r="E19" s="28">
        <v>0.48280000000000001</v>
      </c>
      <c r="F19" s="28">
        <v>97.913300000000007</v>
      </c>
      <c r="G19" s="28">
        <v>254</v>
      </c>
      <c r="H19" s="28">
        <v>0.99199999999999999</v>
      </c>
      <c r="I19">
        <v>0.54720000000000002</v>
      </c>
      <c r="J19" s="28">
        <v>81.635499999999993</v>
      </c>
      <c r="K19" s="28">
        <v>14</v>
      </c>
      <c r="L19" s="28">
        <v>2023</v>
      </c>
      <c r="N19" s="28" t="s">
        <v>1992</v>
      </c>
      <c r="O19" s="28" t="s">
        <v>1993</v>
      </c>
      <c r="P19" s="28">
        <v>2012</v>
      </c>
      <c r="Q19" s="28">
        <v>0.43790000000000001</v>
      </c>
      <c r="R19" s="28">
        <v>0.41020000000000001</v>
      </c>
      <c r="S19" s="28">
        <v>0.42320000000000002</v>
      </c>
    </row>
    <row r="20" spans="2:19" x14ac:dyDescent="0.25">
      <c r="C20" s="28" t="s">
        <v>1996</v>
      </c>
      <c r="D20" s="28" t="s">
        <v>1997</v>
      </c>
      <c r="E20" s="28">
        <v>0.51800000000000002</v>
      </c>
      <c r="F20" s="28">
        <v>64.227900000000005</v>
      </c>
      <c r="G20" s="28">
        <v>225</v>
      </c>
      <c r="H20" s="28">
        <v>0.92969999999999997</v>
      </c>
      <c r="I20">
        <v>0.59319999999999995</v>
      </c>
      <c r="J20" s="28">
        <v>85.641499999999994</v>
      </c>
      <c r="K20" s="28">
        <v>311</v>
      </c>
      <c r="L20" s="28">
        <v>2019</v>
      </c>
      <c r="N20" s="28" t="s">
        <v>1992</v>
      </c>
      <c r="O20" s="28" t="s">
        <v>1993</v>
      </c>
      <c r="P20" s="28">
        <v>2013</v>
      </c>
      <c r="Q20" s="28">
        <v>0.44890000000000002</v>
      </c>
      <c r="R20" s="28">
        <v>0.41949999999999998</v>
      </c>
      <c r="S20" s="28">
        <v>0.43330000000000002</v>
      </c>
    </row>
    <row r="21" spans="2:19" x14ac:dyDescent="0.25">
      <c r="C21" s="28" t="s">
        <v>1996</v>
      </c>
      <c r="D21" s="28" t="s">
        <v>1997</v>
      </c>
      <c r="E21" s="28">
        <v>0.52100000000000002</v>
      </c>
      <c r="F21" s="28">
        <v>64.227900000000005</v>
      </c>
      <c r="G21" s="28">
        <v>217</v>
      </c>
      <c r="H21" s="28">
        <v>0.93320000000000003</v>
      </c>
      <c r="I21">
        <v>0.60219999999999996</v>
      </c>
      <c r="J21" s="28">
        <v>85.641499999999994</v>
      </c>
      <c r="K21" s="28">
        <v>293</v>
      </c>
      <c r="L21" s="28">
        <v>2020</v>
      </c>
      <c r="N21" s="28" t="s">
        <v>1992</v>
      </c>
      <c r="O21" s="28" t="s">
        <v>1993</v>
      </c>
      <c r="P21" s="28">
        <v>2014</v>
      </c>
      <c r="Q21" s="28">
        <v>0.45979999999999999</v>
      </c>
      <c r="R21" s="28">
        <v>0.42849999999999999</v>
      </c>
      <c r="S21" s="28">
        <v>0.44319999999999998</v>
      </c>
    </row>
    <row r="22" spans="2:19" x14ac:dyDescent="0.25">
      <c r="C22" s="28" t="s">
        <v>1996</v>
      </c>
      <c r="D22" s="28" t="s">
        <v>1997</v>
      </c>
      <c r="E22" s="28">
        <v>0.53680000000000005</v>
      </c>
      <c r="F22" s="28">
        <v>64.227900000000005</v>
      </c>
      <c r="G22" s="28">
        <v>198</v>
      </c>
      <c r="H22" s="28">
        <v>0.93630000000000002</v>
      </c>
      <c r="I22">
        <v>0.61170000000000002</v>
      </c>
      <c r="J22" s="28">
        <v>85.641499999999994</v>
      </c>
      <c r="K22" s="28">
        <v>278</v>
      </c>
      <c r="L22" s="28">
        <v>2021</v>
      </c>
      <c r="N22" s="28" t="s">
        <v>1992</v>
      </c>
      <c r="O22" s="28" t="s">
        <v>1993</v>
      </c>
      <c r="P22" s="28">
        <v>2015</v>
      </c>
      <c r="Q22" s="28">
        <v>0.46929999999999999</v>
      </c>
      <c r="R22" s="28">
        <v>0.43619999999999998</v>
      </c>
      <c r="S22" s="28">
        <v>0.45179999999999998</v>
      </c>
    </row>
    <row r="23" spans="2:19" x14ac:dyDescent="0.25">
      <c r="C23" s="28" t="s">
        <v>1996</v>
      </c>
      <c r="D23" s="28" t="s">
        <v>1997</v>
      </c>
      <c r="E23" s="28">
        <v>0.54079999999999995</v>
      </c>
      <c r="F23" s="28">
        <v>64.227900000000005</v>
      </c>
      <c r="G23" s="28">
        <v>188</v>
      </c>
      <c r="H23" s="28">
        <v>0.93840000000000001</v>
      </c>
      <c r="I23">
        <v>0.61829999999999996</v>
      </c>
      <c r="J23" s="28">
        <v>85.641499999999994</v>
      </c>
      <c r="K23" s="28">
        <v>263</v>
      </c>
      <c r="L23" s="28">
        <v>2022</v>
      </c>
      <c r="N23" s="28" t="s">
        <v>1992</v>
      </c>
      <c r="O23" s="28" t="s">
        <v>1993</v>
      </c>
      <c r="P23" s="28">
        <v>2016</v>
      </c>
      <c r="Q23" s="28">
        <v>0.4783</v>
      </c>
      <c r="R23" s="28">
        <v>0.44330000000000003</v>
      </c>
      <c r="S23" s="28">
        <v>0.45979999999999999</v>
      </c>
    </row>
    <row r="24" spans="2:19" x14ac:dyDescent="0.25">
      <c r="C24" s="28" t="s">
        <v>1996</v>
      </c>
      <c r="D24" s="28" t="s">
        <v>1997</v>
      </c>
      <c r="E24" s="28">
        <v>0.54379999999999995</v>
      </c>
      <c r="F24" s="28">
        <v>64.227900000000005</v>
      </c>
      <c r="G24" s="28">
        <v>184</v>
      </c>
      <c r="H24" s="28">
        <v>0.94169999999999998</v>
      </c>
      <c r="I24">
        <v>0.62649999999999995</v>
      </c>
      <c r="J24" s="28">
        <v>85.641499999999994</v>
      </c>
      <c r="K24" s="28">
        <v>251</v>
      </c>
      <c r="L24" s="28">
        <v>2023</v>
      </c>
      <c r="N24" s="28" t="s">
        <v>1992</v>
      </c>
      <c r="O24" s="28" t="s">
        <v>1993</v>
      </c>
      <c r="P24" s="28">
        <v>2017</v>
      </c>
      <c r="Q24" s="28">
        <v>0.4879</v>
      </c>
      <c r="R24" s="28">
        <v>0.4506</v>
      </c>
      <c r="S24" s="28">
        <v>0.46820000000000001</v>
      </c>
    </row>
    <row r="25" spans="2:19" x14ac:dyDescent="0.25">
      <c r="C25" s="28" t="s">
        <v>1998</v>
      </c>
      <c r="D25" s="28" t="s">
        <v>1999</v>
      </c>
      <c r="E25" s="28">
        <v>0.52010000000000001</v>
      </c>
      <c r="F25" s="28">
        <v>60.826999999999998</v>
      </c>
      <c r="G25" s="28">
        <v>220</v>
      </c>
      <c r="H25" s="28">
        <v>0.9345</v>
      </c>
      <c r="I25">
        <v>0.49130000000000001</v>
      </c>
      <c r="J25" s="28">
        <v>62.613700000000001</v>
      </c>
      <c r="K25" s="28">
        <v>289</v>
      </c>
      <c r="L25" s="28">
        <v>2019</v>
      </c>
      <c r="N25" s="28" t="s">
        <v>1992</v>
      </c>
      <c r="O25" s="28" t="s">
        <v>1993</v>
      </c>
      <c r="P25" s="28">
        <v>2018</v>
      </c>
      <c r="Q25" s="28">
        <v>0.49590000000000001</v>
      </c>
      <c r="R25" s="28">
        <v>0.4577</v>
      </c>
      <c r="S25" s="28">
        <v>0.47570000000000001</v>
      </c>
    </row>
    <row r="26" spans="2:19" x14ac:dyDescent="0.25">
      <c r="C26" s="28" t="s">
        <v>1998</v>
      </c>
      <c r="D26" s="28" t="s">
        <v>1999</v>
      </c>
      <c r="E26" s="28">
        <v>0.52949999999999997</v>
      </c>
      <c r="F26" s="28">
        <v>60.826999999999998</v>
      </c>
      <c r="G26" s="28">
        <v>207</v>
      </c>
      <c r="H26" s="28">
        <v>0.9375</v>
      </c>
      <c r="I26">
        <v>0.49680000000000002</v>
      </c>
      <c r="J26" s="28">
        <v>62.613700000000001</v>
      </c>
      <c r="K26" s="28">
        <v>272</v>
      </c>
      <c r="L26" s="28">
        <v>2020</v>
      </c>
      <c r="N26" s="28" t="s">
        <v>1992</v>
      </c>
      <c r="O26" s="28" t="s">
        <v>1993</v>
      </c>
      <c r="P26" s="28">
        <v>2019</v>
      </c>
      <c r="Q26" s="28">
        <v>0.50429999999999997</v>
      </c>
      <c r="R26" s="28">
        <v>0.46539999999999998</v>
      </c>
      <c r="S26" s="28">
        <v>0.48380000000000001</v>
      </c>
    </row>
    <row r="27" spans="2:19" x14ac:dyDescent="0.25">
      <c r="C27" s="28" t="s">
        <v>1998</v>
      </c>
      <c r="D27" s="28" t="s">
        <v>1999</v>
      </c>
      <c r="E27" s="28">
        <v>0.53720000000000001</v>
      </c>
      <c r="F27" s="28">
        <v>60.826999999999998</v>
      </c>
      <c r="G27" s="28">
        <v>197</v>
      </c>
      <c r="H27" s="28">
        <v>0.94120000000000004</v>
      </c>
      <c r="I27">
        <v>0.50249999999999995</v>
      </c>
      <c r="J27" s="28">
        <v>62.613700000000001</v>
      </c>
      <c r="K27" s="28">
        <v>252</v>
      </c>
      <c r="L27" s="28">
        <v>2021</v>
      </c>
      <c r="N27" s="28" t="s">
        <v>1992</v>
      </c>
      <c r="O27" s="28" t="s">
        <v>1993</v>
      </c>
      <c r="P27" s="28">
        <v>2020</v>
      </c>
      <c r="Q27" s="28">
        <v>0.51049999999999995</v>
      </c>
      <c r="R27" s="28">
        <v>0.47239999999999999</v>
      </c>
      <c r="S27" s="28">
        <v>0.4904</v>
      </c>
    </row>
    <row r="28" spans="2:19" x14ac:dyDescent="0.25">
      <c r="C28" s="28" t="s">
        <v>1998</v>
      </c>
      <c r="D28" s="28" t="s">
        <v>1999</v>
      </c>
      <c r="E28" s="28">
        <v>0.53990000000000005</v>
      </c>
      <c r="F28" s="28">
        <v>60.826999999999998</v>
      </c>
      <c r="G28" s="28">
        <v>191</v>
      </c>
      <c r="H28" s="28">
        <v>0.94410000000000005</v>
      </c>
      <c r="I28">
        <v>0.50870000000000004</v>
      </c>
      <c r="J28" s="28">
        <v>62.613700000000001</v>
      </c>
      <c r="K28" s="28">
        <v>241</v>
      </c>
      <c r="L28" s="28">
        <v>2022</v>
      </c>
      <c r="N28" s="28" t="s">
        <v>1992</v>
      </c>
      <c r="O28" s="28" t="s">
        <v>1993</v>
      </c>
      <c r="P28" s="28">
        <v>2021</v>
      </c>
      <c r="Q28" s="28">
        <v>0.5181</v>
      </c>
      <c r="R28" s="28">
        <v>0.48020000000000002</v>
      </c>
      <c r="S28" s="28">
        <v>0.49809999999999999</v>
      </c>
    </row>
    <row r="29" spans="2:19" x14ac:dyDescent="0.25">
      <c r="C29" s="28" t="s">
        <v>1998</v>
      </c>
      <c r="D29" s="28" t="s">
        <v>1999</v>
      </c>
      <c r="E29" s="28">
        <v>0.54800000000000004</v>
      </c>
      <c r="F29" s="28">
        <v>60.826999999999998</v>
      </c>
      <c r="G29" s="28">
        <v>179</v>
      </c>
      <c r="H29" s="28">
        <v>0.94630000000000003</v>
      </c>
      <c r="I29">
        <v>0.51429999999999998</v>
      </c>
      <c r="J29" s="28">
        <v>62.613700000000001</v>
      </c>
      <c r="K29" s="28">
        <v>227</v>
      </c>
      <c r="L29" s="28">
        <v>2023</v>
      </c>
      <c r="N29" s="28" t="s">
        <v>1992</v>
      </c>
      <c r="O29" s="28" t="s">
        <v>1993</v>
      </c>
      <c r="P29" s="28">
        <v>2022</v>
      </c>
      <c r="Q29" s="28">
        <v>0.52370000000000005</v>
      </c>
      <c r="R29" s="28">
        <v>0.48749999999999999</v>
      </c>
      <c r="S29" s="28">
        <v>0.50470000000000004</v>
      </c>
    </row>
    <row r="30" spans="2:19" x14ac:dyDescent="0.25">
      <c r="C30" s="28" t="s">
        <v>2000</v>
      </c>
      <c r="D30" s="28" t="s">
        <v>2001</v>
      </c>
      <c r="E30" s="28">
        <v>0.31530000000000002</v>
      </c>
      <c r="F30" s="28">
        <v>31.266500000000001</v>
      </c>
      <c r="G30" s="28">
        <v>465</v>
      </c>
      <c r="H30" s="28">
        <v>0.90110000000000001</v>
      </c>
      <c r="I30">
        <v>0.32829999999999998</v>
      </c>
      <c r="J30" s="28">
        <v>37.081299999999999</v>
      </c>
      <c r="K30" s="28">
        <v>401</v>
      </c>
      <c r="L30" s="28">
        <v>2019</v>
      </c>
      <c r="N30" s="28" t="s">
        <v>1992</v>
      </c>
      <c r="O30" s="28" t="s">
        <v>1993</v>
      </c>
      <c r="P30" s="28">
        <v>2023</v>
      </c>
      <c r="Q30" s="28">
        <v>0.53</v>
      </c>
      <c r="R30" s="28">
        <v>0.49440000000000001</v>
      </c>
      <c r="S30" s="28">
        <v>0.51129999999999998</v>
      </c>
    </row>
    <row r="31" spans="2:19" x14ac:dyDescent="0.25">
      <c r="C31" s="28" t="s">
        <v>2000</v>
      </c>
      <c r="D31" s="28" t="s">
        <v>2001</v>
      </c>
      <c r="E31" s="28">
        <v>0.3246</v>
      </c>
      <c r="F31" s="28">
        <v>31.266500000000001</v>
      </c>
      <c r="G31" s="28">
        <v>460</v>
      </c>
      <c r="H31" s="28">
        <v>0.91310000000000002</v>
      </c>
      <c r="I31">
        <v>0.3347</v>
      </c>
      <c r="J31" s="28">
        <v>37.081299999999999</v>
      </c>
      <c r="K31" s="28">
        <v>369</v>
      </c>
      <c r="L31" s="28">
        <v>2020</v>
      </c>
      <c r="N31" s="28" t="s">
        <v>3393</v>
      </c>
      <c r="O31" s="28" t="s">
        <v>1997</v>
      </c>
      <c r="P31" s="28">
        <v>2019</v>
      </c>
      <c r="R31" s="28">
        <v>0.59230000000000005</v>
      </c>
      <c r="S31" s="28">
        <v>0.55000000000000004</v>
      </c>
    </row>
    <row r="32" spans="2:19" x14ac:dyDescent="0.25">
      <c r="B32" s="100"/>
      <c r="C32" s="28" t="s">
        <v>2000</v>
      </c>
      <c r="D32" s="28" t="s">
        <v>2001</v>
      </c>
      <c r="E32" s="28">
        <v>0.33229999999999998</v>
      </c>
      <c r="F32" s="28">
        <v>31.266500000000001</v>
      </c>
      <c r="G32" s="28">
        <v>455</v>
      </c>
      <c r="H32" s="28">
        <v>0.92689999999999995</v>
      </c>
      <c r="I32">
        <v>0.34329999999999999</v>
      </c>
      <c r="J32" s="28">
        <v>37.081299999999999</v>
      </c>
      <c r="K32" s="28">
        <v>326</v>
      </c>
      <c r="L32" s="28">
        <v>2021</v>
      </c>
      <c r="N32" s="28" t="s">
        <v>3393</v>
      </c>
      <c r="O32" s="28" t="s">
        <v>1997</v>
      </c>
      <c r="P32" s="28">
        <v>2020</v>
      </c>
      <c r="Q32" s="28">
        <v>0.5202</v>
      </c>
      <c r="R32" s="28">
        <v>0.59970000000000001</v>
      </c>
      <c r="S32" s="28">
        <v>0.55500000000000005</v>
      </c>
    </row>
    <row r="33" spans="3:19" x14ac:dyDescent="0.25">
      <c r="C33" s="28" t="s">
        <v>2000</v>
      </c>
      <c r="D33" s="28" t="s">
        <v>2001</v>
      </c>
      <c r="E33" s="28">
        <v>0.34739999999999999</v>
      </c>
      <c r="F33" s="28">
        <v>31.266500000000001</v>
      </c>
      <c r="G33" s="28">
        <v>449</v>
      </c>
      <c r="H33" s="28">
        <v>0.93640000000000001</v>
      </c>
      <c r="I33">
        <v>0.35110000000000002</v>
      </c>
      <c r="J33" s="28">
        <v>37.081299999999999</v>
      </c>
      <c r="K33" s="28">
        <v>277</v>
      </c>
      <c r="L33" s="28">
        <v>2022</v>
      </c>
      <c r="N33" s="28" t="s">
        <v>3393</v>
      </c>
      <c r="O33" s="28" t="s">
        <v>1997</v>
      </c>
      <c r="P33" s="28">
        <v>2021</v>
      </c>
      <c r="Q33" s="28">
        <v>0.5363</v>
      </c>
      <c r="R33" s="28">
        <v>0.6079</v>
      </c>
      <c r="S33" s="28">
        <v>0.56720000000000004</v>
      </c>
    </row>
    <row r="34" spans="3:19" x14ac:dyDescent="0.25">
      <c r="C34" s="28" t="s">
        <v>2000</v>
      </c>
      <c r="D34" s="28" t="s">
        <v>2001</v>
      </c>
      <c r="E34" s="28">
        <v>0.35489999999999999</v>
      </c>
      <c r="F34" s="28">
        <v>31.266500000000001</v>
      </c>
      <c r="G34" s="28">
        <v>443</v>
      </c>
      <c r="H34" s="28">
        <v>0.95369999999999999</v>
      </c>
      <c r="I34">
        <v>0.35859999999999997</v>
      </c>
      <c r="J34" s="28">
        <v>37.081299999999999</v>
      </c>
      <c r="K34" s="28">
        <v>198</v>
      </c>
      <c r="L34" s="28">
        <v>2023</v>
      </c>
      <c r="N34" s="28" t="s">
        <v>3393</v>
      </c>
      <c r="O34" s="28" t="s">
        <v>1997</v>
      </c>
      <c r="P34" s="28">
        <v>2022</v>
      </c>
      <c r="Q34" s="28">
        <v>0.54049999999999998</v>
      </c>
      <c r="R34" s="28">
        <v>0.61550000000000005</v>
      </c>
      <c r="S34" s="28">
        <v>0.57269999999999999</v>
      </c>
    </row>
    <row r="35" spans="3:19" x14ac:dyDescent="0.25">
      <c r="C35" s="28" t="s">
        <v>2002</v>
      </c>
      <c r="D35" s="28" t="s">
        <v>2003</v>
      </c>
      <c r="E35" s="28">
        <v>0.76049999999999995</v>
      </c>
      <c r="F35" s="28">
        <v>201.35659999999999</v>
      </c>
      <c r="G35" s="28">
        <v>45</v>
      </c>
      <c r="H35" s="28">
        <v>0.96830000000000005</v>
      </c>
      <c r="I35">
        <v>0.54210000000000003</v>
      </c>
      <c r="J35" s="28">
        <v>126.895</v>
      </c>
      <c r="K35" s="28">
        <v>117</v>
      </c>
      <c r="L35" s="28">
        <v>2019</v>
      </c>
      <c r="N35" s="28" t="s">
        <v>3393</v>
      </c>
      <c r="O35" s="28" t="s">
        <v>1997</v>
      </c>
      <c r="P35" s="28">
        <v>2023</v>
      </c>
      <c r="Q35" s="28">
        <v>0.54300000000000004</v>
      </c>
      <c r="R35" s="28">
        <v>0.62260000000000004</v>
      </c>
      <c r="S35" s="28">
        <v>0.57740000000000002</v>
      </c>
    </row>
    <row r="36" spans="3:19" x14ac:dyDescent="0.25">
      <c r="C36" s="28" t="s">
        <v>2002</v>
      </c>
      <c r="D36" s="28" t="s">
        <v>2003</v>
      </c>
      <c r="E36" s="28">
        <v>0.76539999999999997</v>
      </c>
      <c r="F36" s="28">
        <v>201.35659999999999</v>
      </c>
      <c r="G36" s="28">
        <v>44</v>
      </c>
      <c r="H36" s="28">
        <v>0.96909999999999996</v>
      </c>
      <c r="I36">
        <v>0.5464</v>
      </c>
      <c r="J36" s="28">
        <v>126.895</v>
      </c>
      <c r="K36" s="28">
        <v>110</v>
      </c>
      <c r="L36" s="28">
        <v>2020</v>
      </c>
    </row>
    <row r="37" spans="3:19" x14ac:dyDescent="0.25">
      <c r="C37" s="28" t="s">
        <v>2002</v>
      </c>
      <c r="D37" s="28" t="s">
        <v>2003</v>
      </c>
      <c r="E37" s="28">
        <v>0.77059999999999995</v>
      </c>
      <c r="F37" s="28">
        <v>201.35659999999999</v>
      </c>
      <c r="G37" s="28">
        <v>43</v>
      </c>
      <c r="H37" s="28">
        <v>0.97009999999999996</v>
      </c>
      <c r="I37">
        <v>0.55100000000000005</v>
      </c>
      <c r="J37" s="28">
        <v>126.895</v>
      </c>
      <c r="K37" s="28">
        <v>102</v>
      </c>
      <c r="L37" s="28">
        <v>2021</v>
      </c>
    </row>
    <row r="38" spans="3:19" x14ac:dyDescent="0.25">
      <c r="C38" s="28" t="s">
        <v>2002</v>
      </c>
      <c r="D38" s="28" t="s">
        <v>2003</v>
      </c>
      <c r="E38" s="28">
        <v>0.77429999999999999</v>
      </c>
      <c r="F38" s="28">
        <v>201.35659999999999</v>
      </c>
      <c r="G38" s="28">
        <v>42</v>
      </c>
      <c r="H38" s="28">
        <v>0.9708</v>
      </c>
      <c r="I38">
        <v>0.55510000000000004</v>
      </c>
      <c r="J38" s="28">
        <v>126.895</v>
      </c>
      <c r="K38" s="28">
        <v>99</v>
      </c>
      <c r="L38" s="28">
        <v>2022</v>
      </c>
    </row>
    <row r="39" spans="3:19" x14ac:dyDescent="0.25">
      <c r="C39" s="28" t="s">
        <v>2002</v>
      </c>
      <c r="D39" s="28" t="s">
        <v>2003</v>
      </c>
      <c r="E39" s="28">
        <v>0.77749999999999997</v>
      </c>
      <c r="F39" s="28">
        <v>201.35659999999999</v>
      </c>
      <c r="G39" s="28">
        <v>41</v>
      </c>
      <c r="H39" s="28">
        <v>0.98419999999999996</v>
      </c>
      <c r="I39">
        <v>0.56100000000000005</v>
      </c>
      <c r="J39" s="28">
        <v>126.895</v>
      </c>
      <c r="K39" s="28">
        <v>30</v>
      </c>
      <c r="L39" s="28">
        <v>2023</v>
      </c>
    </row>
    <row r="40" spans="3:19" x14ac:dyDescent="0.25">
      <c r="C40" s="28" t="s">
        <v>2004</v>
      </c>
      <c r="D40" s="28" t="s">
        <v>2005</v>
      </c>
      <c r="E40" s="28">
        <v>0.44879999999999998</v>
      </c>
      <c r="F40" s="28">
        <v>80.185900000000004</v>
      </c>
      <c r="G40" s="28">
        <v>313</v>
      </c>
      <c r="H40" s="28">
        <v>0.94869999999999999</v>
      </c>
      <c r="I40">
        <v>0.54959999999999998</v>
      </c>
      <c r="J40" s="28">
        <v>62.475999999999999</v>
      </c>
      <c r="K40" s="28">
        <v>214</v>
      </c>
      <c r="L40" s="28">
        <v>2019</v>
      </c>
    </row>
    <row r="41" spans="3:19" x14ac:dyDescent="0.25">
      <c r="C41" s="28" t="s">
        <v>2004</v>
      </c>
      <c r="D41" s="28" t="s">
        <v>2005</v>
      </c>
      <c r="E41" s="28">
        <v>0.45810000000000001</v>
      </c>
      <c r="F41" s="28">
        <v>80.185900000000004</v>
      </c>
      <c r="G41" s="28">
        <v>298</v>
      </c>
      <c r="H41" s="28">
        <v>0.95509999999999995</v>
      </c>
      <c r="I41">
        <v>0.55910000000000004</v>
      </c>
      <c r="J41" s="28">
        <v>62.475999999999999</v>
      </c>
      <c r="K41" s="28">
        <v>193</v>
      </c>
      <c r="L41" s="28">
        <v>2020</v>
      </c>
    </row>
    <row r="42" spans="3:19" x14ac:dyDescent="0.25">
      <c r="C42" s="28" t="s">
        <v>2004</v>
      </c>
      <c r="D42" s="28" t="s">
        <v>2005</v>
      </c>
      <c r="E42" s="28">
        <v>0.46560000000000001</v>
      </c>
      <c r="F42" s="28">
        <v>80.185900000000004</v>
      </c>
      <c r="G42" s="28">
        <v>282</v>
      </c>
      <c r="H42" s="28">
        <v>0.96130000000000004</v>
      </c>
      <c r="I42">
        <v>0.56989999999999996</v>
      </c>
      <c r="J42" s="28">
        <v>62.475999999999999</v>
      </c>
      <c r="K42" s="28">
        <v>165</v>
      </c>
      <c r="L42" s="28">
        <v>2021</v>
      </c>
    </row>
    <row r="43" spans="3:19" x14ac:dyDescent="0.25">
      <c r="C43" s="28" t="s">
        <v>2004</v>
      </c>
      <c r="D43" s="28" t="s">
        <v>2005</v>
      </c>
      <c r="E43" s="28">
        <v>0.47099999999999997</v>
      </c>
      <c r="F43" s="28">
        <v>80.185900000000004</v>
      </c>
      <c r="G43" s="28">
        <v>272</v>
      </c>
      <c r="H43" s="28">
        <v>0.96550000000000002</v>
      </c>
      <c r="I43">
        <v>0.57889999999999997</v>
      </c>
      <c r="J43" s="28">
        <v>62.475999999999999</v>
      </c>
      <c r="K43" s="28">
        <v>144</v>
      </c>
      <c r="L43" s="28">
        <v>2022</v>
      </c>
    </row>
    <row r="44" spans="3:19" x14ac:dyDescent="0.25">
      <c r="C44" s="28" t="s">
        <v>2004</v>
      </c>
      <c r="D44" s="28" t="s">
        <v>2005</v>
      </c>
      <c r="E44" s="28">
        <v>0.4748</v>
      </c>
      <c r="F44" s="28">
        <v>80.185900000000004</v>
      </c>
      <c r="G44" s="28">
        <v>265</v>
      </c>
      <c r="H44" s="28">
        <v>0.96850000000000003</v>
      </c>
      <c r="I44">
        <v>0.58789999999999998</v>
      </c>
      <c r="J44" s="28">
        <v>62.475999999999999</v>
      </c>
      <c r="K44" s="28">
        <v>115</v>
      </c>
      <c r="L44" s="28">
        <v>2023</v>
      </c>
    </row>
    <row r="45" spans="3:19" x14ac:dyDescent="0.25">
      <c r="C45" s="28" t="s">
        <v>2006</v>
      </c>
      <c r="D45" s="28" t="s">
        <v>2007</v>
      </c>
      <c r="E45" s="28">
        <v>0.37840000000000001</v>
      </c>
      <c r="F45" s="28">
        <v>27.482900000000001</v>
      </c>
      <c r="G45" s="28">
        <v>423</v>
      </c>
      <c r="H45" s="28">
        <v>0.91810000000000003</v>
      </c>
      <c r="I45">
        <v>0.44169999999999998</v>
      </c>
      <c r="J45" s="28">
        <v>29.248999999999999</v>
      </c>
      <c r="K45" s="28">
        <v>355</v>
      </c>
      <c r="L45" s="28">
        <v>2019</v>
      </c>
    </row>
    <row r="46" spans="3:19" x14ac:dyDescent="0.25">
      <c r="C46" s="28" t="s">
        <v>2006</v>
      </c>
      <c r="D46" s="28" t="s">
        <v>2007</v>
      </c>
      <c r="E46" s="28">
        <v>0.3921</v>
      </c>
      <c r="F46" s="28">
        <v>27.482900000000001</v>
      </c>
      <c r="G46" s="28">
        <v>405</v>
      </c>
      <c r="H46" s="28">
        <v>0.92490000000000006</v>
      </c>
      <c r="I46">
        <v>0.45950000000000002</v>
      </c>
      <c r="J46" s="28">
        <v>29.248999999999999</v>
      </c>
      <c r="K46" s="28">
        <v>334</v>
      </c>
      <c r="L46" s="28">
        <v>2020</v>
      </c>
    </row>
    <row r="47" spans="3:19" x14ac:dyDescent="0.25">
      <c r="C47" s="28" t="s">
        <v>2006</v>
      </c>
      <c r="D47" s="28" t="s">
        <v>2007</v>
      </c>
      <c r="E47" s="28">
        <v>0.40570000000000001</v>
      </c>
      <c r="F47" s="28">
        <v>27.482900000000001</v>
      </c>
      <c r="G47" s="28">
        <v>382</v>
      </c>
      <c r="H47" s="28">
        <v>0.92989999999999995</v>
      </c>
      <c r="I47">
        <v>0.47510000000000002</v>
      </c>
      <c r="J47" s="28">
        <v>29.248999999999999</v>
      </c>
      <c r="K47" s="28">
        <v>309</v>
      </c>
      <c r="L47" s="28">
        <v>2021</v>
      </c>
    </row>
    <row r="48" spans="3:19" x14ac:dyDescent="0.25">
      <c r="C48" s="28" t="s">
        <v>2006</v>
      </c>
      <c r="D48" s="28" t="s">
        <v>2007</v>
      </c>
      <c r="E48" s="28">
        <v>0.41810000000000003</v>
      </c>
      <c r="F48" s="28">
        <v>27.482900000000001</v>
      </c>
      <c r="G48" s="28">
        <v>368</v>
      </c>
      <c r="H48" s="28">
        <v>0.94220000000000004</v>
      </c>
      <c r="I48">
        <v>0.4904</v>
      </c>
      <c r="J48" s="28">
        <v>29.248999999999999</v>
      </c>
      <c r="K48" s="28">
        <v>250</v>
      </c>
      <c r="L48" s="28">
        <v>2022</v>
      </c>
    </row>
    <row r="49" spans="3:12" x14ac:dyDescent="0.25">
      <c r="C49" s="28" t="s">
        <v>2006</v>
      </c>
      <c r="D49" s="28" t="s">
        <v>2007</v>
      </c>
      <c r="E49" s="28">
        <v>0.42949999999999999</v>
      </c>
      <c r="F49" s="28">
        <v>27.482900000000001</v>
      </c>
      <c r="G49" s="28">
        <v>349</v>
      </c>
      <c r="H49" s="28">
        <v>0.94450000000000001</v>
      </c>
      <c r="I49">
        <v>0.499</v>
      </c>
      <c r="J49" s="28">
        <v>29.248999999999999</v>
      </c>
      <c r="K49" s="28">
        <v>238</v>
      </c>
      <c r="L49" s="28">
        <v>2023</v>
      </c>
    </row>
    <row r="50" spans="3:12" x14ac:dyDescent="0.25">
      <c r="C50" s="28" t="s">
        <v>2008</v>
      </c>
      <c r="D50" s="28" t="s">
        <v>2009</v>
      </c>
      <c r="E50" s="28">
        <v>0.32090000000000002</v>
      </c>
      <c r="F50" s="28">
        <v>41.795099999999998</v>
      </c>
      <c r="G50" s="28">
        <v>464</v>
      </c>
      <c r="H50" s="28">
        <v>0.90849999999999997</v>
      </c>
      <c r="I50">
        <v>0.33900000000000002</v>
      </c>
      <c r="J50" s="28">
        <v>59.554200000000002</v>
      </c>
      <c r="K50" s="28">
        <v>385</v>
      </c>
      <c r="L50" s="28">
        <v>2019</v>
      </c>
    </row>
    <row r="51" spans="3:12" x14ac:dyDescent="0.25">
      <c r="C51" s="28" t="s">
        <v>2008</v>
      </c>
      <c r="D51" s="28" t="s">
        <v>2009</v>
      </c>
      <c r="E51" s="28">
        <v>0.32340000000000002</v>
      </c>
      <c r="F51" s="28">
        <v>41.795099999999998</v>
      </c>
      <c r="G51" s="28">
        <v>463</v>
      </c>
      <c r="H51" s="28">
        <v>0.91210000000000002</v>
      </c>
      <c r="I51">
        <v>0.34260000000000002</v>
      </c>
      <c r="J51" s="28">
        <v>59.554200000000002</v>
      </c>
      <c r="K51" s="28">
        <v>372</v>
      </c>
      <c r="L51" s="28">
        <v>2020</v>
      </c>
    </row>
    <row r="52" spans="3:12" x14ac:dyDescent="0.25">
      <c r="C52" s="28" t="s">
        <v>2008</v>
      </c>
      <c r="D52" s="28" t="s">
        <v>2009</v>
      </c>
      <c r="E52" s="28">
        <v>0.3281</v>
      </c>
      <c r="F52" s="28">
        <v>41.795099999999998</v>
      </c>
      <c r="G52" s="28">
        <v>458</v>
      </c>
      <c r="H52" s="28">
        <v>0.91590000000000005</v>
      </c>
      <c r="I52">
        <v>0.34839999999999999</v>
      </c>
      <c r="J52" s="28">
        <v>59.554200000000002</v>
      </c>
      <c r="K52" s="28">
        <v>362</v>
      </c>
      <c r="L52" s="28">
        <v>2021</v>
      </c>
    </row>
    <row r="53" spans="3:12" x14ac:dyDescent="0.25">
      <c r="C53" s="28" t="s">
        <v>2008</v>
      </c>
      <c r="D53" s="28" t="s">
        <v>2009</v>
      </c>
      <c r="E53" s="28">
        <v>0.33510000000000001</v>
      </c>
      <c r="F53" s="28">
        <v>41.795099999999998</v>
      </c>
      <c r="G53" s="28">
        <v>453</v>
      </c>
      <c r="H53" s="28">
        <v>0.93469999999999998</v>
      </c>
      <c r="I53">
        <v>0.35489999999999999</v>
      </c>
      <c r="J53" s="28">
        <v>59.554200000000002</v>
      </c>
      <c r="K53" s="28">
        <v>287</v>
      </c>
      <c r="L53" s="28">
        <v>2022</v>
      </c>
    </row>
    <row r="54" spans="3:12" x14ac:dyDescent="0.25">
      <c r="C54" s="28" t="s">
        <v>2008</v>
      </c>
      <c r="D54" s="28" t="s">
        <v>2009</v>
      </c>
      <c r="E54" s="28">
        <v>0.35099999999999998</v>
      </c>
      <c r="F54" s="28">
        <v>41.795099999999998</v>
      </c>
      <c r="G54" s="28">
        <v>447</v>
      </c>
      <c r="H54" s="28">
        <v>0.93810000000000004</v>
      </c>
      <c r="I54">
        <v>0.35949999999999999</v>
      </c>
      <c r="J54" s="28">
        <v>59.554200000000002</v>
      </c>
      <c r="K54" s="28">
        <v>268</v>
      </c>
      <c r="L54" s="28">
        <v>2023</v>
      </c>
    </row>
    <row r="55" spans="3:12" x14ac:dyDescent="0.25">
      <c r="C55" s="28" t="s">
        <v>2010</v>
      </c>
      <c r="D55" s="28" t="s">
        <v>2011</v>
      </c>
      <c r="E55" s="28">
        <v>0.46750000000000003</v>
      </c>
      <c r="F55" s="28">
        <v>61.758600000000001</v>
      </c>
      <c r="G55" s="28">
        <v>278</v>
      </c>
      <c r="H55" s="28">
        <v>0.96630000000000005</v>
      </c>
      <c r="I55">
        <v>0.56669999999999998</v>
      </c>
      <c r="J55" s="28">
        <v>64.174700000000001</v>
      </c>
      <c r="K55" s="28">
        <v>135</v>
      </c>
      <c r="L55" s="28">
        <v>2019</v>
      </c>
    </row>
    <row r="56" spans="3:12" x14ac:dyDescent="0.25">
      <c r="C56" s="28" t="s">
        <v>2010</v>
      </c>
      <c r="D56" s="28" t="s">
        <v>2011</v>
      </c>
      <c r="E56" s="28">
        <v>0.47289999999999999</v>
      </c>
      <c r="F56" s="28">
        <v>61.758600000000001</v>
      </c>
      <c r="G56" s="28">
        <v>270</v>
      </c>
      <c r="H56" s="28">
        <v>0.96830000000000005</v>
      </c>
      <c r="I56">
        <v>0.57379999999999998</v>
      </c>
      <c r="J56" s="28">
        <v>64.174700000000001</v>
      </c>
      <c r="K56" s="28">
        <v>117</v>
      </c>
      <c r="L56" s="28">
        <v>2020</v>
      </c>
    </row>
    <row r="57" spans="3:12" x14ac:dyDescent="0.25">
      <c r="C57" s="28" t="s">
        <v>2010</v>
      </c>
      <c r="D57" s="28" t="s">
        <v>2011</v>
      </c>
      <c r="E57" s="28">
        <v>0.48010000000000003</v>
      </c>
      <c r="F57" s="28">
        <v>61.758600000000001</v>
      </c>
      <c r="G57" s="28">
        <v>259</v>
      </c>
      <c r="H57" s="28">
        <v>0.97030000000000005</v>
      </c>
      <c r="I57">
        <v>0.58079999999999998</v>
      </c>
      <c r="J57" s="28">
        <v>64.174700000000001</v>
      </c>
      <c r="K57" s="28">
        <v>101</v>
      </c>
      <c r="L57" s="28">
        <v>2021</v>
      </c>
    </row>
    <row r="58" spans="3:12" x14ac:dyDescent="0.25">
      <c r="C58" s="28" t="s">
        <v>2010</v>
      </c>
      <c r="D58" s="28" t="s">
        <v>2011</v>
      </c>
      <c r="E58" s="28">
        <v>0.48499999999999999</v>
      </c>
      <c r="F58" s="28">
        <v>61.758600000000001</v>
      </c>
      <c r="G58" s="28">
        <v>252</v>
      </c>
      <c r="H58" s="28">
        <v>0.97199999999999998</v>
      </c>
      <c r="I58">
        <v>0.58699999999999997</v>
      </c>
      <c r="J58" s="28">
        <v>64.174700000000001</v>
      </c>
      <c r="K58" s="28">
        <v>89</v>
      </c>
      <c r="L58" s="28">
        <v>2022</v>
      </c>
    </row>
    <row r="59" spans="3:12" x14ac:dyDescent="0.25">
      <c r="C59" s="28" t="s">
        <v>2010</v>
      </c>
      <c r="D59" s="28" t="s">
        <v>2011</v>
      </c>
      <c r="E59" s="28">
        <v>0.49149999999999999</v>
      </c>
      <c r="F59" s="28">
        <v>61.758600000000001</v>
      </c>
      <c r="G59" s="28">
        <v>249</v>
      </c>
      <c r="H59" s="28">
        <v>0.97360000000000002</v>
      </c>
      <c r="I59">
        <v>0.59319999999999995</v>
      </c>
      <c r="J59" s="28">
        <v>64.174700000000001</v>
      </c>
      <c r="K59" s="28">
        <v>79</v>
      </c>
      <c r="L59" s="28">
        <v>2023</v>
      </c>
    </row>
    <row r="60" spans="3:12" x14ac:dyDescent="0.25">
      <c r="C60" s="28" t="s">
        <v>2012</v>
      </c>
      <c r="D60" s="28" t="s">
        <v>2013</v>
      </c>
      <c r="E60" s="28">
        <v>0.43680000000000002</v>
      </c>
      <c r="F60" s="28">
        <v>38.655099999999997</v>
      </c>
      <c r="G60" s="28">
        <v>334</v>
      </c>
      <c r="H60" s="28">
        <v>0.90890000000000004</v>
      </c>
      <c r="I60">
        <v>0.37069999999999997</v>
      </c>
      <c r="J60" s="28">
        <v>51.493499999999997</v>
      </c>
      <c r="K60" s="28">
        <v>381</v>
      </c>
      <c r="L60" s="28">
        <v>2019</v>
      </c>
    </row>
    <row r="61" spans="3:12" x14ac:dyDescent="0.25">
      <c r="C61" s="28" t="s">
        <v>2012</v>
      </c>
      <c r="D61" s="28" t="s">
        <v>2013</v>
      </c>
      <c r="E61" s="28">
        <v>0.44490000000000002</v>
      </c>
      <c r="F61" s="28">
        <v>38.655099999999997</v>
      </c>
      <c r="G61" s="28">
        <v>320</v>
      </c>
      <c r="H61" s="28">
        <v>0.92079999999999995</v>
      </c>
      <c r="I61">
        <v>0.377</v>
      </c>
      <c r="J61" s="28">
        <v>51.493499999999997</v>
      </c>
      <c r="K61" s="28">
        <v>348</v>
      </c>
      <c r="L61" s="28">
        <v>2020</v>
      </c>
    </row>
    <row r="62" spans="3:12" x14ac:dyDescent="0.25">
      <c r="C62" s="28" t="s">
        <v>2012</v>
      </c>
      <c r="D62" s="28" t="s">
        <v>2013</v>
      </c>
      <c r="E62" s="28">
        <v>0.4521</v>
      </c>
      <c r="F62" s="28">
        <v>38.655099999999997</v>
      </c>
      <c r="G62" s="28">
        <v>310</v>
      </c>
      <c r="H62" s="28">
        <v>0.92889999999999995</v>
      </c>
      <c r="I62">
        <v>0.38469999999999999</v>
      </c>
      <c r="J62" s="28">
        <v>51.493499999999997</v>
      </c>
      <c r="K62" s="28">
        <v>316</v>
      </c>
      <c r="L62" s="28">
        <v>2021</v>
      </c>
    </row>
    <row r="63" spans="3:12" x14ac:dyDescent="0.25">
      <c r="C63" s="28" t="s">
        <v>2012</v>
      </c>
      <c r="D63" s="28" t="s">
        <v>2013</v>
      </c>
      <c r="E63" s="28">
        <v>0.45579999999999998</v>
      </c>
      <c r="F63" s="28">
        <v>38.655099999999997</v>
      </c>
      <c r="G63" s="28">
        <v>301</v>
      </c>
      <c r="H63" s="28">
        <v>0.93579999999999997</v>
      </c>
      <c r="I63">
        <v>0.39040000000000002</v>
      </c>
      <c r="J63" s="28">
        <v>51.493499999999997</v>
      </c>
      <c r="K63" s="28">
        <v>282</v>
      </c>
      <c r="L63" s="28">
        <v>2022</v>
      </c>
    </row>
    <row r="64" spans="3:12" x14ac:dyDescent="0.25">
      <c r="C64" s="28" t="s">
        <v>2012</v>
      </c>
      <c r="D64" s="28" t="s">
        <v>2013</v>
      </c>
      <c r="E64" s="28">
        <v>0.4602</v>
      </c>
      <c r="F64" s="28">
        <v>38.655099999999997</v>
      </c>
      <c r="G64" s="28">
        <v>296</v>
      </c>
      <c r="H64" s="28">
        <v>0.94030000000000002</v>
      </c>
      <c r="I64">
        <v>0.39589999999999997</v>
      </c>
      <c r="J64" s="28">
        <v>51.493499999999997</v>
      </c>
      <c r="K64" s="28">
        <v>257</v>
      </c>
      <c r="L64" s="28">
        <v>2023</v>
      </c>
    </row>
    <row r="65" spans="3:12" x14ac:dyDescent="0.25">
      <c r="C65" s="28" t="s">
        <v>2014</v>
      </c>
      <c r="D65" s="28" t="s">
        <v>2015</v>
      </c>
      <c r="E65" s="28">
        <v>0.46389999999999998</v>
      </c>
      <c r="F65" s="28">
        <v>35.613100000000003</v>
      </c>
      <c r="G65" s="28">
        <v>286</v>
      </c>
      <c r="H65" s="28">
        <v>0.96579999999999999</v>
      </c>
      <c r="I65">
        <v>0.26650000000000001</v>
      </c>
      <c r="J65" s="28">
        <v>34.563400000000001</v>
      </c>
      <c r="K65" s="28">
        <v>142</v>
      </c>
      <c r="L65" s="28">
        <v>2019</v>
      </c>
    </row>
    <row r="66" spans="3:12" x14ac:dyDescent="0.25">
      <c r="C66" s="28" t="s">
        <v>2014</v>
      </c>
      <c r="D66" s="28" t="s">
        <v>2015</v>
      </c>
      <c r="E66" s="28">
        <v>0.4763</v>
      </c>
      <c r="F66" s="28">
        <v>35.613100000000003</v>
      </c>
      <c r="G66" s="28">
        <v>262</v>
      </c>
      <c r="H66" s="28">
        <v>0.97</v>
      </c>
      <c r="I66">
        <v>0.27229999999999999</v>
      </c>
      <c r="J66" s="28">
        <v>34.563400000000001</v>
      </c>
      <c r="K66" s="28">
        <v>104</v>
      </c>
      <c r="L66" s="28">
        <v>2020</v>
      </c>
    </row>
    <row r="67" spans="3:12" x14ac:dyDescent="0.25">
      <c r="C67" s="28" t="s">
        <v>2014</v>
      </c>
      <c r="D67" s="28" t="s">
        <v>2015</v>
      </c>
      <c r="E67" s="28">
        <v>0.49530000000000002</v>
      </c>
      <c r="F67" s="28">
        <v>35.613100000000003</v>
      </c>
      <c r="G67" s="28">
        <v>247</v>
      </c>
      <c r="H67" s="28">
        <v>0.97250000000000003</v>
      </c>
      <c r="I67">
        <v>0.2787</v>
      </c>
      <c r="J67" s="28">
        <v>34.563400000000001</v>
      </c>
      <c r="K67" s="28">
        <v>85</v>
      </c>
      <c r="L67" s="28">
        <v>2021</v>
      </c>
    </row>
    <row r="68" spans="3:12" x14ac:dyDescent="0.25">
      <c r="C68" s="28" t="s">
        <v>2014</v>
      </c>
      <c r="D68" s="28" t="s">
        <v>2015</v>
      </c>
      <c r="E68" s="28">
        <v>0.50670000000000004</v>
      </c>
      <c r="F68" s="28">
        <v>35.613100000000003</v>
      </c>
      <c r="G68" s="28">
        <v>238</v>
      </c>
      <c r="H68" s="28">
        <v>0.97440000000000004</v>
      </c>
      <c r="I68">
        <v>0.28489999999999999</v>
      </c>
      <c r="J68" s="28">
        <v>34.563400000000001</v>
      </c>
      <c r="K68" s="28">
        <v>75</v>
      </c>
      <c r="L68" s="28">
        <v>2022</v>
      </c>
    </row>
    <row r="69" spans="3:12" x14ac:dyDescent="0.25">
      <c r="C69" s="28" t="s">
        <v>2014</v>
      </c>
      <c r="D69" s="28" t="s">
        <v>2015</v>
      </c>
      <c r="E69" s="28">
        <v>0.51529999999999998</v>
      </c>
      <c r="F69" s="28">
        <v>35.613100000000003</v>
      </c>
      <c r="G69" s="28">
        <v>228</v>
      </c>
      <c r="H69" s="28">
        <v>0.98089999999999999</v>
      </c>
      <c r="I69">
        <v>0.29160000000000003</v>
      </c>
      <c r="J69" s="28">
        <v>34.563400000000001</v>
      </c>
      <c r="K69" s="28">
        <v>41</v>
      </c>
      <c r="L69" s="28">
        <v>2023</v>
      </c>
    </row>
    <row r="70" spans="3:12" x14ac:dyDescent="0.25">
      <c r="C70" s="28" t="s">
        <v>2016</v>
      </c>
      <c r="D70" s="28" t="s">
        <v>2017</v>
      </c>
      <c r="E70" s="28">
        <v>0.50900000000000001</v>
      </c>
      <c r="F70" s="28">
        <v>73.436999999999998</v>
      </c>
      <c r="G70" s="28">
        <v>235</v>
      </c>
      <c r="H70" s="28">
        <v>0.92200000000000004</v>
      </c>
      <c r="I70">
        <v>0.46610000000000001</v>
      </c>
      <c r="J70" s="28">
        <v>108.4594</v>
      </c>
      <c r="K70" s="28">
        <v>342</v>
      </c>
      <c r="L70" s="28">
        <v>2019</v>
      </c>
    </row>
    <row r="71" spans="3:12" x14ac:dyDescent="0.25">
      <c r="C71" s="28" t="s">
        <v>2016</v>
      </c>
      <c r="D71" s="28" t="s">
        <v>2017</v>
      </c>
      <c r="E71" s="28">
        <v>0.51849999999999996</v>
      </c>
      <c r="F71" s="28">
        <v>73.436999999999998</v>
      </c>
      <c r="G71" s="28">
        <v>223</v>
      </c>
      <c r="H71" s="28">
        <v>0.92490000000000006</v>
      </c>
      <c r="I71">
        <v>0.47420000000000001</v>
      </c>
      <c r="J71" s="28">
        <v>108.4594</v>
      </c>
      <c r="K71" s="28">
        <v>334</v>
      </c>
      <c r="L71" s="28">
        <v>2020</v>
      </c>
    </row>
    <row r="72" spans="3:12" x14ac:dyDescent="0.25">
      <c r="C72" s="28" t="s">
        <v>2016</v>
      </c>
      <c r="D72" s="28" t="s">
        <v>2017</v>
      </c>
      <c r="E72" s="28">
        <v>0.53349999999999997</v>
      </c>
      <c r="F72" s="28">
        <v>73.436999999999998</v>
      </c>
      <c r="G72" s="28">
        <v>202</v>
      </c>
      <c r="H72" s="28">
        <v>0.92749999999999999</v>
      </c>
      <c r="I72">
        <v>0.48380000000000001</v>
      </c>
      <c r="J72" s="28">
        <v>108.4594</v>
      </c>
      <c r="K72" s="28">
        <v>320</v>
      </c>
      <c r="L72" s="28">
        <v>2021</v>
      </c>
    </row>
    <row r="73" spans="3:12" x14ac:dyDescent="0.25">
      <c r="C73" s="28" t="s">
        <v>2016</v>
      </c>
      <c r="D73" s="28" t="s">
        <v>2017</v>
      </c>
      <c r="E73" s="28">
        <v>0.55030000000000001</v>
      </c>
      <c r="F73" s="28">
        <v>73.436999999999998</v>
      </c>
      <c r="G73" s="28">
        <v>175</v>
      </c>
      <c r="H73" s="28">
        <v>0.94610000000000005</v>
      </c>
      <c r="I73">
        <v>0.49680000000000002</v>
      </c>
      <c r="J73" s="28">
        <v>108.4594</v>
      </c>
      <c r="K73" s="28">
        <v>230</v>
      </c>
      <c r="L73" s="28">
        <v>2022</v>
      </c>
    </row>
    <row r="74" spans="3:12" x14ac:dyDescent="0.25">
      <c r="C74" s="28" t="s">
        <v>2016</v>
      </c>
      <c r="D74" s="28" t="s">
        <v>2017</v>
      </c>
      <c r="E74" s="28">
        <v>0.55769999999999997</v>
      </c>
      <c r="F74" s="28">
        <v>73.436999999999998</v>
      </c>
      <c r="G74" s="28">
        <v>167</v>
      </c>
      <c r="H74" s="28">
        <v>0.94850000000000001</v>
      </c>
      <c r="I74">
        <v>0.50509999999999999</v>
      </c>
      <c r="J74" s="28">
        <v>108.4594</v>
      </c>
      <c r="K74" s="28">
        <v>216</v>
      </c>
      <c r="L74" s="28">
        <v>2023</v>
      </c>
    </row>
    <row r="75" spans="3:12" x14ac:dyDescent="0.25">
      <c r="C75" s="28" t="s">
        <v>2020</v>
      </c>
      <c r="D75" s="28" t="s">
        <v>2021</v>
      </c>
      <c r="E75" s="28">
        <v>0.4244</v>
      </c>
      <c r="F75" s="28">
        <v>78.265199999999993</v>
      </c>
      <c r="G75" s="28">
        <v>359</v>
      </c>
      <c r="H75" s="28">
        <v>0.95640000000000003</v>
      </c>
      <c r="I75">
        <v>0.53649999999999998</v>
      </c>
      <c r="J75" s="28">
        <v>97.158900000000003</v>
      </c>
      <c r="K75" s="28">
        <v>190</v>
      </c>
      <c r="L75" s="28">
        <v>2019</v>
      </c>
    </row>
    <row r="76" spans="3:12" x14ac:dyDescent="0.25">
      <c r="C76" s="28" t="s">
        <v>2020</v>
      </c>
      <c r="D76" s="28" t="s">
        <v>2021</v>
      </c>
      <c r="E76" s="28">
        <v>0.42599999999999999</v>
      </c>
      <c r="F76" s="28">
        <v>78.265199999999993</v>
      </c>
      <c r="G76" s="28">
        <v>356</v>
      </c>
      <c r="H76" s="28">
        <v>0.96040000000000003</v>
      </c>
      <c r="I76">
        <v>0.54249999999999998</v>
      </c>
      <c r="J76" s="28">
        <v>97.158900000000003</v>
      </c>
      <c r="K76" s="28">
        <v>172</v>
      </c>
      <c r="L76" s="28">
        <v>2020</v>
      </c>
    </row>
    <row r="77" spans="3:12" x14ac:dyDescent="0.25">
      <c r="C77" s="28" t="s">
        <v>2020</v>
      </c>
      <c r="D77" s="28" t="s">
        <v>2021</v>
      </c>
      <c r="E77" s="28">
        <v>0.43090000000000001</v>
      </c>
      <c r="F77" s="28">
        <v>78.265199999999993</v>
      </c>
      <c r="G77" s="28">
        <v>346</v>
      </c>
      <c r="H77" s="28">
        <v>0.96340000000000003</v>
      </c>
      <c r="I77">
        <v>0.54730000000000001</v>
      </c>
      <c r="J77" s="28">
        <v>97.158900000000003</v>
      </c>
      <c r="K77" s="28">
        <v>155</v>
      </c>
      <c r="L77" s="28">
        <v>2021</v>
      </c>
    </row>
    <row r="78" spans="3:12" x14ac:dyDescent="0.25">
      <c r="C78" s="28" t="s">
        <v>2020</v>
      </c>
      <c r="D78" s="28" t="s">
        <v>2021</v>
      </c>
      <c r="E78" s="28">
        <v>0.44</v>
      </c>
      <c r="F78" s="28">
        <v>78.265199999999993</v>
      </c>
      <c r="G78" s="28">
        <v>328</v>
      </c>
      <c r="H78" s="28">
        <v>0.96579999999999999</v>
      </c>
      <c r="I78">
        <v>0.55169999999999997</v>
      </c>
      <c r="J78" s="28">
        <v>97.158900000000003</v>
      </c>
      <c r="K78" s="28">
        <v>142</v>
      </c>
      <c r="L78" s="28">
        <v>2022</v>
      </c>
    </row>
    <row r="79" spans="3:12" x14ac:dyDescent="0.25">
      <c r="C79" s="28" t="s">
        <v>2020</v>
      </c>
      <c r="D79" s="28" t="s">
        <v>2021</v>
      </c>
      <c r="E79" s="28">
        <v>0.44669999999999999</v>
      </c>
      <c r="F79" s="28">
        <v>78.265199999999993</v>
      </c>
      <c r="G79" s="28">
        <v>317</v>
      </c>
      <c r="H79" s="28">
        <v>0.96940000000000004</v>
      </c>
      <c r="I79">
        <v>0.55549999999999999</v>
      </c>
      <c r="J79" s="28">
        <v>97.158900000000003</v>
      </c>
      <c r="K79" s="28">
        <v>107</v>
      </c>
      <c r="L79" s="28">
        <v>2023</v>
      </c>
    </row>
    <row r="80" spans="3:12" x14ac:dyDescent="0.25">
      <c r="C80" s="28" t="s">
        <v>2022</v>
      </c>
      <c r="D80" s="28" t="s">
        <v>2023</v>
      </c>
      <c r="E80" s="28">
        <v>0.37119999999999997</v>
      </c>
      <c r="F80" s="28">
        <v>51.610799999999998</v>
      </c>
      <c r="G80" s="28">
        <v>429</v>
      </c>
      <c r="H80" s="28">
        <v>0.73170000000000002</v>
      </c>
      <c r="I80">
        <v>0.34370000000000001</v>
      </c>
      <c r="J80" s="28">
        <v>43.256100000000004</v>
      </c>
      <c r="K80" s="28">
        <v>480</v>
      </c>
      <c r="L80" s="28">
        <v>2019</v>
      </c>
    </row>
    <row r="81" spans="3:12" x14ac:dyDescent="0.25">
      <c r="C81" s="28" t="s">
        <v>2022</v>
      </c>
      <c r="D81" s="28" t="s">
        <v>2023</v>
      </c>
      <c r="E81" s="28">
        <v>0.37919999999999998</v>
      </c>
      <c r="F81" s="28">
        <v>51.610799999999998</v>
      </c>
      <c r="G81" s="28">
        <v>420</v>
      </c>
      <c r="H81" s="28">
        <v>0.74670000000000003</v>
      </c>
      <c r="I81">
        <v>0.35149999999999998</v>
      </c>
      <c r="J81" s="28">
        <v>43.256100000000004</v>
      </c>
      <c r="K81" s="28">
        <v>478</v>
      </c>
      <c r="L81" s="28">
        <v>2020</v>
      </c>
    </row>
    <row r="82" spans="3:12" x14ac:dyDescent="0.25">
      <c r="C82" s="28" t="s">
        <v>2022</v>
      </c>
      <c r="D82" s="28" t="s">
        <v>2023</v>
      </c>
      <c r="E82" s="28">
        <v>0.38550000000000001</v>
      </c>
      <c r="F82" s="28">
        <v>51.610799999999998</v>
      </c>
      <c r="G82" s="28">
        <v>415</v>
      </c>
      <c r="H82" s="28">
        <v>0.76259999999999994</v>
      </c>
      <c r="I82">
        <v>0.36080000000000001</v>
      </c>
      <c r="J82" s="28">
        <v>43.256100000000004</v>
      </c>
      <c r="K82" s="28">
        <v>475</v>
      </c>
      <c r="L82" s="28">
        <v>2021</v>
      </c>
    </row>
    <row r="83" spans="3:12" x14ac:dyDescent="0.25">
      <c r="C83" s="28" t="s">
        <v>2022</v>
      </c>
      <c r="D83" s="28" t="s">
        <v>2023</v>
      </c>
      <c r="E83" s="28">
        <v>0.39190000000000003</v>
      </c>
      <c r="F83" s="28">
        <v>51.610799999999998</v>
      </c>
      <c r="G83" s="28">
        <v>406</v>
      </c>
      <c r="H83" s="28">
        <v>0.77669999999999995</v>
      </c>
      <c r="I83">
        <v>0.36899999999999999</v>
      </c>
      <c r="J83" s="28">
        <v>43.256100000000004</v>
      </c>
      <c r="K83" s="28">
        <v>473</v>
      </c>
      <c r="L83" s="28">
        <v>2022</v>
      </c>
    </row>
    <row r="84" spans="3:12" x14ac:dyDescent="0.25">
      <c r="C84" s="28" t="s">
        <v>2022</v>
      </c>
      <c r="D84" s="28" t="s">
        <v>2023</v>
      </c>
      <c r="E84" s="28">
        <v>0.3977</v>
      </c>
      <c r="F84" s="28">
        <v>51.610799999999998</v>
      </c>
      <c r="G84" s="28">
        <v>395</v>
      </c>
      <c r="H84" s="28">
        <v>0.79869999999999997</v>
      </c>
      <c r="I84">
        <v>0.3775</v>
      </c>
      <c r="J84" s="28">
        <v>43.256100000000004</v>
      </c>
      <c r="K84" s="28">
        <v>469</v>
      </c>
      <c r="L84" s="28">
        <v>2023</v>
      </c>
    </row>
    <row r="85" spans="3:12" x14ac:dyDescent="0.25">
      <c r="C85" s="28" t="s">
        <v>2024</v>
      </c>
      <c r="D85" s="28" t="s">
        <v>2025</v>
      </c>
      <c r="E85" s="28">
        <v>0.43530000000000002</v>
      </c>
      <c r="F85" s="28">
        <v>19.162800000000001</v>
      </c>
      <c r="G85" s="28">
        <v>338</v>
      </c>
      <c r="H85" s="28">
        <v>0.93200000000000005</v>
      </c>
      <c r="I85">
        <v>0.17929999999999999</v>
      </c>
      <c r="J85" s="28">
        <v>28.035</v>
      </c>
      <c r="K85" s="28">
        <v>302</v>
      </c>
      <c r="L85" s="28">
        <v>2019</v>
      </c>
    </row>
    <row r="86" spans="3:12" x14ac:dyDescent="0.25">
      <c r="C86" s="28" t="s">
        <v>2024</v>
      </c>
      <c r="D86" s="28" t="s">
        <v>2025</v>
      </c>
      <c r="E86" s="28">
        <v>0.43759999999999999</v>
      </c>
      <c r="F86" s="28">
        <v>19.162800000000001</v>
      </c>
      <c r="G86" s="28">
        <v>333</v>
      </c>
      <c r="H86" s="28">
        <v>0.9456</v>
      </c>
      <c r="I86">
        <v>0.18820000000000001</v>
      </c>
      <c r="J86" s="28">
        <v>28.035</v>
      </c>
      <c r="K86" s="28">
        <v>233</v>
      </c>
      <c r="L86" s="28">
        <v>2020</v>
      </c>
    </row>
    <row r="87" spans="3:12" x14ac:dyDescent="0.25">
      <c r="C87" s="28" t="s">
        <v>2024</v>
      </c>
      <c r="D87" s="28" t="s">
        <v>2025</v>
      </c>
      <c r="E87" s="28">
        <v>0.44590000000000002</v>
      </c>
      <c r="F87" s="28">
        <v>19.162800000000001</v>
      </c>
      <c r="G87" s="28">
        <v>318</v>
      </c>
      <c r="H87" s="28">
        <v>0.95909999999999995</v>
      </c>
      <c r="I87">
        <v>0.19639999999999999</v>
      </c>
      <c r="J87" s="28">
        <v>28.035</v>
      </c>
      <c r="K87" s="28">
        <v>178</v>
      </c>
      <c r="L87" s="28">
        <v>2021</v>
      </c>
    </row>
    <row r="88" spans="3:12" x14ac:dyDescent="0.25">
      <c r="C88" s="28" t="s">
        <v>2024</v>
      </c>
      <c r="D88" s="28" t="s">
        <v>2025</v>
      </c>
      <c r="E88" s="28">
        <v>0.45319999999999999</v>
      </c>
      <c r="F88" s="28">
        <v>19.162800000000001</v>
      </c>
      <c r="G88" s="28">
        <v>307</v>
      </c>
      <c r="H88" s="28">
        <v>0.96709999999999996</v>
      </c>
      <c r="I88">
        <v>0.2036</v>
      </c>
      <c r="J88" s="28">
        <v>28.035</v>
      </c>
      <c r="K88" s="28">
        <v>128</v>
      </c>
      <c r="L88" s="28">
        <v>2022</v>
      </c>
    </row>
    <row r="89" spans="3:12" x14ac:dyDescent="0.25">
      <c r="C89" s="28" t="s">
        <v>2024</v>
      </c>
      <c r="D89" s="28" t="s">
        <v>2025</v>
      </c>
      <c r="E89" s="28">
        <v>0.46300000000000002</v>
      </c>
      <c r="F89" s="28">
        <v>19.162800000000001</v>
      </c>
      <c r="G89" s="28">
        <v>290</v>
      </c>
      <c r="H89" s="28">
        <v>0.97150000000000003</v>
      </c>
      <c r="I89">
        <v>0.21149999999999999</v>
      </c>
      <c r="J89" s="28">
        <v>28.035</v>
      </c>
      <c r="K89" s="28">
        <v>95</v>
      </c>
      <c r="L89" s="28">
        <v>2023</v>
      </c>
    </row>
    <row r="90" spans="3:12" x14ac:dyDescent="0.25">
      <c r="C90" s="28" t="s">
        <v>2026</v>
      </c>
      <c r="D90" s="28" t="s">
        <v>2027</v>
      </c>
      <c r="E90" s="28">
        <v>0.41520000000000001</v>
      </c>
      <c r="F90" s="28">
        <v>35.656599999999997</v>
      </c>
      <c r="G90" s="28">
        <v>371</v>
      </c>
      <c r="H90" s="28">
        <v>0.94589999999999996</v>
      </c>
      <c r="I90">
        <v>0.36309999999999998</v>
      </c>
      <c r="J90" s="28">
        <v>30.681000000000001</v>
      </c>
      <c r="K90" s="28">
        <v>232</v>
      </c>
      <c r="L90" s="28">
        <v>2019</v>
      </c>
    </row>
    <row r="91" spans="3:12" x14ac:dyDescent="0.25">
      <c r="C91" s="28" t="s">
        <v>2026</v>
      </c>
      <c r="D91" s="28" t="s">
        <v>2027</v>
      </c>
      <c r="E91" s="28">
        <v>0.4234</v>
      </c>
      <c r="F91" s="28">
        <v>35.656599999999997</v>
      </c>
      <c r="G91" s="28">
        <v>360</v>
      </c>
      <c r="H91" s="28">
        <v>0.96089999999999998</v>
      </c>
      <c r="I91">
        <v>0.37119999999999997</v>
      </c>
      <c r="J91" s="28">
        <v>30.681000000000001</v>
      </c>
      <c r="K91" s="28">
        <v>169</v>
      </c>
      <c r="L91" s="28">
        <v>2020</v>
      </c>
    </row>
    <row r="92" spans="3:12" x14ac:dyDescent="0.25">
      <c r="C92" s="28" t="s">
        <v>2026</v>
      </c>
      <c r="D92" s="28" t="s">
        <v>2027</v>
      </c>
      <c r="E92" s="28">
        <v>0.43120000000000003</v>
      </c>
      <c r="F92" s="28">
        <v>35.656599999999997</v>
      </c>
      <c r="G92" s="28">
        <v>345</v>
      </c>
      <c r="H92" s="28">
        <v>0.97219999999999995</v>
      </c>
      <c r="I92">
        <v>0.38159999999999999</v>
      </c>
      <c r="J92" s="28">
        <v>30.681000000000001</v>
      </c>
      <c r="K92" s="28">
        <v>88</v>
      </c>
      <c r="L92" s="28">
        <v>2021</v>
      </c>
    </row>
    <row r="93" spans="3:12" x14ac:dyDescent="0.25">
      <c r="C93" s="28" t="s">
        <v>2026</v>
      </c>
      <c r="D93" s="28" t="s">
        <v>2027</v>
      </c>
      <c r="E93" s="28">
        <v>0.43809999999999999</v>
      </c>
      <c r="F93" s="28">
        <v>35.656599999999997</v>
      </c>
      <c r="G93" s="28">
        <v>332</v>
      </c>
      <c r="H93" s="28">
        <v>0.9768</v>
      </c>
      <c r="I93">
        <v>0.3896</v>
      </c>
      <c r="J93" s="28">
        <v>30.681000000000001</v>
      </c>
      <c r="K93" s="28">
        <v>61</v>
      </c>
      <c r="L93" s="28">
        <v>2022</v>
      </c>
    </row>
    <row r="94" spans="3:12" x14ac:dyDescent="0.25">
      <c r="C94" s="28" t="s">
        <v>2026</v>
      </c>
      <c r="D94" s="28" t="s">
        <v>2027</v>
      </c>
      <c r="E94" s="28">
        <v>0.44340000000000002</v>
      </c>
      <c r="F94" s="28">
        <v>35.656599999999997</v>
      </c>
      <c r="G94" s="28">
        <v>322</v>
      </c>
      <c r="H94" s="28">
        <v>0.98080000000000001</v>
      </c>
      <c r="I94">
        <v>0.3977</v>
      </c>
      <c r="J94" s="28">
        <v>30.681000000000001</v>
      </c>
      <c r="K94" s="28">
        <v>42</v>
      </c>
      <c r="L94" s="28">
        <v>2023</v>
      </c>
    </row>
    <row r="95" spans="3:12" x14ac:dyDescent="0.25">
      <c r="C95" s="28" t="s">
        <v>2028</v>
      </c>
      <c r="D95" s="28" t="s">
        <v>2029</v>
      </c>
      <c r="E95" s="28">
        <v>0.51790000000000003</v>
      </c>
      <c r="F95" s="28">
        <v>102.8145</v>
      </c>
      <c r="G95" s="28">
        <v>226</v>
      </c>
      <c r="H95" s="28">
        <v>0.92649999999999999</v>
      </c>
      <c r="I95">
        <v>0.4768</v>
      </c>
      <c r="J95" s="28">
        <v>95.768299999999996</v>
      </c>
      <c r="K95" s="28">
        <v>329</v>
      </c>
      <c r="L95" s="28">
        <v>2019</v>
      </c>
    </row>
    <row r="96" spans="3:12" x14ac:dyDescent="0.25">
      <c r="C96" s="28" t="s">
        <v>2028</v>
      </c>
      <c r="D96" s="28" t="s">
        <v>2029</v>
      </c>
      <c r="E96" s="28">
        <v>0.51929999999999998</v>
      </c>
      <c r="F96" s="28">
        <v>102.8145</v>
      </c>
      <c r="G96" s="28">
        <v>221</v>
      </c>
      <c r="H96" s="28">
        <v>0.92820000000000003</v>
      </c>
      <c r="I96">
        <v>0.4829</v>
      </c>
      <c r="J96" s="28">
        <v>95.768299999999996</v>
      </c>
      <c r="K96" s="28">
        <v>318</v>
      </c>
      <c r="L96" s="28">
        <v>2020</v>
      </c>
    </row>
    <row r="97" spans="3:12" x14ac:dyDescent="0.25">
      <c r="C97" s="28" t="s">
        <v>2028</v>
      </c>
      <c r="D97" s="28" t="s">
        <v>2029</v>
      </c>
      <c r="E97" s="28">
        <v>0.52639999999999998</v>
      </c>
      <c r="F97" s="28">
        <v>102.8145</v>
      </c>
      <c r="G97" s="28">
        <v>213</v>
      </c>
      <c r="H97" s="28">
        <v>0.93020000000000003</v>
      </c>
      <c r="I97">
        <v>0.48930000000000001</v>
      </c>
      <c r="J97" s="28">
        <v>95.768299999999996</v>
      </c>
      <c r="K97" s="28">
        <v>308</v>
      </c>
      <c r="L97" s="28">
        <v>2021</v>
      </c>
    </row>
    <row r="98" spans="3:12" x14ac:dyDescent="0.25">
      <c r="C98" s="28" t="s">
        <v>2028</v>
      </c>
      <c r="D98" s="28" t="s">
        <v>2029</v>
      </c>
      <c r="E98" s="28">
        <v>0.53259999999999996</v>
      </c>
      <c r="F98" s="28">
        <v>102.8145</v>
      </c>
      <c r="G98" s="28">
        <v>204</v>
      </c>
      <c r="H98" s="28">
        <v>0.93289999999999995</v>
      </c>
      <c r="I98">
        <v>0.49659999999999999</v>
      </c>
      <c r="J98" s="28">
        <v>95.768299999999996</v>
      </c>
      <c r="K98" s="28">
        <v>295</v>
      </c>
      <c r="L98" s="28">
        <v>2022</v>
      </c>
    </row>
    <row r="99" spans="3:12" x14ac:dyDescent="0.25">
      <c r="C99" s="28" t="s">
        <v>2028</v>
      </c>
      <c r="D99" s="28" t="s">
        <v>2029</v>
      </c>
      <c r="E99" s="28">
        <v>0.53879999999999995</v>
      </c>
      <c r="F99" s="28">
        <v>102.8145</v>
      </c>
      <c r="G99" s="28">
        <v>194</v>
      </c>
      <c r="H99" s="28">
        <v>0.93500000000000005</v>
      </c>
      <c r="I99">
        <v>0.50580000000000003</v>
      </c>
      <c r="J99" s="28">
        <v>95.768299999999996</v>
      </c>
      <c r="K99" s="28">
        <v>286</v>
      </c>
      <c r="L99" s="28">
        <v>2023</v>
      </c>
    </row>
    <row r="100" spans="3:12" x14ac:dyDescent="0.25">
      <c r="C100" s="28" t="s">
        <v>2030</v>
      </c>
      <c r="D100" s="28" t="s">
        <v>2031</v>
      </c>
      <c r="E100" s="28">
        <v>0.50149999999999995</v>
      </c>
      <c r="F100" s="28">
        <v>74.27</v>
      </c>
      <c r="G100" s="28">
        <v>242</v>
      </c>
      <c r="H100" s="28">
        <v>0.97130000000000005</v>
      </c>
      <c r="I100">
        <v>0.36820000000000003</v>
      </c>
      <c r="J100" s="28">
        <v>51.630499999999998</v>
      </c>
      <c r="K100" s="28">
        <v>97</v>
      </c>
      <c r="L100" s="28">
        <v>2019</v>
      </c>
    </row>
    <row r="101" spans="3:12" x14ac:dyDescent="0.25">
      <c r="C101" s="28" t="s">
        <v>2030</v>
      </c>
      <c r="D101" s="28" t="s">
        <v>2031</v>
      </c>
      <c r="E101" s="28">
        <v>0.51380000000000003</v>
      </c>
      <c r="F101" s="28">
        <v>74.27</v>
      </c>
      <c r="G101" s="28">
        <v>232</v>
      </c>
      <c r="H101" s="28">
        <v>0.97419999999999995</v>
      </c>
      <c r="I101">
        <v>0.37530000000000002</v>
      </c>
      <c r="J101" s="28">
        <v>51.630499999999998</v>
      </c>
      <c r="K101" s="28">
        <v>76</v>
      </c>
      <c r="L101" s="28">
        <v>2020</v>
      </c>
    </row>
    <row r="102" spans="3:12" x14ac:dyDescent="0.25">
      <c r="C102" s="28" t="s">
        <v>2030</v>
      </c>
      <c r="D102" s="28" t="s">
        <v>2031</v>
      </c>
      <c r="E102" s="28">
        <v>0.52700000000000002</v>
      </c>
      <c r="F102" s="28">
        <v>74.27</v>
      </c>
      <c r="G102" s="28">
        <v>209</v>
      </c>
      <c r="H102" s="28">
        <v>0.97829999999999995</v>
      </c>
      <c r="I102">
        <v>0.38369999999999999</v>
      </c>
      <c r="J102" s="28">
        <v>51.630499999999998</v>
      </c>
      <c r="K102" s="28">
        <v>53</v>
      </c>
      <c r="L102" s="28">
        <v>2021</v>
      </c>
    </row>
    <row r="103" spans="3:12" x14ac:dyDescent="0.25">
      <c r="C103" s="28" t="s">
        <v>2030</v>
      </c>
      <c r="D103" s="28" t="s">
        <v>2031</v>
      </c>
      <c r="E103" s="28">
        <v>0.54239999999999999</v>
      </c>
      <c r="F103" s="28">
        <v>74.27</v>
      </c>
      <c r="G103" s="28">
        <v>186</v>
      </c>
      <c r="H103" s="28">
        <v>0.98060000000000003</v>
      </c>
      <c r="I103">
        <v>0.39190000000000003</v>
      </c>
      <c r="J103" s="28">
        <v>51.630499999999998</v>
      </c>
      <c r="K103" s="28">
        <v>43</v>
      </c>
      <c r="L103" s="28">
        <v>2022</v>
      </c>
    </row>
    <row r="104" spans="3:12" x14ac:dyDescent="0.25">
      <c r="C104" s="28" t="s">
        <v>2030</v>
      </c>
      <c r="D104" s="28" t="s">
        <v>2031</v>
      </c>
      <c r="E104" s="28">
        <v>0.55530000000000002</v>
      </c>
      <c r="F104" s="28">
        <v>74.27</v>
      </c>
      <c r="G104" s="28">
        <v>168</v>
      </c>
      <c r="H104" s="28">
        <v>0.98229999999999995</v>
      </c>
      <c r="I104">
        <v>0.40010000000000001</v>
      </c>
      <c r="J104" s="28">
        <v>51.630499999999998</v>
      </c>
      <c r="K104" s="28">
        <v>35</v>
      </c>
      <c r="L104" s="28">
        <v>2023</v>
      </c>
    </row>
    <row r="105" spans="3:12" x14ac:dyDescent="0.25">
      <c r="C105" s="28" t="s">
        <v>2032</v>
      </c>
      <c r="D105" s="28" t="s">
        <v>2033</v>
      </c>
      <c r="E105" s="28">
        <v>0.45229999999999998</v>
      </c>
      <c r="F105" s="28">
        <v>75.694199999999995</v>
      </c>
      <c r="G105" s="28">
        <v>309</v>
      </c>
      <c r="H105" s="28">
        <v>0.92169999999999996</v>
      </c>
      <c r="I105">
        <v>0.48230000000000001</v>
      </c>
      <c r="J105" s="28">
        <v>72.592200000000005</v>
      </c>
      <c r="K105" s="28">
        <v>343</v>
      </c>
      <c r="L105" s="28">
        <v>2019</v>
      </c>
    </row>
    <row r="106" spans="3:12" x14ac:dyDescent="0.25">
      <c r="C106" s="28" t="s">
        <v>2032</v>
      </c>
      <c r="D106" s="28" t="s">
        <v>2033</v>
      </c>
      <c r="E106" s="28">
        <v>0.45679999999999998</v>
      </c>
      <c r="F106" s="28">
        <v>75.694199999999995</v>
      </c>
      <c r="G106" s="28">
        <v>300</v>
      </c>
      <c r="H106" s="28">
        <v>0.92689999999999995</v>
      </c>
      <c r="I106">
        <v>0.49519999999999997</v>
      </c>
      <c r="J106" s="28">
        <v>72.592200000000005</v>
      </c>
      <c r="K106" s="28">
        <v>326</v>
      </c>
      <c r="L106" s="28">
        <v>2020</v>
      </c>
    </row>
    <row r="107" spans="3:12" x14ac:dyDescent="0.25">
      <c r="C107" s="28" t="s">
        <v>2032</v>
      </c>
      <c r="D107" s="28" t="s">
        <v>2033</v>
      </c>
      <c r="E107" s="28">
        <v>0.46729999999999999</v>
      </c>
      <c r="F107" s="28">
        <v>75.694199999999995</v>
      </c>
      <c r="G107" s="28">
        <v>279</v>
      </c>
      <c r="H107" s="28">
        <v>0.93259999999999998</v>
      </c>
      <c r="I107">
        <v>0.51180000000000003</v>
      </c>
      <c r="J107" s="28">
        <v>72.592200000000005</v>
      </c>
      <c r="K107" s="28">
        <v>296</v>
      </c>
      <c r="L107" s="28">
        <v>2021</v>
      </c>
    </row>
    <row r="108" spans="3:12" x14ac:dyDescent="0.25">
      <c r="C108" s="28" t="s">
        <v>2032</v>
      </c>
      <c r="D108" s="28" t="s">
        <v>2033</v>
      </c>
      <c r="E108" s="28">
        <v>0.47049999999999997</v>
      </c>
      <c r="F108" s="28">
        <v>75.694199999999995</v>
      </c>
      <c r="G108" s="28">
        <v>274</v>
      </c>
      <c r="H108" s="28">
        <v>0.93779999999999997</v>
      </c>
      <c r="I108">
        <v>0.52729999999999999</v>
      </c>
      <c r="J108" s="28">
        <v>72.592200000000005</v>
      </c>
      <c r="K108" s="28">
        <v>270</v>
      </c>
      <c r="L108" s="28">
        <v>2022</v>
      </c>
    </row>
    <row r="109" spans="3:12" x14ac:dyDescent="0.25">
      <c r="C109" s="28" t="s">
        <v>2032</v>
      </c>
      <c r="D109" s="28" t="s">
        <v>2033</v>
      </c>
      <c r="E109" s="28">
        <v>0.47549999999999998</v>
      </c>
      <c r="F109" s="28">
        <v>75.694199999999995</v>
      </c>
      <c r="G109" s="28">
        <v>264</v>
      </c>
      <c r="H109" s="28">
        <v>0.94530000000000003</v>
      </c>
      <c r="I109">
        <v>0.54190000000000005</v>
      </c>
      <c r="J109" s="28">
        <v>72.592200000000005</v>
      </c>
      <c r="K109" s="28">
        <v>234</v>
      </c>
      <c r="L109" s="28">
        <v>2023</v>
      </c>
    </row>
    <row r="110" spans="3:12" x14ac:dyDescent="0.25">
      <c r="C110" s="28" t="s">
        <v>2034</v>
      </c>
      <c r="D110" s="28" t="s">
        <v>2035</v>
      </c>
      <c r="E110" s="28">
        <v>0.4229</v>
      </c>
      <c r="F110" s="28">
        <v>72.740899999999996</v>
      </c>
      <c r="G110" s="28">
        <v>361</v>
      </c>
      <c r="H110" s="28">
        <v>0.9224</v>
      </c>
      <c r="I110">
        <v>0.49819999999999998</v>
      </c>
      <c r="J110" s="28">
        <v>111.1737</v>
      </c>
      <c r="K110" s="28">
        <v>341</v>
      </c>
      <c r="L110" s="28">
        <v>2019</v>
      </c>
    </row>
    <row r="111" spans="3:12" x14ac:dyDescent="0.25">
      <c r="C111" s="28" t="s">
        <v>2034</v>
      </c>
      <c r="D111" s="28" t="s">
        <v>2035</v>
      </c>
      <c r="E111" s="28">
        <v>0.4279</v>
      </c>
      <c r="F111" s="28">
        <v>72.740899999999996</v>
      </c>
      <c r="G111" s="28">
        <v>353</v>
      </c>
      <c r="H111" s="28">
        <v>0.92649999999999999</v>
      </c>
      <c r="I111">
        <v>0.50770000000000004</v>
      </c>
      <c r="J111" s="28">
        <v>111.1737</v>
      </c>
      <c r="K111" s="28">
        <v>329</v>
      </c>
      <c r="L111" s="28">
        <v>2020</v>
      </c>
    </row>
    <row r="112" spans="3:12" x14ac:dyDescent="0.25">
      <c r="C112" s="28" t="s">
        <v>2034</v>
      </c>
      <c r="D112" s="28" t="s">
        <v>2035</v>
      </c>
      <c r="E112" s="28">
        <v>0.44240000000000002</v>
      </c>
      <c r="F112" s="28">
        <v>72.740899999999996</v>
      </c>
      <c r="G112" s="28">
        <v>325</v>
      </c>
      <c r="H112" s="28">
        <v>0.9294</v>
      </c>
      <c r="I112">
        <v>0.51619999999999999</v>
      </c>
      <c r="J112" s="28">
        <v>111.1737</v>
      </c>
      <c r="K112" s="28">
        <v>312</v>
      </c>
      <c r="L112" s="28">
        <v>2021</v>
      </c>
    </row>
    <row r="113" spans="3:12" x14ac:dyDescent="0.25">
      <c r="C113" s="28" t="s">
        <v>2034</v>
      </c>
      <c r="D113" s="28" t="s">
        <v>2035</v>
      </c>
      <c r="E113" s="28">
        <v>0.4486</v>
      </c>
      <c r="F113" s="28">
        <v>72.740899999999996</v>
      </c>
      <c r="G113" s="28">
        <v>314</v>
      </c>
      <c r="H113" s="28">
        <v>0.93189999999999995</v>
      </c>
      <c r="I113">
        <v>0.52480000000000004</v>
      </c>
      <c r="J113" s="28">
        <v>111.1737</v>
      </c>
      <c r="K113" s="28">
        <v>303</v>
      </c>
      <c r="L113" s="28">
        <v>2022</v>
      </c>
    </row>
    <row r="114" spans="3:12" x14ac:dyDescent="0.25">
      <c r="C114" s="28" t="s">
        <v>2034</v>
      </c>
      <c r="D114" s="28" t="s">
        <v>2035</v>
      </c>
      <c r="E114" s="28">
        <v>0.46060000000000001</v>
      </c>
      <c r="F114" s="28">
        <v>72.740899999999996</v>
      </c>
      <c r="G114" s="28">
        <v>294</v>
      </c>
      <c r="H114" s="28">
        <v>0.93459999999999999</v>
      </c>
      <c r="I114">
        <v>0.53369999999999995</v>
      </c>
      <c r="J114" s="28">
        <v>111.1737</v>
      </c>
      <c r="K114" s="28">
        <v>288</v>
      </c>
      <c r="L114" s="28">
        <v>2023</v>
      </c>
    </row>
    <row r="115" spans="3:12" x14ac:dyDescent="0.25">
      <c r="C115" s="28" t="s">
        <v>2036</v>
      </c>
      <c r="D115" s="28" t="s">
        <v>2037</v>
      </c>
      <c r="E115" s="28">
        <v>0.48420000000000002</v>
      </c>
      <c r="F115" s="28">
        <v>74.403599999999997</v>
      </c>
      <c r="G115" s="28">
        <v>253</v>
      </c>
      <c r="H115" s="28">
        <v>0.7792</v>
      </c>
      <c r="I115">
        <v>0.43419999999999997</v>
      </c>
      <c r="J115" s="28">
        <v>57.0871</v>
      </c>
      <c r="K115" s="28">
        <v>472</v>
      </c>
      <c r="L115" s="28">
        <v>2019</v>
      </c>
    </row>
    <row r="116" spans="3:12" x14ac:dyDescent="0.25">
      <c r="C116" s="28" t="s">
        <v>2036</v>
      </c>
      <c r="D116" s="28" t="s">
        <v>2037</v>
      </c>
      <c r="E116" s="28">
        <v>0.49180000000000001</v>
      </c>
      <c r="F116" s="28">
        <v>74.403599999999997</v>
      </c>
      <c r="G116" s="28">
        <v>248</v>
      </c>
      <c r="H116" s="28">
        <v>0.78810000000000002</v>
      </c>
      <c r="I116">
        <v>0.44309999999999999</v>
      </c>
      <c r="J116" s="28">
        <v>57.0871</v>
      </c>
      <c r="K116" s="28">
        <v>470</v>
      </c>
      <c r="L116" s="28">
        <v>2020</v>
      </c>
    </row>
    <row r="117" spans="3:12" x14ac:dyDescent="0.25">
      <c r="C117" s="28" t="s">
        <v>2036</v>
      </c>
      <c r="D117" s="28" t="s">
        <v>2037</v>
      </c>
      <c r="E117" s="28">
        <v>0.49840000000000001</v>
      </c>
      <c r="F117" s="28">
        <v>74.403599999999997</v>
      </c>
      <c r="G117" s="28">
        <v>244</v>
      </c>
      <c r="H117" s="28">
        <v>0.8004</v>
      </c>
      <c r="I117">
        <v>0.45379999999999998</v>
      </c>
      <c r="J117" s="28">
        <v>57.0871</v>
      </c>
      <c r="K117" s="28">
        <v>468</v>
      </c>
      <c r="L117" s="28">
        <v>2021</v>
      </c>
    </row>
    <row r="118" spans="3:12" x14ac:dyDescent="0.25">
      <c r="C118" s="28" t="s">
        <v>2036</v>
      </c>
      <c r="D118" s="28" t="s">
        <v>2037</v>
      </c>
      <c r="E118" s="28">
        <v>0.50600000000000001</v>
      </c>
      <c r="F118" s="28">
        <v>74.403599999999997</v>
      </c>
      <c r="G118" s="28">
        <v>239</v>
      </c>
      <c r="H118" s="28">
        <v>0.81120000000000003</v>
      </c>
      <c r="I118">
        <v>0.4642</v>
      </c>
      <c r="J118" s="28">
        <v>57.0871</v>
      </c>
      <c r="K118" s="28">
        <v>467</v>
      </c>
      <c r="L118" s="28">
        <v>2022</v>
      </c>
    </row>
    <row r="119" spans="3:12" x14ac:dyDescent="0.25">
      <c r="C119" s="28" t="s">
        <v>2036</v>
      </c>
      <c r="D119" s="28" t="s">
        <v>2037</v>
      </c>
      <c r="E119" s="28">
        <v>0.5111</v>
      </c>
      <c r="F119" s="28">
        <v>74.403599999999997</v>
      </c>
      <c r="G119" s="28">
        <v>234</v>
      </c>
      <c r="H119" s="28">
        <v>0.82789999999999997</v>
      </c>
      <c r="I119">
        <v>0.47539999999999999</v>
      </c>
      <c r="J119" s="28">
        <v>57.0871</v>
      </c>
      <c r="K119" s="28">
        <v>465</v>
      </c>
      <c r="L119" s="28">
        <v>2023</v>
      </c>
    </row>
    <row r="120" spans="3:12" x14ac:dyDescent="0.25">
      <c r="C120" s="28" t="s">
        <v>2038</v>
      </c>
      <c r="D120" s="28" t="s">
        <v>2039</v>
      </c>
      <c r="E120" s="28">
        <v>0.35439999999999999</v>
      </c>
      <c r="F120" s="28">
        <v>36.735599999999998</v>
      </c>
      <c r="G120" s="28">
        <v>444</v>
      </c>
      <c r="H120" s="28">
        <v>0.95269999999999999</v>
      </c>
      <c r="I120">
        <v>0.32319999999999999</v>
      </c>
      <c r="J120" s="28">
        <v>43.738999999999997</v>
      </c>
      <c r="K120" s="28">
        <v>203</v>
      </c>
      <c r="L120" s="28">
        <v>2019</v>
      </c>
    </row>
    <row r="121" spans="3:12" x14ac:dyDescent="0.25">
      <c r="C121" s="28" t="s">
        <v>2038</v>
      </c>
      <c r="D121" s="28" t="s">
        <v>2039</v>
      </c>
      <c r="E121" s="28">
        <v>0.3639</v>
      </c>
      <c r="F121" s="28">
        <v>36.735599999999998</v>
      </c>
      <c r="G121" s="28">
        <v>439</v>
      </c>
      <c r="H121" s="28">
        <v>0.95699999999999996</v>
      </c>
      <c r="I121">
        <v>0.33189999999999997</v>
      </c>
      <c r="J121" s="28">
        <v>43.738999999999997</v>
      </c>
      <c r="K121" s="28">
        <v>187</v>
      </c>
      <c r="L121" s="28">
        <v>2020</v>
      </c>
    </row>
    <row r="122" spans="3:12" x14ac:dyDescent="0.25">
      <c r="C122" s="28" t="s">
        <v>2038</v>
      </c>
      <c r="D122" s="28" t="s">
        <v>2039</v>
      </c>
      <c r="E122" s="28">
        <v>0.37009999999999998</v>
      </c>
      <c r="F122" s="28">
        <v>36.735599999999998</v>
      </c>
      <c r="G122" s="28">
        <v>431</v>
      </c>
      <c r="H122" s="28">
        <v>0.95960000000000001</v>
      </c>
      <c r="I122">
        <v>0.33979999999999999</v>
      </c>
      <c r="J122" s="28">
        <v>43.738999999999997</v>
      </c>
      <c r="K122" s="28">
        <v>175</v>
      </c>
      <c r="L122" s="28">
        <v>2021</v>
      </c>
    </row>
    <row r="123" spans="3:12" x14ac:dyDescent="0.25">
      <c r="C123" s="28" t="s">
        <v>2038</v>
      </c>
      <c r="D123" s="28" t="s">
        <v>2039</v>
      </c>
      <c r="E123" s="28">
        <v>0.37319999999999998</v>
      </c>
      <c r="F123" s="28">
        <v>36.735599999999998</v>
      </c>
      <c r="G123" s="28">
        <v>426</v>
      </c>
      <c r="H123" s="28">
        <v>0.96130000000000004</v>
      </c>
      <c r="I123">
        <v>0.34639999999999999</v>
      </c>
      <c r="J123" s="28">
        <v>43.738999999999997</v>
      </c>
      <c r="K123" s="28">
        <v>165</v>
      </c>
      <c r="L123" s="28">
        <v>2022</v>
      </c>
    </row>
    <row r="124" spans="3:12" x14ac:dyDescent="0.25">
      <c r="C124" s="28" t="s">
        <v>2038</v>
      </c>
      <c r="D124" s="28" t="s">
        <v>2039</v>
      </c>
      <c r="E124" s="28">
        <v>0.37890000000000001</v>
      </c>
      <c r="F124" s="28">
        <v>36.735599999999998</v>
      </c>
      <c r="G124" s="28">
        <v>422</v>
      </c>
      <c r="H124" s="28">
        <v>0.96740000000000004</v>
      </c>
      <c r="I124">
        <v>0.35470000000000002</v>
      </c>
      <c r="J124" s="28">
        <v>43.738999999999997</v>
      </c>
      <c r="K124" s="28">
        <v>127</v>
      </c>
      <c r="L124" s="28">
        <v>2023</v>
      </c>
    </row>
    <row r="125" spans="3:12" x14ac:dyDescent="0.25">
      <c r="C125" s="28" t="s">
        <v>2040</v>
      </c>
      <c r="D125" s="28" t="s">
        <v>2041</v>
      </c>
      <c r="E125" s="28">
        <v>0.5403</v>
      </c>
      <c r="F125" s="28">
        <v>103.1253</v>
      </c>
      <c r="G125" s="28">
        <v>189</v>
      </c>
      <c r="H125" s="28">
        <v>0.96099999999999997</v>
      </c>
      <c r="I125">
        <v>0.44180000000000003</v>
      </c>
      <c r="J125" s="28">
        <v>73.274600000000007</v>
      </c>
      <c r="K125" s="28">
        <v>168</v>
      </c>
      <c r="L125" s="28">
        <v>2019</v>
      </c>
    </row>
    <row r="126" spans="3:12" x14ac:dyDescent="0.25">
      <c r="C126" s="28" t="s">
        <v>2040</v>
      </c>
      <c r="D126" s="28" t="s">
        <v>2041</v>
      </c>
      <c r="E126" s="28">
        <v>0.54800000000000004</v>
      </c>
      <c r="F126" s="28">
        <v>103.1253</v>
      </c>
      <c r="G126" s="28">
        <v>179</v>
      </c>
      <c r="H126" s="28">
        <v>0.9637</v>
      </c>
      <c r="I126">
        <v>0.44779999999999998</v>
      </c>
      <c r="J126" s="28">
        <v>73.274600000000007</v>
      </c>
      <c r="K126" s="28">
        <v>153</v>
      </c>
      <c r="L126" s="28">
        <v>2020</v>
      </c>
    </row>
    <row r="127" spans="3:12" x14ac:dyDescent="0.25">
      <c r="C127" s="28" t="s">
        <v>2040</v>
      </c>
      <c r="D127" s="28" t="s">
        <v>2041</v>
      </c>
      <c r="E127" s="28">
        <v>0.5615</v>
      </c>
      <c r="F127" s="28">
        <v>103.1253</v>
      </c>
      <c r="G127" s="28">
        <v>162</v>
      </c>
      <c r="H127" s="28">
        <v>0.96689999999999998</v>
      </c>
      <c r="I127">
        <v>0.45519999999999999</v>
      </c>
      <c r="J127" s="28">
        <v>73.274600000000007</v>
      </c>
      <c r="K127" s="28">
        <v>129</v>
      </c>
      <c r="L127" s="28">
        <v>2021</v>
      </c>
    </row>
    <row r="128" spans="3:12" x14ac:dyDescent="0.25">
      <c r="C128" s="28" t="s">
        <v>2040</v>
      </c>
      <c r="D128" s="28" t="s">
        <v>2041</v>
      </c>
      <c r="E128" s="28">
        <v>0.56499999999999995</v>
      </c>
      <c r="F128" s="28">
        <v>103.1253</v>
      </c>
      <c r="G128" s="28">
        <v>159</v>
      </c>
      <c r="H128" s="28">
        <v>0.96879999999999999</v>
      </c>
      <c r="I128">
        <v>0.4602</v>
      </c>
      <c r="J128" s="28">
        <v>73.274600000000007</v>
      </c>
      <c r="K128" s="28">
        <v>113</v>
      </c>
      <c r="L128" s="28">
        <v>2022</v>
      </c>
    </row>
    <row r="129" spans="3:12" x14ac:dyDescent="0.25">
      <c r="C129" s="28" t="s">
        <v>2040</v>
      </c>
      <c r="D129" s="28" t="s">
        <v>2041</v>
      </c>
      <c r="E129" s="28">
        <v>0.57399999999999995</v>
      </c>
      <c r="F129" s="28">
        <v>103.1253</v>
      </c>
      <c r="G129" s="28">
        <v>153</v>
      </c>
      <c r="H129" s="28">
        <v>0.98060000000000003</v>
      </c>
      <c r="I129">
        <v>0.46739999999999998</v>
      </c>
      <c r="J129" s="28">
        <v>73.274600000000007</v>
      </c>
      <c r="K129" s="28">
        <v>43</v>
      </c>
      <c r="L129" s="28">
        <v>2023</v>
      </c>
    </row>
    <row r="130" spans="3:12" x14ac:dyDescent="0.25">
      <c r="C130" s="28" t="s">
        <v>2042</v>
      </c>
      <c r="D130" s="28" t="s">
        <v>2043</v>
      </c>
      <c r="E130" s="28">
        <v>0.5343</v>
      </c>
      <c r="F130" s="28">
        <v>129.4315</v>
      </c>
      <c r="G130" s="28">
        <v>201</v>
      </c>
      <c r="H130" s="28">
        <v>0.9274</v>
      </c>
      <c r="I130">
        <v>0.4889</v>
      </c>
      <c r="J130" s="28">
        <v>88.687899999999999</v>
      </c>
      <c r="K130" s="28">
        <v>322</v>
      </c>
      <c r="L130" s="28">
        <v>2019</v>
      </c>
    </row>
    <row r="131" spans="3:12" x14ac:dyDescent="0.25">
      <c r="C131" s="28" t="s">
        <v>2042</v>
      </c>
      <c r="D131" s="28" t="s">
        <v>2043</v>
      </c>
      <c r="E131" s="28">
        <v>0.53759999999999997</v>
      </c>
      <c r="F131" s="28">
        <v>129.4315</v>
      </c>
      <c r="G131" s="28">
        <v>196</v>
      </c>
      <c r="H131" s="28">
        <v>0.93300000000000005</v>
      </c>
      <c r="I131">
        <v>0.495</v>
      </c>
      <c r="J131" s="28">
        <v>88.687899999999999</v>
      </c>
      <c r="K131" s="28">
        <v>294</v>
      </c>
      <c r="L131" s="28">
        <v>2020</v>
      </c>
    </row>
    <row r="132" spans="3:12" x14ac:dyDescent="0.25">
      <c r="C132" s="28" t="s">
        <v>2042</v>
      </c>
      <c r="D132" s="28" t="s">
        <v>2043</v>
      </c>
      <c r="E132" s="28">
        <v>0.55049999999999999</v>
      </c>
      <c r="F132" s="28">
        <v>129.4315</v>
      </c>
      <c r="G132" s="28">
        <v>173</v>
      </c>
      <c r="H132" s="28">
        <v>0.93920000000000003</v>
      </c>
      <c r="I132">
        <v>0.50249999999999995</v>
      </c>
      <c r="J132" s="28">
        <v>88.687899999999999</v>
      </c>
      <c r="K132" s="28">
        <v>259</v>
      </c>
      <c r="L132" s="28">
        <v>2021</v>
      </c>
    </row>
    <row r="133" spans="3:12" x14ac:dyDescent="0.25">
      <c r="C133" s="28" t="s">
        <v>2042</v>
      </c>
      <c r="D133" s="28" t="s">
        <v>2043</v>
      </c>
      <c r="E133" s="28">
        <v>0.56130000000000002</v>
      </c>
      <c r="F133" s="28">
        <v>129.4315</v>
      </c>
      <c r="G133" s="28">
        <v>163</v>
      </c>
      <c r="H133" s="28">
        <v>0.94369999999999998</v>
      </c>
      <c r="I133">
        <v>0.50919999999999999</v>
      </c>
      <c r="J133" s="28">
        <v>88.687899999999999</v>
      </c>
      <c r="K133" s="28">
        <v>243</v>
      </c>
      <c r="L133" s="28">
        <v>2022</v>
      </c>
    </row>
    <row r="134" spans="3:12" x14ac:dyDescent="0.25">
      <c r="C134" s="28" t="s">
        <v>2042</v>
      </c>
      <c r="D134" s="28" t="s">
        <v>2043</v>
      </c>
      <c r="E134" s="28">
        <v>0.56620000000000004</v>
      </c>
      <c r="F134" s="28">
        <v>129.4315</v>
      </c>
      <c r="G134" s="28">
        <v>157</v>
      </c>
      <c r="H134" s="28">
        <v>0.94820000000000004</v>
      </c>
      <c r="I134">
        <v>0.51500000000000001</v>
      </c>
      <c r="J134" s="28">
        <v>88.687899999999999</v>
      </c>
      <c r="K134" s="28">
        <v>219</v>
      </c>
      <c r="L134" s="28">
        <v>2023</v>
      </c>
    </row>
    <row r="135" spans="3:12" x14ac:dyDescent="0.25">
      <c r="C135" s="28" t="s">
        <v>2044</v>
      </c>
      <c r="D135" s="28" t="s">
        <v>2045</v>
      </c>
      <c r="E135" s="28">
        <v>0.25219999999999998</v>
      </c>
      <c r="F135" s="28">
        <v>24.959499999999998</v>
      </c>
      <c r="G135" s="28">
        <v>475</v>
      </c>
      <c r="H135" s="28">
        <v>0.83979999999999999</v>
      </c>
      <c r="I135">
        <v>0.1961</v>
      </c>
      <c r="J135" s="28">
        <v>24.192799999999998</v>
      </c>
      <c r="K135" s="28">
        <v>456</v>
      </c>
      <c r="L135" s="28">
        <v>2019</v>
      </c>
    </row>
    <row r="136" spans="3:12" x14ac:dyDescent="0.25">
      <c r="C136" s="28" t="s">
        <v>2044</v>
      </c>
      <c r="D136" s="28" t="s">
        <v>2045</v>
      </c>
      <c r="E136" s="28">
        <v>0.25509999999999999</v>
      </c>
      <c r="F136" s="28">
        <v>24.959499999999998</v>
      </c>
      <c r="G136" s="28">
        <v>474</v>
      </c>
      <c r="H136" s="28">
        <v>0.85060000000000002</v>
      </c>
      <c r="I136">
        <v>0.20130000000000001</v>
      </c>
      <c r="J136" s="28">
        <v>24.192799999999998</v>
      </c>
      <c r="K136" s="28">
        <v>450</v>
      </c>
      <c r="L136" s="28">
        <v>2020</v>
      </c>
    </row>
    <row r="137" spans="3:12" x14ac:dyDescent="0.25">
      <c r="C137" s="28" t="s">
        <v>2044</v>
      </c>
      <c r="D137" s="28" t="s">
        <v>2045</v>
      </c>
      <c r="E137" s="28">
        <v>0.26100000000000001</v>
      </c>
      <c r="F137" s="28">
        <v>24.959499999999998</v>
      </c>
      <c r="G137" s="28">
        <v>473</v>
      </c>
      <c r="H137" s="28">
        <v>0.86619999999999997</v>
      </c>
      <c r="I137">
        <v>0.21149999999999999</v>
      </c>
      <c r="J137" s="28">
        <v>24.192799999999998</v>
      </c>
      <c r="K137" s="28">
        <v>447</v>
      </c>
      <c r="L137" s="28">
        <v>2021</v>
      </c>
    </row>
    <row r="138" spans="3:12" x14ac:dyDescent="0.25">
      <c r="C138" s="28" t="s">
        <v>2044</v>
      </c>
      <c r="D138" s="28" t="s">
        <v>2045</v>
      </c>
      <c r="E138" s="28">
        <v>0.2666</v>
      </c>
      <c r="F138" s="28">
        <v>24.959499999999998</v>
      </c>
      <c r="G138" s="28">
        <v>472</v>
      </c>
      <c r="H138" s="28">
        <v>0.87919999999999998</v>
      </c>
      <c r="I138">
        <v>0.2195</v>
      </c>
      <c r="J138" s="28">
        <v>24.192799999999998</v>
      </c>
      <c r="K138" s="28">
        <v>435</v>
      </c>
      <c r="L138" s="28">
        <v>2022</v>
      </c>
    </row>
    <row r="139" spans="3:12" x14ac:dyDescent="0.25">
      <c r="C139" s="28" t="s">
        <v>2044</v>
      </c>
      <c r="D139" s="28" t="s">
        <v>2045</v>
      </c>
      <c r="E139" s="28">
        <v>0.27510000000000001</v>
      </c>
      <c r="F139" s="28">
        <v>24.959499999999998</v>
      </c>
      <c r="G139" s="28">
        <v>471</v>
      </c>
      <c r="H139" s="28">
        <v>0.88949999999999996</v>
      </c>
      <c r="I139">
        <v>0.22739999999999999</v>
      </c>
      <c r="J139" s="28">
        <v>24.192799999999998</v>
      </c>
      <c r="K139" s="28">
        <v>421</v>
      </c>
      <c r="L139" s="28">
        <v>2023</v>
      </c>
    </row>
    <row r="140" spans="3:12" x14ac:dyDescent="0.25">
      <c r="C140" s="28" t="s">
        <v>2018</v>
      </c>
      <c r="D140" s="28" t="s">
        <v>2019</v>
      </c>
      <c r="E140" s="28">
        <v>0.71430000000000005</v>
      </c>
      <c r="F140" s="28">
        <v>119.4573</v>
      </c>
      <c r="G140" s="28">
        <v>63</v>
      </c>
      <c r="H140" s="28">
        <v>0.9385</v>
      </c>
      <c r="I140">
        <v>0.47289999999999999</v>
      </c>
      <c r="J140" s="28">
        <v>88.914400000000001</v>
      </c>
      <c r="K140" s="28">
        <v>262</v>
      </c>
      <c r="L140" s="28">
        <v>2019</v>
      </c>
    </row>
    <row r="141" spans="3:12" x14ac:dyDescent="0.25">
      <c r="C141" s="28" t="s">
        <v>2018</v>
      </c>
      <c r="D141" s="28" t="s">
        <v>2019</v>
      </c>
      <c r="E141" s="28">
        <v>0.72189999999999999</v>
      </c>
      <c r="F141" s="28">
        <v>119.4573</v>
      </c>
      <c r="G141" s="28">
        <v>59</v>
      </c>
      <c r="H141" s="28">
        <v>0.94440000000000002</v>
      </c>
      <c r="I141">
        <v>0.4798</v>
      </c>
      <c r="J141" s="28">
        <v>88.914400000000001</v>
      </c>
      <c r="K141" s="28">
        <v>239</v>
      </c>
      <c r="L141" s="28">
        <v>2020</v>
      </c>
    </row>
    <row r="142" spans="3:12" x14ac:dyDescent="0.25">
      <c r="C142" s="28" t="s">
        <v>2018</v>
      </c>
      <c r="D142" s="28" t="s">
        <v>2019</v>
      </c>
      <c r="E142" s="28">
        <v>0.72760000000000002</v>
      </c>
      <c r="F142" s="28">
        <v>119.4573</v>
      </c>
      <c r="G142" s="28">
        <v>54</v>
      </c>
      <c r="H142" s="28">
        <v>0.9506</v>
      </c>
      <c r="I142">
        <v>0.48709999999999998</v>
      </c>
      <c r="J142" s="28">
        <v>88.914400000000001</v>
      </c>
      <c r="K142" s="28">
        <v>212</v>
      </c>
      <c r="L142" s="28">
        <v>2021</v>
      </c>
    </row>
    <row r="143" spans="3:12" x14ac:dyDescent="0.25">
      <c r="C143" s="28" t="s">
        <v>2018</v>
      </c>
      <c r="D143" s="28" t="s">
        <v>2019</v>
      </c>
      <c r="E143" s="28">
        <v>0.72989999999999999</v>
      </c>
      <c r="F143" s="28">
        <v>119.4573</v>
      </c>
      <c r="G143" s="28">
        <v>52</v>
      </c>
      <c r="H143" s="28">
        <v>0.95720000000000005</v>
      </c>
      <c r="I143">
        <v>0.49349999999999999</v>
      </c>
      <c r="J143" s="28">
        <v>88.914400000000001</v>
      </c>
      <c r="K143" s="28">
        <v>185</v>
      </c>
      <c r="L143" s="28">
        <v>2022</v>
      </c>
    </row>
    <row r="144" spans="3:12" x14ac:dyDescent="0.25">
      <c r="C144" s="28" t="s">
        <v>2018</v>
      </c>
      <c r="D144" s="28" t="s">
        <v>2019</v>
      </c>
      <c r="E144" s="28">
        <v>0.73360000000000003</v>
      </c>
      <c r="F144" s="28">
        <v>119.4573</v>
      </c>
      <c r="G144" s="28">
        <v>50</v>
      </c>
      <c r="H144" s="28">
        <v>0.96479999999999999</v>
      </c>
      <c r="I144">
        <v>0.50019999999999998</v>
      </c>
      <c r="J144" s="28">
        <v>88.914400000000001</v>
      </c>
      <c r="K144" s="28">
        <v>147</v>
      </c>
      <c r="L144" s="28">
        <v>2023</v>
      </c>
    </row>
    <row r="145" spans="3:12" x14ac:dyDescent="0.25">
      <c r="C145" s="28" t="s">
        <v>2046</v>
      </c>
      <c r="D145" s="28" t="s">
        <v>2047</v>
      </c>
      <c r="E145" s="28">
        <v>0.62339999999999995</v>
      </c>
      <c r="F145" s="28">
        <v>154.00210000000001</v>
      </c>
      <c r="G145" s="28">
        <v>134</v>
      </c>
      <c r="H145" s="28">
        <v>0.96</v>
      </c>
      <c r="I145">
        <v>0.63490000000000002</v>
      </c>
      <c r="J145" s="28">
        <v>123.4811</v>
      </c>
      <c r="K145" s="28">
        <v>173</v>
      </c>
      <c r="L145" s="28">
        <v>2019</v>
      </c>
    </row>
    <row r="146" spans="3:12" x14ac:dyDescent="0.25">
      <c r="C146" s="28" t="s">
        <v>2046</v>
      </c>
      <c r="D146" s="28" t="s">
        <v>2047</v>
      </c>
      <c r="E146" s="28">
        <v>0.63300000000000001</v>
      </c>
      <c r="F146" s="28">
        <v>154.00210000000001</v>
      </c>
      <c r="G146" s="28">
        <v>126</v>
      </c>
      <c r="H146" s="28">
        <v>0.96209999999999996</v>
      </c>
      <c r="I146">
        <v>0.6401</v>
      </c>
      <c r="J146" s="28">
        <v>123.4811</v>
      </c>
      <c r="K146" s="28">
        <v>162</v>
      </c>
      <c r="L146" s="28">
        <v>2020</v>
      </c>
    </row>
    <row r="147" spans="3:12" x14ac:dyDescent="0.25">
      <c r="C147" s="28" t="s">
        <v>2046</v>
      </c>
      <c r="D147" s="28" t="s">
        <v>2047</v>
      </c>
      <c r="E147" s="28">
        <v>0.64100000000000001</v>
      </c>
      <c r="F147" s="28">
        <v>154.00210000000001</v>
      </c>
      <c r="G147" s="28">
        <v>118</v>
      </c>
      <c r="H147" s="28">
        <v>0.96509999999999996</v>
      </c>
      <c r="I147">
        <v>0.64610000000000001</v>
      </c>
      <c r="J147" s="28">
        <v>123.4811</v>
      </c>
      <c r="K147" s="28">
        <v>146</v>
      </c>
      <c r="L147" s="28">
        <v>2021</v>
      </c>
    </row>
    <row r="148" spans="3:12" x14ac:dyDescent="0.25">
      <c r="C148" s="28" t="s">
        <v>2046</v>
      </c>
      <c r="D148" s="28" t="s">
        <v>2047</v>
      </c>
      <c r="E148" s="28">
        <v>0.64439999999999997</v>
      </c>
      <c r="F148" s="28">
        <v>154.00210000000001</v>
      </c>
      <c r="G148" s="28">
        <v>117</v>
      </c>
      <c r="H148" s="28">
        <v>0.96679999999999999</v>
      </c>
      <c r="I148">
        <v>0.65049999999999997</v>
      </c>
      <c r="J148" s="28">
        <v>123.4811</v>
      </c>
      <c r="K148" s="28">
        <v>131</v>
      </c>
      <c r="L148" s="28">
        <v>2022</v>
      </c>
    </row>
    <row r="149" spans="3:12" x14ac:dyDescent="0.25">
      <c r="C149" s="28" t="s">
        <v>2046</v>
      </c>
      <c r="D149" s="28" t="s">
        <v>2047</v>
      </c>
      <c r="E149" s="28">
        <v>0.64980000000000004</v>
      </c>
      <c r="F149" s="28">
        <v>154.00210000000001</v>
      </c>
      <c r="G149" s="28">
        <v>114</v>
      </c>
      <c r="H149" s="28">
        <v>0.97409999999999997</v>
      </c>
      <c r="I149">
        <v>0.65680000000000005</v>
      </c>
      <c r="J149" s="28">
        <v>123.4811</v>
      </c>
      <c r="K149" s="28">
        <v>77</v>
      </c>
      <c r="L149" s="28">
        <v>2023</v>
      </c>
    </row>
    <row r="150" spans="3:12" x14ac:dyDescent="0.25">
      <c r="C150" s="28" t="s">
        <v>2048</v>
      </c>
      <c r="D150" s="28" t="s">
        <v>2049</v>
      </c>
      <c r="E150" s="28">
        <v>0.372</v>
      </c>
      <c r="F150" s="28">
        <v>90.649299999999997</v>
      </c>
      <c r="G150" s="28">
        <v>428</v>
      </c>
      <c r="H150" s="28">
        <v>0.87070000000000003</v>
      </c>
      <c r="I150">
        <v>0.43190000000000001</v>
      </c>
      <c r="J150" s="28">
        <v>75.613699999999994</v>
      </c>
      <c r="K150" s="28">
        <v>443</v>
      </c>
      <c r="L150" s="28">
        <v>2019</v>
      </c>
    </row>
    <row r="151" spans="3:12" x14ac:dyDescent="0.25">
      <c r="C151" s="28" t="s">
        <v>2048</v>
      </c>
      <c r="D151" s="28" t="s">
        <v>2049</v>
      </c>
      <c r="E151" s="28">
        <v>0.37909999999999999</v>
      </c>
      <c r="F151" s="28">
        <v>90.649299999999997</v>
      </c>
      <c r="G151" s="28">
        <v>421</v>
      </c>
      <c r="H151" s="28">
        <v>0.87909999999999999</v>
      </c>
      <c r="I151">
        <v>0.4385</v>
      </c>
      <c r="J151" s="28">
        <v>75.613699999999994</v>
      </c>
      <c r="K151" s="28">
        <v>436</v>
      </c>
      <c r="L151" s="28">
        <v>2020</v>
      </c>
    </row>
    <row r="152" spans="3:12" x14ac:dyDescent="0.25">
      <c r="C152" s="28" t="s">
        <v>2048</v>
      </c>
      <c r="D152" s="28" t="s">
        <v>2049</v>
      </c>
      <c r="E152" s="28">
        <v>0.38779999999999998</v>
      </c>
      <c r="F152" s="28">
        <v>90.649299999999997</v>
      </c>
      <c r="G152" s="28">
        <v>413</v>
      </c>
      <c r="H152" s="28">
        <v>0.88900000000000001</v>
      </c>
      <c r="I152">
        <v>0.44619999999999999</v>
      </c>
      <c r="J152" s="28">
        <v>75.613699999999994</v>
      </c>
      <c r="K152" s="28">
        <v>423</v>
      </c>
      <c r="L152" s="28">
        <v>2021</v>
      </c>
    </row>
    <row r="153" spans="3:12" x14ac:dyDescent="0.25">
      <c r="C153" s="28" t="s">
        <v>2048</v>
      </c>
      <c r="D153" s="28" t="s">
        <v>2049</v>
      </c>
      <c r="E153" s="28">
        <v>0.39140000000000003</v>
      </c>
      <c r="F153" s="28">
        <v>90.649299999999997</v>
      </c>
      <c r="G153" s="28">
        <v>407</v>
      </c>
      <c r="H153" s="28">
        <v>0.89729999999999999</v>
      </c>
      <c r="I153">
        <v>0.45329999999999998</v>
      </c>
      <c r="J153" s="28">
        <v>75.613699999999994</v>
      </c>
      <c r="K153" s="28">
        <v>406</v>
      </c>
      <c r="L153" s="28">
        <v>2022</v>
      </c>
    </row>
    <row r="154" spans="3:12" x14ac:dyDescent="0.25">
      <c r="C154" s="28" t="s">
        <v>2048</v>
      </c>
      <c r="D154" s="28" t="s">
        <v>2049</v>
      </c>
      <c r="E154" s="28">
        <v>0.39650000000000002</v>
      </c>
      <c r="F154" s="28">
        <v>90.649299999999997</v>
      </c>
      <c r="G154" s="28">
        <v>398</v>
      </c>
      <c r="H154" s="28">
        <v>0.91190000000000004</v>
      </c>
      <c r="I154">
        <v>0.45989999999999998</v>
      </c>
      <c r="J154" s="28">
        <v>75.613699999999994</v>
      </c>
      <c r="K154" s="28">
        <v>373</v>
      </c>
      <c r="L154" s="28">
        <v>2023</v>
      </c>
    </row>
    <row r="155" spans="3:12" x14ac:dyDescent="0.25">
      <c r="C155" s="28" t="s">
        <v>2050</v>
      </c>
      <c r="D155" s="28" t="s">
        <v>2051</v>
      </c>
      <c r="E155" s="28">
        <v>0.36420000000000002</v>
      </c>
      <c r="F155" s="28">
        <v>29.060199999999998</v>
      </c>
      <c r="G155" s="28">
        <v>437</v>
      </c>
      <c r="H155" s="28">
        <v>0.90490000000000004</v>
      </c>
      <c r="I155">
        <v>0.27979999999999999</v>
      </c>
      <c r="J155" s="28">
        <v>45.055599999999998</v>
      </c>
      <c r="K155" s="28">
        <v>394</v>
      </c>
      <c r="L155" s="28">
        <v>2019</v>
      </c>
    </row>
    <row r="156" spans="3:12" x14ac:dyDescent="0.25">
      <c r="C156" s="28" t="s">
        <v>2050</v>
      </c>
      <c r="D156" s="28" t="s">
        <v>2051</v>
      </c>
      <c r="E156" s="28">
        <v>0.36969999999999997</v>
      </c>
      <c r="F156" s="28">
        <v>29.060199999999998</v>
      </c>
      <c r="G156" s="28">
        <v>432</v>
      </c>
      <c r="H156" s="28">
        <v>0.9113</v>
      </c>
      <c r="I156">
        <v>0.28799999999999998</v>
      </c>
      <c r="J156" s="28">
        <v>45.055599999999998</v>
      </c>
      <c r="K156" s="28">
        <v>374</v>
      </c>
      <c r="L156" s="28">
        <v>2020</v>
      </c>
    </row>
    <row r="157" spans="3:12" x14ac:dyDescent="0.25">
      <c r="C157" s="28" t="s">
        <v>2050</v>
      </c>
      <c r="D157" s="28" t="s">
        <v>2051</v>
      </c>
      <c r="E157" s="28">
        <v>0.38009999999999999</v>
      </c>
      <c r="F157" s="28">
        <v>29.060199999999998</v>
      </c>
      <c r="G157" s="28">
        <v>419</v>
      </c>
      <c r="H157" s="28">
        <v>0.91769999999999996</v>
      </c>
      <c r="I157">
        <v>0.29609999999999997</v>
      </c>
      <c r="J157" s="28">
        <v>45.055599999999998</v>
      </c>
      <c r="K157" s="28">
        <v>357</v>
      </c>
      <c r="L157" s="28">
        <v>2021</v>
      </c>
    </row>
    <row r="158" spans="3:12" x14ac:dyDescent="0.25">
      <c r="C158" s="28" t="s">
        <v>2050</v>
      </c>
      <c r="D158" s="28" t="s">
        <v>2051</v>
      </c>
      <c r="E158" s="28">
        <v>0.38829999999999998</v>
      </c>
      <c r="F158" s="28">
        <v>29.060199999999998</v>
      </c>
      <c r="G158" s="28">
        <v>411</v>
      </c>
      <c r="H158" s="28">
        <v>0.92310000000000003</v>
      </c>
      <c r="I158">
        <v>0.30370000000000003</v>
      </c>
      <c r="J158" s="28">
        <v>45.055599999999998</v>
      </c>
      <c r="K158" s="28">
        <v>339</v>
      </c>
      <c r="L158" s="28">
        <v>2022</v>
      </c>
    </row>
    <row r="159" spans="3:12" x14ac:dyDescent="0.25">
      <c r="C159" s="28" t="s">
        <v>2050</v>
      </c>
      <c r="D159" s="28" t="s">
        <v>2051</v>
      </c>
      <c r="E159" s="28">
        <v>0.39839999999999998</v>
      </c>
      <c r="F159" s="28">
        <v>29.060199999999998</v>
      </c>
      <c r="G159" s="28">
        <v>393</v>
      </c>
      <c r="H159" s="28">
        <v>0.92730000000000001</v>
      </c>
      <c r="I159">
        <v>0.30969999999999998</v>
      </c>
      <c r="J159" s="28">
        <v>45.055599999999998</v>
      </c>
      <c r="K159" s="28">
        <v>325</v>
      </c>
      <c r="L159" s="28">
        <v>2023</v>
      </c>
    </row>
    <row r="160" spans="3:12" x14ac:dyDescent="0.25">
      <c r="C160" s="28" t="s">
        <v>2052</v>
      </c>
      <c r="D160" s="28" t="s">
        <v>2053</v>
      </c>
      <c r="E160" s="28">
        <v>0.42199999999999999</v>
      </c>
      <c r="F160" s="28">
        <v>71.584699999999998</v>
      </c>
      <c r="G160" s="28">
        <v>362</v>
      </c>
      <c r="H160" s="28">
        <v>0.89600000000000002</v>
      </c>
      <c r="I160">
        <v>0.4602</v>
      </c>
      <c r="J160" s="28">
        <v>78.294899999999998</v>
      </c>
      <c r="K160" s="28">
        <v>409</v>
      </c>
      <c r="L160" s="28">
        <v>2019</v>
      </c>
    </row>
    <row r="161" spans="3:12" x14ac:dyDescent="0.25">
      <c r="C161" s="28" t="s">
        <v>2052</v>
      </c>
      <c r="D161" s="28" t="s">
        <v>2053</v>
      </c>
      <c r="E161" s="28">
        <v>0.4269</v>
      </c>
      <c r="F161" s="28">
        <v>71.584699999999998</v>
      </c>
      <c r="G161" s="28">
        <v>355</v>
      </c>
      <c r="H161" s="28">
        <v>0.90300000000000002</v>
      </c>
      <c r="I161">
        <v>0.46870000000000001</v>
      </c>
      <c r="J161" s="28">
        <v>78.294899999999998</v>
      </c>
      <c r="K161" s="28">
        <v>396</v>
      </c>
      <c r="L161" s="28">
        <v>2020</v>
      </c>
    </row>
    <row r="162" spans="3:12" x14ac:dyDescent="0.25">
      <c r="C162" s="28" t="s">
        <v>2052</v>
      </c>
      <c r="D162" s="28" t="s">
        <v>2053</v>
      </c>
      <c r="E162" s="28">
        <v>0.43459999999999999</v>
      </c>
      <c r="F162" s="28">
        <v>71.584699999999998</v>
      </c>
      <c r="G162" s="28">
        <v>340</v>
      </c>
      <c r="H162" s="28">
        <v>0.90769999999999995</v>
      </c>
      <c r="I162">
        <v>0.47639999999999999</v>
      </c>
      <c r="J162" s="28">
        <v>78.294899999999998</v>
      </c>
      <c r="K162" s="28">
        <v>387</v>
      </c>
      <c r="L162" s="28">
        <v>2021</v>
      </c>
    </row>
    <row r="163" spans="3:12" x14ac:dyDescent="0.25">
      <c r="C163" s="28" t="s">
        <v>2052</v>
      </c>
      <c r="D163" s="28" t="s">
        <v>2053</v>
      </c>
      <c r="E163" s="28">
        <v>0.4395</v>
      </c>
      <c r="F163" s="28">
        <v>71.584699999999998</v>
      </c>
      <c r="G163" s="28">
        <v>329</v>
      </c>
      <c r="H163" s="28">
        <v>0.91290000000000004</v>
      </c>
      <c r="I163">
        <v>0.48420000000000002</v>
      </c>
      <c r="J163" s="28">
        <v>78.294899999999998</v>
      </c>
      <c r="K163" s="28">
        <v>371</v>
      </c>
      <c r="L163" s="28">
        <v>2022</v>
      </c>
    </row>
    <row r="164" spans="3:12" x14ac:dyDescent="0.25">
      <c r="C164" s="28" t="s">
        <v>2052</v>
      </c>
      <c r="D164" s="28" t="s">
        <v>2053</v>
      </c>
      <c r="E164" s="28">
        <v>0.44790000000000002</v>
      </c>
      <c r="F164" s="28">
        <v>71.584699999999998</v>
      </c>
      <c r="G164" s="28">
        <v>316</v>
      </c>
      <c r="H164" s="28">
        <v>0.9173</v>
      </c>
      <c r="I164">
        <v>0.49109999999999998</v>
      </c>
      <c r="J164" s="28">
        <v>78.294899999999998</v>
      </c>
      <c r="K164" s="28">
        <v>358</v>
      </c>
      <c r="L164" s="28">
        <v>2023</v>
      </c>
    </row>
    <row r="165" spans="3:12" x14ac:dyDescent="0.25">
      <c r="C165" s="28" t="s">
        <v>2054</v>
      </c>
      <c r="D165" s="28" t="s">
        <v>2055</v>
      </c>
      <c r="E165" s="28">
        <v>0.52149999999999996</v>
      </c>
      <c r="F165" s="28">
        <v>144.56489999999999</v>
      </c>
      <c r="G165" s="28">
        <v>216</v>
      </c>
      <c r="H165" s="28">
        <v>0.98780000000000001</v>
      </c>
      <c r="I165">
        <v>0.47020000000000001</v>
      </c>
      <c r="J165" s="28">
        <v>96.068100000000001</v>
      </c>
      <c r="K165" s="28">
        <v>21</v>
      </c>
      <c r="L165" s="28">
        <v>2019</v>
      </c>
    </row>
    <row r="166" spans="3:12" x14ac:dyDescent="0.25">
      <c r="C166" s="28" t="s">
        <v>2054</v>
      </c>
      <c r="D166" s="28" t="s">
        <v>2055</v>
      </c>
      <c r="E166" s="28">
        <v>0.52669999999999995</v>
      </c>
      <c r="F166" s="28">
        <v>144.56489999999999</v>
      </c>
      <c r="G166" s="28">
        <v>211</v>
      </c>
      <c r="H166" s="28">
        <v>0.98899999999999999</v>
      </c>
      <c r="I166">
        <v>0.47610000000000002</v>
      </c>
      <c r="J166" s="28">
        <v>96.068100000000001</v>
      </c>
      <c r="K166" s="28">
        <v>19</v>
      </c>
      <c r="L166" s="28">
        <v>2020</v>
      </c>
    </row>
    <row r="167" spans="3:12" x14ac:dyDescent="0.25">
      <c r="C167" s="28" t="s">
        <v>2054</v>
      </c>
      <c r="D167" s="28" t="s">
        <v>2055</v>
      </c>
      <c r="E167" s="28">
        <v>0.53259999999999996</v>
      </c>
      <c r="F167" s="28">
        <v>144.56489999999999</v>
      </c>
      <c r="G167" s="28">
        <v>204</v>
      </c>
      <c r="H167" s="28">
        <v>0.99080000000000001</v>
      </c>
      <c r="I167">
        <v>0.48259999999999997</v>
      </c>
      <c r="J167" s="28">
        <v>96.068100000000001</v>
      </c>
      <c r="K167" s="28">
        <v>15</v>
      </c>
      <c r="L167" s="28">
        <v>2021</v>
      </c>
    </row>
    <row r="168" spans="3:12" x14ac:dyDescent="0.25">
      <c r="C168" s="28" t="s">
        <v>2054</v>
      </c>
      <c r="D168" s="28" t="s">
        <v>2055</v>
      </c>
      <c r="E168" s="28">
        <v>0.5413</v>
      </c>
      <c r="F168" s="28">
        <v>144.56489999999999</v>
      </c>
      <c r="G168" s="28">
        <v>187</v>
      </c>
      <c r="H168" s="28">
        <v>0.99309999999999998</v>
      </c>
      <c r="I168">
        <v>0.48859999999999998</v>
      </c>
      <c r="J168" s="28">
        <v>96.068100000000001</v>
      </c>
      <c r="K168" s="28">
        <v>12</v>
      </c>
      <c r="L168" s="28">
        <v>2022</v>
      </c>
    </row>
    <row r="169" spans="3:12" x14ac:dyDescent="0.25">
      <c r="C169" s="28" t="s">
        <v>2054</v>
      </c>
      <c r="D169" s="28" t="s">
        <v>2055</v>
      </c>
      <c r="E169" s="28">
        <v>0.55779999999999996</v>
      </c>
      <c r="F169" s="28">
        <v>144.56489999999999</v>
      </c>
      <c r="G169" s="28">
        <v>166</v>
      </c>
      <c r="H169" s="28">
        <v>0.99419999999999997</v>
      </c>
      <c r="I169">
        <v>0.49659999999999999</v>
      </c>
      <c r="J169" s="28">
        <v>96.068100000000001</v>
      </c>
      <c r="K169" s="28">
        <v>11</v>
      </c>
      <c r="L169" s="28">
        <v>2023</v>
      </c>
    </row>
    <row r="170" spans="3:12" x14ac:dyDescent="0.25">
      <c r="C170" s="28" t="s">
        <v>2056</v>
      </c>
      <c r="D170" s="28" t="s">
        <v>2057</v>
      </c>
      <c r="E170" s="28">
        <v>0.39400000000000002</v>
      </c>
      <c r="F170" s="28">
        <v>62.045099999999998</v>
      </c>
      <c r="G170" s="28">
        <v>402</v>
      </c>
      <c r="H170" s="28">
        <v>0.93540000000000001</v>
      </c>
      <c r="I170">
        <v>0.34610000000000002</v>
      </c>
      <c r="J170" s="28">
        <v>64.014799999999994</v>
      </c>
      <c r="K170" s="28">
        <v>283</v>
      </c>
      <c r="L170" s="28">
        <v>2019</v>
      </c>
    </row>
    <row r="171" spans="3:12" x14ac:dyDescent="0.25">
      <c r="C171" s="28" t="s">
        <v>2056</v>
      </c>
      <c r="D171" s="28" t="s">
        <v>2057</v>
      </c>
      <c r="E171" s="28">
        <v>0.39889999999999998</v>
      </c>
      <c r="F171" s="28">
        <v>62.045099999999998</v>
      </c>
      <c r="G171" s="28">
        <v>391</v>
      </c>
      <c r="H171" s="28">
        <v>0.93830000000000002</v>
      </c>
      <c r="I171">
        <v>0.3533</v>
      </c>
      <c r="J171" s="28">
        <v>64.014799999999994</v>
      </c>
      <c r="K171" s="28">
        <v>265</v>
      </c>
      <c r="L171" s="28">
        <v>2020</v>
      </c>
    </row>
    <row r="172" spans="3:12" x14ac:dyDescent="0.25">
      <c r="C172" s="28" t="s">
        <v>2056</v>
      </c>
      <c r="D172" s="28" t="s">
        <v>2057</v>
      </c>
      <c r="E172" s="28">
        <v>0.4042</v>
      </c>
      <c r="F172" s="28">
        <v>62.045099999999998</v>
      </c>
      <c r="G172" s="28">
        <v>385</v>
      </c>
      <c r="H172" s="28">
        <v>0.9405</v>
      </c>
      <c r="I172">
        <v>0.36030000000000001</v>
      </c>
      <c r="J172" s="28">
        <v>64.014799999999994</v>
      </c>
      <c r="K172" s="28">
        <v>256</v>
      </c>
      <c r="L172" s="28">
        <v>2021</v>
      </c>
    </row>
    <row r="173" spans="3:12" x14ac:dyDescent="0.25">
      <c r="C173" s="28" t="s">
        <v>2056</v>
      </c>
      <c r="D173" s="28" t="s">
        <v>2057</v>
      </c>
      <c r="E173" s="28">
        <v>0.4118</v>
      </c>
      <c r="F173" s="28">
        <v>62.045099999999998</v>
      </c>
      <c r="G173" s="28">
        <v>375</v>
      </c>
      <c r="H173" s="28">
        <v>0.94340000000000002</v>
      </c>
      <c r="I173">
        <v>0.36820000000000003</v>
      </c>
      <c r="J173" s="28">
        <v>64.014799999999994</v>
      </c>
      <c r="K173" s="28">
        <v>244</v>
      </c>
      <c r="L173" s="28">
        <v>2022</v>
      </c>
    </row>
    <row r="174" spans="3:12" x14ac:dyDescent="0.25">
      <c r="C174" s="28" t="s">
        <v>2056</v>
      </c>
      <c r="D174" s="28" t="s">
        <v>2057</v>
      </c>
      <c r="E174" s="28">
        <v>0.4199</v>
      </c>
      <c r="F174" s="28">
        <v>62.045099999999998</v>
      </c>
      <c r="G174" s="28">
        <v>365</v>
      </c>
      <c r="H174" s="28">
        <v>0.94720000000000004</v>
      </c>
      <c r="I174">
        <v>0.37669999999999998</v>
      </c>
      <c r="J174" s="28">
        <v>64.014799999999994</v>
      </c>
      <c r="K174" s="28">
        <v>225</v>
      </c>
      <c r="L174" s="28">
        <v>2023</v>
      </c>
    </row>
    <row r="175" spans="3:12" x14ac:dyDescent="0.25">
      <c r="C175" s="28" t="s">
        <v>2058</v>
      </c>
      <c r="D175" s="28" t="s">
        <v>2059</v>
      </c>
      <c r="E175" s="28">
        <v>0.4214</v>
      </c>
      <c r="F175" s="28">
        <v>40.596600000000002</v>
      </c>
      <c r="G175" s="28">
        <v>363</v>
      </c>
      <c r="H175" s="28">
        <v>0.95799999999999996</v>
      </c>
      <c r="I175">
        <v>0.4345</v>
      </c>
      <c r="J175" s="28">
        <v>38.742800000000003</v>
      </c>
      <c r="K175" s="28">
        <v>182</v>
      </c>
      <c r="L175" s="28">
        <v>2019</v>
      </c>
    </row>
    <row r="176" spans="3:12" x14ac:dyDescent="0.25">
      <c r="C176" s="28" t="s">
        <v>2058</v>
      </c>
      <c r="D176" s="28" t="s">
        <v>2059</v>
      </c>
      <c r="E176" s="28">
        <v>0.42799999999999999</v>
      </c>
      <c r="F176" s="28">
        <v>40.596600000000002</v>
      </c>
      <c r="G176" s="28">
        <v>352</v>
      </c>
      <c r="H176" s="28">
        <v>0.96399999999999997</v>
      </c>
      <c r="I176">
        <v>0.44490000000000002</v>
      </c>
      <c r="J176" s="28">
        <v>38.742800000000003</v>
      </c>
      <c r="K176" s="28">
        <v>151</v>
      </c>
      <c r="L176" s="28">
        <v>2020</v>
      </c>
    </row>
    <row r="177" spans="3:12" x14ac:dyDescent="0.25">
      <c r="C177" s="28" t="s">
        <v>2058</v>
      </c>
      <c r="D177" s="28" t="s">
        <v>2059</v>
      </c>
      <c r="E177" s="28">
        <v>0.43580000000000002</v>
      </c>
      <c r="F177" s="28">
        <v>40.596600000000002</v>
      </c>
      <c r="G177" s="28">
        <v>336</v>
      </c>
      <c r="H177" s="28">
        <v>0.9667</v>
      </c>
      <c r="I177">
        <v>0.45269999999999999</v>
      </c>
      <c r="J177" s="28">
        <v>38.742800000000003</v>
      </c>
      <c r="K177" s="28">
        <v>132</v>
      </c>
      <c r="L177" s="28">
        <v>2021</v>
      </c>
    </row>
    <row r="178" spans="3:12" x14ac:dyDescent="0.25">
      <c r="C178" s="28" t="s">
        <v>2058</v>
      </c>
      <c r="D178" s="28" t="s">
        <v>2059</v>
      </c>
      <c r="E178" s="28">
        <v>0.44190000000000002</v>
      </c>
      <c r="F178" s="28">
        <v>40.596600000000002</v>
      </c>
      <c r="G178" s="28">
        <v>326</v>
      </c>
      <c r="H178" s="28">
        <v>0.96909999999999996</v>
      </c>
      <c r="I178">
        <v>0.46039999999999998</v>
      </c>
      <c r="J178" s="28">
        <v>38.742800000000003</v>
      </c>
      <c r="K178" s="28">
        <v>110</v>
      </c>
      <c r="L178" s="28">
        <v>2022</v>
      </c>
    </row>
    <row r="179" spans="3:12" x14ac:dyDescent="0.25">
      <c r="C179" s="28" t="s">
        <v>2058</v>
      </c>
      <c r="D179" s="28" t="s">
        <v>2059</v>
      </c>
      <c r="E179" s="28">
        <v>0.44929999999999998</v>
      </c>
      <c r="F179" s="28">
        <v>40.596600000000002</v>
      </c>
      <c r="G179" s="28">
        <v>312</v>
      </c>
      <c r="H179" s="28">
        <v>0.97960000000000003</v>
      </c>
      <c r="I179">
        <v>0.46899999999999997</v>
      </c>
      <c r="J179" s="28">
        <v>38.742800000000003</v>
      </c>
      <c r="K179" s="28">
        <v>48</v>
      </c>
      <c r="L179" s="28">
        <v>2023</v>
      </c>
    </row>
    <row r="180" spans="3:12" x14ac:dyDescent="0.25">
      <c r="C180" s="28" t="s">
        <v>2060</v>
      </c>
      <c r="D180" s="28" t="s">
        <v>2061</v>
      </c>
      <c r="E180" s="28">
        <v>0.68559999999999999</v>
      </c>
      <c r="F180" s="28">
        <v>44.229900000000001</v>
      </c>
      <c r="G180" s="28">
        <v>83</v>
      </c>
      <c r="H180" s="28">
        <v>0.94689999999999996</v>
      </c>
      <c r="I180">
        <v>0.56110000000000004</v>
      </c>
      <c r="J180" s="28">
        <v>40.142600000000002</v>
      </c>
      <c r="K180" s="28">
        <v>226</v>
      </c>
      <c r="L180" s="28">
        <v>2019</v>
      </c>
    </row>
    <row r="181" spans="3:12" x14ac:dyDescent="0.25">
      <c r="C181" s="28" t="s">
        <v>2060</v>
      </c>
      <c r="D181" s="28" t="s">
        <v>2061</v>
      </c>
      <c r="E181" s="28">
        <v>0.6905</v>
      </c>
      <c r="F181" s="28">
        <v>44.229900000000001</v>
      </c>
      <c r="G181" s="28">
        <v>81</v>
      </c>
      <c r="H181" s="28">
        <v>0.95099999999999996</v>
      </c>
      <c r="I181">
        <v>0.57320000000000004</v>
      </c>
      <c r="J181" s="28">
        <v>40.142600000000002</v>
      </c>
      <c r="K181" s="28">
        <v>210</v>
      </c>
      <c r="L181" s="28">
        <v>2020</v>
      </c>
    </row>
    <row r="182" spans="3:12" x14ac:dyDescent="0.25">
      <c r="C182" s="28" t="s">
        <v>2060</v>
      </c>
      <c r="D182" s="28" t="s">
        <v>2061</v>
      </c>
      <c r="E182" s="28">
        <v>0.70189999999999997</v>
      </c>
      <c r="F182" s="28">
        <v>44.229900000000001</v>
      </c>
      <c r="G182" s="28">
        <v>74</v>
      </c>
      <c r="H182" s="28">
        <v>0.95469999999999999</v>
      </c>
      <c r="I182">
        <v>0.58389999999999997</v>
      </c>
      <c r="J182" s="28">
        <v>40.142600000000002</v>
      </c>
      <c r="K182" s="28">
        <v>195</v>
      </c>
      <c r="L182" s="28">
        <v>2021</v>
      </c>
    </row>
    <row r="183" spans="3:12" x14ac:dyDescent="0.25">
      <c r="C183" s="28" t="s">
        <v>2060</v>
      </c>
      <c r="D183" s="28" t="s">
        <v>2061</v>
      </c>
      <c r="E183" s="28">
        <v>0.70550000000000002</v>
      </c>
      <c r="F183" s="28">
        <v>44.229900000000001</v>
      </c>
      <c r="G183" s="28">
        <v>71</v>
      </c>
      <c r="H183" s="28">
        <v>0.96609999999999996</v>
      </c>
      <c r="I183">
        <v>0.59670000000000001</v>
      </c>
      <c r="J183" s="28">
        <v>40.142600000000002</v>
      </c>
      <c r="K183" s="28">
        <v>136</v>
      </c>
      <c r="L183" s="28">
        <v>2022</v>
      </c>
    </row>
    <row r="184" spans="3:12" x14ac:dyDescent="0.25">
      <c r="C184" s="28" t="s">
        <v>2060</v>
      </c>
      <c r="D184" s="28" t="s">
        <v>2061</v>
      </c>
      <c r="E184" s="28">
        <v>0.71150000000000002</v>
      </c>
      <c r="F184" s="28">
        <v>44.229900000000001</v>
      </c>
      <c r="G184" s="28">
        <v>67</v>
      </c>
      <c r="H184" s="28">
        <v>0.96940000000000004</v>
      </c>
      <c r="I184">
        <v>0.60460000000000003</v>
      </c>
      <c r="J184" s="28">
        <v>40.142600000000002</v>
      </c>
      <c r="K184" s="28">
        <v>107</v>
      </c>
      <c r="L184" s="28">
        <v>2023</v>
      </c>
    </row>
    <row r="185" spans="3:12" x14ac:dyDescent="0.25">
      <c r="C185" s="28" t="s">
        <v>2062</v>
      </c>
      <c r="D185" s="28" t="s">
        <v>2063</v>
      </c>
      <c r="E185" s="28">
        <v>0.46150000000000002</v>
      </c>
      <c r="F185" s="28">
        <v>42.077800000000003</v>
      </c>
      <c r="G185" s="28">
        <v>292</v>
      </c>
      <c r="H185" s="28">
        <v>0.87749999999999995</v>
      </c>
      <c r="I185">
        <v>0.41980000000000001</v>
      </c>
      <c r="J185" s="28">
        <v>55.599499999999999</v>
      </c>
      <c r="K185" s="28">
        <v>438</v>
      </c>
      <c r="L185" s="28">
        <v>2019</v>
      </c>
    </row>
    <row r="186" spans="3:12" x14ac:dyDescent="0.25">
      <c r="C186" s="28" t="s">
        <v>2062</v>
      </c>
      <c r="D186" s="28" t="s">
        <v>2063</v>
      </c>
      <c r="E186" s="28">
        <v>0.46700000000000003</v>
      </c>
      <c r="F186" s="28">
        <v>42.077800000000003</v>
      </c>
      <c r="G186" s="28">
        <v>281</v>
      </c>
      <c r="H186" s="28">
        <v>0.88800000000000001</v>
      </c>
      <c r="I186">
        <v>0.43090000000000001</v>
      </c>
      <c r="J186" s="28">
        <v>55.599499999999999</v>
      </c>
      <c r="K186" s="28">
        <v>425</v>
      </c>
      <c r="L186" s="28">
        <v>2020</v>
      </c>
    </row>
    <row r="187" spans="3:12" x14ac:dyDescent="0.25">
      <c r="C187" s="28" t="s">
        <v>2062</v>
      </c>
      <c r="D187" s="28" t="s">
        <v>2063</v>
      </c>
      <c r="E187" s="28">
        <v>0.47449999999999998</v>
      </c>
      <c r="F187" s="28">
        <v>42.077800000000003</v>
      </c>
      <c r="G187" s="28">
        <v>267</v>
      </c>
      <c r="H187" s="28">
        <v>0.89529999999999998</v>
      </c>
      <c r="I187">
        <v>0.44190000000000002</v>
      </c>
      <c r="J187" s="28">
        <v>55.599499999999999</v>
      </c>
      <c r="K187" s="28">
        <v>412</v>
      </c>
      <c r="L187" s="28">
        <v>2021</v>
      </c>
    </row>
    <row r="188" spans="3:12" x14ac:dyDescent="0.25">
      <c r="C188" s="28" t="s">
        <v>2062</v>
      </c>
      <c r="D188" s="28" t="s">
        <v>2063</v>
      </c>
      <c r="E188" s="28">
        <v>0.47860000000000003</v>
      </c>
      <c r="F188" s="28">
        <v>42.077800000000003</v>
      </c>
      <c r="G188" s="28">
        <v>260</v>
      </c>
      <c r="H188" s="28">
        <v>0.90200000000000002</v>
      </c>
      <c r="I188">
        <v>0.45119999999999999</v>
      </c>
      <c r="J188" s="28">
        <v>55.599499999999999</v>
      </c>
      <c r="K188" s="28">
        <v>399</v>
      </c>
      <c r="L188" s="28">
        <v>2022</v>
      </c>
    </row>
    <row r="189" spans="3:12" x14ac:dyDescent="0.25">
      <c r="C189" s="28" t="s">
        <v>2062</v>
      </c>
      <c r="D189" s="28" t="s">
        <v>2063</v>
      </c>
      <c r="E189" s="28">
        <v>0.48220000000000002</v>
      </c>
      <c r="F189" s="28">
        <v>42.077800000000003</v>
      </c>
      <c r="G189" s="28">
        <v>257</v>
      </c>
      <c r="H189" s="28">
        <v>0.90739999999999998</v>
      </c>
      <c r="I189">
        <v>0.4592</v>
      </c>
      <c r="J189" s="28">
        <v>55.599499999999999</v>
      </c>
      <c r="K189" s="28">
        <v>389</v>
      </c>
      <c r="L189" s="28">
        <v>2023</v>
      </c>
    </row>
    <row r="190" spans="3:12" x14ac:dyDescent="0.25">
      <c r="C190" s="28" t="s">
        <v>2064</v>
      </c>
      <c r="D190" s="28" t="s">
        <v>2065</v>
      </c>
      <c r="E190" s="28">
        <v>0.42720000000000002</v>
      </c>
      <c r="F190" s="28">
        <v>110.9374</v>
      </c>
      <c r="G190" s="28">
        <v>354</v>
      </c>
      <c r="H190" s="28">
        <v>0.94520000000000004</v>
      </c>
      <c r="I190">
        <v>0.40060000000000001</v>
      </c>
      <c r="J190" s="28">
        <v>77.643699999999995</v>
      </c>
      <c r="K190" s="28">
        <v>235</v>
      </c>
      <c r="L190" s="28">
        <v>2019</v>
      </c>
    </row>
    <row r="191" spans="3:12" x14ac:dyDescent="0.25">
      <c r="C191" s="28" t="s">
        <v>2064</v>
      </c>
      <c r="D191" s="28" t="s">
        <v>2065</v>
      </c>
      <c r="E191" s="28">
        <v>0.4299</v>
      </c>
      <c r="F191" s="28">
        <v>110.9374</v>
      </c>
      <c r="G191" s="28">
        <v>347</v>
      </c>
      <c r="H191" s="28">
        <v>0.94840000000000002</v>
      </c>
      <c r="I191">
        <v>0.40579999999999999</v>
      </c>
      <c r="J191" s="28">
        <v>77.643699999999995</v>
      </c>
      <c r="K191" s="28">
        <v>217</v>
      </c>
      <c r="L191" s="28">
        <v>2020</v>
      </c>
    </row>
    <row r="192" spans="3:12" x14ac:dyDescent="0.25">
      <c r="C192" s="28" t="s">
        <v>2064</v>
      </c>
      <c r="D192" s="28" t="s">
        <v>2065</v>
      </c>
      <c r="E192" s="28">
        <v>0.43180000000000002</v>
      </c>
      <c r="F192" s="28">
        <v>110.9374</v>
      </c>
      <c r="G192" s="28">
        <v>344</v>
      </c>
      <c r="H192" s="28">
        <v>0.9536</v>
      </c>
      <c r="I192">
        <v>0.41199999999999998</v>
      </c>
      <c r="J192" s="28">
        <v>77.643699999999995</v>
      </c>
      <c r="K192" s="28">
        <v>199</v>
      </c>
      <c r="L192" s="28">
        <v>2021</v>
      </c>
    </row>
    <row r="193" spans="3:12" x14ac:dyDescent="0.25">
      <c r="C193" s="28" t="s">
        <v>2064</v>
      </c>
      <c r="D193" s="28" t="s">
        <v>2065</v>
      </c>
      <c r="E193" s="28">
        <v>0.43480000000000002</v>
      </c>
      <c r="F193" s="28">
        <v>110.9374</v>
      </c>
      <c r="G193" s="28">
        <v>339</v>
      </c>
      <c r="H193" s="28">
        <v>0.95779999999999998</v>
      </c>
      <c r="I193">
        <v>0.41870000000000002</v>
      </c>
      <c r="J193" s="28">
        <v>77.643699999999995</v>
      </c>
      <c r="K193" s="28">
        <v>183</v>
      </c>
      <c r="L193" s="28">
        <v>2022</v>
      </c>
    </row>
    <row r="194" spans="3:12" x14ac:dyDescent="0.25">
      <c r="C194" s="28" t="s">
        <v>2064</v>
      </c>
      <c r="D194" s="28" t="s">
        <v>2065</v>
      </c>
      <c r="E194" s="28">
        <v>0.44069999999999998</v>
      </c>
      <c r="F194" s="28">
        <v>110.9374</v>
      </c>
      <c r="G194" s="28">
        <v>327</v>
      </c>
      <c r="H194" s="28">
        <v>0.96109999999999995</v>
      </c>
      <c r="I194">
        <v>0.42599999999999999</v>
      </c>
      <c r="J194" s="28">
        <v>77.643699999999995</v>
      </c>
      <c r="K194" s="28">
        <v>167</v>
      </c>
      <c r="L194" s="28">
        <v>2023</v>
      </c>
    </row>
    <row r="195" spans="3:12" x14ac:dyDescent="0.25">
      <c r="C195" s="28" t="s">
        <v>2066</v>
      </c>
      <c r="D195" s="28" t="s">
        <v>2067</v>
      </c>
      <c r="E195" s="28">
        <v>0.5585</v>
      </c>
      <c r="F195" s="28">
        <v>45.685000000000002</v>
      </c>
      <c r="G195" s="28">
        <v>165</v>
      </c>
      <c r="H195" s="28">
        <v>0.97809999999999997</v>
      </c>
      <c r="I195">
        <v>0.39850000000000002</v>
      </c>
      <c r="J195" s="28">
        <v>39.6982</v>
      </c>
      <c r="K195" s="28">
        <v>54</v>
      </c>
      <c r="L195" s="28">
        <v>2019</v>
      </c>
    </row>
    <row r="196" spans="3:12" x14ac:dyDescent="0.25">
      <c r="C196" s="28" t="s">
        <v>2066</v>
      </c>
      <c r="D196" s="28" t="s">
        <v>2067</v>
      </c>
      <c r="E196" s="28">
        <v>0.56289999999999996</v>
      </c>
      <c r="F196" s="28">
        <v>45.685000000000002</v>
      </c>
      <c r="G196" s="28">
        <v>160</v>
      </c>
      <c r="H196" s="28">
        <v>0.98009999999999997</v>
      </c>
      <c r="I196">
        <v>0.4088</v>
      </c>
      <c r="J196" s="28">
        <v>39.6982</v>
      </c>
      <c r="K196" s="28">
        <v>46</v>
      </c>
      <c r="L196" s="28">
        <v>2020</v>
      </c>
    </row>
    <row r="197" spans="3:12" x14ac:dyDescent="0.25">
      <c r="C197" s="28" t="s">
        <v>2066</v>
      </c>
      <c r="D197" s="28" t="s">
        <v>2067</v>
      </c>
      <c r="E197" s="28">
        <v>0.5756</v>
      </c>
      <c r="F197" s="28">
        <v>45.685000000000002</v>
      </c>
      <c r="G197" s="28">
        <v>151</v>
      </c>
      <c r="H197" s="28">
        <v>0.98140000000000005</v>
      </c>
      <c r="I197">
        <v>0.4214</v>
      </c>
      <c r="J197" s="28">
        <v>39.6982</v>
      </c>
      <c r="K197" s="28">
        <v>38</v>
      </c>
      <c r="L197" s="28">
        <v>2021</v>
      </c>
    </row>
    <row r="198" spans="3:12" x14ac:dyDescent="0.25">
      <c r="C198" s="28" t="s">
        <v>2066</v>
      </c>
      <c r="D198" s="28" t="s">
        <v>2067</v>
      </c>
      <c r="E198" s="28">
        <v>0.58350000000000002</v>
      </c>
      <c r="F198" s="28">
        <v>45.685000000000002</v>
      </c>
      <c r="G198" s="28">
        <v>150</v>
      </c>
      <c r="H198" s="28">
        <v>0.98629999999999995</v>
      </c>
      <c r="I198">
        <v>0.43120000000000003</v>
      </c>
      <c r="J198" s="28">
        <v>39.6982</v>
      </c>
      <c r="K198" s="28">
        <v>25</v>
      </c>
      <c r="L198" s="28">
        <v>2022</v>
      </c>
    </row>
    <row r="199" spans="3:12" x14ac:dyDescent="0.25">
      <c r="C199" s="28" t="s">
        <v>2066</v>
      </c>
      <c r="D199" s="28" t="s">
        <v>2067</v>
      </c>
      <c r="E199" s="28">
        <v>0.59279999999999999</v>
      </c>
      <c r="F199" s="28">
        <v>45.685000000000002</v>
      </c>
      <c r="G199" s="28">
        <v>147</v>
      </c>
      <c r="H199" s="28">
        <v>0.98750000000000004</v>
      </c>
      <c r="I199">
        <v>0.44319999999999998</v>
      </c>
      <c r="J199" s="28">
        <v>39.6982</v>
      </c>
      <c r="K199" s="28">
        <v>22</v>
      </c>
      <c r="L199" s="28">
        <v>2023</v>
      </c>
    </row>
    <row r="200" spans="3:12" x14ac:dyDescent="0.25">
      <c r="C200" s="28" t="s">
        <v>2068</v>
      </c>
      <c r="D200" s="28" t="s">
        <v>2069</v>
      </c>
      <c r="E200" s="28">
        <v>0.46350000000000002</v>
      </c>
      <c r="F200" s="28">
        <v>116.61669999999999</v>
      </c>
      <c r="G200" s="28">
        <v>288</v>
      </c>
      <c r="H200" s="28">
        <v>0.89</v>
      </c>
      <c r="I200">
        <v>0.52300000000000002</v>
      </c>
      <c r="J200" s="28">
        <v>98.849299999999999</v>
      </c>
      <c r="K200" s="28">
        <v>420</v>
      </c>
      <c r="L200" s="28">
        <v>2019</v>
      </c>
    </row>
    <row r="201" spans="3:12" x14ac:dyDescent="0.25">
      <c r="C201" s="28" t="s">
        <v>2068</v>
      </c>
      <c r="D201" s="28" t="s">
        <v>2069</v>
      </c>
      <c r="E201" s="28">
        <v>0.4703</v>
      </c>
      <c r="F201" s="28">
        <v>116.61669999999999</v>
      </c>
      <c r="G201" s="28">
        <v>275</v>
      </c>
      <c r="H201" s="28">
        <v>0.89580000000000004</v>
      </c>
      <c r="I201">
        <v>0.5302</v>
      </c>
      <c r="J201" s="28">
        <v>98.849299999999999</v>
      </c>
      <c r="K201" s="28">
        <v>411</v>
      </c>
      <c r="L201" s="28">
        <v>2020</v>
      </c>
    </row>
    <row r="202" spans="3:12" x14ac:dyDescent="0.25">
      <c r="C202" s="28" t="s">
        <v>2068</v>
      </c>
      <c r="D202" s="28" t="s">
        <v>2069</v>
      </c>
      <c r="E202" s="28">
        <v>0.4763</v>
      </c>
      <c r="F202" s="28">
        <v>116.61669999999999</v>
      </c>
      <c r="G202" s="28">
        <v>262</v>
      </c>
      <c r="H202" s="28">
        <v>0.90100000000000002</v>
      </c>
      <c r="I202">
        <v>0.53680000000000005</v>
      </c>
      <c r="J202" s="28">
        <v>98.849299999999999</v>
      </c>
      <c r="K202" s="28">
        <v>402</v>
      </c>
      <c r="L202" s="28">
        <v>2021</v>
      </c>
    </row>
    <row r="203" spans="3:12" x14ac:dyDescent="0.25">
      <c r="C203" s="28" t="s">
        <v>2068</v>
      </c>
      <c r="D203" s="28" t="s">
        <v>2069</v>
      </c>
      <c r="E203" s="28">
        <v>0.4824</v>
      </c>
      <c r="F203" s="28">
        <v>116.61669999999999</v>
      </c>
      <c r="G203" s="28">
        <v>255</v>
      </c>
      <c r="H203" s="28">
        <v>0.90759999999999996</v>
      </c>
      <c r="I203">
        <v>0.54369999999999996</v>
      </c>
      <c r="J203" s="28">
        <v>98.849299999999999</v>
      </c>
      <c r="K203" s="28">
        <v>388</v>
      </c>
      <c r="L203" s="28">
        <v>2022</v>
      </c>
    </row>
    <row r="204" spans="3:12" x14ac:dyDescent="0.25">
      <c r="C204" s="28" t="s">
        <v>2068</v>
      </c>
      <c r="D204" s="28" t="s">
        <v>2069</v>
      </c>
      <c r="E204" s="28">
        <v>0.48849999999999999</v>
      </c>
      <c r="F204" s="28">
        <v>116.61669999999999</v>
      </c>
      <c r="G204" s="28">
        <v>250</v>
      </c>
      <c r="H204" s="28">
        <v>0.91490000000000005</v>
      </c>
      <c r="I204">
        <v>0.55059999999999998</v>
      </c>
      <c r="J204" s="28">
        <v>98.849299999999999</v>
      </c>
      <c r="K204" s="28">
        <v>364</v>
      </c>
      <c r="L204" s="28">
        <v>2023</v>
      </c>
    </row>
    <row r="205" spans="3:12" x14ac:dyDescent="0.25">
      <c r="C205" s="28" t="s">
        <v>2070</v>
      </c>
      <c r="D205" s="28" t="s">
        <v>2071</v>
      </c>
      <c r="E205" s="28">
        <v>0.49780000000000002</v>
      </c>
      <c r="F205" s="28">
        <v>86.909700000000001</v>
      </c>
      <c r="G205" s="28">
        <v>245</v>
      </c>
      <c r="H205" s="28">
        <v>0.92749999999999999</v>
      </c>
      <c r="I205">
        <v>0.48249999999999998</v>
      </c>
      <c r="J205" s="28">
        <v>94.284400000000005</v>
      </c>
      <c r="K205" s="28">
        <v>320</v>
      </c>
      <c r="L205" s="28">
        <v>2019</v>
      </c>
    </row>
    <row r="206" spans="3:12" x14ac:dyDescent="0.25">
      <c r="C206" s="28" t="s">
        <v>2070</v>
      </c>
      <c r="D206" s="28" t="s">
        <v>2071</v>
      </c>
      <c r="E206" s="28">
        <v>0.50280000000000002</v>
      </c>
      <c r="F206" s="28">
        <v>86.909700000000001</v>
      </c>
      <c r="G206" s="28">
        <v>241</v>
      </c>
      <c r="H206" s="28">
        <v>0.92989999999999995</v>
      </c>
      <c r="I206">
        <v>0.48899999999999999</v>
      </c>
      <c r="J206" s="28">
        <v>94.284400000000005</v>
      </c>
      <c r="K206" s="28">
        <v>309</v>
      </c>
      <c r="L206" s="28">
        <v>2020</v>
      </c>
    </row>
    <row r="207" spans="3:12" x14ac:dyDescent="0.25">
      <c r="C207" s="28" t="s">
        <v>2070</v>
      </c>
      <c r="D207" s="28" t="s">
        <v>2071</v>
      </c>
      <c r="E207" s="28">
        <v>0.50829999999999997</v>
      </c>
      <c r="F207" s="28">
        <v>86.909700000000001</v>
      </c>
      <c r="G207" s="28">
        <v>236</v>
      </c>
      <c r="H207" s="28">
        <v>0.9325</v>
      </c>
      <c r="I207">
        <v>0.4945</v>
      </c>
      <c r="J207" s="28">
        <v>94.284400000000005</v>
      </c>
      <c r="K207" s="28">
        <v>298</v>
      </c>
      <c r="L207" s="28">
        <v>2021</v>
      </c>
    </row>
    <row r="208" spans="3:12" x14ac:dyDescent="0.25">
      <c r="C208" s="28" t="s">
        <v>2070</v>
      </c>
      <c r="D208" s="28" t="s">
        <v>2071</v>
      </c>
      <c r="E208" s="28">
        <v>0.51470000000000005</v>
      </c>
      <c r="F208" s="28">
        <v>86.909700000000001</v>
      </c>
      <c r="G208" s="28">
        <v>229</v>
      </c>
      <c r="H208" s="28">
        <v>0.93440000000000001</v>
      </c>
      <c r="I208">
        <v>0.49980000000000002</v>
      </c>
      <c r="J208" s="28">
        <v>94.284400000000005</v>
      </c>
      <c r="K208" s="28">
        <v>291</v>
      </c>
      <c r="L208" s="28">
        <v>2022</v>
      </c>
    </row>
    <row r="209" spans="3:12" x14ac:dyDescent="0.25">
      <c r="C209" s="28" t="s">
        <v>2070</v>
      </c>
      <c r="D209" s="28" t="s">
        <v>2071</v>
      </c>
      <c r="E209" s="28">
        <v>0.52049999999999996</v>
      </c>
      <c r="F209" s="28">
        <v>86.909700000000001</v>
      </c>
      <c r="G209" s="28">
        <v>218</v>
      </c>
      <c r="H209" s="28">
        <v>0.93720000000000003</v>
      </c>
      <c r="I209">
        <v>0.50590000000000002</v>
      </c>
      <c r="J209" s="28">
        <v>94.284400000000005</v>
      </c>
      <c r="K209" s="28">
        <v>274</v>
      </c>
      <c r="L209" s="28">
        <v>2023</v>
      </c>
    </row>
    <row r="210" spans="3:12" x14ac:dyDescent="0.25">
      <c r="C210" s="28" t="s">
        <v>2072</v>
      </c>
      <c r="D210" s="28" t="s">
        <v>2073</v>
      </c>
      <c r="E210" s="28">
        <v>0.38119999999999998</v>
      </c>
      <c r="F210" s="28">
        <v>29.378399999999999</v>
      </c>
      <c r="G210" s="28">
        <v>418</v>
      </c>
      <c r="H210" s="28">
        <v>0.93920000000000003</v>
      </c>
      <c r="I210">
        <v>0.2462</v>
      </c>
      <c r="J210" s="28">
        <v>26.2376</v>
      </c>
      <c r="K210" s="28">
        <v>259</v>
      </c>
      <c r="L210" s="28">
        <v>2019</v>
      </c>
    </row>
    <row r="211" spans="3:12" x14ac:dyDescent="0.25">
      <c r="C211" s="28" t="s">
        <v>2072</v>
      </c>
      <c r="D211" s="28" t="s">
        <v>2073</v>
      </c>
      <c r="E211" s="28">
        <v>0.38640000000000002</v>
      </c>
      <c r="F211" s="28">
        <v>29.378399999999999</v>
      </c>
      <c r="G211" s="28">
        <v>414</v>
      </c>
      <c r="H211" s="28">
        <v>0.94299999999999995</v>
      </c>
      <c r="I211">
        <v>0.25259999999999999</v>
      </c>
      <c r="J211" s="28">
        <v>26.2376</v>
      </c>
      <c r="K211" s="28">
        <v>246</v>
      </c>
      <c r="L211" s="28">
        <v>2020</v>
      </c>
    </row>
    <row r="212" spans="3:12" x14ac:dyDescent="0.25">
      <c r="C212" s="28" t="s">
        <v>2072</v>
      </c>
      <c r="D212" s="28" t="s">
        <v>2073</v>
      </c>
      <c r="E212" s="28">
        <v>0.39629999999999999</v>
      </c>
      <c r="F212" s="28">
        <v>29.378399999999999</v>
      </c>
      <c r="G212" s="28">
        <v>400</v>
      </c>
      <c r="H212" s="28">
        <v>0.94769999999999999</v>
      </c>
      <c r="I212">
        <v>0.26050000000000001</v>
      </c>
      <c r="J212" s="28">
        <v>26.2376</v>
      </c>
      <c r="K212" s="28">
        <v>224</v>
      </c>
      <c r="L212" s="28">
        <v>2021</v>
      </c>
    </row>
    <row r="213" spans="3:12" x14ac:dyDescent="0.25">
      <c r="C213" s="28" t="s">
        <v>2072</v>
      </c>
      <c r="D213" s="28" t="s">
        <v>2073</v>
      </c>
      <c r="E213" s="28">
        <v>0.39889999999999998</v>
      </c>
      <c r="F213" s="28">
        <v>29.378399999999999</v>
      </c>
      <c r="G213" s="28">
        <v>391</v>
      </c>
      <c r="H213" s="28">
        <v>0.95299999999999996</v>
      </c>
      <c r="I213">
        <v>0.26650000000000001</v>
      </c>
      <c r="J213" s="28">
        <v>26.2376</v>
      </c>
      <c r="K213" s="28">
        <v>202</v>
      </c>
      <c r="L213" s="28">
        <v>2022</v>
      </c>
    </row>
    <row r="214" spans="3:12" x14ac:dyDescent="0.25">
      <c r="C214" s="28" t="s">
        <v>2072</v>
      </c>
      <c r="D214" s="28" t="s">
        <v>2073</v>
      </c>
      <c r="E214" s="28">
        <v>0.40389999999999998</v>
      </c>
      <c r="F214" s="28">
        <v>29.378399999999999</v>
      </c>
      <c r="G214" s="28">
        <v>386</v>
      </c>
      <c r="H214" s="28">
        <v>0.96689999999999998</v>
      </c>
      <c r="I214">
        <v>0.27539999999999998</v>
      </c>
      <c r="J214" s="28">
        <v>26.2376</v>
      </c>
      <c r="K214" s="28">
        <v>129</v>
      </c>
      <c r="L214" s="28">
        <v>2023</v>
      </c>
    </row>
    <row r="215" spans="3:12" x14ac:dyDescent="0.25">
      <c r="C215" s="28" t="s">
        <v>2074</v>
      </c>
      <c r="D215" s="28" t="s">
        <v>2075</v>
      </c>
      <c r="E215" s="28">
        <v>0.40129999999999999</v>
      </c>
      <c r="F215" s="28">
        <v>40.948500000000003</v>
      </c>
      <c r="G215" s="28">
        <v>390</v>
      </c>
      <c r="H215" s="28">
        <v>0.95450000000000002</v>
      </c>
      <c r="I215">
        <v>0.23019999999999999</v>
      </c>
      <c r="J215" s="28">
        <v>34.734099999999998</v>
      </c>
      <c r="K215" s="28">
        <v>196</v>
      </c>
      <c r="L215" s="28">
        <v>2019</v>
      </c>
    </row>
    <row r="216" spans="3:12" x14ac:dyDescent="0.25">
      <c r="C216" s="28" t="s">
        <v>2074</v>
      </c>
      <c r="D216" s="28" t="s">
        <v>2075</v>
      </c>
      <c r="E216" s="28">
        <v>0.40550000000000003</v>
      </c>
      <c r="F216" s="28">
        <v>40.948500000000003</v>
      </c>
      <c r="G216" s="28">
        <v>383</v>
      </c>
      <c r="H216" s="28">
        <v>0.9597</v>
      </c>
      <c r="I216">
        <v>0.2361</v>
      </c>
      <c r="J216" s="28">
        <v>34.734099999999998</v>
      </c>
      <c r="K216" s="28">
        <v>174</v>
      </c>
      <c r="L216" s="28">
        <v>2020</v>
      </c>
    </row>
    <row r="217" spans="3:12" x14ac:dyDescent="0.25">
      <c r="C217" s="28" t="s">
        <v>2074</v>
      </c>
      <c r="D217" s="28" t="s">
        <v>2075</v>
      </c>
      <c r="E217" s="28">
        <v>0.41310000000000002</v>
      </c>
      <c r="F217" s="28">
        <v>40.948500000000003</v>
      </c>
      <c r="G217" s="28">
        <v>374</v>
      </c>
      <c r="H217" s="28">
        <v>0.96309999999999996</v>
      </c>
      <c r="I217">
        <v>0.24210000000000001</v>
      </c>
      <c r="J217" s="28">
        <v>34.734099999999998</v>
      </c>
      <c r="K217" s="28">
        <v>157</v>
      </c>
      <c r="L217" s="28">
        <v>2021</v>
      </c>
    </row>
    <row r="218" spans="3:12" x14ac:dyDescent="0.25">
      <c r="C218" s="28" t="s">
        <v>2074</v>
      </c>
      <c r="D218" s="28" t="s">
        <v>2075</v>
      </c>
      <c r="E218" s="28">
        <v>0.41399999999999998</v>
      </c>
      <c r="F218" s="28">
        <v>40.948500000000003</v>
      </c>
      <c r="G218" s="28">
        <v>373</v>
      </c>
      <c r="H218" s="28">
        <v>0.96660000000000001</v>
      </c>
      <c r="I218">
        <v>0.24829999999999999</v>
      </c>
      <c r="J218" s="28">
        <v>34.734099999999998</v>
      </c>
      <c r="K218" s="28">
        <v>133</v>
      </c>
      <c r="L218" s="28">
        <v>2022</v>
      </c>
    </row>
    <row r="219" spans="3:12" x14ac:dyDescent="0.25">
      <c r="C219" s="28" t="s">
        <v>2074</v>
      </c>
      <c r="D219" s="28" t="s">
        <v>2075</v>
      </c>
      <c r="E219" s="28">
        <v>0.41810000000000003</v>
      </c>
      <c r="F219" s="28">
        <v>40.948500000000003</v>
      </c>
      <c r="G219" s="28">
        <v>368</v>
      </c>
      <c r="H219" s="28">
        <v>0.97230000000000005</v>
      </c>
      <c r="I219">
        <v>0.25530000000000003</v>
      </c>
      <c r="J219" s="28">
        <v>34.734099999999998</v>
      </c>
      <c r="K219" s="28">
        <v>87</v>
      </c>
      <c r="L219" s="28">
        <v>2023</v>
      </c>
    </row>
    <row r="220" spans="3:12" x14ac:dyDescent="0.25">
      <c r="C220" s="28" t="s">
        <v>2076</v>
      </c>
      <c r="D220" s="28" t="s">
        <v>2077</v>
      </c>
      <c r="E220" s="28">
        <v>0.44330000000000003</v>
      </c>
      <c r="F220" s="28">
        <v>22.480499999999999</v>
      </c>
      <c r="G220" s="28">
        <v>323</v>
      </c>
      <c r="H220" s="28">
        <v>0.97609999999999997</v>
      </c>
      <c r="I220">
        <v>0.47739999999999999</v>
      </c>
      <c r="J220" s="28">
        <v>30.721699999999998</v>
      </c>
      <c r="K220" s="28">
        <v>65</v>
      </c>
      <c r="L220" s="28">
        <v>2019</v>
      </c>
    </row>
    <row r="221" spans="3:12" x14ac:dyDescent="0.25">
      <c r="C221" s="28" t="s">
        <v>2076</v>
      </c>
      <c r="D221" s="28" t="s">
        <v>2077</v>
      </c>
      <c r="E221" s="28">
        <v>0.4486</v>
      </c>
      <c r="F221" s="28">
        <v>22.480499999999999</v>
      </c>
      <c r="G221" s="28">
        <v>314</v>
      </c>
      <c r="H221" s="28">
        <v>0.97770000000000001</v>
      </c>
      <c r="I221">
        <v>0.48670000000000002</v>
      </c>
      <c r="J221" s="28">
        <v>30.721699999999998</v>
      </c>
      <c r="K221" s="28">
        <v>56</v>
      </c>
      <c r="L221" s="28">
        <v>2020</v>
      </c>
    </row>
    <row r="222" spans="3:12" x14ac:dyDescent="0.25">
      <c r="C222" s="28" t="s">
        <v>2076</v>
      </c>
      <c r="D222" s="28" t="s">
        <v>2077</v>
      </c>
      <c r="E222" s="28">
        <v>0.45500000000000002</v>
      </c>
      <c r="F222" s="28">
        <v>22.480499999999999</v>
      </c>
      <c r="G222" s="28">
        <v>303</v>
      </c>
      <c r="H222" s="28">
        <v>0.98019999999999996</v>
      </c>
      <c r="I222">
        <v>0.49790000000000001</v>
      </c>
      <c r="J222" s="28">
        <v>30.721699999999998</v>
      </c>
      <c r="K222" s="28">
        <v>45</v>
      </c>
      <c r="L222" s="28">
        <v>2021</v>
      </c>
    </row>
    <row r="223" spans="3:12" x14ac:dyDescent="0.25">
      <c r="C223" s="28" t="s">
        <v>2076</v>
      </c>
      <c r="D223" s="28" t="s">
        <v>2077</v>
      </c>
      <c r="E223" s="28">
        <v>0.46389999999999998</v>
      </c>
      <c r="F223" s="28">
        <v>22.480499999999999</v>
      </c>
      <c r="G223" s="28">
        <v>286</v>
      </c>
      <c r="H223" s="28">
        <v>0.98140000000000005</v>
      </c>
      <c r="I223">
        <v>0.50649999999999995</v>
      </c>
      <c r="J223" s="28">
        <v>30.721699999999998</v>
      </c>
      <c r="K223" s="28">
        <v>38</v>
      </c>
      <c r="L223" s="28">
        <v>2022</v>
      </c>
    </row>
    <row r="224" spans="3:12" x14ac:dyDescent="0.25">
      <c r="C224" s="28" t="s">
        <v>2076</v>
      </c>
      <c r="D224" s="28" t="s">
        <v>2077</v>
      </c>
      <c r="E224" s="28">
        <v>0.47060000000000002</v>
      </c>
      <c r="F224" s="28">
        <v>22.480499999999999</v>
      </c>
      <c r="G224" s="28">
        <v>273</v>
      </c>
      <c r="H224" s="28">
        <v>0.98960000000000004</v>
      </c>
      <c r="I224">
        <v>0.51639999999999997</v>
      </c>
      <c r="J224" s="28">
        <v>30.721699999999998</v>
      </c>
      <c r="K224" s="28">
        <v>17</v>
      </c>
      <c r="L224" s="28">
        <v>2023</v>
      </c>
    </row>
    <row r="225" spans="3:12" x14ac:dyDescent="0.25">
      <c r="C225" s="28" t="s">
        <v>2078</v>
      </c>
      <c r="D225" s="28" t="s">
        <v>2079</v>
      </c>
      <c r="E225" s="28">
        <v>0.35499999999999998</v>
      </c>
      <c r="F225" s="28">
        <v>71.252399999999994</v>
      </c>
      <c r="G225" s="28">
        <v>442</v>
      </c>
      <c r="H225" s="28">
        <v>0.82950000000000002</v>
      </c>
      <c r="I225">
        <v>0.43630000000000002</v>
      </c>
      <c r="J225" s="28">
        <v>74.606200000000001</v>
      </c>
      <c r="K225" s="28">
        <v>464</v>
      </c>
      <c r="L225" s="28">
        <v>2019</v>
      </c>
    </row>
    <row r="226" spans="3:12" x14ac:dyDescent="0.25">
      <c r="C226" s="28" t="s">
        <v>2078</v>
      </c>
      <c r="D226" s="28" t="s">
        <v>2079</v>
      </c>
      <c r="E226" s="28">
        <v>0.36299999999999999</v>
      </c>
      <c r="F226" s="28">
        <v>71.252399999999994</v>
      </c>
      <c r="G226" s="28">
        <v>440</v>
      </c>
      <c r="H226" s="28">
        <v>0.83979999999999999</v>
      </c>
      <c r="I226">
        <v>0.44540000000000002</v>
      </c>
      <c r="J226" s="28">
        <v>74.606200000000001</v>
      </c>
      <c r="K226" s="28">
        <v>456</v>
      </c>
      <c r="L226" s="28">
        <v>2020</v>
      </c>
    </row>
    <row r="227" spans="3:12" x14ac:dyDescent="0.25">
      <c r="C227" s="28" t="s">
        <v>2078</v>
      </c>
      <c r="D227" s="28" t="s">
        <v>2079</v>
      </c>
      <c r="E227" s="28">
        <v>0.3695</v>
      </c>
      <c r="F227" s="28">
        <v>71.252399999999994</v>
      </c>
      <c r="G227" s="28">
        <v>433</v>
      </c>
      <c r="H227" s="28">
        <v>0.84970000000000001</v>
      </c>
      <c r="I227">
        <v>0.45500000000000002</v>
      </c>
      <c r="J227" s="28">
        <v>74.606200000000001</v>
      </c>
      <c r="K227" s="28">
        <v>451</v>
      </c>
      <c r="L227" s="28">
        <v>2021</v>
      </c>
    </row>
    <row r="228" spans="3:12" x14ac:dyDescent="0.25">
      <c r="C228" s="28" t="s">
        <v>2078</v>
      </c>
      <c r="D228" s="28" t="s">
        <v>2079</v>
      </c>
      <c r="E228" s="28">
        <v>0.37580000000000002</v>
      </c>
      <c r="F228" s="28">
        <v>71.252399999999994</v>
      </c>
      <c r="G228" s="28">
        <v>424</v>
      </c>
      <c r="H228" s="28">
        <v>0.86229999999999996</v>
      </c>
      <c r="I228">
        <v>0.46450000000000002</v>
      </c>
      <c r="J228" s="28">
        <v>74.606200000000001</v>
      </c>
      <c r="K228" s="28">
        <v>448</v>
      </c>
      <c r="L228" s="28">
        <v>2022</v>
      </c>
    </row>
    <row r="229" spans="3:12" x14ac:dyDescent="0.25">
      <c r="C229" s="28" t="s">
        <v>2078</v>
      </c>
      <c r="D229" s="28" t="s">
        <v>2079</v>
      </c>
      <c r="E229" s="28">
        <v>0.38169999999999998</v>
      </c>
      <c r="F229" s="28">
        <v>71.252399999999994</v>
      </c>
      <c r="G229" s="28">
        <v>417</v>
      </c>
      <c r="H229" s="28">
        <v>0.87450000000000006</v>
      </c>
      <c r="I229">
        <v>0.4758</v>
      </c>
      <c r="J229" s="28">
        <v>74.606200000000001</v>
      </c>
      <c r="K229" s="28">
        <v>440</v>
      </c>
      <c r="L229" s="28">
        <v>2023</v>
      </c>
    </row>
    <row r="230" spans="3:12" x14ac:dyDescent="0.25">
      <c r="C230" s="28" t="s">
        <v>2080</v>
      </c>
      <c r="D230" s="28" t="s">
        <v>2081</v>
      </c>
      <c r="E230" s="28">
        <v>0.49780000000000002</v>
      </c>
      <c r="F230" s="28">
        <v>47.081899999999997</v>
      </c>
      <c r="G230" s="28">
        <v>245</v>
      </c>
      <c r="H230" s="28">
        <v>0.96609999999999996</v>
      </c>
      <c r="I230">
        <v>0.62570000000000003</v>
      </c>
      <c r="J230" s="28">
        <v>48.959400000000002</v>
      </c>
      <c r="K230" s="28">
        <v>136</v>
      </c>
      <c r="L230" s="28">
        <v>2019</v>
      </c>
    </row>
    <row r="231" spans="3:12" x14ac:dyDescent="0.25">
      <c r="C231" s="28" t="s">
        <v>2080</v>
      </c>
      <c r="D231" s="28" t="s">
        <v>2081</v>
      </c>
      <c r="E231" s="28">
        <v>0.50480000000000003</v>
      </c>
      <c r="F231" s="28">
        <v>47.081899999999997</v>
      </c>
      <c r="G231" s="28">
        <v>240</v>
      </c>
      <c r="H231" s="28">
        <v>0.96809999999999996</v>
      </c>
      <c r="I231">
        <v>0.63249999999999995</v>
      </c>
      <c r="J231" s="28">
        <v>48.959400000000002</v>
      </c>
      <c r="K231" s="28">
        <v>119</v>
      </c>
      <c r="L231" s="28">
        <v>2020</v>
      </c>
    </row>
    <row r="232" spans="3:12" x14ac:dyDescent="0.25">
      <c r="C232" s="28" t="s">
        <v>2080</v>
      </c>
      <c r="D232" s="28" t="s">
        <v>2081</v>
      </c>
      <c r="E232" s="28">
        <v>0.51339999999999997</v>
      </c>
      <c r="F232" s="28">
        <v>47.081899999999997</v>
      </c>
      <c r="G232" s="28">
        <v>233</v>
      </c>
      <c r="H232" s="28">
        <v>0.97009999999999996</v>
      </c>
      <c r="I232">
        <v>0.63859999999999995</v>
      </c>
      <c r="J232" s="28">
        <v>48.959400000000002</v>
      </c>
      <c r="K232" s="28">
        <v>102</v>
      </c>
      <c r="L232" s="28">
        <v>2021</v>
      </c>
    </row>
    <row r="233" spans="3:12" x14ac:dyDescent="0.25">
      <c r="C233" s="28" t="s">
        <v>2080</v>
      </c>
      <c r="D233" s="28" t="s">
        <v>2081</v>
      </c>
      <c r="E233" s="28">
        <v>0.51870000000000005</v>
      </c>
      <c r="F233" s="28">
        <v>47.081899999999997</v>
      </c>
      <c r="G233" s="28">
        <v>222</v>
      </c>
      <c r="H233" s="28">
        <v>0.97189999999999999</v>
      </c>
      <c r="I233">
        <v>0.64429999999999998</v>
      </c>
      <c r="J233" s="28">
        <v>48.959400000000002</v>
      </c>
      <c r="K233" s="28">
        <v>90</v>
      </c>
      <c r="L233" s="28">
        <v>2022</v>
      </c>
    </row>
    <row r="234" spans="3:12" x14ac:dyDescent="0.25">
      <c r="C234" s="28" t="s">
        <v>2080</v>
      </c>
      <c r="D234" s="28" t="s">
        <v>2081</v>
      </c>
      <c r="E234" s="28">
        <v>0.52659999999999996</v>
      </c>
      <c r="F234" s="28">
        <v>47.081899999999997</v>
      </c>
      <c r="G234" s="28">
        <v>212</v>
      </c>
      <c r="H234" s="28">
        <v>0.97970000000000002</v>
      </c>
      <c r="I234">
        <v>0.64970000000000006</v>
      </c>
      <c r="J234" s="28">
        <v>48.959400000000002</v>
      </c>
      <c r="K234" s="28">
        <v>47</v>
      </c>
      <c r="L234" s="28">
        <v>2023</v>
      </c>
    </row>
    <row r="235" spans="3:12" x14ac:dyDescent="0.25">
      <c r="C235" s="28" t="s">
        <v>2082</v>
      </c>
      <c r="D235" s="28" t="s">
        <v>2083</v>
      </c>
      <c r="E235" s="28">
        <v>0.33119999999999999</v>
      </c>
      <c r="F235" s="28">
        <v>50.211500000000001</v>
      </c>
      <c r="G235" s="28">
        <v>456</v>
      </c>
      <c r="H235" s="28">
        <v>0.88819999999999999</v>
      </c>
      <c r="I235">
        <v>0.37769999999999998</v>
      </c>
      <c r="J235" s="28">
        <v>45.889299999999999</v>
      </c>
      <c r="K235" s="28">
        <v>424</v>
      </c>
      <c r="L235" s="28">
        <v>2019</v>
      </c>
    </row>
    <row r="236" spans="3:12" x14ac:dyDescent="0.25">
      <c r="C236" s="28" t="s">
        <v>2082</v>
      </c>
      <c r="D236" s="28" t="s">
        <v>2083</v>
      </c>
      <c r="E236" s="28">
        <v>0.33679999999999999</v>
      </c>
      <c r="F236" s="28">
        <v>50.211500000000001</v>
      </c>
      <c r="G236" s="28">
        <v>452</v>
      </c>
      <c r="H236" s="28">
        <v>0.89749999999999996</v>
      </c>
      <c r="I236">
        <v>0.38450000000000001</v>
      </c>
      <c r="J236" s="28">
        <v>45.889299999999999</v>
      </c>
      <c r="K236" s="28">
        <v>405</v>
      </c>
      <c r="L236" s="28">
        <v>2020</v>
      </c>
    </row>
    <row r="237" spans="3:12" x14ac:dyDescent="0.25">
      <c r="C237" s="28" t="s">
        <v>2082</v>
      </c>
      <c r="D237" s="28" t="s">
        <v>2083</v>
      </c>
      <c r="E237" s="28">
        <v>0.3468</v>
      </c>
      <c r="F237" s="28">
        <v>50.211500000000001</v>
      </c>
      <c r="G237" s="28">
        <v>450</v>
      </c>
      <c r="H237" s="28">
        <v>0.90910000000000002</v>
      </c>
      <c r="I237">
        <v>0.3931</v>
      </c>
      <c r="J237" s="28">
        <v>45.889299999999999</v>
      </c>
      <c r="K237" s="28">
        <v>380</v>
      </c>
      <c r="L237" s="28">
        <v>2021</v>
      </c>
    </row>
    <row r="238" spans="3:12" x14ac:dyDescent="0.25">
      <c r="C238" s="28" t="s">
        <v>2082</v>
      </c>
      <c r="D238" s="28" t="s">
        <v>2083</v>
      </c>
      <c r="E238" s="28">
        <v>0.3498</v>
      </c>
      <c r="F238" s="28">
        <v>50.211500000000001</v>
      </c>
      <c r="G238" s="28">
        <v>448</v>
      </c>
      <c r="H238" s="28">
        <v>0.91900000000000004</v>
      </c>
      <c r="I238">
        <v>0.40050000000000002</v>
      </c>
      <c r="J238" s="28">
        <v>45.889299999999999</v>
      </c>
      <c r="K238" s="28">
        <v>351</v>
      </c>
      <c r="L238" s="28">
        <v>2022</v>
      </c>
    </row>
    <row r="239" spans="3:12" x14ac:dyDescent="0.25">
      <c r="C239" s="28" t="s">
        <v>2082</v>
      </c>
      <c r="D239" s="28" t="s">
        <v>2083</v>
      </c>
      <c r="E239" s="28">
        <v>0.35260000000000002</v>
      </c>
      <c r="F239" s="28">
        <v>50.211500000000001</v>
      </c>
      <c r="G239" s="28">
        <v>445</v>
      </c>
      <c r="H239" s="28">
        <v>0.9284</v>
      </c>
      <c r="I239">
        <v>0.4073</v>
      </c>
      <c r="J239" s="28">
        <v>45.889299999999999</v>
      </c>
      <c r="K239" s="28">
        <v>317</v>
      </c>
      <c r="L239" s="28">
        <v>2023</v>
      </c>
    </row>
    <row r="240" spans="3:12" x14ac:dyDescent="0.25">
      <c r="C240" s="28" t="s">
        <v>2084</v>
      </c>
      <c r="D240" s="28" t="s">
        <v>2085</v>
      </c>
      <c r="E240" s="28">
        <v>0.52810000000000001</v>
      </c>
      <c r="F240" s="28">
        <v>78.183800000000005</v>
      </c>
      <c r="G240" s="28">
        <v>208</v>
      </c>
      <c r="H240" s="28">
        <v>0.94799999999999995</v>
      </c>
      <c r="I240">
        <v>0.70740000000000003</v>
      </c>
      <c r="J240" s="28">
        <v>113.48690000000001</v>
      </c>
      <c r="K240" s="28">
        <v>222</v>
      </c>
      <c r="L240" s="28">
        <v>2019</v>
      </c>
    </row>
    <row r="241" spans="3:12" x14ac:dyDescent="0.25">
      <c r="C241" s="28" t="s">
        <v>2084</v>
      </c>
      <c r="D241" s="28" t="s">
        <v>2085</v>
      </c>
      <c r="E241" s="28">
        <v>0.53959999999999997</v>
      </c>
      <c r="F241" s="28">
        <v>78.183800000000005</v>
      </c>
      <c r="G241" s="28">
        <v>193</v>
      </c>
      <c r="H241" s="28">
        <v>0.95140000000000002</v>
      </c>
      <c r="I241">
        <v>0.71970000000000001</v>
      </c>
      <c r="J241" s="28">
        <v>113.48690000000001</v>
      </c>
      <c r="K241" s="28">
        <v>208</v>
      </c>
      <c r="L241" s="28">
        <v>2020</v>
      </c>
    </row>
    <row r="242" spans="3:12" x14ac:dyDescent="0.25">
      <c r="C242" s="28" t="s">
        <v>2084</v>
      </c>
      <c r="D242" s="28" t="s">
        <v>2085</v>
      </c>
      <c r="E242" s="28">
        <v>0.55049999999999999</v>
      </c>
      <c r="F242" s="28">
        <v>78.183800000000005</v>
      </c>
      <c r="G242" s="28">
        <v>173</v>
      </c>
      <c r="H242" s="28">
        <v>0.95440000000000003</v>
      </c>
      <c r="I242">
        <v>0.73089999999999999</v>
      </c>
      <c r="J242" s="28">
        <v>113.48690000000001</v>
      </c>
      <c r="K242" s="28">
        <v>197</v>
      </c>
      <c r="L242" s="28">
        <v>2021</v>
      </c>
    </row>
    <row r="243" spans="3:12" x14ac:dyDescent="0.25">
      <c r="C243" s="28" t="s">
        <v>2084</v>
      </c>
      <c r="D243" s="28" t="s">
        <v>2085</v>
      </c>
      <c r="E243" s="28">
        <v>0.56289999999999996</v>
      </c>
      <c r="F243" s="28">
        <v>78.183800000000005</v>
      </c>
      <c r="G243" s="28">
        <v>160</v>
      </c>
      <c r="H243" s="28">
        <v>0.95709999999999995</v>
      </c>
      <c r="I243">
        <v>0.74050000000000005</v>
      </c>
      <c r="J243" s="28">
        <v>113.48690000000001</v>
      </c>
      <c r="K243" s="28">
        <v>186</v>
      </c>
      <c r="L243" s="28">
        <v>2022</v>
      </c>
    </row>
    <row r="244" spans="3:12" x14ac:dyDescent="0.25">
      <c r="C244" s="28" t="s">
        <v>2084</v>
      </c>
      <c r="D244" s="28" t="s">
        <v>2085</v>
      </c>
      <c r="E244" s="28">
        <v>0.57089999999999996</v>
      </c>
      <c r="F244" s="28">
        <v>78.183800000000005</v>
      </c>
      <c r="G244" s="28">
        <v>154</v>
      </c>
      <c r="H244" s="28">
        <v>0.95960000000000001</v>
      </c>
      <c r="I244">
        <v>0.749</v>
      </c>
      <c r="J244" s="28">
        <v>113.48690000000001</v>
      </c>
      <c r="K244" s="28">
        <v>175</v>
      </c>
      <c r="L244" s="28">
        <v>2023</v>
      </c>
    </row>
    <row r="245" spans="3:12" x14ac:dyDescent="0.25">
      <c r="C245" s="28" t="s">
        <v>2086</v>
      </c>
      <c r="D245" s="28" t="s">
        <v>2087</v>
      </c>
      <c r="E245" s="28">
        <v>0.38790000000000002</v>
      </c>
      <c r="F245" s="28">
        <v>46.715499999999999</v>
      </c>
      <c r="G245" s="28">
        <v>412</v>
      </c>
      <c r="H245" s="28">
        <v>0.92930000000000001</v>
      </c>
      <c r="I245">
        <v>0.47020000000000001</v>
      </c>
      <c r="J245" s="28">
        <v>77.016599999999997</v>
      </c>
      <c r="K245" s="28">
        <v>314</v>
      </c>
      <c r="L245" s="28">
        <v>2019</v>
      </c>
    </row>
    <row r="246" spans="3:12" x14ac:dyDescent="0.25">
      <c r="C246" s="28" t="s">
        <v>2086</v>
      </c>
      <c r="D246" s="28" t="s">
        <v>2087</v>
      </c>
      <c r="E246" s="28">
        <v>0.3967</v>
      </c>
      <c r="F246" s="28">
        <v>46.715499999999999</v>
      </c>
      <c r="G246" s="28">
        <v>397</v>
      </c>
      <c r="H246" s="28">
        <v>0.93220000000000003</v>
      </c>
      <c r="I246">
        <v>0.47870000000000001</v>
      </c>
      <c r="J246" s="28">
        <v>77.016599999999997</v>
      </c>
      <c r="K246" s="28">
        <v>299</v>
      </c>
      <c r="L246" s="28">
        <v>2020</v>
      </c>
    </row>
    <row r="247" spans="3:12" x14ac:dyDescent="0.25">
      <c r="C247" s="28" t="s">
        <v>2086</v>
      </c>
      <c r="D247" s="28" t="s">
        <v>2087</v>
      </c>
      <c r="E247" s="28">
        <v>0.40250000000000002</v>
      </c>
      <c r="F247" s="28">
        <v>46.715499999999999</v>
      </c>
      <c r="G247" s="28">
        <v>387</v>
      </c>
      <c r="H247" s="28">
        <v>0.93620000000000003</v>
      </c>
      <c r="I247">
        <v>0.4869</v>
      </c>
      <c r="J247" s="28">
        <v>77.016599999999997</v>
      </c>
      <c r="K247" s="28">
        <v>279</v>
      </c>
      <c r="L247" s="28">
        <v>2021</v>
      </c>
    </row>
    <row r="248" spans="3:12" x14ac:dyDescent="0.25">
      <c r="C248" s="28" t="s">
        <v>2086</v>
      </c>
      <c r="D248" s="28" t="s">
        <v>2087</v>
      </c>
      <c r="E248" s="28">
        <v>0.40649999999999997</v>
      </c>
      <c r="F248" s="28">
        <v>46.715499999999999</v>
      </c>
      <c r="G248" s="28">
        <v>380</v>
      </c>
      <c r="H248" s="28">
        <v>0.93840000000000001</v>
      </c>
      <c r="I248">
        <v>0.49469999999999997</v>
      </c>
      <c r="J248" s="28">
        <v>77.016599999999997</v>
      </c>
      <c r="K248" s="28">
        <v>263</v>
      </c>
      <c r="L248" s="28">
        <v>2022</v>
      </c>
    </row>
    <row r="249" spans="3:12" x14ac:dyDescent="0.25">
      <c r="C249" s="28" t="s">
        <v>2086</v>
      </c>
      <c r="D249" s="28" t="s">
        <v>2087</v>
      </c>
      <c r="E249" s="28">
        <v>0.40920000000000001</v>
      </c>
      <c r="F249" s="28">
        <v>46.715499999999999</v>
      </c>
      <c r="G249" s="28">
        <v>378</v>
      </c>
      <c r="H249" s="28">
        <v>0.94820000000000004</v>
      </c>
      <c r="I249">
        <v>0.50109999999999999</v>
      </c>
      <c r="J249" s="28">
        <v>77.016599999999997</v>
      </c>
      <c r="K249" s="28">
        <v>219</v>
      </c>
      <c r="L249" s="28">
        <v>2023</v>
      </c>
    </row>
    <row r="250" spans="3:12" x14ac:dyDescent="0.25">
      <c r="C250" s="28" t="s">
        <v>2088</v>
      </c>
      <c r="D250" s="28" t="s">
        <v>2089</v>
      </c>
      <c r="E250" s="28">
        <v>0.29149999999999998</v>
      </c>
      <c r="F250" s="28">
        <v>37.975200000000001</v>
      </c>
      <c r="G250" s="28">
        <v>470</v>
      </c>
      <c r="H250" s="28">
        <v>0.7359</v>
      </c>
      <c r="I250">
        <v>0.31830000000000003</v>
      </c>
      <c r="J250" s="28">
        <v>41.929200000000002</v>
      </c>
      <c r="K250" s="28">
        <v>479</v>
      </c>
      <c r="L250" s="28">
        <v>2019</v>
      </c>
    </row>
    <row r="251" spans="3:12" x14ac:dyDescent="0.25">
      <c r="C251" s="28" t="s">
        <v>2088</v>
      </c>
      <c r="D251" s="28" t="s">
        <v>2089</v>
      </c>
      <c r="E251" s="28">
        <v>0.29870000000000002</v>
      </c>
      <c r="F251" s="28">
        <v>37.975200000000001</v>
      </c>
      <c r="G251" s="28">
        <v>469</v>
      </c>
      <c r="H251" s="28">
        <v>0.74770000000000003</v>
      </c>
      <c r="I251">
        <v>0.3271</v>
      </c>
      <c r="J251" s="28">
        <v>41.929200000000002</v>
      </c>
      <c r="K251" s="28">
        <v>477</v>
      </c>
      <c r="L251" s="28">
        <v>2020</v>
      </c>
    </row>
    <row r="252" spans="3:12" x14ac:dyDescent="0.25">
      <c r="C252" s="28" t="s">
        <v>2088</v>
      </c>
      <c r="D252" s="28" t="s">
        <v>2089</v>
      </c>
      <c r="E252" s="28">
        <v>0.3039</v>
      </c>
      <c r="F252" s="28">
        <v>37.975200000000001</v>
      </c>
      <c r="G252" s="28">
        <v>468</v>
      </c>
      <c r="H252" s="28">
        <v>0.75890000000000002</v>
      </c>
      <c r="I252">
        <v>0.33689999999999998</v>
      </c>
      <c r="J252" s="28">
        <v>41.929200000000002</v>
      </c>
      <c r="K252" s="28">
        <v>476</v>
      </c>
      <c r="L252" s="28">
        <v>2021</v>
      </c>
    </row>
    <row r="253" spans="3:12" x14ac:dyDescent="0.25">
      <c r="C253" s="28" t="s">
        <v>2088</v>
      </c>
      <c r="D253" s="28" t="s">
        <v>2089</v>
      </c>
      <c r="E253" s="28">
        <v>0.30940000000000001</v>
      </c>
      <c r="F253" s="28">
        <v>37.975200000000001</v>
      </c>
      <c r="G253" s="28">
        <v>467</v>
      </c>
      <c r="H253" s="28">
        <v>0.77190000000000003</v>
      </c>
      <c r="I253">
        <v>0.34820000000000001</v>
      </c>
      <c r="J253" s="28">
        <v>41.929200000000002</v>
      </c>
      <c r="K253" s="28">
        <v>474</v>
      </c>
      <c r="L253" s="28">
        <v>2022</v>
      </c>
    </row>
    <row r="254" spans="3:12" x14ac:dyDescent="0.25">
      <c r="C254" s="28" t="s">
        <v>2088</v>
      </c>
      <c r="D254" s="28" t="s">
        <v>2089</v>
      </c>
      <c r="E254" s="28">
        <v>0.31469999999999998</v>
      </c>
      <c r="F254" s="28">
        <v>37.975200000000001</v>
      </c>
      <c r="G254" s="28">
        <v>466</v>
      </c>
      <c r="H254" s="28">
        <v>0.78469999999999995</v>
      </c>
      <c r="I254">
        <v>0.35880000000000001</v>
      </c>
      <c r="J254" s="28">
        <v>41.929200000000002</v>
      </c>
      <c r="K254" s="28">
        <v>471</v>
      </c>
      <c r="L254" s="28">
        <v>2023</v>
      </c>
    </row>
    <row r="255" spans="3:12" x14ac:dyDescent="0.25">
      <c r="C255" s="28" t="s">
        <v>2090</v>
      </c>
      <c r="D255" s="28" t="s">
        <v>2091</v>
      </c>
      <c r="E255" s="28">
        <v>0.5444</v>
      </c>
      <c r="F255" s="28">
        <v>147.90940000000001</v>
      </c>
      <c r="G255" s="28">
        <v>183</v>
      </c>
      <c r="H255" s="28">
        <v>0.89049999999999996</v>
      </c>
      <c r="I255">
        <v>0.5534</v>
      </c>
      <c r="J255" s="28">
        <v>142.01159999999999</v>
      </c>
      <c r="K255" s="28">
        <v>418</v>
      </c>
      <c r="L255" s="28">
        <v>2019</v>
      </c>
    </row>
    <row r="256" spans="3:12" x14ac:dyDescent="0.25">
      <c r="C256" s="28" t="s">
        <v>2090</v>
      </c>
      <c r="D256" s="28" t="s">
        <v>2091</v>
      </c>
      <c r="E256" s="28">
        <v>0.54690000000000005</v>
      </c>
      <c r="F256" s="28">
        <v>147.90940000000001</v>
      </c>
      <c r="G256" s="28">
        <v>181</v>
      </c>
      <c r="H256" s="28">
        <v>0.89259999999999995</v>
      </c>
      <c r="I256">
        <v>0.55659999999999998</v>
      </c>
      <c r="J256" s="28">
        <v>142.01159999999999</v>
      </c>
      <c r="K256" s="28">
        <v>417</v>
      </c>
      <c r="L256" s="28">
        <v>2020</v>
      </c>
    </row>
    <row r="257" spans="3:12" x14ac:dyDescent="0.25">
      <c r="C257" s="28" t="s">
        <v>2090</v>
      </c>
      <c r="D257" s="28" t="s">
        <v>2091</v>
      </c>
      <c r="E257" s="28">
        <v>0.54979999999999996</v>
      </c>
      <c r="F257" s="28">
        <v>147.90940000000001</v>
      </c>
      <c r="G257" s="28">
        <v>177</v>
      </c>
      <c r="H257" s="28">
        <v>0.89610000000000001</v>
      </c>
      <c r="I257">
        <v>0.56169999999999998</v>
      </c>
      <c r="J257" s="28">
        <v>142.01159999999999</v>
      </c>
      <c r="K257" s="28">
        <v>408</v>
      </c>
      <c r="L257" s="28">
        <v>2021</v>
      </c>
    </row>
    <row r="258" spans="3:12" x14ac:dyDescent="0.25">
      <c r="C258" s="28" t="s">
        <v>2090</v>
      </c>
      <c r="D258" s="28" t="s">
        <v>2091</v>
      </c>
      <c r="E258" s="28">
        <v>0.55149999999999999</v>
      </c>
      <c r="F258" s="28">
        <v>147.90940000000001</v>
      </c>
      <c r="G258" s="28">
        <v>172</v>
      </c>
      <c r="H258" s="28">
        <v>0.90180000000000005</v>
      </c>
      <c r="I258">
        <v>0.56569999999999998</v>
      </c>
      <c r="J258" s="28">
        <v>142.01159999999999</v>
      </c>
      <c r="K258" s="28">
        <v>400</v>
      </c>
      <c r="L258" s="28">
        <v>2022</v>
      </c>
    </row>
    <row r="259" spans="3:12" x14ac:dyDescent="0.25">
      <c r="C259" s="28" t="s">
        <v>2090</v>
      </c>
      <c r="D259" s="28" t="s">
        <v>2091</v>
      </c>
      <c r="E259" s="28">
        <v>0.55410000000000004</v>
      </c>
      <c r="F259" s="28">
        <v>147.90940000000001</v>
      </c>
      <c r="G259" s="28">
        <v>170</v>
      </c>
      <c r="H259" s="28">
        <v>0.91120000000000001</v>
      </c>
      <c r="I259">
        <v>0.57120000000000004</v>
      </c>
      <c r="J259" s="28">
        <v>142.01159999999999</v>
      </c>
      <c r="K259" s="28">
        <v>375</v>
      </c>
      <c r="L259" s="28">
        <v>2023</v>
      </c>
    </row>
    <row r="260" spans="3:12" x14ac:dyDescent="0.25">
      <c r="C260" s="28" t="s">
        <v>2092</v>
      </c>
      <c r="D260" s="28" t="s">
        <v>2093</v>
      </c>
      <c r="E260" s="28">
        <v>0.39040000000000002</v>
      </c>
      <c r="F260" s="28">
        <v>46.387300000000003</v>
      </c>
      <c r="G260" s="28">
        <v>408</v>
      </c>
      <c r="H260" s="28">
        <v>0.88129999999999997</v>
      </c>
      <c r="I260">
        <v>0.34689999999999999</v>
      </c>
      <c r="J260" s="28">
        <v>81.152100000000004</v>
      </c>
      <c r="K260" s="28">
        <v>433</v>
      </c>
      <c r="L260" s="28">
        <v>2019</v>
      </c>
    </row>
    <row r="261" spans="3:12" x14ac:dyDescent="0.25">
      <c r="C261" s="28" t="s">
        <v>2092</v>
      </c>
      <c r="D261" s="28" t="s">
        <v>2093</v>
      </c>
      <c r="E261" s="28">
        <v>0.39639999999999997</v>
      </c>
      <c r="F261" s="28">
        <v>46.387300000000003</v>
      </c>
      <c r="G261" s="28">
        <v>399</v>
      </c>
      <c r="H261" s="28">
        <v>0.88460000000000005</v>
      </c>
      <c r="I261">
        <v>0.35289999999999999</v>
      </c>
      <c r="J261" s="28">
        <v>81.152100000000004</v>
      </c>
      <c r="K261" s="28">
        <v>428</v>
      </c>
      <c r="L261" s="28">
        <v>2020</v>
      </c>
    </row>
    <row r="262" spans="3:12" x14ac:dyDescent="0.25">
      <c r="C262" s="28" t="s">
        <v>2092</v>
      </c>
      <c r="D262" s="28" t="s">
        <v>2093</v>
      </c>
      <c r="E262" s="28">
        <v>0.40629999999999999</v>
      </c>
      <c r="F262" s="28">
        <v>46.387300000000003</v>
      </c>
      <c r="G262" s="28">
        <v>381</v>
      </c>
      <c r="H262" s="28">
        <v>0.8901</v>
      </c>
      <c r="I262">
        <v>0.3639</v>
      </c>
      <c r="J262" s="28">
        <v>81.152100000000004</v>
      </c>
      <c r="K262" s="28">
        <v>419</v>
      </c>
      <c r="L262" s="28">
        <v>2021</v>
      </c>
    </row>
    <row r="263" spans="3:12" x14ac:dyDescent="0.25">
      <c r="C263" s="28" t="s">
        <v>2092</v>
      </c>
      <c r="D263" s="28" t="s">
        <v>2093</v>
      </c>
      <c r="E263" s="28">
        <v>0.4118</v>
      </c>
      <c r="F263" s="28">
        <v>46.387300000000003</v>
      </c>
      <c r="G263" s="28">
        <v>375</v>
      </c>
      <c r="H263" s="28">
        <v>0.89449999999999996</v>
      </c>
      <c r="I263">
        <v>0.37180000000000002</v>
      </c>
      <c r="J263" s="28">
        <v>81.152100000000004</v>
      </c>
      <c r="K263" s="28">
        <v>415</v>
      </c>
      <c r="L263" s="28">
        <v>2022</v>
      </c>
    </row>
    <row r="264" spans="3:12" x14ac:dyDescent="0.25">
      <c r="C264" s="28" t="s">
        <v>2092</v>
      </c>
      <c r="D264" s="28" t="s">
        <v>2093</v>
      </c>
      <c r="E264" s="28">
        <v>0.42099999999999999</v>
      </c>
      <c r="F264" s="28">
        <v>46.387300000000003</v>
      </c>
      <c r="G264" s="28">
        <v>364</v>
      </c>
      <c r="H264" s="28">
        <v>0.91349999999999998</v>
      </c>
      <c r="I264">
        <v>0.38</v>
      </c>
      <c r="J264" s="28">
        <v>81.152100000000004</v>
      </c>
      <c r="K264" s="28">
        <v>368</v>
      </c>
      <c r="L264" s="28">
        <v>2023</v>
      </c>
    </row>
    <row r="265" spans="3:12" x14ac:dyDescent="0.25">
      <c r="C265" s="28" t="s">
        <v>2094</v>
      </c>
      <c r="D265" s="28" t="s">
        <v>2095</v>
      </c>
      <c r="E265" s="28">
        <v>0.43569999999999998</v>
      </c>
      <c r="F265" s="28">
        <v>67.201700000000002</v>
      </c>
      <c r="G265" s="28">
        <v>337</v>
      </c>
      <c r="H265" s="28">
        <v>0.9274</v>
      </c>
      <c r="I265">
        <v>0.42649999999999999</v>
      </c>
      <c r="J265" s="28">
        <v>56.838900000000002</v>
      </c>
      <c r="K265" s="28">
        <v>322</v>
      </c>
      <c r="L265" s="28">
        <v>2019</v>
      </c>
    </row>
    <row r="266" spans="3:12" x14ac:dyDescent="0.25">
      <c r="C266" s="28" t="s">
        <v>2094</v>
      </c>
      <c r="D266" s="28" t="s">
        <v>2095</v>
      </c>
      <c r="E266" s="28">
        <v>0.4451</v>
      </c>
      <c r="F266" s="28">
        <v>67.201700000000002</v>
      </c>
      <c r="G266" s="28">
        <v>319</v>
      </c>
      <c r="H266" s="28">
        <v>0.93779999999999997</v>
      </c>
      <c r="I266">
        <v>0.4385</v>
      </c>
      <c r="J266" s="28">
        <v>56.838900000000002</v>
      </c>
      <c r="K266" s="28">
        <v>270</v>
      </c>
      <c r="L266" s="28">
        <v>2020</v>
      </c>
    </row>
    <row r="267" spans="3:12" x14ac:dyDescent="0.25">
      <c r="C267" s="28" t="s">
        <v>2094</v>
      </c>
      <c r="D267" s="28" t="s">
        <v>2095</v>
      </c>
      <c r="E267" s="28">
        <v>0.45369999999999999</v>
      </c>
      <c r="F267" s="28">
        <v>67.201700000000002</v>
      </c>
      <c r="G267" s="28">
        <v>306</v>
      </c>
      <c r="H267" s="28">
        <v>0.94610000000000005</v>
      </c>
      <c r="I267">
        <v>0.45069999999999999</v>
      </c>
      <c r="J267" s="28">
        <v>56.838900000000002</v>
      </c>
      <c r="K267" s="28">
        <v>230</v>
      </c>
      <c r="L267" s="28">
        <v>2021</v>
      </c>
    </row>
    <row r="268" spans="3:12" x14ac:dyDescent="0.25">
      <c r="C268" s="28" t="s">
        <v>2094</v>
      </c>
      <c r="D268" s="28" t="s">
        <v>2095</v>
      </c>
      <c r="E268" s="28">
        <v>0.45729999999999998</v>
      </c>
      <c r="F268" s="28">
        <v>67.201700000000002</v>
      </c>
      <c r="G268" s="28">
        <v>299</v>
      </c>
      <c r="H268" s="28">
        <v>0.95140000000000002</v>
      </c>
      <c r="I268">
        <v>0.4632</v>
      </c>
      <c r="J268" s="28">
        <v>56.838900000000002</v>
      </c>
      <c r="K268" s="28">
        <v>208</v>
      </c>
      <c r="L268" s="28">
        <v>2022</v>
      </c>
    </row>
    <row r="269" spans="3:12" x14ac:dyDescent="0.25">
      <c r="C269" s="28" t="s">
        <v>2094</v>
      </c>
      <c r="D269" s="28" t="s">
        <v>2095</v>
      </c>
      <c r="E269" s="28">
        <v>0.4612</v>
      </c>
      <c r="F269" s="28">
        <v>67.201700000000002</v>
      </c>
      <c r="G269" s="28">
        <v>293</v>
      </c>
      <c r="H269" s="28">
        <v>0.95750000000000002</v>
      </c>
      <c r="I269">
        <v>0.47210000000000002</v>
      </c>
      <c r="J269" s="28">
        <v>56.838900000000002</v>
      </c>
      <c r="K269" s="28">
        <v>184</v>
      </c>
      <c r="L269" s="28">
        <v>2023</v>
      </c>
    </row>
    <row r="270" spans="3:12" x14ac:dyDescent="0.25">
      <c r="C270" s="28" t="s">
        <v>2096</v>
      </c>
      <c r="D270" s="28" t="s">
        <v>2097</v>
      </c>
      <c r="E270" s="28">
        <v>0.53649999999999998</v>
      </c>
      <c r="F270" s="28">
        <v>193.06559999999999</v>
      </c>
      <c r="G270" s="28">
        <v>199</v>
      </c>
      <c r="H270" s="28">
        <v>0.90629999999999999</v>
      </c>
      <c r="I270">
        <v>0.55379999999999996</v>
      </c>
      <c r="J270" s="28">
        <v>191.76580000000001</v>
      </c>
      <c r="K270" s="28">
        <v>391</v>
      </c>
      <c r="L270" s="28">
        <v>2019</v>
      </c>
    </row>
    <row r="271" spans="3:12" x14ac:dyDescent="0.25">
      <c r="C271" s="28" t="s">
        <v>2096</v>
      </c>
      <c r="D271" s="28" t="s">
        <v>2097</v>
      </c>
      <c r="E271" s="28">
        <v>0.53969999999999996</v>
      </c>
      <c r="F271" s="28">
        <v>193.06559999999999</v>
      </c>
      <c r="G271" s="28">
        <v>192</v>
      </c>
      <c r="H271" s="28">
        <v>0.90920000000000001</v>
      </c>
      <c r="I271">
        <v>0.56000000000000005</v>
      </c>
      <c r="J271" s="28">
        <v>191.76580000000001</v>
      </c>
      <c r="K271" s="28">
        <v>379</v>
      </c>
      <c r="L271" s="28">
        <v>2020</v>
      </c>
    </row>
    <row r="272" spans="3:12" x14ac:dyDescent="0.25">
      <c r="C272" s="28" t="s">
        <v>2096</v>
      </c>
      <c r="D272" s="28" t="s">
        <v>2097</v>
      </c>
      <c r="E272" s="28">
        <v>0.54559999999999997</v>
      </c>
      <c r="F272" s="28">
        <v>193.06559999999999</v>
      </c>
      <c r="G272" s="28">
        <v>182</v>
      </c>
      <c r="H272" s="28">
        <v>0.91310000000000002</v>
      </c>
      <c r="I272">
        <v>0.56659999999999999</v>
      </c>
      <c r="J272" s="28">
        <v>191.76580000000001</v>
      </c>
      <c r="K272" s="28">
        <v>369</v>
      </c>
      <c r="L272" s="28">
        <v>2021</v>
      </c>
    </row>
    <row r="273" spans="3:12" x14ac:dyDescent="0.25">
      <c r="C273" s="28" t="s">
        <v>2096</v>
      </c>
      <c r="D273" s="28" t="s">
        <v>2097</v>
      </c>
      <c r="E273" s="28">
        <v>0.54890000000000005</v>
      </c>
      <c r="F273" s="28">
        <v>193.06559999999999</v>
      </c>
      <c r="G273" s="28">
        <v>178</v>
      </c>
      <c r="H273" s="28">
        <v>0.91869999999999996</v>
      </c>
      <c r="I273">
        <v>0.57250000000000001</v>
      </c>
      <c r="J273" s="28">
        <v>191.76580000000001</v>
      </c>
      <c r="K273" s="28">
        <v>353</v>
      </c>
      <c r="L273" s="28">
        <v>2022</v>
      </c>
    </row>
    <row r="274" spans="3:12" x14ac:dyDescent="0.25">
      <c r="C274" s="28" t="s">
        <v>2096</v>
      </c>
      <c r="D274" s="28" t="s">
        <v>2097</v>
      </c>
      <c r="E274" s="28">
        <v>0.55220000000000002</v>
      </c>
      <c r="F274" s="28">
        <v>193.06559999999999</v>
      </c>
      <c r="G274" s="28">
        <v>171</v>
      </c>
      <c r="H274" s="28">
        <v>0.92769999999999997</v>
      </c>
      <c r="I274">
        <v>0.57930000000000004</v>
      </c>
      <c r="J274" s="28">
        <v>191.76580000000001</v>
      </c>
      <c r="K274" s="28">
        <v>319</v>
      </c>
      <c r="L274" s="28">
        <v>2023</v>
      </c>
    </row>
    <row r="275" spans="3:12" x14ac:dyDescent="0.25">
      <c r="C275" s="28" t="s">
        <v>2098</v>
      </c>
      <c r="D275" s="28" t="s">
        <v>2099</v>
      </c>
      <c r="E275" s="28">
        <v>0.36559999999999998</v>
      </c>
      <c r="F275" s="28">
        <v>32.3611</v>
      </c>
      <c r="G275" s="28">
        <v>436</v>
      </c>
      <c r="H275" s="28">
        <v>0.93830000000000002</v>
      </c>
      <c r="I275">
        <v>0.41799999999999998</v>
      </c>
      <c r="J275" s="28">
        <v>42.4251</v>
      </c>
      <c r="K275" s="28">
        <v>265</v>
      </c>
      <c r="L275" s="28">
        <v>2019</v>
      </c>
    </row>
    <row r="276" spans="3:12" x14ac:dyDescent="0.25">
      <c r="C276" s="28" t="s">
        <v>2098</v>
      </c>
      <c r="D276" s="28" t="s">
        <v>2099</v>
      </c>
      <c r="E276" s="28">
        <v>0.36599999999999999</v>
      </c>
      <c r="F276" s="28">
        <v>32.3611</v>
      </c>
      <c r="G276" s="28">
        <v>435</v>
      </c>
      <c r="H276" s="28">
        <v>0.94430000000000003</v>
      </c>
      <c r="I276">
        <v>0.42770000000000002</v>
      </c>
      <c r="J276" s="28">
        <v>42.4251</v>
      </c>
      <c r="K276" s="28">
        <v>240</v>
      </c>
      <c r="L276" s="28">
        <v>2020</v>
      </c>
    </row>
    <row r="277" spans="3:12" x14ac:dyDescent="0.25">
      <c r="C277" s="28" t="s">
        <v>2098</v>
      </c>
      <c r="D277" s="28" t="s">
        <v>2099</v>
      </c>
      <c r="E277" s="28">
        <v>0.36899999999999999</v>
      </c>
      <c r="F277" s="28">
        <v>32.3611</v>
      </c>
      <c r="G277" s="28">
        <v>434</v>
      </c>
      <c r="H277" s="28">
        <v>0.94869999999999999</v>
      </c>
      <c r="I277">
        <v>0.43669999999999998</v>
      </c>
      <c r="J277" s="28">
        <v>42.4251</v>
      </c>
      <c r="K277" s="28">
        <v>214</v>
      </c>
      <c r="L277" s="28">
        <v>2021</v>
      </c>
    </row>
    <row r="278" spans="3:12" x14ac:dyDescent="0.25">
      <c r="C278" s="28" t="s">
        <v>2098</v>
      </c>
      <c r="D278" s="28" t="s">
        <v>2099</v>
      </c>
      <c r="E278" s="28">
        <v>0.37040000000000001</v>
      </c>
      <c r="F278" s="28">
        <v>32.3611</v>
      </c>
      <c r="G278" s="28">
        <v>430</v>
      </c>
      <c r="H278" s="28">
        <v>0.95269999999999999</v>
      </c>
      <c r="I278">
        <v>0.4446</v>
      </c>
      <c r="J278" s="28">
        <v>42.4251</v>
      </c>
      <c r="K278" s="28">
        <v>203</v>
      </c>
      <c r="L278" s="28">
        <v>2022</v>
      </c>
    </row>
    <row r="279" spans="3:12" x14ac:dyDescent="0.25">
      <c r="C279" s="28" t="s">
        <v>2098</v>
      </c>
      <c r="D279" s="28" t="s">
        <v>2099</v>
      </c>
      <c r="E279" s="28">
        <v>0.375</v>
      </c>
      <c r="F279" s="28">
        <v>32.3611</v>
      </c>
      <c r="G279" s="28">
        <v>425</v>
      </c>
      <c r="H279" s="28">
        <v>0.96220000000000006</v>
      </c>
      <c r="I279">
        <v>0.45229999999999998</v>
      </c>
      <c r="J279" s="28">
        <v>42.4251</v>
      </c>
      <c r="K279" s="28">
        <v>161</v>
      </c>
      <c r="L279" s="28">
        <v>2023</v>
      </c>
    </row>
    <row r="280" spans="3:12" x14ac:dyDescent="0.25">
      <c r="C280" s="28" t="s">
        <v>2100</v>
      </c>
      <c r="D280" s="28" t="s">
        <v>2101</v>
      </c>
      <c r="E280" s="28">
        <v>0.71409999999999996</v>
      </c>
      <c r="F280" s="28">
        <v>196.3066</v>
      </c>
      <c r="G280" s="28">
        <v>64</v>
      </c>
      <c r="H280" s="28">
        <v>0.86650000000000005</v>
      </c>
      <c r="I280">
        <v>0.51190000000000002</v>
      </c>
      <c r="J280" s="28">
        <v>147.40870000000001</v>
      </c>
      <c r="K280" s="28">
        <v>446</v>
      </c>
      <c r="L280" s="28">
        <v>2019</v>
      </c>
    </row>
    <row r="281" spans="3:12" x14ac:dyDescent="0.25">
      <c r="C281" s="28" t="s">
        <v>2100</v>
      </c>
      <c r="D281" s="28" t="s">
        <v>2101</v>
      </c>
      <c r="E281" s="28">
        <v>0.71719999999999995</v>
      </c>
      <c r="F281" s="28">
        <v>196.3066</v>
      </c>
      <c r="G281" s="28">
        <v>61</v>
      </c>
      <c r="H281" s="28">
        <v>0.87129999999999996</v>
      </c>
      <c r="I281">
        <v>0.51680000000000004</v>
      </c>
      <c r="J281" s="28">
        <v>147.40870000000001</v>
      </c>
      <c r="K281" s="28">
        <v>442</v>
      </c>
      <c r="L281" s="28">
        <v>2020</v>
      </c>
    </row>
    <row r="282" spans="3:12" x14ac:dyDescent="0.25">
      <c r="C282" s="28" t="s">
        <v>2100</v>
      </c>
      <c r="D282" s="28" t="s">
        <v>2101</v>
      </c>
      <c r="E282" s="28">
        <v>0.72289999999999999</v>
      </c>
      <c r="F282" s="28">
        <v>196.3066</v>
      </c>
      <c r="G282" s="28">
        <v>57</v>
      </c>
      <c r="H282" s="28">
        <v>0.87619999999999998</v>
      </c>
      <c r="I282">
        <v>0.52170000000000005</v>
      </c>
      <c r="J282" s="28">
        <v>147.40870000000001</v>
      </c>
      <c r="K282" s="28">
        <v>439</v>
      </c>
      <c r="L282" s="28">
        <v>2021</v>
      </c>
    </row>
    <row r="283" spans="3:12" x14ac:dyDescent="0.25">
      <c r="C283" s="28" t="s">
        <v>2100</v>
      </c>
      <c r="D283" s="28" t="s">
        <v>2101</v>
      </c>
      <c r="E283" s="28">
        <v>0.72640000000000005</v>
      </c>
      <c r="F283" s="28">
        <v>196.3066</v>
      </c>
      <c r="G283" s="28">
        <v>55</v>
      </c>
      <c r="H283" s="28">
        <v>0.88919999999999999</v>
      </c>
      <c r="I283">
        <v>0.52729999999999999</v>
      </c>
      <c r="J283" s="28">
        <v>147.40870000000001</v>
      </c>
      <c r="K283" s="28">
        <v>422</v>
      </c>
      <c r="L283" s="28">
        <v>2022</v>
      </c>
    </row>
    <row r="284" spans="3:12" x14ac:dyDescent="0.25">
      <c r="C284" s="28" t="s">
        <v>2100</v>
      </c>
      <c r="D284" s="28" t="s">
        <v>2101</v>
      </c>
      <c r="E284" s="28">
        <v>0.73080000000000001</v>
      </c>
      <c r="F284" s="28">
        <v>196.3066</v>
      </c>
      <c r="G284" s="28">
        <v>51</v>
      </c>
      <c r="H284" s="28">
        <v>0.89490000000000003</v>
      </c>
      <c r="I284">
        <v>0.53210000000000002</v>
      </c>
      <c r="J284" s="28">
        <v>147.40870000000001</v>
      </c>
      <c r="K284" s="28">
        <v>413</v>
      </c>
      <c r="L284" s="28">
        <v>2023</v>
      </c>
    </row>
    <row r="285" spans="3:12" x14ac:dyDescent="0.25">
      <c r="C285" s="28" t="s">
        <v>2102</v>
      </c>
      <c r="D285" s="28" t="s">
        <v>2103</v>
      </c>
      <c r="E285" s="28">
        <v>0.72929999999999995</v>
      </c>
      <c r="F285" s="28">
        <v>216.37370000000001</v>
      </c>
      <c r="G285" s="28">
        <v>53</v>
      </c>
      <c r="H285" s="28">
        <v>0.97499999999999998</v>
      </c>
      <c r="I285">
        <v>0.58299999999999996</v>
      </c>
      <c r="J285" s="28">
        <v>124.82470000000001</v>
      </c>
      <c r="K285" s="28">
        <v>71</v>
      </c>
      <c r="L285" s="28">
        <v>2019</v>
      </c>
    </row>
    <row r="286" spans="3:12" x14ac:dyDescent="0.25">
      <c r="C286" s="28" t="s">
        <v>2102</v>
      </c>
      <c r="D286" s="28" t="s">
        <v>2103</v>
      </c>
      <c r="E286" s="28">
        <v>0.7349</v>
      </c>
      <c r="F286" s="28">
        <v>216.37370000000001</v>
      </c>
      <c r="G286" s="28">
        <v>49</v>
      </c>
      <c r="H286" s="28">
        <v>0.97570000000000001</v>
      </c>
      <c r="I286">
        <v>0.58679999999999999</v>
      </c>
      <c r="J286" s="28">
        <v>124.82470000000001</v>
      </c>
      <c r="K286" s="28">
        <v>67</v>
      </c>
      <c r="L286" s="28">
        <v>2020</v>
      </c>
    </row>
    <row r="287" spans="3:12" x14ac:dyDescent="0.25">
      <c r="C287" s="28" t="s">
        <v>2102</v>
      </c>
      <c r="D287" s="28" t="s">
        <v>2103</v>
      </c>
      <c r="E287" s="28">
        <v>0.74019999999999997</v>
      </c>
      <c r="F287" s="28">
        <v>216.37370000000001</v>
      </c>
      <c r="G287" s="28">
        <v>48</v>
      </c>
      <c r="H287" s="28">
        <v>0.97640000000000005</v>
      </c>
      <c r="I287">
        <v>0.58930000000000005</v>
      </c>
      <c r="J287" s="28">
        <v>124.82470000000001</v>
      </c>
      <c r="K287" s="28">
        <v>62</v>
      </c>
      <c r="L287" s="28">
        <v>2021</v>
      </c>
    </row>
    <row r="288" spans="3:12" x14ac:dyDescent="0.25">
      <c r="C288" s="28" t="s">
        <v>2102</v>
      </c>
      <c r="D288" s="28" t="s">
        <v>2103</v>
      </c>
      <c r="E288" s="28">
        <v>0.75090000000000001</v>
      </c>
      <c r="F288" s="28">
        <v>216.37370000000001</v>
      </c>
      <c r="G288" s="28">
        <v>47</v>
      </c>
      <c r="H288" s="28">
        <v>0.97699999999999998</v>
      </c>
      <c r="I288">
        <v>0.59189999999999998</v>
      </c>
      <c r="J288" s="28">
        <v>124.82470000000001</v>
      </c>
      <c r="K288" s="28">
        <v>59</v>
      </c>
      <c r="L288" s="28">
        <v>2022</v>
      </c>
    </row>
    <row r="289" spans="3:12" x14ac:dyDescent="0.25">
      <c r="C289" s="28" t="s">
        <v>2102</v>
      </c>
      <c r="D289" s="28" t="s">
        <v>2103</v>
      </c>
      <c r="E289" s="28">
        <v>0.75519999999999998</v>
      </c>
      <c r="F289" s="28">
        <v>216.37370000000001</v>
      </c>
      <c r="G289" s="28">
        <v>46</v>
      </c>
      <c r="H289" s="28">
        <v>0.97750000000000004</v>
      </c>
      <c r="I289">
        <v>0.59450000000000003</v>
      </c>
      <c r="J289" s="28">
        <v>124.82470000000001</v>
      </c>
      <c r="K289" s="28">
        <v>57</v>
      </c>
      <c r="L289" s="28">
        <v>2023</v>
      </c>
    </row>
    <row r="290" spans="3:12" x14ac:dyDescent="0.25">
      <c r="C290" s="28" t="s">
        <v>2104</v>
      </c>
      <c r="D290" s="28" t="s">
        <v>2105</v>
      </c>
      <c r="E290" s="28">
        <v>0.65369999999999995</v>
      </c>
      <c r="F290" s="28">
        <v>162.48269999999999</v>
      </c>
      <c r="G290" s="28">
        <v>112</v>
      </c>
      <c r="H290" s="28">
        <v>0.91959999999999997</v>
      </c>
      <c r="I290">
        <v>0.56440000000000001</v>
      </c>
      <c r="J290" s="28">
        <v>176.2988</v>
      </c>
      <c r="K290" s="28">
        <v>349</v>
      </c>
      <c r="L290" s="28">
        <v>2019</v>
      </c>
    </row>
    <row r="291" spans="3:12" x14ac:dyDescent="0.25">
      <c r="C291" s="28" t="s">
        <v>2104</v>
      </c>
      <c r="D291" s="28" t="s">
        <v>2105</v>
      </c>
      <c r="E291" s="28">
        <v>0.65920000000000001</v>
      </c>
      <c r="F291" s="28">
        <v>162.48269999999999</v>
      </c>
      <c r="G291" s="28">
        <v>108</v>
      </c>
      <c r="H291" s="28">
        <v>0.92400000000000004</v>
      </c>
      <c r="I291">
        <v>0.5696</v>
      </c>
      <c r="J291" s="28">
        <v>176.2988</v>
      </c>
      <c r="K291" s="28">
        <v>337</v>
      </c>
      <c r="L291" s="28">
        <v>2020</v>
      </c>
    </row>
    <row r="292" spans="3:12" x14ac:dyDescent="0.25">
      <c r="C292" s="28" t="s">
        <v>2104</v>
      </c>
      <c r="D292" s="28" t="s">
        <v>2105</v>
      </c>
      <c r="E292" s="28">
        <v>0.67390000000000005</v>
      </c>
      <c r="F292" s="28">
        <v>162.48269999999999</v>
      </c>
      <c r="G292" s="28">
        <v>93</v>
      </c>
      <c r="H292" s="28">
        <v>0.93820000000000003</v>
      </c>
      <c r="I292">
        <v>0.57720000000000005</v>
      </c>
      <c r="J292" s="28">
        <v>176.2988</v>
      </c>
      <c r="K292" s="28">
        <v>267</v>
      </c>
      <c r="L292" s="28">
        <v>2021</v>
      </c>
    </row>
    <row r="293" spans="3:12" x14ac:dyDescent="0.25">
      <c r="C293" s="28" t="s">
        <v>2104</v>
      </c>
      <c r="D293" s="28" t="s">
        <v>2105</v>
      </c>
      <c r="E293" s="28">
        <v>0.68079999999999996</v>
      </c>
      <c r="F293" s="28">
        <v>162.48269999999999</v>
      </c>
      <c r="G293" s="28">
        <v>89</v>
      </c>
      <c r="H293" s="28">
        <v>0.94240000000000002</v>
      </c>
      <c r="I293">
        <v>0.58530000000000004</v>
      </c>
      <c r="J293" s="28">
        <v>176.2988</v>
      </c>
      <c r="K293" s="28">
        <v>248</v>
      </c>
      <c r="L293" s="28">
        <v>2022</v>
      </c>
    </row>
    <row r="294" spans="3:12" x14ac:dyDescent="0.25">
      <c r="C294" s="28" t="s">
        <v>2104</v>
      </c>
      <c r="D294" s="28" t="s">
        <v>2105</v>
      </c>
      <c r="E294" s="28">
        <v>0.68510000000000004</v>
      </c>
      <c r="F294" s="28">
        <v>162.48269999999999</v>
      </c>
      <c r="G294" s="28">
        <v>84</v>
      </c>
      <c r="H294" s="28">
        <v>0.94630000000000003</v>
      </c>
      <c r="I294">
        <v>0.59279999999999999</v>
      </c>
      <c r="J294" s="28">
        <v>176.2988</v>
      </c>
      <c r="K294" s="28">
        <v>227</v>
      </c>
      <c r="L294" s="28">
        <v>2023</v>
      </c>
    </row>
    <row r="295" spans="3:12" x14ac:dyDescent="0.25">
      <c r="C295" s="28" t="s">
        <v>2106</v>
      </c>
      <c r="D295" s="28" t="s">
        <v>2107</v>
      </c>
      <c r="E295" s="28">
        <v>0.2296</v>
      </c>
      <c r="F295" s="28">
        <v>33.975000000000001</v>
      </c>
      <c r="G295" s="28">
        <v>480</v>
      </c>
      <c r="H295" s="28">
        <v>0.83030000000000004</v>
      </c>
      <c r="I295">
        <v>0.29580000000000001</v>
      </c>
      <c r="J295" s="28">
        <v>36.8446</v>
      </c>
      <c r="K295" s="28">
        <v>462</v>
      </c>
      <c r="L295" s="28">
        <v>2019</v>
      </c>
    </row>
    <row r="296" spans="3:12" x14ac:dyDescent="0.25">
      <c r="C296" s="28" t="s">
        <v>2106</v>
      </c>
      <c r="D296" s="28" t="s">
        <v>2107</v>
      </c>
      <c r="E296" s="28">
        <v>0.2334</v>
      </c>
      <c r="F296" s="28">
        <v>33.975000000000001</v>
      </c>
      <c r="G296" s="28">
        <v>479</v>
      </c>
      <c r="H296" s="28">
        <v>0.84750000000000003</v>
      </c>
      <c r="I296">
        <v>0.30890000000000001</v>
      </c>
      <c r="J296" s="28">
        <v>36.8446</v>
      </c>
      <c r="K296" s="28">
        <v>453</v>
      </c>
      <c r="L296" s="28">
        <v>2020</v>
      </c>
    </row>
    <row r="297" spans="3:12" x14ac:dyDescent="0.25">
      <c r="C297" s="28" t="s">
        <v>2106</v>
      </c>
      <c r="D297" s="28" t="s">
        <v>2107</v>
      </c>
      <c r="E297" s="28">
        <v>0.23580000000000001</v>
      </c>
      <c r="F297" s="28">
        <v>33.975000000000001</v>
      </c>
      <c r="G297" s="28">
        <v>478</v>
      </c>
      <c r="H297" s="28">
        <v>0.86780000000000002</v>
      </c>
      <c r="I297">
        <v>0.32600000000000001</v>
      </c>
      <c r="J297" s="28">
        <v>36.8446</v>
      </c>
      <c r="K297" s="28">
        <v>445</v>
      </c>
      <c r="L297" s="28">
        <v>2021</v>
      </c>
    </row>
    <row r="298" spans="3:12" x14ac:dyDescent="0.25">
      <c r="C298" s="28" t="s">
        <v>2106</v>
      </c>
      <c r="D298" s="28" t="s">
        <v>2107</v>
      </c>
      <c r="E298" s="28">
        <v>0.2379</v>
      </c>
      <c r="F298" s="28">
        <v>33.975000000000001</v>
      </c>
      <c r="G298" s="28">
        <v>477</v>
      </c>
      <c r="H298" s="28">
        <v>0.88249999999999995</v>
      </c>
      <c r="I298">
        <v>0.33900000000000002</v>
      </c>
      <c r="J298" s="28">
        <v>36.8446</v>
      </c>
      <c r="K298" s="28">
        <v>431</v>
      </c>
      <c r="L298" s="28">
        <v>2022</v>
      </c>
    </row>
    <row r="299" spans="3:12" x14ac:dyDescent="0.25">
      <c r="C299" s="28" t="s">
        <v>2106</v>
      </c>
      <c r="D299" s="28" t="s">
        <v>2107</v>
      </c>
      <c r="E299" s="28">
        <v>0.24399999999999999</v>
      </c>
      <c r="F299" s="28">
        <v>33.975000000000001</v>
      </c>
      <c r="G299" s="28">
        <v>476</v>
      </c>
      <c r="H299" s="28">
        <v>0.90549999999999997</v>
      </c>
      <c r="I299">
        <v>0.35270000000000001</v>
      </c>
      <c r="J299" s="28">
        <v>36.8446</v>
      </c>
      <c r="K299" s="28">
        <v>393</v>
      </c>
      <c r="L299" s="28">
        <v>2023</v>
      </c>
    </row>
    <row r="300" spans="3:12" x14ac:dyDescent="0.25">
      <c r="C300" s="28" t="s">
        <v>2108</v>
      </c>
      <c r="D300" s="28" t="s">
        <v>2109</v>
      </c>
      <c r="E300" s="28">
        <v>0.66690000000000005</v>
      </c>
      <c r="F300" s="28">
        <v>128.3151</v>
      </c>
      <c r="G300" s="28">
        <v>101</v>
      </c>
      <c r="H300" s="28">
        <v>0.86909999999999998</v>
      </c>
      <c r="I300">
        <v>0.43530000000000002</v>
      </c>
      <c r="J300" s="28">
        <v>119.38890000000001</v>
      </c>
      <c r="K300" s="28">
        <v>444</v>
      </c>
      <c r="L300" s="28">
        <v>2019</v>
      </c>
    </row>
    <row r="301" spans="3:12" x14ac:dyDescent="0.25">
      <c r="C301" s="28" t="s">
        <v>2108</v>
      </c>
      <c r="D301" s="28" t="s">
        <v>2109</v>
      </c>
      <c r="E301" s="28">
        <v>0.67210000000000003</v>
      </c>
      <c r="F301" s="28">
        <v>128.3151</v>
      </c>
      <c r="G301" s="28">
        <v>97</v>
      </c>
      <c r="H301" s="28">
        <v>0.873</v>
      </c>
      <c r="I301">
        <v>0.43980000000000002</v>
      </c>
      <c r="J301" s="28">
        <v>119.38890000000001</v>
      </c>
      <c r="K301" s="28">
        <v>441</v>
      </c>
      <c r="L301" s="28">
        <v>2020</v>
      </c>
    </row>
    <row r="302" spans="3:12" x14ac:dyDescent="0.25">
      <c r="C302" s="28" t="s">
        <v>2108</v>
      </c>
      <c r="D302" s="28" t="s">
        <v>2109</v>
      </c>
      <c r="E302" s="28">
        <v>0.6764</v>
      </c>
      <c r="F302" s="28">
        <v>128.3151</v>
      </c>
      <c r="G302" s="28">
        <v>92</v>
      </c>
      <c r="H302" s="28">
        <v>0.87829999999999997</v>
      </c>
      <c r="I302">
        <v>0.44569999999999999</v>
      </c>
      <c r="J302" s="28">
        <v>119.38890000000001</v>
      </c>
      <c r="K302" s="28">
        <v>437</v>
      </c>
      <c r="L302" s="28">
        <v>2021</v>
      </c>
    </row>
    <row r="303" spans="3:12" x14ac:dyDescent="0.25">
      <c r="C303" s="28" t="s">
        <v>2108</v>
      </c>
      <c r="D303" s="28" t="s">
        <v>2109</v>
      </c>
      <c r="E303" s="28">
        <v>0.68459999999999999</v>
      </c>
      <c r="F303" s="28">
        <v>128.3151</v>
      </c>
      <c r="G303" s="28">
        <v>85</v>
      </c>
      <c r="H303" s="28">
        <v>0.8831</v>
      </c>
      <c r="I303">
        <v>0.4516</v>
      </c>
      <c r="J303" s="28">
        <v>119.38890000000001</v>
      </c>
      <c r="K303" s="28">
        <v>430</v>
      </c>
      <c r="L303" s="28">
        <v>2022</v>
      </c>
    </row>
    <row r="304" spans="3:12" x14ac:dyDescent="0.25">
      <c r="C304" s="28" t="s">
        <v>2108</v>
      </c>
      <c r="D304" s="28" t="s">
        <v>2109</v>
      </c>
      <c r="E304" s="28">
        <v>0.69110000000000005</v>
      </c>
      <c r="F304" s="28">
        <v>128.3151</v>
      </c>
      <c r="G304" s="28">
        <v>80</v>
      </c>
      <c r="H304" s="28">
        <v>0.88749999999999996</v>
      </c>
      <c r="I304">
        <v>0.45729999999999998</v>
      </c>
      <c r="J304" s="28">
        <v>119.38890000000001</v>
      </c>
      <c r="K304" s="28">
        <v>426</v>
      </c>
      <c r="L304" s="28">
        <v>2023</v>
      </c>
    </row>
    <row r="305" spans="3:12" x14ac:dyDescent="0.25">
      <c r="C305" s="28" t="s">
        <v>2110</v>
      </c>
      <c r="D305" s="28" t="s">
        <v>2111</v>
      </c>
      <c r="E305" s="28">
        <v>0.55510000000000004</v>
      </c>
      <c r="F305" s="28">
        <v>71.576300000000003</v>
      </c>
      <c r="G305" s="28">
        <v>169</v>
      </c>
      <c r="H305" s="28">
        <v>0.97050000000000003</v>
      </c>
      <c r="I305">
        <v>0.45019999999999999</v>
      </c>
      <c r="J305" s="28">
        <v>66.485200000000006</v>
      </c>
      <c r="K305" s="28">
        <v>100</v>
      </c>
      <c r="L305" s="28">
        <v>2019</v>
      </c>
    </row>
    <row r="306" spans="3:12" x14ac:dyDescent="0.25">
      <c r="C306" s="28" t="s">
        <v>2110</v>
      </c>
      <c r="D306" s="28" t="s">
        <v>2111</v>
      </c>
      <c r="E306" s="28">
        <v>0.56940000000000002</v>
      </c>
      <c r="F306" s="28">
        <v>71.576300000000003</v>
      </c>
      <c r="G306" s="28">
        <v>156</v>
      </c>
      <c r="H306" s="28">
        <v>0.97189999999999999</v>
      </c>
      <c r="I306">
        <v>0.4582</v>
      </c>
      <c r="J306" s="28">
        <v>66.485200000000006</v>
      </c>
      <c r="K306" s="28">
        <v>90</v>
      </c>
      <c r="L306" s="28">
        <v>2020</v>
      </c>
    </row>
    <row r="307" spans="3:12" x14ac:dyDescent="0.25">
      <c r="C307" s="28" t="s">
        <v>2110</v>
      </c>
      <c r="D307" s="28" t="s">
        <v>2111</v>
      </c>
      <c r="E307" s="28">
        <v>0.58420000000000005</v>
      </c>
      <c r="F307" s="28">
        <v>71.576300000000003</v>
      </c>
      <c r="G307" s="28">
        <v>149</v>
      </c>
      <c r="H307" s="28">
        <v>0.97319999999999995</v>
      </c>
      <c r="I307">
        <v>0.46629999999999999</v>
      </c>
      <c r="J307" s="28">
        <v>66.485200000000006</v>
      </c>
      <c r="K307" s="28">
        <v>80</v>
      </c>
      <c r="L307" s="28">
        <v>2021</v>
      </c>
    </row>
    <row r="308" spans="3:12" x14ac:dyDescent="0.25">
      <c r="C308" s="28" t="s">
        <v>2110</v>
      </c>
      <c r="D308" s="28" t="s">
        <v>2111</v>
      </c>
      <c r="E308" s="28">
        <v>0.58950000000000002</v>
      </c>
      <c r="F308" s="28">
        <v>71.576300000000003</v>
      </c>
      <c r="G308" s="28">
        <v>148</v>
      </c>
      <c r="H308" s="28">
        <v>0.97799999999999998</v>
      </c>
      <c r="I308">
        <v>0.4743</v>
      </c>
      <c r="J308" s="28">
        <v>66.485200000000006</v>
      </c>
      <c r="K308" s="28">
        <v>55</v>
      </c>
      <c r="L308" s="28">
        <v>2022</v>
      </c>
    </row>
    <row r="309" spans="3:12" x14ac:dyDescent="0.25">
      <c r="C309" s="28" t="s">
        <v>2110</v>
      </c>
      <c r="D309" s="28" t="s">
        <v>2111</v>
      </c>
      <c r="E309" s="28">
        <v>0.60219999999999996</v>
      </c>
      <c r="F309" s="28">
        <v>71.576300000000003</v>
      </c>
      <c r="G309" s="28">
        <v>143</v>
      </c>
      <c r="H309" s="28">
        <v>0.97870000000000001</v>
      </c>
      <c r="I309">
        <v>0.48110000000000003</v>
      </c>
      <c r="J309" s="28">
        <v>66.485200000000006</v>
      </c>
      <c r="K309" s="28">
        <v>50</v>
      </c>
      <c r="L309" s="28">
        <v>2023</v>
      </c>
    </row>
    <row r="310" spans="3:12" x14ac:dyDescent="0.25">
      <c r="C310" s="28" t="s">
        <v>2112</v>
      </c>
      <c r="D310" s="28" t="s">
        <v>2113</v>
      </c>
      <c r="E310" s="28">
        <v>0.50790000000000002</v>
      </c>
      <c r="F310" s="28">
        <v>82.8583</v>
      </c>
      <c r="G310" s="28">
        <v>237</v>
      </c>
      <c r="H310" s="28">
        <v>0.91010000000000002</v>
      </c>
      <c r="I310">
        <v>0.37509999999999999</v>
      </c>
      <c r="J310" s="28">
        <v>56.852200000000003</v>
      </c>
      <c r="K310" s="28">
        <v>377</v>
      </c>
      <c r="L310" s="28">
        <v>2019</v>
      </c>
    </row>
    <row r="311" spans="3:12" x14ac:dyDescent="0.25">
      <c r="C311" s="28" t="s">
        <v>2112</v>
      </c>
      <c r="D311" s="28" t="s">
        <v>2113</v>
      </c>
      <c r="E311" s="28">
        <v>0.51439999999999997</v>
      </c>
      <c r="F311" s="28">
        <v>82.8583</v>
      </c>
      <c r="G311" s="28">
        <v>230</v>
      </c>
      <c r="H311" s="28">
        <v>0.91869999999999996</v>
      </c>
      <c r="I311">
        <v>0.3821</v>
      </c>
      <c r="J311" s="28">
        <v>56.852200000000003</v>
      </c>
      <c r="K311" s="28">
        <v>353</v>
      </c>
      <c r="L311" s="28">
        <v>2020</v>
      </c>
    </row>
    <row r="312" spans="3:12" x14ac:dyDescent="0.25">
      <c r="C312" s="28" t="s">
        <v>2112</v>
      </c>
      <c r="D312" s="28" t="s">
        <v>2113</v>
      </c>
      <c r="E312" s="28">
        <v>0.52400000000000002</v>
      </c>
      <c r="F312" s="28">
        <v>82.8583</v>
      </c>
      <c r="G312" s="28">
        <v>214</v>
      </c>
      <c r="H312" s="28">
        <v>0.9264</v>
      </c>
      <c r="I312">
        <v>0.38969999999999999</v>
      </c>
      <c r="J312" s="28">
        <v>56.852200000000003</v>
      </c>
      <c r="K312" s="28">
        <v>331</v>
      </c>
      <c r="L312" s="28">
        <v>2021</v>
      </c>
    </row>
    <row r="313" spans="3:12" x14ac:dyDescent="0.25">
      <c r="C313" s="28" t="s">
        <v>2112</v>
      </c>
      <c r="D313" s="28" t="s">
        <v>2113</v>
      </c>
      <c r="E313" s="28">
        <v>0.53129999999999999</v>
      </c>
      <c r="F313" s="28">
        <v>82.8583</v>
      </c>
      <c r="G313" s="28">
        <v>206</v>
      </c>
      <c r="H313" s="28">
        <v>0.94269999999999998</v>
      </c>
      <c r="I313">
        <v>0.3967</v>
      </c>
      <c r="J313" s="28">
        <v>56.852200000000003</v>
      </c>
      <c r="K313" s="28">
        <v>247</v>
      </c>
      <c r="L313" s="28">
        <v>2022</v>
      </c>
    </row>
    <row r="314" spans="3:12" x14ac:dyDescent="0.25">
      <c r="C314" s="28" t="s">
        <v>2112</v>
      </c>
      <c r="D314" s="28" t="s">
        <v>2113</v>
      </c>
      <c r="E314" s="28">
        <v>0.53790000000000004</v>
      </c>
      <c r="F314" s="28">
        <v>82.8583</v>
      </c>
      <c r="G314" s="28">
        <v>195</v>
      </c>
      <c r="H314" s="28">
        <v>0.94789999999999996</v>
      </c>
      <c r="I314">
        <v>0.40250000000000002</v>
      </c>
      <c r="J314" s="28">
        <v>56.852200000000003</v>
      </c>
      <c r="K314" s="28">
        <v>223</v>
      </c>
      <c r="L314" s="28">
        <v>2023</v>
      </c>
    </row>
    <row r="315" spans="3:12" x14ac:dyDescent="0.25">
      <c r="C315" s="28" t="s">
        <v>2114</v>
      </c>
      <c r="D315" s="28" t="s">
        <v>2115</v>
      </c>
      <c r="E315" s="28">
        <v>0.51439999999999997</v>
      </c>
      <c r="F315" s="28">
        <v>68.5685</v>
      </c>
      <c r="G315" s="28">
        <v>230</v>
      </c>
      <c r="H315" s="28">
        <v>0.90780000000000005</v>
      </c>
      <c r="I315">
        <v>0.35520000000000002</v>
      </c>
      <c r="J315" s="28">
        <v>49.902299999999997</v>
      </c>
      <c r="K315" s="28">
        <v>386</v>
      </c>
      <c r="L315" s="28">
        <v>2019</v>
      </c>
    </row>
    <row r="316" spans="3:12" x14ac:dyDescent="0.25">
      <c r="C316" s="28" t="s">
        <v>2114</v>
      </c>
      <c r="D316" s="28" t="s">
        <v>2115</v>
      </c>
      <c r="E316" s="28">
        <v>0.51829999999999998</v>
      </c>
      <c r="F316" s="28">
        <v>68.5685</v>
      </c>
      <c r="G316" s="28">
        <v>224</v>
      </c>
      <c r="H316" s="28">
        <v>0.91600000000000004</v>
      </c>
      <c r="I316">
        <v>0.36159999999999998</v>
      </c>
      <c r="J316" s="28">
        <v>49.902299999999997</v>
      </c>
      <c r="K316" s="28">
        <v>361</v>
      </c>
      <c r="L316" s="28">
        <v>2020</v>
      </c>
    </row>
    <row r="317" spans="3:12" x14ac:dyDescent="0.25">
      <c r="C317" s="28" t="s">
        <v>2114</v>
      </c>
      <c r="D317" s="28" t="s">
        <v>2115</v>
      </c>
      <c r="E317" s="28">
        <v>0.52239999999999998</v>
      </c>
      <c r="F317" s="28">
        <v>68.5685</v>
      </c>
      <c r="G317" s="28">
        <v>215</v>
      </c>
      <c r="H317" s="28">
        <v>0.92310000000000003</v>
      </c>
      <c r="I317">
        <v>0.36919999999999997</v>
      </c>
      <c r="J317" s="28">
        <v>49.902299999999997</v>
      </c>
      <c r="K317" s="28">
        <v>339</v>
      </c>
      <c r="L317" s="28">
        <v>2021</v>
      </c>
    </row>
    <row r="318" spans="3:12" x14ac:dyDescent="0.25">
      <c r="C318" s="28" t="s">
        <v>2114</v>
      </c>
      <c r="D318" s="28" t="s">
        <v>2115</v>
      </c>
      <c r="E318" s="28">
        <v>0.52700000000000002</v>
      </c>
      <c r="F318" s="28">
        <v>68.5685</v>
      </c>
      <c r="G318" s="28">
        <v>209</v>
      </c>
      <c r="H318" s="28">
        <v>0.93179999999999996</v>
      </c>
      <c r="I318">
        <v>0.37490000000000001</v>
      </c>
      <c r="J318" s="28">
        <v>49.902299999999997</v>
      </c>
      <c r="K318" s="28">
        <v>304</v>
      </c>
      <c r="L318" s="28">
        <v>2022</v>
      </c>
    </row>
    <row r="319" spans="3:12" x14ac:dyDescent="0.25">
      <c r="C319" s="28" t="s">
        <v>2114</v>
      </c>
      <c r="D319" s="28" t="s">
        <v>2115</v>
      </c>
      <c r="E319" s="28">
        <v>0.53349999999999997</v>
      </c>
      <c r="F319" s="28">
        <v>68.5685</v>
      </c>
      <c r="G319" s="28">
        <v>202</v>
      </c>
      <c r="H319" s="28">
        <v>0.93530000000000002</v>
      </c>
      <c r="I319">
        <v>0.3821</v>
      </c>
      <c r="J319" s="28">
        <v>49.902299999999997</v>
      </c>
      <c r="K319" s="28">
        <v>284</v>
      </c>
      <c r="L319" s="28">
        <v>2023</v>
      </c>
    </row>
    <row r="320" spans="3:12" x14ac:dyDescent="0.25">
      <c r="C320" s="28" t="s">
        <v>2116</v>
      </c>
      <c r="D320" s="28" t="s">
        <v>2117</v>
      </c>
      <c r="E320" s="28">
        <v>0.63139999999999996</v>
      </c>
      <c r="F320" s="28">
        <v>121.4509</v>
      </c>
      <c r="G320" s="28">
        <v>128</v>
      </c>
      <c r="H320" s="28">
        <v>0.97150000000000003</v>
      </c>
      <c r="I320">
        <v>0.59750000000000003</v>
      </c>
      <c r="J320" s="28">
        <v>85.026200000000003</v>
      </c>
      <c r="K320" s="28">
        <v>95</v>
      </c>
      <c r="L320" s="28">
        <v>2019</v>
      </c>
    </row>
    <row r="321" spans="3:12" x14ac:dyDescent="0.25">
      <c r="C321" s="28" t="s">
        <v>2116</v>
      </c>
      <c r="D321" s="28" t="s">
        <v>2117</v>
      </c>
      <c r="E321" s="28">
        <v>0.6351</v>
      </c>
      <c r="F321" s="28">
        <v>121.4509</v>
      </c>
      <c r="G321" s="28">
        <v>125</v>
      </c>
      <c r="H321" s="28">
        <v>0.97270000000000001</v>
      </c>
      <c r="I321">
        <v>0.60199999999999998</v>
      </c>
      <c r="J321" s="28">
        <v>85.026200000000003</v>
      </c>
      <c r="K321" s="28">
        <v>83</v>
      </c>
      <c r="L321" s="28">
        <v>2020</v>
      </c>
    </row>
    <row r="322" spans="3:12" x14ac:dyDescent="0.25">
      <c r="C322" s="28" t="s">
        <v>2116</v>
      </c>
      <c r="D322" s="28" t="s">
        <v>2117</v>
      </c>
      <c r="E322" s="28">
        <v>0.63880000000000003</v>
      </c>
      <c r="F322" s="28">
        <v>121.4509</v>
      </c>
      <c r="G322" s="28">
        <v>123</v>
      </c>
      <c r="H322" s="28">
        <v>0.9748</v>
      </c>
      <c r="I322">
        <v>0.60740000000000005</v>
      </c>
      <c r="J322" s="28">
        <v>85.026200000000003</v>
      </c>
      <c r="K322" s="28">
        <v>73</v>
      </c>
      <c r="L322" s="28">
        <v>2021</v>
      </c>
    </row>
    <row r="323" spans="3:12" x14ac:dyDescent="0.25">
      <c r="C323" s="28" t="s">
        <v>2116</v>
      </c>
      <c r="D323" s="28" t="s">
        <v>2117</v>
      </c>
      <c r="E323" s="28">
        <v>0.64059999999999995</v>
      </c>
      <c r="F323" s="28">
        <v>121.4509</v>
      </c>
      <c r="G323" s="28">
        <v>121</v>
      </c>
      <c r="H323" s="28">
        <v>0.97640000000000005</v>
      </c>
      <c r="I323">
        <v>0.61260000000000003</v>
      </c>
      <c r="J323" s="28">
        <v>85.026200000000003</v>
      </c>
      <c r="K323" s="28">
        <v>62</v>
      </c>
      <c r="L323" s="28">
        <v>2022</v>
      </c>
    </row>
    <row r="324" spans="3:12" x14ac:dyDescent="0.25">
      <c r="C324" s="28" t="s">
        <v>2116</v>
      </c>
      <c r="D324" s="28" t="s">
        <v>2117</v>
      </c>
      <c r="E324" s="28">
        <v>0.64670000000000005</v>
      </c>
      <c r="F324" s="28">
        <v>121.4509</v>
      </c>
      <c r="G324" s="28">
        <v>115</v>
      </c>
      <c r="H324" s="28">
        <v>0.97850000000000004</v>
      </c>
      <c r="I324">
        <v>0.61770000000000003</v>
      </c>
      <c r="J324" s="28">
        <v>85.026200000000003</v>
      </c>
      <c r="K324" s="28">
        <v>52</v>
      </c>
      <c r="L324" s="28">
        <v>2023</v>
      </c>
    </row>
    <row r="325" spans="3:12" x14ac:dyDescent="0.25">
      <c r="C325" s="28" t="s">
        <v>2118</v>
      </c>
      <c r="D325" s="28" t="s">
        <v>2119</v>
      </c>
      <c r="E325" s="28">
        <v>0.55000000000000004</v>
      </c>
      <c r="F325" s="28">
        <v>871.46709999999996</v>
      </c>
      <c r="G325" s="28">
        <v>176</v>
      </c>
      <c r="H325" s="28">
        <v>0.96289999999999998</v>
      </c>
      <c r="I325">
        <v>0.42699999999999999</v>
      </c>
      <c r="J325" s="28">
        <v>737.02750000000003</v>
      </c>
      <c r="K325" s="28">
        <v>159</v>
      </c>
      <c r="L325" s="28">
        <v>2019</v>
      </c>
    </row>
    <row r="326" spans="3:12" x14ac:dyDescent="0.25">
      <c r="C326" s="28" t="s">
        <v>2118</v>
      </c>
      <c r="D326" s="28" t="s">
        <v>2119</v>
      </c>
      <c r="E326" s="28">
        <v>0.56089999999999995</v>
      </c>
      <c r="F326" s="28">
        <v>871.46709999999996</v>
      </c>
      <c r="G326" s="28">
        <v>164</v>
      </c>
      <c r="H326" s="28">
        <v>0.96399999999999997</v>
      </c>
      <c r="I326">
        <v>0.43120000000000003</v>
      </c>
      <c r="J326" s="28">
        <v>737.02750000000003</v>
      </c>
      <c r="K326" s="28">
        <v>151</v>
      </c>
      <c r="L326" s="28">
        <v>2020</v>
      </c>
    </row>
    <row r="327" spans="3:12" x14ac:dyDescent="0.25">
      <c r="C327" s="28" t="s">
        <v>2118</v>
      </c>
      <c r="D327" s="28" t="s">
        <v>2119</v>
      </c>
      <c r="E327" s="28">
        <v>0.5655</v>
      </c>
      <c r="F327" s="28">
        <v>871.46709999999996</v>
      </c>
      <c r="G327" s="28">
        <v>158</v>
      </c>
      <c r="H327" s="28">
        <v>0.96609999999999996</v>
      </c>
      <c r="I327">
        <v>0.43659999999999999</v>
      </c>
      <c r="J327" s="28">
        <v>737.02750000000003</v>
      </c>
      <c r="K327" s="28">
        <v>136</v>
      </c>
      <c r="L327" s="28">
        <v>2021</v>
      </c>
    </row>
    <row r="328" spans="3:12" x14ac:dyDescent="0.25">
      <c r="C328" s="28" t="s">
        <v>2118</v>
      </c>
      <c r="D328" s="28" t="s">
        <v>2119</v>
      </c>
      <c r="E328" s="28">
        <v>0.56989999999999996</v>
      </c>
      <c r="F328" s="28">
        <v>871.46709999999996</v>
      </c>
      <c r="G328" s="28">
        <v>155</v>
      </c>
      <c r="H328" s="28">
        <v>0.96750000000000003</v>
      </c>
      <c r="I328">
        <v>0.44319999999999998</v>
      </c>
      <c r="J328" s="28">
        <v>737.02750000000003</v>
      </c>
      <c r="K328" s="28">
        <v>126</v>
      </c>
      <c r="L328" s="28">
        <v>2022</v>
      </c>
    </row>
    <row r="329" spans="3:12" x14ac:dyDescent="0.25">
      <c r="C329" s="28" t="s">
        <v>2118</v>
      </c>
      <c r="D329" s="28" t="s">
        <v>2119</v>
      </c>
      <c r="E329" s="28">
        <v>0.57489999999999997</v>
      </c>
      <c r="F329" s="28">
        <v>871.46709999999996</v>
      </c>
      <c r="G329" s="28">
        <v>152</v>
      </c>
      <c r="H329" s="28">
        <v>0.96889999999999998</v>
      </c>
      <c r="I329">
        <v>0.44819999999999999</v>
      </c>
      <c r="J329" s="28">
        <v>737.02750000000003</v>
      </c>
      <c r="K329" s="28">
        <v>112</v>
      </c>
      <c r="L329" s="28">
        <v>2023</v>
      </c>
    </row>
    <row r="330" spans="3:12" x14ac:dyDescent="0.25">
      <c r="C330" s="28" t="s">
        <v>2120</v>
      </c>
      <c r="D330" s="28" t="s">
        <v>2121</v>
      </c>
      <c r="E330" s="28">
        <v>0.70740000000000003</v>
      </c>
      <c r="F330" s="28">
        <v>197.16730000000001</v>
      </c>
      <c r="G330" s="28">
        <v>70</v>
      </c>
      <c r="H330" s="28">
        <v>0.96209999999999996</v>
      </c>
      <c r="I330">
        <v>0.56200000000000006</v>
      </c>
      <c r="J330" s="28">
        <v>122.54649999999999</v>
      </c>
      <c r="K330" s="28">
        <v>162</v>
      </c>
      <c r="L330" s="28">
        <v>2019</v>
      </c>
    </row>
    <row r="331" spans="3:12" x14ac:dyDescent="0.25">
      <c r="C331" s="28" t="s">
        <v>2120</v>
      </c>
      <c r="D331" s="28" t="s">
        <v>2121</v>
      </c>
      <c r="E331" s="28">
        <v>0.70889999999999997</v>
      </c>
      <c r="F331" s="28">
        <v>197.16730000000001</v>
      </c>
      <c r="G331" s="28">
        <v>69</v>
      </c>
      <c r="H331" s="28">
        <v>0.96330000000000005</v>
      </c>
      <c r="I331">
        <v>0.56669999999999998</v>
      </c>
      <c r="J331" s="28">
        <v>122.54649999999999</v>
      </c>
      <c r="K331" s="28">
        <v>156</v>
      </c>
      <c r="L331" s="28">
        <v>2020</v>
      </c>
    </row>
    <row r="332" spans="3:12" x14ac:dyDescent="0.25">
      <c r="C332" s="28" t="s">
        <v>2120</v>
      </c>
      <c r="D332" s="28" t="s">
        <v>2121</v>
      </c>
      <c r="E332" s="28">
        <v>0.71389999999999998</v>
      </c>
      <c r="F332" s="28">
        <v>197.16730000000001</v>
      </c>
      <c r="G332" s="28">
        <v>65</v>
      </c>
      <c r="H332" s="28">
        <v>0.96460000000000001</v>
      </c>
      <c r="I332">
        <v>0.57130000000000003</v>
      </c>
      <c r="J332" s="28">
        <v>122.54649999999999</v>
      </c>
      <c r="K332" s="28">
        <v>149</v>
      </c>
      <c r="L332" s="28">
        <v>2021</v>
      </c>
    </row>
    <row r="333" spans="3:12" x14ac:dyDescent="0.25">
      <c r="C333" s="28" t="s">
        <v>2120</v>
      </c>
      <c r="D333" s="28" t="s">
        <v>2121</v>
      </c>
      <c r="E333" s="28">
        <v>0.71830000000000005</v>
      </c>
      <c r="F333" s="28">
        <v>197.16730000000001</v>
      </c>
      <c r="G333" s="28">
        <v>60</v>
      </c>
      <c r="H333" s="28">
        <v>0.96589999999999998</v>
      </c>
      <c r="I333">
        <v>0.57550000000000001</v>
      </c>
      <c r="J333" s="28">
        <v>122.54649999999999</v>
      </c>
      <c r="K333" s="28">
        <v>140</v>
      </c>
      <c r="L333" s="28">
        <v>2022</v>
      </c>
    </row>
    <row r="334" spans="3:12" x14ac:dyDescent="0.25">
      <c r="C334" s="28" t="s">
        <v>2120</v>
      </c>
      <c r="D334" s="28" t="s">
        <v>2121</v>
      </c>
      <c r="E334" s="28">
        <v>0.72450000000000003</v>
      </c>
      <c r="F334" s="28">
        <v>197.16730000000001</v>
      </c>
      <c r="G334" s="28">
        <v>56</v>
      </c>
      <c r="H334" s="28">
        <v>0.9677</v>
      </c>
      <c r="I334">
        <v>0.57979999999999998</v>
      </c>
      <c r="J334" s="28">
        <v>122.54649999999999</v>
      </c>
      <c r="K334" s="28">
        <v>123</v>
      </c>
      <c r="L334" s="28">
        <v>2023</v>
      </c>
    </row>
    <row r="335" spans="3:12" x14ac:dyDescent="0.25">
      <c r="C335" s="28" t="s">
        <v>2122</v>
      </c>
      <c r="D335" s="28" t="s">
        <v>2123</v>
      </c>
      <c r="E335" s="28">
        <v>0.66100000000000003</v>
      </c>
      <c r="F335" s="28">
        <v>246.17779999999999</v>
      </c>
      <c r="G335" s="28">
        <v>106</v>
      </c>
      <c r="H335" s="28">
        <v>0.96589999999999998</v>
      </c>
      <c r="I335">
        <v>0.61429999999999996</v>
      </c>
      <c r="J335" s="28">
        <v>153.81120000000001</v>
      </c>
      <c r="K335" s="28">
        <v>140</v>
      </c>
      <c r="L335" s="28">
        <v>2019</v>
      </c>
    </row>
    <row r="336" spans="3:12" x14ac:dyDescent="0.25">
      <c r="C336" s="28" t="s">
        <v>2122</v>
      </c>
      <c r="D336" s="28" t="s">
        <v>2123</v>
      </c>
      <c r="E336" s="28">
        <v>0.66439999999999999</v>
      </c>
      <c r="F336" s="28">
        <v>246.17779999999999</v>
      </c>
      <c r="G336" s="28">
        <v>104</v>
      </c>
      <c r="H336" s="28">
        <v>0.9677</v>
      </c>
      <c r="I336">
        <v>0.61909999999999998</v>
      </c>
      <c r="J336" s="28">
        <v>153.81120000000001</v>
      </c>
      <c r="K336" s="28">
        <v>123</v>
      </c>
      <c r="L336" s="28">
        <v>2020</v>
      </c>
    </row>
    <row r="337" spans="3:12" x14ac:dyDescent="0.25">
      <c r="C337" s="28" t="s">
        <v>2122</v>
      </c>
      <c r="D337" s="28" t="s">
        <v>2123</v>
      </c>
      <c r="E337" s="28">
        <v>0.66920000000000002</v>
      </c>
      <c r="F337" s="28">
        <v>246.17779999999999</v>
      </c>
      <c r="G337" s="28">
        <v>98</v>
      </c>
      <c r="H337" s="28">
        <v>0.96960000000000002</v>
      </c>
      <c r="I337">
        <v>0.62460000000000004</v>
      </c>
      <c r="J337" s="28">
        <v>153.81120000000001</v>
      </c>
      <c r="K337" s="28">
        <v>106</v>
      </c>
      <c r="L337" s="28">
        <v>2021</v>
      </c>
    </row>
    <row r="338" spans="3:12" x14ac:dyDescent="0.25">
      <c r="C338" s="28" t="s">
        <v>2122</v>
      </c>
      <c r="D338" s="28" t="s">
        <v>2123</v>
      </c>
      <c r="E338" s="28">
        <v>0.66890000000000005</v>
      </c>
      <c r="F338" s="28">
        <v>246.17779999999999</v>
      </c>
      <c r="G338" s="28">
        <v>99</v>
      </c>
      <c r="H338" s="28">
        <v>0.97160000000000002</v>
      </c>
      <c r="I338">
        <v>0.63049999999999995</v>
      </c>
      <c r="J338" s="28">
        <v>153.81120000000001</v>
      </c>
      <c r="K338" s="28">
        <v>93</v>
      </c>
      <c r="L338" s="28">
        <v>2022</v>
      </c>
    </row>
    <row r="339" spans="3:12" x14ac:dyDescent="0.25">
      <c r="C339" s="28" t="s">
        <v>2122</v>
      </c>
      <c r="D339" s="28" t="s">
        <v>2123</v>
      </c>
      <c r="E339" s="28">
        <v>0.6724</v>
      </c>
      <c r="F339" s="28">
        <v>246.17779999999999</v>
      </c>
      <c r="G339" s="28">
        <v>96</v>
      </c>
      <c r="H339" s="28">
        <v>0.97550000000000003</v>
      </c>
      <c r="I339">
        <v>0.63639999999999997</v>
      </c>
      <c r="J339" s="28">
        <v>153.81120000000001</v>
      </c>
      <c r="K339" s="28">
        <v>68</v>
      </c>
      <c r="L339" s="28">
        <v>2023</v>
      </c>
    </row>
    <row r="340" spans="3:12" x14ac:dyDescent="0.25">
      <c r="C340" s="28" t="s">
        <v>2124</v>
      </c>
      <c r="D340" s="28" t="s">
        <v>2125</v>
      </c>
      <c r="E340" s="28">
        <v>0.43930000000000002</v>
      </c>
      <c r="F340" s="28">
        <v>58.793900000000001</v>
      </c>
      <c r="G340" s="28">
        <v>330</v>
      </c>
      <c r="H340" s="28">
        <v>0.97509999999999997</v>
      </c>
      <c r="I340">
        <v>0.26429999999999998</v>
      </c>
      <c r="J340" s="28">
        <v>39.812600000000003</v>
      </c>
      <c r="K340" s="28">
        <v>70</v>
      </c>
      <c r="L340" s="28">
        <v>2019</v>
      </c>
    </row>
    <row r="341" spans="3:12" x14ac:dyDescent="0.25">
      <c r="C341" s="28" t="s">
        <v>2124</v>
      </c>
      <c r="D341" s="28" t="s">
        <v>2125</v>
      </c>
      <c r="E341" s="28">
        <v>0.45379999999999998</v>
      </c>
      <c r="F341" s="28">
        <v>58.793900000000001</v>
      </c>
      <c r="G341" s="28">
        <v>305</v>
      </c>
      <c r="H341" s="28">
        <v>0.97699999999999998</v>
      </c>
      <c r="I341">
        <v>0.27110000000000001</v>
      </c>
      <c r="J341" s="28">
        <v>39.812600000000003</v>
      </c>
      <c r="K341" s="28">
        <v>59</v>
      </c>
      <c r="L341" s="28">
        <v>2020</v>
      </c>
    </row>
    <row r="342" spans="3:12" x14ac:dyDescent="0.25">
      <c r="C342" s="28" t="s">
        <v>2124</v>
      </c>
      <c r="D342" s="28" t="s">
        <v>2125</v>
      </c>
      <c r="E342" s="28">
        <v>0.46350000000000002</v>
      </c>
      <c r="F342" s="28">
        <v>58.793900000000001</v>
      </c>
      <c r="G342" s="28">
        <v>288</v>
      </c>
      <c r="H342" s="28">
        <v>0.97860000000000003</v>
      </c>
      <c r="I342">
        <v>0.27760000000000001</v>
      </c>
      <c r="J342" s="28">
        <v>39.812600000000003</v>
      </c>
      <c r="K342" s="28">
        <v>51</v>
      </c>
      <c r="L342" s="28">
        <v>2021</v>
      </c>
    </row>
    <row r="343" spans="3:12" x14ac:dyDescent="0.25">
      <c r="C343" s="28" t="s">
        <v>2124</v>
      </c>
      <c r="D343" s="28" t="s">
        <v>2125</v>
      </c>
      <c r="E343" s="28">
        <v>0.47310000000000002</v>
      </c>
      <c r="F343" s="28">
        <v>58.793900000000001</v>
      </c>
      <c r="G343" s="28">
        <v>269</v>
      </c>
      <c r="H343" s="28">
        <v>0.98199999999999998</v>
      </c>
      <c r="I343">
        <v>0.2848</v>
      </c>
      <c r="J343" s="28">
        <v>39.812600000000003</v>
      </c>
      <c r="K343" s="28">
        <v>36</v>
      </c>
      <c r="L343" s="28">
        <v>2022</v>
      </c>
    </row>
    <row r="344" spans="3:12" x14ac:dyDescent="0.25">
      <c r="C344" s="28" t="s">
        <v>2124</v>
      </c>
      <c r="D344" s="28" t="s">
        <v>2125</v>
      </c>
      <c r="E344" s="28">
        <v>0.4824</v>
      </c>
      <c r="F344" s="28">
        <v>58.793900000000001</v>
      </c>
      <c r="G344" s="28">
        <v>255</v>
      </c>
      <c r="H344" s="28">
        <v>0.98450000000000004</v>
      </c>
      <c r="I344">
        <v>0.29370000000000002</v>
      </c>
      <c r="J344" s="28">
        <v>39.812600000000003</v>
      </c>
      <c r="K344" s="28">
        <v>29</v>
      </c>
      <c r="L344" s="28">
        <v>2023</v>
      </c>
    </row>
    <row r="345" spans="3:12" x14ac:dyDescent="0.25">
      <c r="C345" s="28" t="s">
        <v>2126</v>
      </c>
      <c r="D345" s="28" t="s">
        <v>2127</v>
      </c>
      <c r="E345" s="28">
        <v>0.41870000000000002</v>
      </c>
      <c r="F345" s="28">
        <v>74.660600000000002</v>
      </c>
      <c r="G345" s="28">
        <v>367</v>
      </c>
      <c r="H345" s="28">
        <v>0.92149999999999999</v>
      </c>
      <c r="I345">
        <v>0.32500000000000001</v>
      </c>
      <c r="J345" s="28">
        <v>71.637</v>
      </c>
      <c r="K345" s="28">
        <v>346</v>
      </c>
      <c r="L345" s="28">
        <v>2019</v>
      </c>
    </row>
    <row r="346" spans="3:12" x14ac:dyDescent="0.25">
      <c r="C346" s="28" t="s">
        <v>2126</v>
      </c>
      <c r="D346" s="28" t="s">
        <v>2127</v>
      </c>
      <c r="E346" s="28">
        <v>0.42459999999999998</v>
      </c>
      <c r="F346" s="28">
        <v>74.660600000000002</v>
      </c>
      <c r="G346" s="28">
        <v>357</v>
      </c>
      <c r="H346" s="28">
        <v>0.92469999999999997</v>
      </c>
      <c r="I346">
        <v>0.33189999999999997</v>
      </c>
      <c r="J346" s="28">
        <v>71.637</v>
      </c>
      <c r="K346" s="28">
        <v>336</v>
      </c>
      <c r="L346" s="28">
        <v>2020</v>
      </c>
    </row>
    <row r="347" spans="3:12" x14ac:dyDescent="0.25">
      <c r="C347" s="28" t="s">
        <v>2126</v>
      </c>
      <c r="D347" s="28" t="s">
        <v>2127</v>
      </c>
      <c r="E347" s="28">
        <v>0.4294</v>
      </c>
      <c r="F347" s="28">
        <v>74.660600000000002</v>
      </c>
      <c r="G347" s="28">
        <v>350</v>
      </c>
      <c r="H347" s="28">
        <v>0.9294</v>
      </c>
      <c r="I347">
        <v>0.33860000000000001</v>
      </c>
      <c r="J347" s="28">
        <v>71.637</v>
      </c>
      <c r="K347" s="28">
        <v>312</v>
      </c>
      <c r="L347" s="28">
        <v>2021</v>
      </c>
    </row>
    <row r="348" spans="3:12" x14ac:dyDescent="0.25">
      <c r="C348" s="28" t="s">
        <v>2126</v>
      </c>
      <c r="D348" s="28" t="s">
        <v>2127</v>
      </c>
      <c r="E348" s="28">
        <v>0.4345</v>
      </c>
      <c r="F348" s="28">
        <v>74.660600000000002</v>
      </c>
      <c r="G348" s="28">
        <v>341</v>
      </c>
      <c r="H348" s="28">
        <v>0.93589999999999995</v>
      </c>
      <c r="I348">
        <v>0.34749999999999998</v>
      </c>
      <c r="J348" s="28">
        <v>71.637</v>
      </c>
      <c r="K348" s="28">
        <v>281</v>
      </c>
      <c r="L348" s="28">
        <v>2022</v>
      </c>
    </row>
    <row r="349" spans="3:12" x14ac:dyDescent="0.25">
      <c r="C349" s="28" t="s">
        <v>2126</v>
      </c>
      <c r="D349" s="28" t="s">
        <v>2127</v>
      </c>
      <c r="E349" s="28">
        <v>0.44290000000000002</v>
      </c>
      <c r="F349" s="28">
        <v>74.660600000000002</v>
      </c>
      <c r="G349" s="28">
        <v>324</v>
      </c>
      <c r="H349" s="28">
        <v>0.94310000000000005</v>
      </c>
      <c r="I349">
        <v>0.35909999999999997</v>
      </c>
      <c r="J349" s="28">
        <v>71.637</v>
      </c>
      <c r="K349" s="28">
        <v>245</v>
      </c>
      <c r="L349" s="28">
        <v>2023</v>
      </c>
    </row>
    <row r="350" spans="3:12" x14ac:dyDescent="0.25">
      <c r="C350" s="28" t="s">
        <v>2128</v>
      </c>
      <c r="D350" s="28" t="s">
        <v>2129</v>
      </c>
      <c r="E350" s="28">
        <v>0.3241</v>
      </c>
      <c r="F350" s="28">
        <v>57.777000000000001</v>
      </c>
      <c r="G350" s="28">
        <v>461</v>
      </c>
      <c r="H350" s="28">
        <v>0.95269999999999999</v>
      </c>
      <c r="I350">
        <v>0.31369999999999998</v>
      </c>
      <c r="J350" s="28">
        <v>52.2196</v>
      </c>
      <c r="K350" s="28">
        <v>203</v>
      </c>
      <c r="L350" s="28">
        <v>2019</v>
      </c>
    </row>
    <row r="351" spans="3:12" x14ac:dyDescent="0.25">
      <c r="C351" s="28" t="s">
        <v>2128</v>
      </c>
      <c r="D351" s="28" t="s">
        <v>2129</v>
      </c>
      <c r="E351" s="28">
        <v>0.32379999999999998</v>
      </c>
      <c r="F351" s="28">
        <v>57.777000000000001</v>
      </c>
      <c r="G351" s="28">
        <v>462</v>
      </c>
      <c r="H351" s="28">
        <v>0.95589999999999997</v>
      </c>
      <c r="I351">
        <v>0.31819999999999998</v>
      </c>
      <c r="J351" s="28">
        <v>52.2196</v>
      </c>
      <c r="K351" s="28">
        <v>191</v>
      </c>
      <c r="L351" s="28">
        <v>2020</v>
      </c>
    </row>
    <row r="352" spans="3:12" x14ac:dyDescent="0.25">
      <c r="C352" s="28" t="s">
        <v>2128</v>
      </c>
      <c r="D352" s="28" t="s">
        <v>2129</v>
      </c>
      <c r="E352" s="28">
        <v>0.32719999999999999</v>
      </c>
      <c r="F352" s="28">
        <v>57.777000000000001</v>
      </c>
      <c r="G352" s="28">
        <v>459</v>
      </c>
      <c r="H352" s="28">
        <v>0.95809999999999995</v>
      </c>
      <c r="I352">
        <v>0.3236</v>
      </c>
      <c r="J352" s="28">
        <v>52.2196</v>
      </c>
      <c r="K352" s="28">
        <v>181</v>
      </c>
      <c r="L352" s="28">
        <v>2021</v>
      </c>
    </row>
    <row r="353" spans="3:12" x14ac:dyDescent="0.25">
      <c r="C353" s="28" t="s">
        <v>2128</v>
      </c>
      <c r="D353" s="28" t="s">
        <v>2129</v>
      </c>
      <c r="E353" s="28">
        <v>0.32919999999999999</v>
      </c>
      <c r="F353" s="28">
        <v>57.777000000000001</v>
      </c>
      <c r="G353" s="28">
        <v>457</v>
      </c>
      <c r="H353" s="28">
        <v>0.96060000000000001</v>
      </c>
      <c r="I353">
        <v>0.32940000000000003</v>
      </c>
      <c r="J353" s="28">
        <v>52.2196</v>
      </c>
      <c r="K353" s="28">
        <v>170</v>
      </c>
      <c r="L353" s="28">
        <v>2022</v>
      </c>
    </row>
    <row r="354" spans="3:12" x14ac:dyDescent="0.25">
      <c r="C354" s="28" t="s">
        <v>2128</v>
      </c>
      <c r="D354" s="28" t="s">
        <v>2129</v>
      </c>
      <c r="E354" s="28">
        <v>0.3327</v>
      </c>
      <c r="F354" s="28">
        <v>57.777000000000001</v>
      </c>
      <c r="G354" s="28">
        <v>454</v>
      </c>
      <c r="H354" s="28">
        <v>0.96879999999999999</v>
      </c>
      <c r="I354">
        <v>0.33460000000000001</v>
      </c>
      <c r="J354" s="28">
        <v>52.2196</v>
      </c>
      <c r="K354" s="28">
        <v>113</v>
      </c>
      <c r="L354" s="28">
        <v>2023</v>
      </c>
    </row>
    <row r="355" spans="3:12" x14ac:dyDescent="0.25">
      <c r="C355" s="28" t="s">
        <v>2130</v>
      </c>
      <c r="D355" s="28" t="s">
        <v>2131</v>
      </c>
      <c r="E355" s="28">
        <v>0.3463</v>
      </c>
      <c r="F355" s="28">
        <v>59.194699999999997</v>
      </c>
      <c r="G355" s="28">
        <v>451</v>
      </c>
      <c r="H355" s="28">
        <v>0.82310000000000005</v>
      </c>
      <c r="I355">
        <v>0.33950000000000002</v>
      </c>
      <c r="J355" s="28">
        <v>53.662700000000001</v>
      </c>
      <c r="K355" s="28">
        <v>466</v>
      </c>
      <c r="L355" s="28">
        <v>2019</v>
      </c>
    </row>
    <row r="356" spans="3:12" x14ac:dyDescent="0.25">
      <c r="C356" s="28" t="s">
        <v>2130</v>
      </c>
      <c r="D356" s="28" t="s">
        <v>2131</v>
      </c>
      <c r="E356" s="28">
        <v>0.35239999999999999</v>
      </c>
      <c r="F356" s="28">
        <v>59.194699999999997</v>
      </c>
      <c r="G356" s="28">
        <v>446</v>
      </c>
      <c r="H356" s="28">
        <v>0.82989999999999997</v>
      </c>
      <c r="I356">
        <v>0.3453</v>
      </c>
      <c r="J356" s="28">
        <v>53.662700000000001</v>
      </c>
      <c r="K356" s="28">
        <v>463</v>
      </c>
      <c r="L356" s="28">
        <v>2020</v>
      </c>
    </row>
    <row r="357" spans="3:12" x14ac:dyDescent="0.25">
      <c r="C357" s="28" t="s">
        <v>2130</v>
      </c>
      <c r="D357" s="28" t="s">
        <v>2131</v>
      </c>
      <c r="E357" s="28">
        <v>0.3609</v>
      </c>
      <c r="F357" s="28">
        <v>59.194699999999997</v>
      </c>
      <c r="G357" s="28">
        <v>441</v>
      </c>
      <c r="H357" s="28">
        <v>0.83850000000000002</v>
      </c>
      <c r="I357">
        <v>0.3518</v>
      </c>
      <c r="J357" s="28">
        <v>53.662700000000001</v>
      </c>
      <c r="K357" s="28">
        <v>458</v>
      </c>
      <c r="L357" s="28">
        <v>2021</v>
      </c>
    </row>
    <row r="358" spans="3:12" x14ac:dyDescent="0.25">
      <c r="C358" s="28" t="s">
        <v>2130</v>
      </c>
      <c r="D358" s="28" t="s">
        <v>2131</v>
      </c>
      <c r="E358" s="28">
        <v>0.36399999999999999</v>
      </c>
      <c r="F358" s="28">
        <v>59.194699999999997</v>
      </c>
      <c r="G358" s="28">
        <v>438</v>
      </c>
      <c r="H358" s="28">
        <v>0.84809999999999997</v>
      </c>
      <c r="I358">
        <v>0.35820000000000002</v>
      </c>
      <c r="J358" s="28">
        <v>53.662700000000001</v>
      </c>
      <c r="K358" s="28">
        <v>452</v>
      </c>
      <c r="L358" s="28">
        <v>2022</v>
      </c>
    </row>
    <row r="359" spans="3:12" x14ac:dyDescent="0.25">
      <c r="C359" s="28" t="s">
        <v>2130</v>
      </c>
      <c r="D359" s="28" t="s">
        <v>2131</v>
      </c>
      <c r="E359" s="28">
        <v>0.37259999999999999</v>
      </c>
      <c r="F359" s="28">
        <v>59.194699999999997</v>
      </c>
      <c r="G359" s="28">
        <v>427</v>
      </c>
      <c r="H359" s="28">
        <v>0.85840000000000005</v>
      </c>
      <c r="I359">
        <v>0.36599999999999999</v>
      </c>
      <c r="J359" s="28">
        <v>53.662700000000001</v>
      </c>
      <c r="K359" s="28">
        <v>449</v>
      </c>
      <c r="L359" s="28">
        <v>2023</v>
      </c>
    </row>
    <row r="360" spans="3:12" x14ac:dyDescent="0.25">
      <c r="C360" s="28" t="s">
        <v>2132</v>
      </c>
      <c r="D360" s="28" t="s">
        <v>2133</v>
      </c>
      <c r="E360" s="28">
        <v>0.6542</v>
      </c>
      <c r="F360" s="28">
        <v>102.2642</v>
      </c>
      <c r="G360" s="28">
        <v>111</v>
      </c>
      <c r="H360" s="28">
        <v>0.97909999999999997</v>
      </c>
      <c r="I360">
        <v>0.59719999999999995</v>
      </c>
      <c r="J360" s="28">
        <v>77.553399999999996</v>
      </c>
      <c r="K360" s="28">
        <v>49</v>
      </c>
      <c r="L360" s="28">
        <v>2019</v>
      </c>
    </row>
    <row r="361" spans="3:12" x14ac:dyDescent="0.25">
      <c r="C361" s="28" t="s">
        <v>2132</v>
      </c>
      <c r="D361" s="28" t="s">
        <v>2133</v>
      </c>
      <c r="E361" s="28">
        <v>0.6663</v>
      </c>
      <c r="F361" s="28">
        <v>102.2642</v>
      </c>
      <c r="G361" s="28">
        <v>102</v>
      </c>
      <c r="H361" s="28">
        <v>0.98150000000000004</v>
      </c>
      <c r="I361">
        <v>0.60440000000000005</v>
      </c>
      <c r="J361" s="28">
        <v>77.553399999999996</v>
      </c>
      <c r="K361" s="28">
        <v>37</v>
      </c>
      <c r="L361" s="28">
        <v>2020</v>
      </c>
    </row>
    <row r="362" spans="3:12" x14ac:dyDescent="0.25">
      <c r="C362" s="28" t="s">
        <v>2132</v>
      </c>
      <c r="D362" s="28" t="s">
        <v>2133</v>
      </c>
      <c r="E362" s="28">
        <v>0.67310000000000003</v>
      </c>
      <c r="F362" s="28">
        <v>102.2642</v>
      </c>
      <c r="G362" s="28">
        <v>94</v>
      </c>
      <c r="H362" s="28">
        <v>0.98270000000000002</v>
      </c>
      <c r="I362">
        <v>0.61199999999999999</v>
      </c>
      <c r="J362" s="28">
        <v>77.553399999999996</v>
      </c>
      <c r="K362" s="28">
        <v>34</v>
      </c>
      <c r="L362" s="28">
        <v>2021</v>
      </c>
    </row>
    <row r="363" spans="3:12" x14ac:dyDescent="0.25">
      <c r="C363" s="28" t="s">
        <v>2132</v>
      </c>
      <c r="D363" s="28" t="s">
        <v>2133</v>
      </c>
      <c r="E363" s="28">
        <v>0.6835</v>
      </c>
      <c r="F363" s="28">
        <v>102.2642</v>
      </c>
      <c r="G363" s="28">
        <v>86</v>
      </c>
      <c r="H363" s="28">
        <v>0.98329999999999995</v>
      </c>
      <c r="I363">
        <v>0.61729999999999996</v>
      </c>
      <c r="J363" s="28">
        <v>77.553399999999996</v>
      </c>
      <c r="K363" s="28">
        <v>32</v>
      </c>
      <c r="L363" s="28">
        <v>2022</v>
      </c>
    </row>
    <row r="364" spans="3:12" x14ac:dyDescent="0.25">
      <c r="C364" s="28" t="s">
        <v>2132</v>
      </c>
      <c r="D364" s="28" t="s">
        <v>2133</v>
      </c>
      <c r="E364" s="28">
        <v>0.69179999999999997</v>
      </c>
      <c r="F364" s="28">
        <v>102.2642</v>
      </c>
      <c r="G364" s="28">
        <v>78</v>
      </c>
      <c r="H364" s="28">
        <v>0.9839</v>
      </c>
      <c r="I364">
        <v>0.62380000000000002</v>
      </c>
      <c r="J364" s="28">
        <v>77.553399999999996</v>
      </c>
      <c r="K364" s="28">
        <v>31</v>
      </c>
      <c r="L364" s="28">
        <v>2023</v>
      </c>
    </row>
    <row r="365" spans="3:12" x14ac:dyDescent="0.25">
      <c r="C365" s="28" t="s">
        <v>2134</v>
      </c>
      <c r="D365" s="28" t="s">
        <v>2135</v>
      </c>
      <c r="E365" s="28">
        <v>0.6804</v>
      </c>
      <c r="F365" s="28">
        <v>163.04089999999999</v>
      </c>
      <c r="G365" s="28">
        <v>90</v>
      </c>
      <c r="H365" s="28">
        <v>0.97299999999999998</v>
      </c>
      <c r="I365">
        <v>0.67500000000000004</v>
      </c>
      <c r="J365" s="28">
        <v>102.08329999999999</v>
      </c>
      <c r="K365" s="28">
        <v>82</v>
      </c>
      <c r="L365" s="28">
        <v>2019</v>
      </c>
    </row>
    <row r="366" spans="3:12" x14ac:dyDescent="0.25">
      <c r="C366" s="28" t="s">
        <v>2134</v>
      </c>
      <c r="D366" s="28" t="s">
        <v>2135</v>
      </c>
      <c r="E366" s="28">
        <v>0.69120000000000004</v>
      </c>
      <c r="F366" s="28">
        <v>163.04089999999999</v>
      </c>
      <c r="G366" s="28">
        <v>79</v>
      </c>
      <c r="H366" s="28">
        <v>0.97499999999999998</v>
      </c>
      <c r="I366">
        <v>0.6804</v>
      </c>
      <c r="J366" s="28">
        <v>102.08329999999999</v>
      </c>
      <c r="K366" s="28">
        <v>71</v>
      </c>
      <c r="L366" s="28">
        <v>2020</v>
      </c>
    </row>
    <row r="367" spans="3:12" x14ac:dyDescent="0.25">
      <c r="C367" s="28" t="s">
        <v>2134</v>
      </c>
      <c r="D367" s="28" t="s">
        <v>2135</v>
      </c>
      <c r="E367" s="28">
        <v>0.70450000000000002</v>
      </c>
      <c r="F367" s="28">
        <v>163.04089999999999</v>
      </c>
      <c r="G367" s="28">
        <v>73</v>
      </c>
      <c r="H367" s="28">
        <v>0.97619999999999996</v>
      </c>
      <c r="I367">
        <v>0.68659999999999999</v>
      </c>
      <c r="J367" s="28">
        <v>102.08329999999999</v>
      </c>
      <c r="K367" s="28">
        <v>64</v>
      </c>
      <c r="L367" s="28">
        <v>2021</v>
      </c>
    </row>
    <row r="368" spans="3:12" x14ac:dyDescent="0.25">
      <c r="C368" s="28" t="s">
        <v>2134</v>
      </c>
      <c r="D368" s="28" t="s">
        <v>2135</v>
      </c>
      <c r="E368" s="28">
        <v>0.7137</v>
      </c>
      <c r="F368" s="28">
        <v>163.04089999999999</v>
      </c>
      <c r="G368" s="28">
        <v>66</v>
      </c>
      <c r="H368" s="28">
        <v>0.97709999999999997</v>
      </c>
      <c r="I368">
        <v>0.69169999999999998</v>
      </c>
      <c r="J368" s="28">
        <v>102.08329999999999</v>
      </c>
      <c r="K368" s="28">
        <v>58</v>
      </c>
      <c r="L368" s="28">
        <v>2022</v>
      </c>
    </row>
    <row r="369" spans="3:12" x14ac:dyDescent="0.25">
      <c r="C369" s="28" t="s">
        <v>2134</v>
      </c>
      <c r="D369" s="28" t="s">
        <v>2135</v>
      </c>
      <c r="E369" s="28">
        <v>0.72219999999999995</v>
      </c>
      <c r="F369" s="28">
        <v>163.04089999999999</v>
      </c>
      <c r="G369" s="28">
        <v>58</v>
      </c>
      <c r="H369" s="28">
        <v>0.98560000000000003</v>
      </c>
      <c r="I369">
        <v>0.7016</v>
      </c>
      <c r="J369" s="28">
        <v>102.08329999999999</v>
      </c>
      <c r="K369" s="28">
        <v>27</v>
      </c>
      <c r="L369" s="28">
        <v>2023</v>
      </c>
    </row>
    <row r="370" spans="3:12" x14ac:dyDescent="0.25">
      <c r="C370" s="28" t="s">
        <v>2136</v>
      </c>
      <c r="D370" s="28" t="s">
        <v>2137</v>
      </c>
      <c r="E370" s="28">
        <v>1</v>
      </c>
      <c r="F370" s="28">
        <v>433.99869999999999</v>
      </c>
      <c r="G370" s="28">
        <v>6</v>
      </c>
      <c r="H370" s="28">
        <v>1</v>
      </c>
      <c r="I370">
        <v>0.99990000000000001</v>
      </c>
      <c r="J370" s="28">
        <v>501.2971</v>
      </c>
      <c r="K370" s="28">
        <v>6</v>
      </c>
      <c r="L370" s="28">
        <v>2019</v>
      </c>
    </row>
    <row r="371" spans="3:12" x14ac:dyDescent="0.25">
      <c r="C371" s="28" t="s">
        <v>2136</v>
      </c>
      <c r="D371" s="28" t="s">
        <v>2137</v>
      </c>
      <c r="E371" s="28">
        <v>1</v>
      </c>
      <c r="F371" s="28">
        <v>433.99869999999999</v>
      </c>
      <c r="G371" s="28">
        <v>6</v>
      </c>
      <c r="H371" s="28">
        <v>1</v>
      </c>
      <c r="I371">
        <v>0.99990000000000001</v>
      </c>
      <c r="J371" s="28">
        <v>501.2971</v>
      </c>
      <c r="K371" s="28">
        <v>6</v>
      </c>
      <c r="L371" s="28">
        <v>2020</v>
      </c>
    </row>
    <row r="372" spans="3:12" x14ac:dyDescent="0.25">
      <c r="C372" s="28" t="s">
        <v>2136</v>
      </c>
      <c r="D372" s="28" t="s">
        <v>2137</v>
      </c>
      <c r="E372" s="28">
        <v>1</v>
      </c>
      <c r="F372" s="28">
        <v>433.99869999999999</v>
      </c>
      <c r="G372" s="28">
        <v>6</v>
      </c>
      <c r="H372" s="28">
        <v>1</v>
      </c>
      <c r="I372">
        <v>0.99990000000000001</v>
      </c>
      <c r="J372" s="28">
        <v>501.2971</v>
      </c>
      <c r="K372" s="28">
        <v>6</v>
      </c>
      <c r="L372" s="28">
        <v>2021</v>
      </c>
    </row>
    <row r="373" spans="3:12" x14ac:dyDescent="0.25">
      <c r="C373" s="28" t="s">
        <v>2136</v>
      </c>
      <c r="D373" s="28" t="s">
        <v>2137</v>
      </c>
      <c r="E373" s="28">
        <v>1</v>
      </c>
      <c r="F373" s="28">
        <v>433.99869999999999</v>
      </c>
      <c r="G373" s="28">
        <v>6</v>
      </c>
      <c r="H373" s="28">
        <v>1</v>
      </c>
      <c r="I373">
        <v>0.99990000000000001</v>
      </c>
      <c r="J373" s="28">
        <v>501.2971</v>
      </c>
      <c r="K373" s="28">
        <v>6</v>
      </c>
      <c r="L373" s="28">
        <v>2022</v>
      </c>
    </row>
    <row r="374" spans="3:12" x14ac:dyDescent="0.25">
      <c r="C374" s="28" t="s">
        <v>2136</v>
      </c>
      <c r="D374" s="28" t="s">
        <v>2137</v>
      </c>
      <c r="E374" s="28">
        <v>1</v>
      </c>
      <c r="F374" s="28">
        <v>433.99869999999999</v>
      </c>
      <c r="G374" s="28">
        <v>6</v>
      </c>
      <c r="H374" s="28">
        <v>1</v>
      </c>
      <c r="I374">
        <v>0.99990000000000001</v>
      </c>
      <c r="J374" s="28">
        <v>501.2971</v>
      </c>
      <c r="K374" s="28">
        <v>6</v>
      </c>
      <c r="L374" s="28">
        <v>2023</v>
      </c>
    </row>
    <row r="375" spans="3:12" x14ac:dyDescent="0.25">
      <c r="C375" s="28" t="s">
        <v>2138</v>
      </c>
      <c r="D375" s="28" t="s">
        <v>2139</v>
      </c>
      <c r="E375" s="28">
        <v>0.60540000000000005</v>
      </c>
      <c r="F375" s="28">
        <v>112.1604</v>
      </c>
      <c r="G375" s="28">
        <v>140</v>
      </c>
      <c r="H375" s="28">
        <v>0.9345</v>
      </c>
      <c r="I375">
        <v>0.58179999999999998</v>
      </c>
      <c r="J375" s="28">
        <v>107.2165</v>
      </c>
      <c r="K375" s="28">
        <v>289</v>
      </c>
      <c r="L375" s="28">
        <v>2019</v>
      </c>
    </row>
    <row r="376" spans="3:12" x14ac:dyDescent="0.25">
      <c r="C376" s="28" t="s">
        <v>2138</v>
      </c>
      <c r="D376" s="28" t="s">
        <v>2139</v>
      </c>
      <c r="E376" s="28">
        <v>0.60980000000000001</v>
      </c>
      <c r="F376" s="28">
        <v>112.1604</v>
      </c>
      <c r="G376" s="28">
        <v>139</v>
      </c>
      <c r="H376" s="28">
        <v>0.9375</v>
      </c>
      <c r="I376">
        <v>0.5907</v>
      </c>
      <c r="J376" s="28">
        <v>107.2165</v>
      </c>
      <c r="K376" s="28">
        <v>272</v>
      </c>
      <c r="L376" s="28">
        <v>2020</v>
      </c>
    </row>
    <row r="377" spans="3:12" x14ac:dyDescent="0.25">
      <c r="C377" s="28" t="s">
        <v>2138</v>
      </c>
      <c r="D377" s="28" t="s">
        <v>2139</v>
      </c>
      <c r="E377" s="28">
        <v>0.61570000000000003</v>
      </c>
      <c r="F377" s="28">
        <v>112.1604</v>
      </c>
      <c r="G377" s="28">
        <v>138</v>
      </c>
      <c r="H377" s="28">
        <v>0.94089999999999996</v>
      </c>
      <c r="I377">
        <v>0.60109999999999997</v>
      </c>
      <c r="J377" s="28">
        <v>107.2165</v>
      </c>
      <c r="K377" s="28">
        <v>255</v>
      </c>
      <c r="L377" s="28">
        <v>2021</v>
      </c>
    </row>
    <row r="378" spans="3:12" x14ac:dyDescent="0.25">
      <c r="C378" s="28" t="s">
        <v>2138</v>
      </c>
      <c r="D378" s="28" t="s">
        <v>2139</v>
      </c>
      <c r="E378" s="28">
        <v>0.62009999999999998</v>
      </c>
      <c r="F378" s="28">
        <v>112.1604</v>
      </c>
      <c r="G378" s="28">
        <v>137</v>
      </c>
      <c r="H378" s="28">
        <v>0.94399999999999995</v>
      </c>
      <c r="I378">
        <v>0.6099</v>
      </c>
      <c r="J378" s="28">
        <v>107.2165</v>
      </c>
      <c r="K378" s="28">
        <v>242</v>
      </c>
      <c r="L378" s="28">
        <v>2022</v>
      </c>
    </row>
    <row r="379" spans="3:12" x14ac:dyDescent="0.25">
      <c r="C379" s="28" t="s">
        <v>2138</v>
      </c>
      <c r="D379" s="28" t="s">
        <v>2139</v>
      </c>
      <c r="E379" s="28">
        <v>0.62460000000000004</v>
      </c>
      <c r="F379" s="28">
        <v>112.1604</v>
      </c>
      <c r="G379" s="28">
        <v>133</v>
      </c>
      <c r="H379" s="28">
        <v>0.94820000000000004</v>
      </c>
      <c r="I379">
        <v>0.61880000000000002</v>
      </c>
      <c r="J379" s="28">
        <v>107.2165</v>
      </c>
      <c r="K379" s="28">
        <v>219</v>
      </c>
      <c r="L379" s="28">
        <v>2023</v>
      </c>
    </row>
    <row r="380" spans="3:12" x14ac:dyDescent="0.25">
      <c r="C380" s="28" t="s">
        <v>2140</v>
      </c>
      <c r="D380" s="28" t="s">
        <v>2141</v>
      </c>
      <c r="E380" s="28">
        <v>0.65190000000000003</v>
      </c>
      <c r="F380" s="28">
        <v>157.4255</v>
      </c>
      <c r="G380" s="28">
        <v>113</v>
      </c>
      <c r="H380" s="28">
        <v>0.96140000000000003</v>
      </c>
      <c r="I380">
        <v>0.63719999999999999</v>
      </c>
      <c r="J380" s="28">
        <v>158.68600000000001</v>
      </c>
      <c r="K380" s="28">
        <v>164</v>
      </c>
      <c r="L380" s="28">
        <v>2019</v>
      </c>
    </row>
    <row r="381" spans="3:12" x14ac:dyDescent="0.25">
      <c r="C381" s="28" t="s">
        <v>2140</v>
      </c>
      <c r="D381" s="28" t="s">
        <v>2141</v>
      </c>
      <c r="E381" s="28">
        <v>0.65639999999999998</v>
      </c>
      <c r="F381" s="28">
        <v>157.4255</v>
      </c>
      <c r="G381" s="28">
        <v>109</v>
      </c>
      <c r="H381" s="28">
        <v>0.96360000000000001</v>
      </c>
      <c r="I381">
        <v>0.64380000000000004</v>
      </c>
      <c r="J381" s="28">
        <v>158.68600000000001</v>
      </c>
      <c r="K381" s="28">
        <v>154</v>
      </c>
      <c r="L381" s="28">
        <v>2020</v>
      </c>
    </row>
    <row r="382" spans="3:12" x14ac:dyDescent="0.25">
      <c r="C382" s="28" t="s">
        <v>2140</v>
      </c>
      <c r="D382" s="28" t="s">
        <v>2141</v>
      </c>
      <c r="E382" s="28">
        <v>0.66020000000000001</v>
      </c>
      <c r="F382" s="28">
        <v>157.4255</v>
      </c>
      <c r="G382" s="28">
        <v>107</v>
      </c>
      <c r="H382" s="28">
        <v>0.96550000000000002</v>
      </c>
      <c r="I382">
        <v>0.65049999999999997</v>
      </c>
      <c r="J382" s="28">
        <v>158.68600000000001</v>
      </c>
      <c r="K382" s="28">
        <v>144</v>
      </c>
      <c r="L382" s="28">
        <v>2021</v>
      </c>
    </row>
    <row r="383" spans="3:12" x14ac:dyDescent="0.25">
      <c r="C383" s="28" t="s">
        <v>2140</v>
      </c>
      <c r="D383" s="28" t="s">
        <v>2141</v>
      </c>
      <c r="E383" s="28">
        <v>0.66459999999999997</v>
      </c>
      <c r="F383" s="28">
        <v>157.4255</v>
      </c>
      <c r="G383" s="28">
        <v>103</v>
      </c>
      <c r="H383" s="28">
        <v>0.97160000000000002</v>
      </c>
      <c r="I383">
        <v>0.65669999999999995</v>
      </c>
      <c r="J383" s="28">
        <v>158.68600000000001</v>
      </c>
      <c r="K383" s="28">
        <v>93</v>
      </c>
      <c r="L383" s="28">
        <v>2022</v>
      </c>
    </row>
    <row r="384" spans="3:12" x14ac:dyDescent="0.25">
      <c r="C384" s="28" t="s">
        <v>2140</v>
      </c>
      <c r="D384" s="28" t="s">
        <v>2141</v>
      </c>
      <c r="E384" s="28">
        <v>0.66749999999999998</v>
      </c>
      <c r="F384" s="28">
        <v>157.4255</v>
      </c>
      <c r="G384" s="28">
        <v>100</v>
      </c>
      <c r="H384" s="28">
        <v>0.97309999999999997</v>
      </c>
      <c r="I384">
        <v>0.66180000000000005</v>
      </c>
      <c r="J384" s="28">
        <v>158.68600000000001</v>
      </c>
      <c r="K384" s="28">
        <v>81</v>
      </c>
      <c r="L384" s="28">
        <v>2023</v>
      </c>
    </row>
    <row r="385" spans="3:12" x14ac:dyDescent="0.25">
      <c r="C385" s="28" t="s">
        <v>2142</v>
      </c>
      <c r="D385" s="28" t="s">
        <v>2143</v>
      </c>
      <c r="E385" s="28">
        <v>0.87619999999999998</v>
      </c>
      <c r="F385" s="28">
        <v>257.77480000000003</v>
      </c>
      <c r="G385" s="28">
        <v>40</v>
      </c>
      <c r="H385" s="28">
        <v>0.9143</v>
      </c>
      <c r="I385">
        <v>0.75609999999999999</v>
      </c>
      <c r="J385" s="28">
        <v>202.65780000000001</v>
      </c>
      <c r="K385" s="28">
        <v>367</v>
      </c>
      <c r="L385" s="28">
        <v>2019</v>
      </c>
    </row>
    <row r="386" spans="3:12" x14ac:dyDescent="0.25">
      <c r="C386" s="28" t="s">
        <v>2142</v>
      </c>
      <c r="D386" s="28" t="s">
        <v>2143</v>
      </c>
      <c r="E386" s="28">
        <v>0.87919999999999998</v>
      </c>
      <c r="F386" s="28">
        <v>257.77480000000003</v>
      </c>
      <c r="G386" s="28">
        <v>39</v>
      </c>
      <c r="H386" s="28">
        <v>0.91669999999999996</v>
      </c>
      <c r="I386">
        <v>0.76019999999999999</v>
      </c>
      <c r="J386" s="28">
        <v>202.65780000000001</v>
      </c>
      <c r="K386" s="28">
        <v>360</v>
      </c>
      <c r="L386" s="28">
        <v>2020</v>
      </c>
    </row>
    <row r="387" spans="3:12" x14ac:dyDescent="0.25">
      <c r="C387" s="28" t="s">
        <v>2142</v>
      </c>
      <c r="D387" s="28" t="s">
        <v>2143</v>
      </c>
      <c r="E387" s="28">
        <v>0.88380000000000003</v>
      </c>
      <c r="F387" s="28">
        <v>257.77480000000003</v>
      </c>
      <c r="G387" s="28">
        <v>38</v>
      </c>
      <c r="H387" s="28">
        <v>0.91910000000000003</v>
      </c>
      <c r="I387">
        <v>0.76459999999999995</v>
      </c>
      <c r="J387" s="28">
        <v>202.65780000000001</v>
      </c>
      <c r="K387" s="28">
        <v>350</v>
      </c>
      <c r="L387" s="28">
        <v>2021</v>
      </c>
    </row>
    <row r="388" spans="3:12" x14ac:dyDescent="0.25">
      <c r="C388" s="28" t="s">
        <v>2142</v>
      </c>
      <c r="D388" s="28" t="s">
        <v>2143</v>
      </c>
      <c r="E388" s="28">
        <v>0.88739999999999997</v>
      </c>
      <c r="F388" s="28">
        <v>257.77480000000003</v>
      </c>
      <c r="G388" s="28">
        <v>37</v>
      </c>
      <c r="H388" s="28">
        <v>0.92130000000000001</v>
      </c>
      <c r="I388">
        <v>0.76900000000000002</v>
      </c>
      <c r="J388" s="28">
        <v>202.65780000000001</v>
      </c>
      <c r="K388" s="28">
        <v>347</v>
      </c>
      <c r="L388" s="28">
        <v>2022</v>
      </c>
    </row>
    <row r="389" spans="3:12" x14ac:dyDescent="0.25">
      <c r="C389" s="28" t="s">
        <v>2142</v>
      </c>
      <c r="D389" s="28" t="s">
        <v>2143</v>
      </c>
      <c r="E389" s="28">
        <v>0.89049999999999996</v>
      </c>
      <c r="F389" s="28">
        <v>257.77480000000003</v>
      </c>
      <c r="G389" s="28">
        <v>36</v>
      </c>
      <c r="H389" s="28">
        <v>0.93889999999999996</v>
      </c>
      <c r="I389">
        <v>0.77559999999999996</v>
      </c>
      <c r="J389" s="28">
        <v>202.65780000000001</v>
      </c>
      <c r="K389" s="28">
        <v>261</v>
      </c>
      <c r="L389" s="28">
        <v>2023</v>
      </c>
    </row>
    <row r="390" spans="3:12" x14ac:dyDescent="0.25">
      <c r="C390" s="28" t="s">
        <v>2144</v>
      </c>
      <c r="D390" s="28" t="s">
        <v>2145</v>
      </c>
      <c r="E390" s="28">
        <v>0.67710000000000004</v>
      </c>
      <c r="F390" s="28">
        <v>575.53229999999996</v>
      </c>
      <c r="G390" s="28">
        <v>91</v>
      </c>
      <c r="H390" s="28">
        <v>0.83140000000000003</v>
      </c>
      <c r="I390">
        <v>0.49580000000000002</v>
      </c>
      <c r="J390" s="28">
        <v>480.83390000000003</v>
      </c>
      <c r="K390" s="28">
        <v>461</v>
      </c>
      <c r="L390" s="28">
        <v>2019</v>
      </c>
    </row>
    <row r="391" spans="3:12" x14ac:dyDescent="0.25">
      <c r="C391" s="28" t="s">
        <v>2144</v>
      </c>
      <c r="D391" s="28" t="s">
        <v>2145</v>
      </c>
      <c r="E391" s="28">
        <v>0.68100000000000005</v>
      </c>
      <c r="F391" s="28">
        <v>575.53229999999996</v>
      </c>
      <c r="G391" s="28">
        <v>88</v>
      </c>
      <c r="H391" s="28">
        <v>0.83460000000000001</v>
      </c>
      <c r="I391">
        <v>0.49819999999999998</v>
      </c>
      <c r="J391" s="28">
        <v>480.83390000000003</v>
      </c>
      <c r="K391" s="28">
        <v>460</v>
      </c>
      <c r="L391" s="28">
        <v>2020</v>
      </c>
    </row>
    <row r="392" spans="3:12" x14ac:dyDescent="0.25">
      <c r="C392" s="28" t="s">
        <v>2144</v>
      </c>
      <c r="D392" s="28" t="s">
        <v>2145</v>
      </c>
      <c r="E392" s="28">
        <v>0.68340000000000001</v>
      </c>
      <c r="F392" s="28">
        <v>575.53229999999996</v>
      </c>
      <c r="G392" s="28">
        <v>87</v>
      </c>
      <c r="H392" s="28">
        <v>0.83789999999999998</v>
      </c>
      <c r="I392">
        <v>0.50239999999999996</v>
      </c>
      <c r="J392" s="28">
        <v>480.83390000000003</v>
      </c>
      <c r="K392" s="28">
        <v>459</v>
      </c>
      <c r="L392" s="28">
        <v>2021</v>
      </c>
    </row>
    <row r="393" spans="3:12" x14ac:dyDescent="0.25">
      <c r="C393" s="28" t="s">
        <v>2144</v>
      </c>
      <c r="D393" s="28" t="s">
        <v>2145</v>
      </c>
      <c r="E393" s="28">
        <v>0.6875</v>
      </c>
      <c r="F393" s="28">
        <v>575.53229999999996</v>
      </c>
      <c r="G393" s="28">
        <v>82</v>
      </c>
      <c r="H393" s="28">
        <v>0.84079999999999999</v>
      </c>
      <c r="I393">
        <v>0.50580000000000003</v>
      </c>
      <c r="J393" s="28">
        <v>480.83390000000003</v>
      </c>
      <c r="K393" s="28">
        <v>455</v>
      </c>
      <c r="L393" s="28">
        <v>2022</v>
      </c>
    </row>
    <row r="394" spans="3:12" x14ac:dyDescent="0.25">
      <c r="C394" s="28" t="s">
        <v>2144</v>
      </c>
      <c r="D394" s="28" t="s">
        <v>2145</v>
      </c>
      <c r="E394" s="28">
        <v>0.69440000000000002</v>
      </c>
      <c r="F394" s="28">
        <v>575.53229999999996</v>
      </c>
      <c r="G394" s="28">
        <v>76</v>
      </c>
      <c r="H394" s="28">
        <v>0.84499999999999997</v>
      </c>
      <c r="I394">
        <v>0.5111</v>
      </c>
      <c r="J394" s="28">
        <v>480.83390000000003</v>
      </c>
      <c r="K394" s="28">
        <v>454</v>
      </c>
      <c r="L394" s="28">
        <v>2023</v>
      </c>
    </row>
    <row r="395" spans="3:12" x14ac:dyDescent="0.25">
      <c r="C395" s="28" t="s">
        <v>2146</v>
      </c>
      <c r="D395" s="28" t="s">
        <v>2147</v>
      </c>
      <c r="E395" s="28">
        <v>0.433</v>
      </c>
      <c r="F395" s="28">
        <v>60.4895</v>
      </c>
      <c r="G395" s="28">
        <v>342</v>
      </c>
      <c r="H395" s="28">
        <v>0.95679999999999998</v>
      </c>
      <c r="I395">
        <v>0.50549999999999995</v>
      </c>
      <c r="J395" s="28">
        <v>88.047200000000004</v>
      </c>
      <c r="K395" s="28">
        <v>189</v>
      </c>
      <c r="L395" s="28">
        <v>2019</v>
      </c>
    </row>
    <row r="396" spans="3:12" x14ac:dyDescent="0.25">
      <c r="C396" s="28" t="s">
        <v>2146</v>
      </c>
      <c r="D396" s="28" t="s">
        <v>2147</v>
      </c>
      <c r="E396" s="28">
        <v>0.45569999999999999</v>
      </c>
      <c r="F396" s="28">
        <v>60.4895</v>
      </c>
      <c r="G396" s="28">
        <v>302</v>
      </c>
      <c r="H396" s="28">
        <v>0.95850000000000002</v>
      </c>
      <c r="I396">
        <v>0.51490000000000002</v>
      </c>
      <c r="J396" s="28">
        <v>88.047200000000004</v>
      </c>
      <c r="K396" s="28">
        <v>179</v>
      </c>
      <c r="L396" s="28">
        <v>2020</v>
      </c>
    </row>
    <row r="397" spans="3:12" x14ac:dyDescent="0.25">
      <c r="C397" s="28" t="s">
        <v>2146</v>
      </c>
      <c r="D397" s="28" t="s">
        <v>2147</v>
      </c>
      <c r="E397" s="28">
        <v>0.46179999999999999</v>
      </c>
      <c r="F397" s="28">
        <v>60.4895</v>
      </c>
      <c r="G397" s="28">
        <v>291</v>
      </c>
      <c r="H397" s="28">
        <v>0.95960000000000001</v>
      </c>
      <c r="I397">
        <v>0.52370000000000005</v>
      </c>
      <c r="J397" s="28">
        <v>88.047200000000004</v>
      </c>
      <c r="K397" s="28">
        <v>175</v>
      </c>
      <c r="L397" s="28">
        <v>2021</v>
      </c>
    </row>
    <row r="398" spans="3:12" x14ac:dyDescent="0.25">
      <c r="C398" s="28" t="s">
        <v>2146</v>
      </c>
      <c r="D398" s="28" t="s">
        <v>2147</v>
      </c>
      <c r="E398" s="28">
        <v>0.46400000000000002</v>
      </c>
      <c r="F398" s="28">
        <v>60.4895</v>
      </c>
      <c r="G398" s="28">
        <v>285</v>
      </c>
      <c r="H398" s="28">
        <v>0.96060000000000001</v>
      </c>
      <c r="I398">
        <v>0.53259999999999996</v>
      </c>
      <c r="J398" s="28">
        <v>88.047200000000004</v>
      </c>
      <c r="K398" s="28">
        <v>170</v>
      </c>
      <c r="L398" s="28">
        <v>2022</v>
      </c>
    </row>
    <row r="399" spans="3:12" x14ac:dyDescent="0.25">
      <c r="C399" s="28" t="s">
        <v>2146</v>
      </c>
      <c r="D399" s="28" t="s">
        <v>2147</v>
      </c>
      <c r="E399" s="28">
        <v>0.47020000000000001</v>
      </c>
      <c r="F399" s="28">
        <v>60.4895</v>
      </c>
      <c r="G399" s="28">
        <v>276</v>
      </c>
      <c r="H399" s="28">
        <v>0.96599999999999997</v>
      </c>
      <c r="I399">
        <v>0.54459999999999997</v>
      </c>
      <c r="J399" s="28">
        <v>88.047200000000004</v>
      </c>
      <c r="K399" s="28">
        <v>139</v>
      </c>
      <c r="L399" s="28">
        <v>2023</v>
      </c>
    </row>
    <row r="400" spans="3:12" x14ac:dyDescent="0.25">
      <c r="C400" s="28" t="s">
        <v>2148</v>
      </c>
      <c r="D400" s="28" t="s">
        <v>2149</v>
      </c>
      <c r="E400" s="28">
        <v>0.6321</v>
      </c>
      <c r="F400" s="28">
        <v>85.030199999999994</v>
      </c>
      <c r="G400" s="28">
        <v>127</v>
      </c>
      <c r="H400" s="28">
        <v>0.94830000000000003</v>
      </c>
      <c r="I400">
        <v>0.50600000000000001</v>
      </c>
      <c r="J400" s="28">
        <v>121.6328</v>
      </c>
      <c r="K400" s="28">
        <v>218</v>
      </c>
      <c r="L400" s="28">
        <v>2019</v>
      </c>
    </row>
    <row r="401" spans="3:12" x14ac:dyDescent="0.25">
      <c r="C401" s="28" t="s">
        <v>2148</v>
      </c>
      <c r="D401" s="28" t="s">
        <v>2149</v>
      </c>
      <c r="E401" s="28">
        <v>0.64100000000000001</v>
      </c>
      <c r="F401" s="28">
        <v>85.030199999999994</v>
      </c>
      <c r="G401" s="28">
        <v>118</v>
      </c>
      <c r="H401" s="28">
        <v>0.95089999999999997</v>
      </c>
      <c r="I401">
        <v>0.51549999999999996</v>
      </c>
      <c r="J401" s="28">
        <v>121.6328</v>
      </c>
      <c r="K401" s="28">
        <v>211</v>
      </c>
      <c r="L401" s="28">
        <v>2020</v>
      </c>
    </row>
    <row r="402" spans="3:12" x14ac:dyDescent="0.25">
      <c r="C402" s="28" t="s">
        <v>2148</v>
      </c>
      <c r="D402" s="28" t="s">
        <v>2149</v>
      </c>
      <c r="E402" s="28">
        <v>0.65459999999999996</v>
      </c>
      <c r="F402" s="28">
        <v>85.030199999999994</v>
      </c>
      <c r="G402" s="28">
        <v>110</v>
      </c>
      <c r="H402" s="28">
        <v>0.95340000000000003</v>
      </c>
      <c r="I402">
        <v>0.52429999999999999</v>
      </c>
      <c r="J402" s="28">
        <v>121.6328</v>
      </c>
      <c r="K402" s="28">
        <v>200</v>
      </c>
      <c r="L402" s="28">
        <v>2021</v>
      </c>
    </row>
    <row r="403" spans="3:12" x14ac:dyDescent="0.25">
      <c r="C403" s="28" t="s">
        <v>2148</v>
      </c>
      <c r="D403" s="28" t="s">
        <v>2149</v>
      </c>
      <c r="E403" s="28">
        <v>0.66120000000000001</v>
      </c>
      <c r="F403" s="28">
        <v>85.030199999999994</v>
      </c>
      <c r="G403" s="28">
        <v>105</v>
      </c>
      <c r="H403" s="28">
        <v>0.96240000000000003</v>
      </c>
      <c r="I403">
        <v>0.53410000000000002</v>
      </c>
      <c r="J403" s="28">
        <v>121.6328</v>
      </c>
      <c r="K403" s="28">
        <v>160</v>
      </c>
      <c r="L403" s="28">
        <v>2022</v>
      </c>
    </row>
    <row r="404" spans="3:12" x14ac:dyDescent="0.25">
      <c r="C404" s="28" t="s">
        <v>2148</v>
      </c>
      <c r="D404" s="28" t="s">
        <v>2149</v>
      </c>
      <c r="E404" s="28">
        <v>0.67290000000000005</v>
      </c>
      <c r="F404" s="28">
        <v>85.030199999999994</v>
      </c>
      <c r="G404" s="28">
        <v>95</v>
      </c>
      <c r="H404" s="28">
        <v>0.96460000000000001</v>
      </c>
      <c r="I404">
        <v>0.54320000000000002</v>
      </c>
      <c r="J404" s="28">
        <v>121.6328</v>
      </c>
      <c r="K404" s="28">
        <v>149</v>
      </c>
      <c r="L404" s="28">
        <v>2023</v>
      </c>
    </row>
    <row r="405" spans="3:12" x14ac:dyDescent="0.25">
      <c r="C405" s="28" t="s">
        <v>2150</v>
      </c>
      <c r="D405" s="28" t="s">
        <v>2151</v>
      </c>
      <c r="E405" s="28">
        <v>0.46500000000000002</v>
      </c>
      <c r="F405" s="28">
        <v>53.763199999999998</v>
      </c>
      <c r="G405" s="28">
        <v>284</v>
      </c>
      <c r="H405" s="28">
        <v>0.92390000000000005</v>
      </c>
      <c r="I405">
        <v>0.25090000000000001</v>
      </c>
      <c r="J405" s="28">
        <v>49.1203</v>
      </c>
      <c r="K405" s="28">
        <v>338</v>
      </c>
      <c r="L405" s="28">
        <v>2019</v>
      </c>
    </row>
    <row r="406" spans="3:12" x14ac:dyDescent="0.25">
      <c r="C406" s="28" t="s">
        <v>2150</v>
      </c>
      <c r="D406" s="28" t="s">
        <v>2151</v>
      </c>
      <c r="E406" s="28">
        <v>0.47349999999999998</v>
      </c>
      <c r="F406" s="28">
        <v>53.763199999999998</v>
      </c>
      <c r="G406" s="28">
        <v>268</v>
      </c>
      <c r="H406" s="28">
        <v>0.93130000000000002</v>
      </c>
      <c r="I406">
        <v>0.25580000000000003</v>
      </c>
      <c r="J406" s="28">
        <v>49.1203</v>
      </c>
      <c r="K406" s="28">
        <v>305</v>
      </c>
      <c r="L406" s="28">
        <v>2020</v>
      </c>
    </row>
    <row r="407" spans="3:12" x14ac:dyDescent="0.25">
      <c r="C407" s="28" t="s">
        <v>2150</v>
      </c>
      <c r="D407" s="28" t="s">
        <v>2151</v>
      </c>
      <c r="E407" s="28">
        <v>0.48049999999999998</v>
      </c>
      <c r="F407" s="28">
        <v>53.763199999999998</v>
      </c>
      <c r="G407" s="28">
        <v>258</v>
      </c>
      <c r="H407" s="28">
        <v>0.93799999999999994</v>
      </c>
      <c r="I407">
        <v>0.26240000000000002</v>
      </c>
      <c r="J407" s="28">
        <v>49.1203</v>
      </c>
      <c r="K407" s="28">
        <v>269</v>
      </c>
      <c r="L407" s="28">
        <v>2021</v>
      </c>
    </row>
    <row r="408" spans="3:12" x14ac:dyDescent="0.25">
      <c r="C408" s="28" t="s">
        <v>2150</v>
      </c>
      <c r="D408" s="28" t="s">
        <v>2151</v>
      </c>
      <c r="E408" s="28">
        <v>0.48780000000000001</v>
      </c>
      <c r="F408" s="28">
        <v>53.763199999999998</v>
      </c>
      <c r="G408" s="28">
        <v>251</v>
      </c>
      <c r="H408" s="28">
        <v>0.96309999999999996</v>
      </c>
      <c r="I408">
        <v>0.27039999999999997</v>
      </c>
      <c r="J408" s="28">
        <v>49.1203</v>
      </c>
      <c r="K408" s="28">
        <v>157</v>
      </c>
      <c r="L408" s="28">
        <v>2022</v>
      </c>
    </row>
    <row r="409" spans="3:12" x14ac:dyDescent="0.25">
      <c r="C409" s="28" t="s">
        <v>2150</v>
      </c>
      <c r="D409" s="28" t="s">
        <v>2151</v>
      </c>
      <c r="E409" s="28">
        <v>0.4985</v>
      </c>
      <c r="F409" s="28">
        <v>53.763199999999998</v>
      </c>
      <c r="G409" s="28">
        <v>243</v>
      </c>
      <c r="H409" s="28">
        <v>0.96789999999999998</v>
      </c>
      <c r="I409">
        <v>0.27629999999999999</v>
      </c>
      <c r="J409" s="28">
        <v>49.1203</v>
      </c>
      <c r="K409" s="28">
        <v>122</v>
      </c>
      <c r="L409" s="28">
        <v>2023</v>
      </c>
    </row>
    <row r="410" spans="3:12" x14ac:dyDescent="0.25">
      <c r="C410" s="28" t="s">
        <v>2152</v>
      </c>
      <c r="D410" s="28" t="s">
        <v>2153</v>
      </c>
      <c r="E410" s="28">
        <v>0.4022</v>
      </c>
      <c r="F410" s="28">
        <v>45.062899999999999</v>
      </c>
      <c r="G410" s="28">
        <v>388</v>
      </c>
      <c r="H410" s="28">
        <v>0.89600000000000002</v>
      </c>
      <c r="I410">
        <v>0.29049999999999998</v>
      </c>
      <c r="J410" s="28">
        <v>39.630699999999997</v>
      </c>
      <c r="K410" s="28">
        <v>409</v>
      </c>
      <c r="L410" s="28">
        <v>2019</v>
      </c>
    </row>
    <row r="411" spans="3:12" x14ac:dyDescent="0.25">
      <c r="C411" s="28" t="s">
        <v>2152</v>
      </c>
      <c r="D411" s="28" t="s">
        <v>2153</v>
      </c>
      <c r="E411" s="28">
        <v>0.41020000000000001</v>
      </c>
      <c r="F411" s="28">
        <v>45.062899999999999</v>
      </c>
      <c r="G411" s="28">
        <v>377</v>
      </c>
      <c r="H411" s="28">
        <v>0.90600000000000003</v>
      </c>
      <c r="I411">
        <v>0.29830000000000001</v>
      </c>
      <c r="J411" s="28">
        <v>39.630699999999997</v>
      </c>
      <c r="K411" s="28">
        <v>392</v>
      </c>
      <c r="L411" s="28">
        <v>2020</v>
      </c>
    </row>
    <row r="412" spans="3:12" x14ac:dyDescent="0.25">
      <c r="C412" s="28" t="s">
        <v>2152</v>
      </c>
      <c r="D412" s="28" t="s">
        <v>2153</v>
      </c>
      <c r="E412" s="28">
        <v>0.41930000000000001</v>
      </c>
      <c r="F412" s="28">
        <v>45.062899999999999</v>
      </c>
      <c r="G412" s="28">
        <v>366</v>
      </c>
      <c r="H412" s="28">
        <v>0.91900000000000004</v>
      </c>
      <c r="I412">
        <v>0.30890000000000001</v>
      </c>
      <c r="J412" s="28">
        <v>39.630699999999997</v>
      </c>
      <c r="K412" s="28">
        <v>351</v>
      </c>
      <c r="L412" s="28">
        <v>2021</v>
      </c>
    </row>
    <row r="413" spans="3:12" x14ac:dyDescent="0.25">
      <c r="C413" s="28" t="s">
        <v>2152</v>
      </c>
      <c r="D413" s="28" t="s">
        <v>2153</v>
      </c>
      <c r="E413" s="28">
        <v>0.42959999999999998</v>
      </c>
      <c r="F413" s="28">
        <v>45.062899999999999</v>
      </c>
      <c r="G413" s="28">
        <v>348</v>
      </c>
      <c r="H413" s="28">
        <v>0.94520000000000004</v>
      </c>
      <c r="I413">
        <v>0.31859999999999999</v>
      </c>
      <c r="J413" s="28">
        <v>39.630699999999997</v>
      </c>
      <c r="K413" s="28">
        <v>235</v>
      </c>
      <c r="L413" s="28">
        <v>2022</v>
      </c>
    </row>
    <row r="414" spans="3:12" x14ac:dyDescent="0.25">
      <c r="C414" s="28" t="s">
        <v>2152</v>
      </c>
      <c r="D414" s="28" t="s">
        <v>2153</v>
      </c>
      <c r="E414" s="28">
        <v>0.436</v>
      </c>
      <c r="F414" s="28">
        <v>45.062899999999999</v>
      </c>
      <c r="G414" s="28">
        <v>335</v>
      </c>
      <c r="H414" s="28">
        <v>0.95320000000000005</v>
      </c>
      <c r="I414">
        <v>0.32769999999999999</v>
      </c>
      <c r="J414" s="28">
        <v>39.630699999999997</v>
      </c>
      <c r="K414" s="28">
        <v>201</v>
      </c>
      <c r="L414" s="28">
        <v>2023</v>
      </c>
    </row>
    <row r="415" spans="3:12" x14ac:dyDescent="0.25">
      <c r="C415" s="28" t="s">
        <v>2154</v>
      </c>
      <c r="D415" s="28" t="s">
        <v>2155</v>
      </c>
      <c r="E415" s="28">
        <v>0.69410000000000005</v>
      </c>
      <c r="F415" s="28">
        <v>130.6061</v>
      </c>
      <c r="G415" s="28">
        <v>77</v>
      </c>
      <c r="H415" s="28">
        <v>0.97170000000000001</v>
      </c>
      <c r="I415">
        <v>0.45800000000000002</v>
      </c>
      <c r="J415" s="28">
        <v>78.723699999999994</v>
      </c>
      <c r="K415" s="28">
        <v>92</v>
      </c>
      <c r="L415" s="28">
        <v>2019</v>
      </c>
    </row>
    <row r="416" spans="3:12" x14ac:dyDescent="0.25">
      <c r="C416" s="28" t="s">
        <v>2154</v>
      </c>
      <c r="D416" s="28" t="s">
        <v>2155</v>
      </c>
      <c r="E416" s="28">
        <v>0.69979999999999998</v>
      </c>
      <c r="F416" s="28">
        <v>130.6061</v>
      </c>
      <c r="G416" s="28">
        <v>75</v>
      </c>
      <c r="H416" s="28">
        <v>0.97270000000000001</v>
      </c>
      <c r="I416">
        <v>0.46189999999999998</v>
      </c>
      <c r="J416" s="28">
        <v>78.723699999999994</v>
      </c>
      <c r="K416" s="28">
        <v>83</v>
      </c>
      <c r="L416" s="28">
        <v>2020</v>
      </c>
    </row>
    <row r="417" spans="3:12" x14ac:dyDescent="0.25">
      <c r="C417" s="28" t="s">
        <v>2154</v>
      </c>
      <c r="D417" s="28" t="s">
        <v>2155</v>
      </c>
      <c r="E417" s="28">
        <v>0.70499999999999996</v>
      </c>
      <c r="F417" s="28">
        <v>130.6061</v>
      </c>
      <c r="G417" s="28">
        <v>72</v>
      </c>
      <c r="H417" s="28">
        <v>0.97370000000000001</v>
      </c>
      <c r="I417">
        <v>0.4662</v>
      </c>
      <c r="J417" s="28">
        <v>78.723699999999994</v>
      </c>
      <c r="K417" s="28">
        <v>78</v>
      </c>
      <c r="L417" s="28">
        <v>2021</v>
      </c>
    </row>
    <row r="418" spans="3:12" x14ac:dyDescent="0.25">
      <c r="C418" s="28" t="s">
        <v>2154</v>
      </c>
      <c r="D418" s="28" t="s">
        <v>2155</v>
      </c>
      <c r="E418" s="28">
        <v>0.71089999999999998</v>
      </c>
      <c r="F418" s="28">
        <v>130.6061</v>
      </c>
      <c r="G418" s="28">
        <v>68</v>
      </c>
      <c r="H418" s="28">
        <v>0.97450000000000003</v>
      </c>
      <c r="I418">
        <v>0.47089999999999999</v>
      </c>
      <c r="J418" s="28">
        <v>78.723699999999994</v>
      </c>
      <c r="K418" s="28">
        <v>74</v>
      </c>
      <c r="L418" s="28">
        <v>2022</v>
      </c>
    </row>
    <row r="419" spans="3:12" x14ac:dyDescent="0.25">
      <c r="C419" s="28" t="s">
        <v>2154</v>
      </c>
      <c r="D419" s="28" t="s">
        <v>2155</v>
      </c>
      <c r="E419" s="28">
        <v>0.71489999999999998</v>
      </c>
      <c r="F419" s="28">
        <v>130.6061</v>
      </c>
      <c r="G419" s="28">
        <v>62</v>
      </c>
      <c r="H419" s="28">
        <v>0.97529999999999994</v>
      </c>
      <c r="I419">
        <v>0.4753</v>
      </c>
      <c r="J419" s="28">
        <v>78.723699999999994</v>
      </c>
      <c r="K419" s="28">
        <v>69</v>
      </c>
      <c r="L419" s="28">
        <v>2023</v>
      </c>
    </row>
    <row r="420" spans="3:12" x14ac:dyDescent="0.25">
      <c r="C420" s="28" t="s">
        <v>2156</v>
      </c>
      <c r="D420" s="28" t="s">
        <v>2157</v>
      </c>
      <c r="E420" s="28">
        <v>0.59440000000000004</v>
      </c>
      <c r="F420" s="28">
        <v>105.63339999999999</v>
      </c>
      <c r="G420" s="28">
        <v>146</v>
      </c>
      <c r="H420" s="28">
        <v>0.96660000000000001</v>
      </c>
      <c r="I420">
        <v>0.43330000000000002</v>
      </c>
      <c r="J420" s="28">
        <v>58.269399999999997</v>
      </c>
      <c r="K420" s="28">
        <v>133</v>
      </c>
      <c r="L420" s="28">
        <v>2019</v>
      </c>
    </row>
    <row r="421" spans="3:12" x14ac:dyDescent="0.25">
      <c r="C421" s="28" t="s">
        <v>2156</v>
      </c>
      <c r="D421" s="28" t="s">
        <v>2157</v>
      </c>
      <c r="E421" s="28">
        <v>0.59770000000000001</v>
      </c>
      <c r="F421" s="28">
        <v>105.63339999999999</v>
      </c>
      <c r="G421" s="28">
        <v>145</v>
      </c>
      <c r="H421" s="28">
        <v>0.9677</v>
      </c>
      <c r="I421">
        <v>0.43819999999999998</v>
      </c>
      <c r="J421" s="28">
        <v>58.269399999999997</v>
      </c>
      <c r="K421" s="28">
        <v>123</v>
      </c>
      <c r="L421" s="28">
        <v>2020</v>
      </c>
    </row>
    <row r="422" spans="3:12" x14ac:dyDescent="0.25">
      <c r="C422" s="28" t="s">
        <v>2156</v>
      </c>
      <c r="D422" s="28" t="s">
        <v>2157</v>
      </c>
      <c r="E422" s="28">
        <v>0.59940000000000004</v>
      </c>
      <c r="F422" s="28">
        <v>105.63339999999999</v>
      </c>
      <c r="G422" s="28">
        <v>144</v>
      </c>
      <c r="H422" s="28">
        <v>0.96840000000000004</v>
      </c>
      <c r="I422">
        <v>0.44330000000000003</v>
      </c>
      <c r="J422" s="28">
        <v>58.269399999999997</v>
      </c>
      <c r="K422" s="28">
        <v>116</v>
      </c>
      <c r="L422" s="28">
        <v>2021</v>
      </c>
    </row>
    <row r="423" spans="3:12" x14ac:dyDescent="0.25">
      <c r="C423" s="28" t="s">
        <v>2156</v>
      </c>
      <c r="D423" s="28" t="s">
        <v>2157</v>
      </c>
      <c r="E423" s="28">
        <v>0.60289999999999999</v>
      </c>
      <c r="F423" s="28">
        <v>105.63339999999999</v>
      </c>
      <c r="G423" s="28">
        <v>142</v>
      </c>
      <c r="H423" s="28">
        <v>0.96940000000000004</v>
      </c>
      <c r="I423">
        <v>0.44779999999999998</v>
      </c>
      <c r="J423" s="28">
        <v>58.269399999999997</v>
      </c>
      <c r="K423" s="28">
        <v>107</v>
      </c>
      <c r="L423" s="28">
        <v>2022</v>
      </c>
    </row>
    <row r="424" spans="3:12" x14ac:dyDescent="0.25">
      <c r="C424" s="28" t="s">
        <v>2156</v>
      </c>
      <c r="D424" s="28" t="s">
        <v>2157</v>
      </c>
      <c r="E424" s="28">
        <v>0.60499999999999998</v>
      </c>
      <c r="F424" s="28">
        <v>105.63339999999999</v>
      </c>
      <c r="G424" s="28">
        <v>141</v>
      </c>
      <c r="H424" s="28">
        <v>0.9859</v>
      </c>
      <c r="I424">
        <v>0.45429999999999998</v>
      </c>
      <c r="J424" s="28">
        <v>58.269399999999997</v>
      </c>
      <c r="K424" s="28">
        <v>26</v>
      </c>
      <c r="L424" s="28">
        <v>2023</v>
      </c>
    </row>
    <row r="425" spans="3:12" x14ac:dyDescent="0.25">
      <c r="C425" s="28" t="s">
        <v>2158</v>
      </c>
      <c r="D425" s="28" t="s">
        <v>2159</v>
      </c>
      <c r="E425" s="28">
        <v>0.43290000000000001</v>
      </c>
      <c r="F425" s="28">
        <v>60.2333</v>
      </c>
      <c r="G425" s="28">
        <v>343</v>
      </c>
      <c r="H425" s="28">
        <v>0.90229999999999999</v>
      </c>
      <c r="I425">
        <v>0.61439999999999995</v>
      </c>
      <c r="J425" s="28">
        <v>60.167499999999997</v>
      </c>
      <c r="K425" s="28">
        <v>398</v>
      </c>
      <c r="L425" s="28">
        <v>2019</v>
      </c>
    </row>
    <row r="426" spans="3:12" x14ac:dyDescent="0.25">
      <c r="C426" s="28" t="s">
        <v>2158</v>
      </c>
      <c r="D426" s="28" t="s">
        <v>2159</v>
      </c>
      <c r="E426" s="28">
        <v>0.43919999999999998</v>
      </c>
      <c r="F426" s="28">
        <v>60.2333</v>
      </c>
      <c r="G426" s="28">
        <v>331</v>
      </c>
      <c r="H426" s="28">
        <v>0.90880000000000005</v>
      </c>
      <c r="I426">
        <v>0.62239999999999995</v>
      </c>
      <c r="J426" s="28">
        <v>60.167499999999997</v>
      </c>
      <c r="K426" s="28">
        <v>383</v>
      </c>
      <c r="L426" s="28">
        <v>2020</v>
      </c>
    </row>
    <row r="427" spans="3:12" x14ac:dyDescent="0.25">
      <c r="C427" s="28" t="s">
        <v>2158</v>
      </c>
      <c r="D427" s="28" t="s">
        <v>2159</v>
      </c>
      <c r="E427" s="28">
        <v>0.44419999999999998</v>
      </c>
      <c r="F427" s="28">
        <v>60.2333</v>
      </c>
      <c r="G427" s="28">
        <v>321</v>
      </c>
      <c r="H427" s="28">
        <v>0.91579999999999995</v>
      </c>
      <c r="I427">
        <v>0.63180000000000003</v>
      </c>
      <c r="J427" s="28">
        <v>60.167499999999997</v>
      </c>
      <c r="K427" s="28">
        <v>363</v>
      </c>
      <c r="L427" s="28">
        <v>2021</v>
      </c>
    </row>
    <row r="428" spans="3:12" x14ac:dyDescent="0.25">
      <c r="C428" s="28" t="s">
        <v>2158</v>
      </c>
      <c r="D428" s="28" t="s">
        <v>2159</v>
      </c>
      <c r="E428" s="28">
        <v>0.45150000000000001</v>
      </c>
      <c r="F428" s="28">
        <v>60.2333</v>
      </c>
      <c r="G428" s="28">
        <v>311</v>
      </c>
      <c r="H428" s="28">
        <v>0.92559999999999998</v>
      </c>
      <c r="I428">
        <v>0.64400000000000002</v>
      </c>
      <c r="J428" s="28">
        <v>60.167499999999997</v>
      </c>
      <c r="K428" s="28">
        <v>332</v>
      </c>
      <c r="L428" s="28">
        <v>2022</v>
      </c>
    </row>
    <row r="429" spans="3:12" x14ac:dyDescent="0.25">
      <c r="C429" s="28" t="s">
        <v>2158</v>
      </c>
      <c r="D429" s="28" t="s">
        <v>2159</v>
      </c>
      <c r="E429" s="28">
        <v>0.45879999999999999</v>
      </c>
      <c r="F429" s="28">
        <v>60.2333</v>
      </c>
      <c r="G429" s="28">
        <v>297</v>
      </c>
      <c r="H429" s="28">
        <v>0.93389999999999995</v>
      </c>
      <c r="I429">
        <v>0.6552</v>
      </c>
      <c r="J429" s="28">
        <v>60.167499999999997</v>
      </c>
      <c r="K429" s="28">
        <v>292</v>
      </c>
      <c r="L429" s="28">
        <v>2023</v>
      </c>
    </row>
    <row r="430" spans="3:12" x14ac:dyDescent="0.25">
      <c r="C430" s="28" t="s">
        <v>2160</v>
      </c>
      <c r="D430" s="28" t="s">
        <v>2161</v>
      </c>
      <c r="E430" s="28">
        <v>0.62739999999999996</v>
      </c>
      <c r="F430" s="28">
        <v>264.68369999999999</v>
      </c>
      <c r="G430" s="28">
        <v>131</v>
      </c>
      <c r="H430" s="28">
        <v>0.89939999999999998</v>
      </c>
      <c r="I430">
        <v>0.55179999999999996</v>
      </c>
      <c r="J430" s="28">
        <v>254.11959999999999</v>
      </c>
      <c r="K430" s="28">
        <v>403</v>
      </c>
      <c r="L430" s="28">
        <v>2019</v>
      </c>
    </row>
    <row r="431" spans="3:12" x14ac:dyDescent="0.25">
      <c r="C431" s="28" t="s">
        <v>2160</v>
      </c>
      <c r="D431" s="28" t="s">
        <v>2161</v>
      </c>
      <c r="E431" s="28">
        <v>0.63100000000000001</v>
      </c>
      <c r="F431" s="28">
        <v>264.68369999999999</v>
      </c>
      <c r="G431" s="28">
        <v>129</v>
      </c>
      <c r="H431" s="28">
        <v>0.90239999999999998</v>
      </c>
      <c r="I431">
        <v>0.55530000000000002</v>
      </c>
      <c r="J431" s="28">
        <v>254.11959999999999</v>
      </c>
      <c r="K431" s="28">
        <v>397</v>
      </c>
      <c r="L431" s="28">
        <v>2020</v>
      </c>
    </row>
    <row r="432" spans="3:12" x14ac:dyDescent="0.25">
      <c r="C432" s="28" t="s">
        <v>2160</v>
      </c>
      <c r="D432" s="28" t="s">
        <v>2161</v>
      </c>
      <c r="E432" s="28">
        <v>0.6371</v>
      </c>
      <c r="F432" s="28">
        <v>264.68369999999999</v>
      </c>
      <c r="G432" s="28">
        <v>124</v>
      </c>
      <c r="H432" s="28">
        <v>0.90480000000000005</v>
      </c>
      <c r="I432">
        <v>0.56030000000000002</v>
      </c>
      <c r="J432" s="28">
        <v>254.11959999999999</v>
      </c>
      <c r="K432" s="28">
        <v>395</v>
      </c>
      <c r="L432" s="28">
        <v>2021</v>
      </c>
    </row>
    <row r="433" spans="3:12" x14ac:dyDescent="0.25">
      <c r="C433" s="28" t="s">
        <v>2160</v>
      </c>
      <c r="D433" s="28" t="s">
        <v>2161</v>
      </c>
      <c r="E433" s="28">
        <v>0.6391</v>
      </c>
      <c r="F433" s="28">
        <v>264.68369999999999</v>
      </c>
      <c r="G433" s="28">
        <v>122</v>
      </c>
      <c r="H433" s="28">
        <v>0.9093</v>
      </c>
      <c r="I433">
        <v>0.56369999999999998</v>
      </c>
      <c r="J433" s="28">
        <v>254.11959999999999</v>
      </c>
      <c r="K433" s="28">
        <v>378</v>
      </c>
      <c r="L433" s="28">
        <v>2022</v>
      </c>
    </row>
    <row r="434" spans="3:12" x14ac:dyDescent="0.25">
      <c r="C434" s="28" t="s">
        <v>2160</v>
      </c>
      <c r="D434" s="28" t="s">
        <v>2161</v>
      </c>
      <c r="E434" s="28">
        <v>0.64100000000000001</v>
      </c>
      <c r="F434" s="28">
        <v>264.68369999999999</v>
      </c>
      <c r="G434" s="28">
        <v>118</v>
      </c>
      <c r="H434" s="28">
        <v>0.91479999999999995</v>
      </c>
      <c r="I434">
        <v>0.56759999999999999</v>
      </c>
      <c r="J434" s="28">
        <v>254.11959999999999</v>
      </c>
      <c r="K434" s="28">
        <v>365</v>
      </c>
      <c r="L434" s="28">
        <v>2023</v>
      </c>
    </row>
    <row r="435" spans="3:12" x14ac:dyDescent="0.25">
      <c r="C435" s="28" t="s">
        <v>2162</v>
      </c>
      <c r="D435" s="28" t="s">
        <v>2163</v>
      </c>
      <c r="E435" s="28">
        <v>0.39489999999999997</v>
      </c>
      <c r="F435" s="28">
        <v>49.747700000000002</v>
      </c>
      <c r="G435" s="28">
        <v>401</v>
      </c>
      <c r="H435" s="28">
        <v>0.94120000000000004</v>
      </c>
      <c r="I435">
        <v>0.41</v>
      </c>
      <c r="J435" s="28">
        <v>56.897500000000001</v>
      </c>
      <c r="K435" s="28">
        <v>252</v>
      </c>
      <c r="L435" s="28">
        <v>2019</v>
      </c>
    </row>
    <row r="436" spans="3:12" x14ac:dyDescent="0.25">
      <c r="C436" s="28" t="s">
        <v>2162</v>
      </c>
      <c r="D436" s="28" t="s">
        <v>2163</v>
      </c>
      <c r="E436" s="28">
        <v>0.40510000000000002</v>
      </c>
      <c r="F436" s="28">
        <v>49.747700000000002</v>
      </c>
      <c r="G436" s="28">
        <v>384</v>
      </c>
      <c r="H436" s="28">
        <v>0.94630000000000003</v>
      </c>
      <c r="I436">
        <v>0.41849999999999998</v>
      </c>
      <c r="J436" s="28">
        <v>56.897500000000001</v>
      </c>
      <c r="K436" s="28">
        <v>227</v>
      </c>
      <c r="L436" s="28">
        <v>2020</v>
      </c>
    </row>
    <row r="437" spans="3:12" x14ac:dyDescent="0.25">
      <c r="C437" s="28" t="s">
        <v>2162</v>
      </c>
      <c r="D437" s="28" t="s">
        <v>2163</v>
      </c>
      <c r="E437" s="28">
        <v>0.41749999999999998</v>
      </c>
      <c r="F437" s="28">
        <v>49.747700000000002</v>
      </c>
      <c r="G437" s="28">
        <v>370</v>
      </c>
      <c r="H437" s="28">
        <v>0.95050000000000001</v>
      </c>
      <c r="I437">
        <v>0.42980000000000002</v>
      </c>
      <c r="J437" s="28">
        <v>56.897500000000001</v>
      </c>
      <c r="K437" s="28">
        <v>213</v>
      </c>
      <c r="L437" s="28">
        <v>2021</v>
      </c>
    </row>
    <row r="438" spans="3:12" x14ac:dyDescent="0.25">
      <c r="C438" s="28" t="s">
        <v>2162</v>
      </c>
      <c r="D438" s="28" t="s">
        <v>2163</v>
      </c>
      <c r="E438" s="28">
        <v>0.42449999999999999</v>
      </c>
      <c r="F438" s="28">
        <v>49.747700000000002</v>
      </c>
      <c r="G438" s="28">
        <v>358</v>
      </c>
      <c r="H438" s="28">
        <v>0.95499999999999996</v>
      </c>
      <c r="I438">
        <v>0.44059999999999999</v>
      </c>
      <c r="J438" s="28">
        <v>56.897500000000001</v>
      </c>
      <c r="K438" s="28">
        <v>194</v>
      </c>
      <c r="L438" s="28">
        <v>2022</v>
      </c>
    </row>
    <row r="439" spans="3:12" x14ac:dyDescent="0.25">
      <c r="C439" s="28" t="s">
        <v>2162</v>
      </c>
      <c r="D439" s="28" t="s">
        <v>2163</v>
      </c>
      <c r="E439" s="28">
        <v>0.42859999999999998</v>
      </c>
      <c r="F439" s="28">
        <v>49.747700000000002</v>
      </c>
      <c r="G439" s="28">
        <v>351</v>
      </c>
      <c r="H439" s="28">
        <v>0.96799999999999997</v>
      </c>
      <c r="I439">
        <v>0.45040000000000002</v>
      </c>
      <c r="J439" s="28">
        <v>56.897500000000001</v>
      </c>
      <c r="K439" s="28">
        <v>121</v>
      </c>
      <c r="L439" s="28">
        <v>2023</v>
      </c>
    </row>
    <row r="440" spans="3:12" x14ac:dyDescent="0.25">
      <c r="C440" s="28" t="s">
        <v>2164</v>
      </c>
      <c r="D440" s="28" t="s">
        <v>2165</v>
      </c>
      <c r="E440" s="28">
        <v>0.38929999999999998</v>
      </c>
      <c r="F440" s="28">
        <v>72.997600000000006</v>
      </c>
      <c r="G440" s="28">
        <v>410</v>
      </c>
      <c r="H440" s="28">
        <v>0.91800000000000004</v>
      </c>
      <c r="I440">
        <v>0.3579</v>
      </c>
      <c r="J440" s="28">
        <v>61.480600000000003</v>
      </c>
      <c r="K440" s="28">
        <v>356</v>
      </c>
      <c r="L440" s="28">
        <v>2019</v>
      </c>
    </row>
    <row r="441" spans="3:12" x14ac:dyDescent="0.25">
      <c r="C441" s="28" t="s">
        <v>2164</v>
      </c>
      <c r="D441" s="28" t="s">
        <v>2165</v>
      </c>
      <c r="E441" s="28">
        <v>0.39379999999999998</v>
      </c>
      <c r="F441" s="28">
        <v>72.997600000000006</v>
      </c>
      <c r="G441" s="28">
        <v>403</v>
      </c>
      <c r="H441" s="28">
        <v>0.92169999999999996</v>
      </c>
      <c r="I441">
        <v>0.3634</v>
      </c>
      <c r="J441" s="28">
        <v>61.480600000000003</v>
      </c>
      <c r="K441" s="28">
        <v>343</v>
      </c>
      <c r="L441" s="28">
        <v>2020</v>
      </c>
    </row>
    <row r="442" spans="3:12" x14ac:dyDescent="0.25">
      <c r="C442" s="28" t="s">
        <v>2164</v>
      </c>
      <c r="D442" s="28" t="s">
        <v>2165</v>
      </c>
      <c r="E442" s="28">
        <v>0.39789999999999998</v>
      </c>
      <c r="F442" s="28">
        <v>72.997600000000006</v>
      </c>
      <c r="G442" s="28">
        <v>394</v>
      </c>
      <c r="H442" s="28">
        <v>0.92679999999999996</v>
      </c>
      <c r="I442">
        <v>0.37130000000000002</v>
      </c>
      <c r="J442" s="28">
        <v>61.480600000000003</v>
      </c>
      <c r="K442" s="28">
        <v>328</v>
      </c>
      <c r="L442" s="28">
        <v>2021</v>
      </c>
    </row>
    <row r="443" spans="3:12" x14ac:dyDescent="0.25">
      <c r="C443" s="28" t="s">
        <v>2164</v>
      </c>
      <c r="D443" s="28" t="s">
        <v>2165</v>
      </c>
      <c r="E443" s="28">
        <v>0.40920000000000001</v>
      </c>
      <c r="F443" s="28">
        <v>72.997600000000006</v>
      </c>
      <c r="G443" s="28">
        <v>378</v>
      </c>
      <c r="H443" s="28">
        <v>0.93220000000000003</v>
      </c>
      <c r="I443">
        <v>0.3795</v>
      </c>
      <c r="J443" s="28">
        <v>61.480600000000003</v>
      </c>
      <c r="K443" s="28">
        <v>299</v>
      </c>
      <c r="L443" s="28">
        <v>2022</v>
      </c>
    </row>
    <row r="444" spans="3:12" x14ac:dyDescent="0.25">
      <c r="C444" s="28" t="s">
        <v>2164</v>
      </c>
      <c r="D444" s="28" t="s">
        <v>2165</v>
      </c>
      <c r="E444" s="28">
        <v>0.41499999999999998</v>
      </c>
      <c r="F444" s="28">
        <v>72.997600000000006</v>
      </c>
      <c r="G444" s="28">
        <v>372</v>
      </c>
      <c r="H444" s="28">
        <v>0.9526</v>
      </c>
      <c r="I444">
        <v>0.3866</v>
      </c>
      <c r="J444" s="28">
        <v>61.480600000000003</v>
      </c>
      <c r="K444" s="28">
        <v>206</v>
      </c>
      <c r="L444" s="28">
        <v>2023</v>
      </c>
    </row>
    <row r="445" spans="3:12" x14ac:dyDescent="0.25">
      <c r="C445" s="28" t="s">
        <v>2166</v>
      </c>
      <c r="D445" s="28" t="s">
        <v>2167</v>
      </c>
      <c r="E445" s="28">
        <v>0.3836</v>
      </c>
      <c r="F445" s="28">
        <v>49.386000000000003</v>
      </c>
      <c r="G445" s="28">
        <v>416</v>
      </c>
      <c r="H445" s="28">
        <v>0.95179999999999998</v>
      </c>
      <c r="I445">
        <v>0.4264</v>
      </c>
      <c r="J445" s="28">
        <v>64.748199999999997</v>
      </c>
      <c r="K445" s="28">
        <v>207</v>
      </c>
      <c r="L445" s="28">
        <v>2019</v>
      </c>
    </row>
    <row r="446" spans="3:12" x14ac:dyDescent="0.25">
      <c r="C446" s="28" t="s">
        <v>2166</v>
      </c>
      <c r="D446" s="28" t="s">
        <v>2167</v>
      </c>
      <c r="E446" s="28">
        <v>0.39</v>
      </c>
      <c r="F446" s="28">
        <v>49.386000000000003</v>
      </c>
      <c r="G446" s="28">
        <v>409</v>
      </c>
      <c r="H446" s="28">
        <v>0.95550000000000002</v>
      </c>
      <c r="I446">
        <v>0.43159999999999998</v>
      </c>
      <c r="J446" s="28">
        <v>64.748199999999997</v>
      </c>
      <c r="K446" s="28">
        <v>192</v>
      </c>
      <c r="L446" s="28">
        <v>2020</v>
      </c>
    </row>
    <row r="447" spans="3:12" x14ac:dyDescent="0.25">
      <c r="C447" s="28" t="s">
        <v>2166</v>
      </c>
      <c r="D447" s="28" t="s">
        <v>2167</v>
      </c>
      <c r="E447" s="28">
        <v>0.3931</v>
      </c>
      <c r="F447" s="28">
        <v>49.386000000000003</v>
      </c>
      <c r="G447" s="28">
        <v>404</v>
      </c>
      <c r="H447" s="28">
        <v>0.95699999999999996</v>
      </c>
      <c r="I447">
        <v>0.4365</v>
      </c>
      <c r="J447" s="28">
        <v>64.748199999999997</v>
      </c>
      <c r="K447" s="28">
        <v>187</v>
      </c>
      <c r="L447" s="28">
        <v>2021</v>
      </c>
    </row>
    <row r="448" spans="3:12" x14ac:dyDescent="0.25">
      <c r="C448" s="28" t="s">
        <v>2166</v>
      </c>
      <c r="D448" s="28" t="s">
        <v>2167</v>
      </c>
      <c r="E448" s="28">
        <v>0.3972</v>
      </c>
      <c r="F448" s="28">
        <v>49.386000000000003</v>
      </c>
      <c r="G448" s="28">
        <v>396</v>
      </c>
      <c r="H448" s="28">
        <v>0.95830000000000004</v>
      </c>
      <c r="I448">
        <v>0.44119999999999998</v>
      </c>
      <c r="J448" s="28">
        <v>64.748199999999997</v>
      </c>
      <c r="K448" s="28">
        <v>180</v>
      </c>
      <c r="L448" s="28">
        <v>2022</v>
      </c>
    </row>
    <row r="449" spans="3:12" x14ac:dyDescent="0.25">
      <c r="C449" s="28" t="s">
        <v>2166</v>
      </c>
      <c r="D449" s="28" t="s">
        <v>2167</v>
      </c>
      <c r="E449" s="28">
        <v>0.40200000000000002</v>
      </c>
      <c r="F449" s="28">
        <v>49.386000000000003</v>
      </c>
      <c r="G449" s="28">
        <v>389</v>
      </c>
      <c r="H449" s="28">
        <v>0.96479999999999999</v>
      </c>
      <c r="I449">
        <v>0.44729999999999998</v>
      </c>
      <c r="J449" s="28">
        <v>64.748199999999997</v>
      </c>
      <c r="K449" s="28">
        <v>147</v>
      </c>
      <c r="L449" s="28">
        <v>2023</v>
      </c>
    </row>
    <row r="450" spans="3:12" x14ac:dyDescent="0.25">
      <c r="C450" s="28" t="s">
        <v>2168</v>
      </c>
      <c r="D450" s="28" t="s">
        <v>2169</v>
      </c>
      <c r="E450" s="28">
        <v>0.45279999999999998</v>
      </c>
      <c r="F450" s="28">
        <v>48.904400000000003</v>
      </c>
      <c r="G450" s="28">
        <v>308</v>
      </c>
      <c r="H450" s="28">
        <v>0.92559999999999998</v>
      </c>
      <c r="I450">
        <v>0.25800000000000001</v>
      </c>
      <c r="J450" s="28">
        <v>41.852200000000003</v>
      </c>
      <c r="K450" s="28">
        <v>332</v>
      </c>
      <c r="L450" s="28">
        <v>2019</v>
      </c>
    </row>
    <row r="451" spans="3:12" x14ac:dyDescent="0.25">
      <c r="C451" s="28" t="s">
        <v>2168</v>
      </c>
      <c r="D451" s="28" t="s">
        <v>2169</v>
      </c>
      <c r="E451" s="28">
        <v>0.45429999999999998</v>
      </c>
      <c r="F451" s="28">
        <v>48.904400000000003</v>
      </c>
      <c r="G451" s="28">
        <v>304</v>
      </c>
      <c r="H451" s="28">
        <v>0.93030000000000002</v>
      </c>
      <c r="I451">
        <v>0.2641</v>
      </c>
      <c r="J451" s="28">
        <v>41.852200000000003</v>
      </c>
      <c r="K451" s="28">
        <v>307</v>
      </c>
      <c r="L451" s="28">
        <v>2020</v>
      </c>
    </row>
    <row r="452" spans="3:12" x14ac:dyDescent="0.25">
      <c r="C452" s="28" t="s">
        <v>2168</v>
      </c>
      <c r="D452" s="28" t="s">
        <v>2169</v>
      </c>
      <c r="E452" s="28">
        <v>0.46029999999999999</v>
      </c>
      <c r="F452" s="28">
        <v>48.904400000000003</v>
      </c>
      <c r="G452" s="28">
        <v>295</v>
      </c>
      <c r="H452" s="28">
        <v>0.93600000000000005</v>
      </c>
      <c r="I452">
        <v>0.27079999999999999</v>
      </c>
      <c r="J452" s="28">
        <v>41.852200000000003</v>
      </c>
      <c r="K452" s="28">
        <v>280</v>
      </c>
      <c r="L452" s="28">
        <v>2021</v>
      </c>
    </row>
    <row r="453" spans="3:12" x14ac:dyDescent="0.25">
      <c r="C453" s="28" t="s">
        <v>2168</v>
      </c>
      <c r="D453" s="28" t="s">
        <v>2169</v>
      </c>
      <c r="E453" s="28">
        <v>0.46729999999999999</v>
      </c>
      <c r="F453" s="28">
        <v>48.904400000000003</v>
      </c>
      <c r="G453" s="28">
        <v>279</v>
      </c>
      <c r="H453" s="28">
        <v>0.94110000000000005</v>
      </c>
      <c r="I453">
        <v>0.27750000000000002</v>
      </c>
      <c r="J453" s="28">
        <v>41.852200000000003</v>
      </c>
      <c r="K453" s="28">
        <v>254</v>
      </c>
      <c r="L453" s="28">
        <v>2022</v>
      </c>
    </row>
    <row r="454" spans="3:12" x14ac:dyDescent="0.25">
      <c r="C454" s="28" t="s">
        <v>2168</v>
      </c>
      <c r="D454" s="28" t="s">
        <v>2169</v>
      </c>
      <c r="E454" s="28">
        <v>0.4713</v>
      </c>
      <c r="F454" s="28">
        <v>48.904400000000003</v>
      </c>
      <c r="G454" s="28">
        <v>271</v>
      </c>
      <c r="H454" s="28">
        <v>0.94520000000000004</v>
      </c>
      <c r="I454">
        <v>0.28299999999999997</v>
      </c>
      <c r="J454" s="28">
        <v>41.852200000000003</v>
      </c>
      <c r="K454" s="28">
        <v>235</v>
      </c>
      <c r="L454" s="28">
        <v>2023</v>
      </c>
    </row>
    <row r="455" spans="3:12" x14ac:dyDescent="0.25">
      <c r="C455" s="28" t="s">
        <v>2170</v>
      </c>
      <c r="D455" s="28" t="s">
        <v>2171</v>
      </c>
      <c r="E455" s="28">
        <v>0.622</v>
      </c>
      <c r="F455" s="28">
        <v>157.7516</v>
      </c>
      <c r="G455" s="28">
        <v>135</v>
      </c>
      <c r="H455" s="28">
        <v>0.90890000000000004</v>
      </c>
      <c r="I455">
        <v>0.52459999999999996</v>
      </c>
      <c r="J455" s="28">
        <v>121.36920000000001</v>
      </c>
      <c r="K455" s="28">
        <v>381</v>
      </c>
      <c r="L455" s="28">
        <v>2019</v>
      </c>
    </row>
    <row r="456" spans="3:12" x14ac:dyDescent="0.25">
      <c r="C456" s="28" t="s">
        <v>2170</v>
      </c>
      <c r="D456" s="28" t="s">
        <v>2171</v>
      </c>
      <c r="E456" s="28">
        <v>0.62039999999999995</v>
      </c>
      <c r="F456" s="28">
        <v>157.7516</v>
      </c>
      <c r="G456" s="28">
        <v>136</v>
      </c>
      <c r="H456" s="28">
        <v>0.91080000000000005</v>
      </c>
      <c r="I456">
        <v>0.52910000000000001</v>
      </c>
      <c r="J456" s="28">
        <v>121.36920000000001</v>
      </c>
      <c r="K456" s="28">
        <v>376</v>
      </c>
      <c r="L456" s="28">
        <v>2020</v>
      </c>
    </row>
    <row r="457" spans="3:12" x14ac:dyDescent="0.25">
      <c r="C457" s="28" t="s">
        <v>2170</v>
      </c>
      <c r="D457" s="28" t="s">
        <v>2171</v>
      </c>
      <c r="E457" s="28">
        <v>0.625</v>
      </c>
      <c r="F457" s="28">
        <v>157.7516</v>
      </c>
      <c r="G457" s="28">
        <v>132</v>
      </c>
      <c r="H457" s="28">
        <v>0.91469999999999996</v>
      </c>
      <c r="I457">
        <v>0.53310000000000002</v>
      </c>
      <c r="J457" s="28">
        <v>121.36920000000001</v>
      </c>
      <c r="K457" s="28">
        <v>366</v>
      </c>
      <c r="L457" s="28">
        <v>2021</v>
      </c>
    </row>
    <row r="458" spans="3:12" x14ac:dyDescent="0.25">
      <c r="C458" s="28" t="s">
        <v>2170</v>
      </c>
      <c r="D458" s="28" t="s">
        <v>2171</v>
      </c>
      <c r="E458" s="28">
        <v>0.62790000000000001</v>
      </c>
      <c r="F458" s="28">
        <v>157.7516</v>
      </c>
      <c r="G458" s="28">
        <v>130</v>
      </c>
      <c r="H458" s="28">
        <v>0.91690000000000005</v>
      </c>
      <c r="I458">
        <v>0.53769999999999996</v>
      </c>
      <c r="J458" s="28">
        <v>121.36920000000001</v>
      </c>
      <c r="K458" s="28">
        <v>359</v>
      </c>
      <c r="L458" s="28">
        <v>2022</v>
      </c>
    </row>
    <row r="459" spans="3:12" x14ac:dyDescent="0.25">
      <c r="C459" s="28" t="s">
        <v>2170</v>
      </c>
      <c r="D459" s="28" t="s">
        <v>2171</v>
      </c>
      <c r="E459" s="28">
        <v>0.64459999999999995</v>
      </c>
      <c r="F459" s="28">
        <v>157.7516</v>
      </c>
      <c r="G459" s="28">
        <v>116</v>
      </c>
      <c r="H459" s="28">
        <v>0.92159999999999997</v>
      </c>
      <c r="I459">
        <v>0.54390000000000005</v>
      </c>
      <c r="J459" s="28">
        <v>121.36920000000001</v>
      </c>
      <c r="K459" s="28">
        <v>345</v>
      </c>
      <c r="L459" s="28">
        <v>2023</v>
      </c>
    </row>
    <row r="460" spans="3:12" x14ac:dyDescent="0.25">
      <c r="C460" s="28" t="s">
        <v>2172</v>
      </c>
      <c r="D460" s="28" t="s">
        <v>2173</v>
      </c>
      <c r="E460" s="28">
        <v>0.91620000000000001</v>
      </c>
      <c r="F460" s="28">
        <v>263.0154</v>
      </c>
      <c r="G460" s="28">
        <v>35</v>
      </c>
      <c r="H460" s="28">
        <v>0.89270000000000005</v>
      </c>
      <c r="I460">
        <v>0.70369999999999999</v>
      </c>
      <c r="J460" s="28">
        <v>203.1377</v>
      </c>
      <c r="K460" s="28">
        <v>416</v>
      </c>
      <c r="L460" s="28">
        <v>2019</v>
      </c>
    </row>
    <row r="461" spans="3:12" x14ac:dyDescent="0.25">
      <c r="C461" s="28" t="s">
        <v>2172</v>
      </c>
      <c r="D461" s="28" t="s">
        <v>2173</v>
      </c>
      <c r="E461" s="28">
        <v>0.91769999999999996</v>
      </c>
      <c r="F461" s="28">
        <v>263.0154</v>
      </c>
      <c r="G461" s="28">
        <v>34</v>
      </c>
      <c r="H461" s="28">
        <v>0.89459999999999995</v>
      </c>
      <c r="I461">
        <v>0.70820000000000005</v>
      </c>
      <c r="J461" s="28">
        <v>203.1377</v>
      </c>
      <c r="K461" s="28">
        <v>414</v>
      </c>
      <c r="L461" s="28">
        <v>2020</v>
      </c>
    </row>
    <row r="462" spans="3:12" x14ac:dyDescent="0.25">
      <c r="C462" s="28" t="s">
        <v>2172</v>
      </c>
      <c r="D462" s="28" t="s">
        <v>2173</v>
      </c>
      <c r="E462" s="28">
        <v>0.91959999999999997</v>
      </c>
      <c r="F462" s="28">
        <v>263.0154</v>
      </c>
      <c r="G462" s="28">
        <v>32</v>
      </c>
      <c r="H462" s="28">
        <v>0.89670000000000005</v>
      </c>
      <c r="I462">
        <v>0.71189999999999998</v>
      </c>
      <c r="J462" s="28">
        <v>203.1377</v>
      </c>
      <c r="K462" s="28">
        <v>407</v>
      </c>
      <c r="L462" s="28">
        <v>2021</v>
      </c>
    </row>
    <row r="463" spans="3:12" x14ac:dyDescent="0.25">
      <c r="C463" s="28" t="s">
        <v>2172</v>
      </c>
      <c r="D463" s="28" t="s">
        <v>2173</v>
      </c>
      <c r="E463" s="28">
        <v>0.92110000000000003</v>
      </c>
      <c r="F463" s="28">
        <v>263.0154</v>
      </c>
      <c r="G463" s="28">
        <v>30</v>
      </c>
      <c r="H463" s="28">
        <v>0.89849999999999997</v>
      </c>
      <c r="I463">
        <v>0.71579999999999999</v>
      </c>
      <c r="J463" s="28">
        <v>203.1377</v>
      </c>
      <c r="K463" s="28">
        <v>404</v>
      </c>
      <c r="L463" s="28">
        <v>2022</v>
      </c>
    </row>
    <row r="464" spans="3:12" x14ac:dyDescent="0.25">
      <c r="C464" s="28" t="s">
        <v>2172</v>
      </c>
      <c r="D464" s="28" t="s">
        <v>2173</v>
      </c>
      <c r="E464" s="28">
        <v>0.92220000000000002</v>
      </c>
      <c r="F464" s="28">
        <v>263.0154</v>
      </c>
      <c r="G464" s="28">
        <v>29</v>
      </c>
      <c r="H464" s="28">
        <v>0.90869999999999995</v>
      </c>
      <c r="I464">
        <v>0.72009999999999996</v>
      </c>
      <c r="J464" s="28">
        <v>203.1377</v>
      </c>
      <c r="K464" s="28">
        <v>384</v>
      </c>
      <c r="L464" s="28">
        <v>2023</v>
      </c>
    </row>
    <row r="465" spans="3:12" x14ac:dyDescent="0.25">
      <c r="C465" s="28" t="s">
        <v>2174</v>
      </c>
      <c r="D465" s="28" t="s">
        <v>2175</v>
      </c>
      <c r="E465" s="28">
        <v>1</v>
      </c>
      <c r="F465" s="28">
        <v>475.48169999999999</v>
      </c>
      <c r="G465" s="28">
        <v>6</v>
      </c>
      <c r="H465" s="28">
        <v>0.98680000000000001</v>
      </c>
      <c r="I465">
        <v>0.94530000000000003</v>
      </c>
      <c r="J465" s="28">
        <v>410.47649999999999</v>
      </c>
      <c r="K465" s="28">
        <v>24</v>
      </c>
      <c r="L465" s="28">
        <v>2019</v>
      </c>
    </row>
    <row r="466" spans="3:12" x14ac:dyDescent="0.25">
      <c r="C466" s="28" t="s">
        <v>2174</v>
      </c>
      <c r="D466" s="28" t="s">
        <v>2175</v>
      </c>
      <c r="E466" s="28">
        <v>1</v>
      </c>
      <c r="F466" s="28">
        <v>475.48169999999999</v>
      </c>
      <c r="G466" s="28">
        <v>6</v>
      </c>
      <c r="H466" s="28">
        <v>0.98829999999999996</v>
      </c>
      <c r="I466">
        <v>0.94879999999999998</v>
      </c>
      <c r="J466" s="28">
        <v>410.47649999999999</v>
      </c>
      <c r="K466" s="28">
        <v>20</v>
      </c>
      <c r="L466" s="28">
        <v>2020</v>
      </c>
    </row>
    <row r="467" spans="3:12" x14ac:dyDescent="0.25">
      <c r="C467" s="28" t="s">
        <v>2174</v>
      </c>
      <c r="D467" s="28" t="s">
        <v>2175</v>
      </c>
      <c r="E467" s="28">
        <v>1</v>
      </c>
      <c r="F467" s="28">
        <v>475.48169999999999</v>
      </c>
      <c r="G467" s="28">
        <v>6</v>
      </c>
      <c r="H467" s="28">
        <v>0.98929999999999996</v>
      </c>
      <c r="I467">
        <v>0.95179999999999998</v>
      </c>
      <c r="J467" s="28">
        <v>410.47649999999999</v>
      </c>
      <c r="K467" s="28">
        <v>18</v>
      </c>
      <c r="L467" s="28">
        <v>2021</v>
      </c>
    </row>
    <row r="468" spans="3:12" x14ac:dyDescent="0.25">
      <c r="C468" s="28" t="s">
        <v>2174</v>
      </c>
      <c r="D468" s="28" t="s">
        <v>2175</v>
      </c>
      <c r="E468" s="28">
        <v>1</v>
      </c>
      <c r="F468" s="28">
        <v>475.48169999999999</v>
      </c>
      <c r="G468" s="28">
        <v>6</v>
      </c>
      <c r="H468" s="28">
        <v>0.99050000000000005</v>
      </c>
      <c r="I468">
        <v>0.95469999999999999</v>
      </c>
      <c r="J468" s="28">
        <v>410.47649999999999</v>
      </c>
      <c r="K468" s="28">
        <v>16</v>
      </c>
      <c r="L468" s="28">
        <v>2022</v>
      </c>
    </row>
    <row r="469" spans="3:12" x14ac:dyDescent="0.25">
      <c r="C469" s="28" t="s">
        <v>2174</v>
      </c>
      <c r="D469" s="28" t="s">
        <v>2175</v>
      </c>
      <c r="E469" s="28">
        <v>1</v>
      </c>
      <c r="F469" s="28">
        <v>475.48169999999999</v>
      </c>
      <c r="G469" s="28">
        <v>6</v>
      </c>
      <c r="H469" s="28">
        <v>0.99299999999999999</v>
      </c>
      <c r="I469">
        <v>0.95740000000000003</v>
      </c>
      <c r="J469" s="28">
        <v>410.47649999999999</v>
      </c>
      <c r="K469" s="28">
        <v>13</v>
      </c>
      <c r="L469" s="28">
        <v>2023</v>
      </c>
    </row>
    <row r="470" spans="3:12" x14ac:dyDescent="0.25">
      <c r="C470" s="28" t="s">
        <v>2176</v>
      </c>
      <c r="D470" s="28" t="s">
        <v>2177</v>
      </c>
      <c r="E470" s="28">
        <v>1</v>
      </c>
      <c r="F470" s="28">
        <v>477.08699999999999</v>
      </c>
      <c r="G470" s="28">
        <v>6</v>
      </c>
      <c r="H470" s="28">
        <v>0.9274</v>
      </c>
      <c r="I470">
        <v>0.77700000000000002</v>
      </c>
      <c r="J470" s="28">
        <v>377.78039999999999</v>
      </c>
      <c r="K470" s="28">
        <v>322</v>
      </c>
      <c r="L470" s="28">
        <v>2019</v>
      </c>
    </row>
    <row r="471" spans="3:12" x14ac:dyDescent="0.25">
      <c r="C471" s="28" t="s">
        <v>2176</v>
      </c>
      <c r="D471" s="28" t="s">
        <v>2177</v>
      </c>
      <c r="E471" s="28">
        <v>1</v>
      </c>
      <c r="F471" s="28">
        <v>477.08699999999999</v>
      </c>
      <c r="G471" s="28">
        <v>6</v>
      </c>
      <c r="H471" s="28">
        <v>0.93069999999999997</v>
      </c>
      <c r="I471">
        <v>0.78349999999999997</v>
      </c>
      <c r="J471" s="28">
        <v>377.78039999999999</v>
      </c>
      <c r="K471" s="28">
        <v>306</v>
      </c>
      <c r="L471" s="28">
        <v>2020</v>
      </c>
    </row>
    <row r="472" spans="3:12" x14ac:dyDescent="0.25">
      <c r="C472" s="28" t="s">
        <v>2176</v>
      </c>
      <c r="D472" s="28" t="s">
        <v>2177</v>
      </c>
      <c r="E472" s="28">
        <v>1</v>
      </c>
      <c r="F472" s="28">
        <v>477.08699999999999</v>
      </c>
      <c r="G472" s="28">
        <v>6</v>
      </c>
      <c r="H472" s="28">
        <v>0.93259999999999998</v>
      </c>
      <c r="I472">
        <v>0.78820000000000001</v>
      </c>
      <c r="J472" s="28">
        <v>377.78039999999999</v>
      </c>
      <c r="K472" s="28">
        <v>296</v>
      </c>
      <c r="L472" s="28">
        <v>2021</v>
      </c>
    </row>
    <row r="473" spans="3:12" x14ac:dyDescent="0.25">
      <c r="C473" s="28" t="s">
        <v>2176</v>
      </c>
      <c r="D473" s="28" t="s">
        <v>2177</v>
      </c>
      <c r="E473" s="28">
        <v>1</v>
      </c>
      <c r="F473" s="28">
        <v>477.08699999999999</v>
      </c>
      <c r="G473" s="28">
        <v>6</v>
      </c>
      <c r="H473" s="28">
        <v>0.93689999999999996</v>
      </c>
      <c r="I473">
        <v>0.79630000000000001</v>
      </c>
      <c r="J473" s="28">
        <v>377.78039999999999</v>
      </c>
      <c r="K473" s="28">
        <v>276</v>
      </c>
      <c r="L473" s="28">
        <v>2022</v>
      </c>
    </row>
    <row r="474" spans="3:12" x14ac:dyDescent="0.25">
      <c r="C474" s="28" t="s">
        <v>2176</v>
      </c>
      <c r="D474" s="28" t="s">
        <v>2177</v>
      </c>
      <c r="E474" s="28">
        <v>1</v>
      </c>
      <c r="F474" s="28">
        <v>477.08699999999999</v>
      </c>
      <c r="G474" s="28">
        <v>6</v>
      </c>
      <c r="H474" s="28">
        <v>0.94230000000000003</v>
      </c>
      <c r="I474">
        <v>0.80249999999999999</v>
      </c>
      <c r="J474" s="28">
        <v>377.78039999999999</v>
      </c>
      <c r="K474" s="28">
        <v>249</v>
      </c>
      <c r="L474" s="28">
        <v>2023</v>
      </c>
    </row>
    <row r="475" spans="3:12" x14ac:dyDescent="0.25">
      <c r="C475" s="28" t="s">
        <v>2178</v>
      </c>
      <c r="D475" s="28" t="s">
        <v>2179</v>
      </c>
      <c r="E475" s="28">
        <v>0.99990000000000001</v>
      </c>
      <c r="F475" s="28">
        <v>475.96080000000001</v>
      </c>
      <c r="G475" s="28">
        <v>21</v>
      </c>
      <c r="H475" s="28">
        <v>0.96809999999999996</v>
      </c>
      <c r="I475">
        <v>0.89049999999999996</v>
      </c>
      <c r="J475" s="28">
        <v>333.16640000000001</v>
      </c>
      <c r="K475" s="28">
        <v>119</v>
      </c>
      <c r="L475" s="28">
        <v>2019</v>
      </c>
    </row>
    <row r="476" spans="3:12" x14ac:dyDescent="0.25">
      <c r="C476" s="28" t="s">
        <v>2178</v>
      </c>
      <c r="D476" s="28" t="s">
        <v>2179</v>
      </c>
      <c r="E476" s="28">
        <v>0.99990000000000001</v>
      </c>
      <c r="F476" s="28">
        <v>475.96080000000001</v>
      </c>
      <c r="G476" s="28">
        <v>21</v>
      </c>
      <c r="H476" s="28">
        <v>0.96989999999999998</v>
      </c>
      <c r="I476">
        <v>0.89590000000000003</v>
      </c>
      <c r="J476" s="28">
        <v>333.16640000000001</v>
      </c>
      <c r="K476" s="28">
        <v>105</v>
      </c>
      <c r="L476" s="28">
        <v>2020</v>
      </c>
    </row>
    <row r="477" spans="3:12" x14ac:dyDescent="0.25">
      <c r="C477" s="28" t="s">
        <v>2178</v>
      </c>
      <c r="D477" s="28" t="s">
        <v>2179</v>
      </c>
      <c r="E477" s="28">
        <v>0.99990000000000001</v>
      </c>
      <c r="F477" s="28">
        <v>475.96080000000001</v>
      </c>
      <c r="G477" s="28">
        <v>21</v>
      </c>
      <c r="H477" s="28">
        <v>0.97109999999999996</v>
      </c>
      <c r="I477">
        <v>0.89959999999999996</v>
      </c>
      <c r="J477" s="28">
        <v>333.16640000000001</v>
      </c>
      <c r="K477" s="28">
        <v>98</v>
      </c>
      <c r="L477" s="28">
        <v>2021</v>
      </c>
    </row>
    <row r="478" spans="3:12" x14ac:dyDescent="0.25">
      <c r="C478" s="28" t="s">
        <v>2178</v>
      </c>
      <c r="D478" s="28" t="s">
        <v>2179</v>
      </c>
      <c r="E478" s="28">
        <v>0.99990000000000001</v>
      </c>
      <c r="F478" s="28">
        <v>475.96080000000001</v>
      </c>
      <c r="G478" s="28">
        <v>21</v>
      </c>
      <c r="H478" s="28">
        <v>0.97240000000000004</v>
      </c>
      <c r="I478">
        <v>0.90349999999999997</v>
      </c>
      <c r="J478" s="28">
        <v>333.16640000000001</v>
      </c>
      <c r="K478" s="28">
        <v>86</v>
      </c>
      <c r="L478" s="28">
        <v>2022</v>
      </c>
    </row>
    <row r="479" spans="3:12" x14ac:dyDescent="0.25">
      <c r="C479" s="28" t="s">
        <v>2178</v>
      </c>
      <c r="D479" s="28" t="s">
        <v>2179</v>
      </c>
      <c r="E479" s="28">
        <v>0.99990000000000001</v>
      </c>
      <c r="F479" s="28">
        <v>475.96080000000001</v>
      </c>
      <c r="G479" s="28">
        <v>21</v>
      </c>
      <c r="H479" s="28">
        <v>0.9758</v>
      </c>
      <c r="I479">
        <v>0.9093</v>
      </c>
      <c r="J479" s="28">
        <v>333.16640000000001</v>
      </c>
      <c r="K479" s="28">
        <v>66</v>
      </c>
      <c r="L479" s="28">
        <v>2023</v>
      </c>
    </row>
    <row r="480" spans="3:12" x14ac:dyDescent="0.25">
      <c r="C480" s="28" t="s">
        <v>2180</v>
      </c>
      <c r="D480" s="28" t="s">
        <v>2181</v>
      </c>
      <c r="E480" s="28">
        <v>0.91879999999999995</v>
      </c>
      <c r="F480" s="28">
        <v>337.71859999999998</v>
      </c>
      <c r="G480" s="28">
        <v>33</v>
      </c>
      <c r="H480" s="28">
        <v>0.87929999999999997</v>
      </c>
      <c r="I480">
        <v>0.72789999999999999</v>
      </c>
      <c r="J480" s="28">
        <v>234.4314</v>
      </c>
      <c r="K480" s="28">
        <v>434</v>
      </c>
      <c r="L480" s="28">
        <v>2019</v>
      </c>
    </row>
    <row r="481" spans="3:12" x14ac:dyDescent="0.25">
      <c r="C481" s="28" t="s">
        <v>2180</v>
      </c>
      <c r="D481" s="28" t="s">
        <v>2181</v>
      </c>
      <c r="E481" s="28">
        <v>0.92100000000000004</v>
      </c>
      <c r="F481" s="28">
        <v>337.71859999999998</v>
      </c>
      <c r="G481" s="28">
        <v>31</v>
      </c>
      <c r="H481" s="28">
        <v>0.88160000000000005</v>
      </c>
      <c r="I481">
        <v>0.73080000000000001</v>
      </c>
      <c r="J481" s="28">
        <v>234.4314</v>
      </c>
      <c r="K481" s="28">
        <v>432</v>
      </c>
      <c r="L481" s="28">
        <v>2020</v>
      </c>
    </row>
    <row r="482" spans="3:12" x14ac:dyDescent="0.25">
      <c r="C482" s="28" t="s">
        <v>2180</v>
      </c>
      <c r="D482" s="28" t="s">
        <v>2181</v>
      </c>
      <c r="E482" s="28">
        <v>0.92279999999999995</v>
      </c>
      <c r="F482" s="28">
        <v>337.71859999999998</v>
      </c>
      <c r="G482" s="28">
        <v>28</v>
      </c>
      <c r="H482" s="28">
        <v>0.8841</v>
      </c>
      <c r="I482">
        <v>0.73419999999999996</v>
      </c>
      <c r="J482" s="28">
        <v>234.4314</v>
      </c>
      <c r="K482" s="28">
        <v>429</v>
      </c>
      <c r="L482" s="28">
        <v>2021</v>
      </c>
    </row>
    <row r="483" spans="3:12" x14ac:dyDescent="0.25">
      <c r="C483" s="28" t="s">
        <v>2180</v>
      </c>
      <c r="D483" s="28" t="s">
        <v>2181</v>
      </c>
      <c r="E483" s="28">
        <v>0.92410000000000003</v>
      </c>
      <c r="F483" s="28">
        <v>337.71859999999998</v>
      </c>
      <c r="G483" s="28">
        <v>27</v>
      </c>
      <c r="H483" s="28">
        <v>0.88729999999999998</v>
      </c>
      <c r="I483">
        <v>0.73809999999999998</v>
      </c>
      <c r="J483" s="28">
        <v>234.4314</v>
      </c>
      <c r="K483" s="28">
        <v>427</v>
      </c>
      <c r="L483" s="28">
        <v>2022</v>
      </c>
    </row>
    <row r="484" spans="3:12" x14ac:dyDescent="0.25">
      <c r="C484" s="28" t="s">
        <v>2180</v>
      </c>
      <c r="D484" s="28" t="s">
        <v>2181</v>
      </c>
      <c r="E484" s="28">
        <v>0.92579999999999996</v>
      </c>
      <c r="F484" s="28">
        <v>337.71859999999998</v>
      </c>
      <c r="G484" s="28">
        <v>26</v>
      </c>
      <c r="H484" s="28">
        <v>0.90659999999999996</v>
      </c>
      <c r="I484">
        <v>0.74329999999999996</v>
      </c>
      <c r="J484" s="28">
        <v>234.4314</v>
      </c>
      <c r="K484" s="28">
        <v>390</v>
      </c>
      <c r="L484" s="28">
        <v>2023</v>
      </c>
    </row>
  </sheetData>
  <mergeCells count="1">
    <mergeCell ref="C2:F2"/>
  </mergeCells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9AD6-D32E-484D-B54F-8276FFC3949E}">
  <sheetPr codeName="Feuil20">
    <tabColor theme="4" tint="0.39997558519241921"/>
  </sheetPr>
  <dimension ref="C2:HT46"/>
  <sheetViews>
    <sheetView topLeftCell="GM1" workbookViewId="0">
      <selection activeCell="GZ5" sqref="GZ5"/>
    </sheetView>
  </sheetViews>
  <sheetFormatPr defaultColWidth="11.42578125" defaultRowHeight="15" x14ac:dyDescent="0.25"/>
  <cols>
    <col min="3" max="3" width="7.7109375" bestFit="1" customWidth="1"/>
    <col min="4" max="4" width="8.42578125" bestFit="1" customWidth="1"/>
    <col min="5" max="5" width="6" bestFit="1" customWidth="1"/>
    <col min="6" max="6" width="12" bestFit="1" customWidth="1"/>
    <col min="7" max="7" width="11.28515625" bestFit="1" customWidth="1"/>
    <col min="8" max="8" width="7.140625" bestFit="1" customWidth="1"/>
    <col min="12" max="12" width="7.7109375" bestFit="1" customWidth="1"/>
    <col min="13" max="13" width="8.42578125" bestFit="1" customWidth="1"/>
    <col min="14" max="14" width="7.140625" bestFit="1" customWidth="1"/>
    <col min="15" max="15" width="12" bestFit="1" customWidth="1"/>
    <col min="16" max="16" width="11.28515625" bestFit="1" customWidth="1"/>
    <col min="17" max="17" width="8.140625" bestFit="1" customWidth="1"/>
    <col min="21" max="21" width="7.7109375" bestFit="1" customWidth="1"/>
    <col min="22" max="22" width="8.42578125" bestFit="1" customWidth="1"/>
    <col min="23" max="23" width="7.140625" bestFit="1" customWidth="1"/>
    <col min="24" max="24" width="12" bestFit="1" customWidth="1"/>
    <col min="25" max="25" width="11.28515625" bestFit="1" customWidth="1"/>
    <col min="26" max="26" width="8.140625" bestFit="1" customWidth="1"/>
    <col min="30" max="30" width="7.7109375" bestFit="1" customWidth="1"/>
    <col min="31" max="31" width="8.42578125" bestFit="1" customWidth="1"/>
    <col min="32" max="32" width="8.140625" bestFit="1" customWidth="1"/>
    <col min="33" max="33" width="12" bestFit="1" customWidth="1"/>
    <col min="34" max="34" width="11.28515625" bestFit="1" customWidth="1"/>
    <col min="35" max="35" width="7.140625" bestFit="1" customWidth="1"/>
    <col min="39" max="39" width="7.7109375" bestFit="1" customWidth="1"/>
    <col min="40" max="40" width="8.42578125" bestFit="1" customWidth="1"/>
    <col min="41" max="41" width="6.140625" bestFit="1" customWidth="1"/>
    <col min="42" max="42" width="12" bestFit="1" customWidth="1"/>
    <col min="43" max="43" width="11.28515625" bestFit="1" customWidth="1"/>
    <col min="44" max="44" width="7.140625" bestFit="1" customWidth="1"/>
    <col min="48" max="48" width="7.7109375" bestFit="1" customWidth="1"/>
    <col min="49" max="49" width="8.42578125" bestFit="1" customWidth="1"/>
    <col min="50" max="51" width="12.28515625" bestFit="1" customWidth="1"/>
    <col min="52" max="52" width="17.28515625" bestFit="1" customWidth="1"/>
    <col min="53" max="53" width="11.5703125" bestFit="1" customWidth="1"/>
    <col min="54" max="54" width="7.140625" bestFit="1" customWidth="1"/>
    <col min="58" max="58" width="7.7109375" bestFit="1" customWidth="1"/>
    <col min="59" max="59" width="8.42578125" bestFit="1" customWidth="1"/>
    <col min="60" max="60" width="19.5703125" bestFit="1" customWidth="1"/>
    <col min="61" max="61" width="24" bestFit="1" customWidth="1"/>
    <col min="62" max="62" width="14.7109375" bestFit="1" customWidth="1"/>
    <col min="66" max="66" width="7.7109375" bestFit="1" customWidth="1"/>
    <col min="67" max="67" width="8.42578125" bestFit="1" customWidth="1"/>
    <col min="68" max="68" width="25.140625" bestFit="1" customWidth="1"/>
    <col min="69" max="69" width="29.5703125" bestFit="1" customWidth="1"/>
    <col min="70" max="70" width="20.28515625" bestFit="1" customWidth="1"/>
    <col min="74" max="74" width="7.7109375" bestFit="1" customWidth="1"/>
    <col min="75" max="75" width="8.42578125" bestFit="1" customWidth="1"/>
    <col min="76" max="76" width="23" bestFit="1" customWidth="1"/>
    <col min="77" max="77" width="27.42578125" bestFit="1" customWidth="1"/>
    <col min="78" max="78" width="16.7109375" bestFit="1" customWidth="1"/>
    <col min="82" max="82" width="7.7109375" bestFit="1" customWidth="1"/>
    <col min="83" max="83" width="8.42578125" bestFit="1" customWidth="1"/>
    <col min="84" max="84" width="22.28515625" bestFit="1" customWidth="1"/>
    <col min="85" max="85" width="26.7109375" bestFit="1" customWidth="1"/>
    <col min="86" max="86" width="15.85546875" bestFit="1" customWidth="1"/>
    <col min="90" max="90" width="7.7109375" bestFit="1" customWidth="1"/>
    <col min="91" max="91" width="8.42578125" bestFit="1" customWidth="1"/>
    <col min="92" max="92" width="24.7109375" bestFit="1" customWidth="1"/>
    <col min="93" max="93" width="29.140625" bestFit="1" customWidth="1"/>
    <col min="94" max="94" width="18.28515625" bestFit="1" customWidth="1"/>
    <col min="98" max="98" width="7.7109375" bestFit="1" customWidth="1"/>
    <col min="99" max="99" width="8.42578125" bestFit="1" customWidth="1"/>
    <col min="100" max="100" width="41.28515625" bestFit="1" customWidth="1"/>
    <col min="101" max="101" width="17.5703125" bestFit="1" customWidth="1"/>
    <col min="105" max="105" width="7.7109375" bestFit="1" customWidth="1"/>
    <col min="106" max="106" width="8.42578125" bestFit="1" customWidth="1"/>
    <col min="107" max="107" width="32.5703125" bestFit="1" customWidth="1"/>
    <col min="108" max="108" width="14.85546875" bestFit="1" customWidth="1"/>
    <col min="111" max="111" width="7.7109375" bestFit="1" customWidth="1"/>
    <col min="112" max="112" width="8.42578125" bestFit="1" customWidth="1"/>
    <col min="113" max="114" width="16.140625" bestFit="1" customWidth="1"/>
    <col min="118" max="118" width="7.7109375" bestFit="1" customWidth="1"/>
    <col min="119" max="119" width="8.42578125" bestFit="1" customWidth="1"/>
    <col min="120" max="121" width="16.140625" bestFit="1" customWidth="1"/>
    <col min="125" max="125" width="7.7109375" bestFit="1" customWidth="1"/>
    <col min="126" max="126" width="8.42578125" bestFit="1" customWidth="1"/>
    <col min="127" max="128" width="20.85546875" bestFit="1" customWidth="1"/>
    <col min="129" max="129" width="26" bestFit="1" customWidth="1"/>
    <col min="130" max="130" width="20.28515625" bestFit="1" customWidth="1"/>
    <col min="131" max="131" width="19.7109375" bestFit="1" customWidth="1"/>
    <col min="135" max="135" width="7.7109375" bestFit="1" customWidth="1"/>
    <col min="136" max="136" width="8.42578125" bestFit="1" customWidth="1"/>
    <col min="137" max="137" width="29" bestFit="1" customWidth="1"/>
    <col min="138" max="138" width="21.7109375" bestFit="1" customWidth="1"/>
    <col min="139" max="139" width="19.85546875" bestFit="1" customWidth="1"/>
    <col min="143" max="143" width="7.7109375" bestFit="1" customWidth="1"/>
    <col min="144" max="144" width="8.42578125" bestFit="1" customWidth="1"/>
    <col min="145" max="145" width="6.140625" bestFit="1" customWidth="1"/>
    <col min="146" max="146" width="13.7109375" bestFit="1" customWidth="1"/>
    <col min="150" max="150" width="7.7109375" bestFit="1" customWidth="1"/>
    <col min="151" max="151" width="8.42578125" bestFit="1" customWidth="1"/>
    <col min="152" max="152" width="19.28515625" bestFit="1" customWidth="1"/>
    <col min="153" max="153" width="14.7109375" bestFit="1" customWidth="1"/>
    <col min="157" max="157" width="7.7109375" bestFit="1" customWidth="1"/>
    <col min="158" max="158" width="8.42578125" bestFit="1" customWidth="1"/>
    <col min="159" max="159" width="6" bestFit="1" customWidth="1"/>
    <col min="160" max="160" width="12" bestFit="1" customWidth="1"/>
    <col min="161" max="161" width="11.28515625" bestFit="1" customWidth="1"/>
    <col min="162" max="162" width="7.140625" bestFit="1" customWidth="1"/>
    <col min="166" max="166" width="7.7109375" bestFit="1" customWidth="1"/>
    <col min="167" max="167" width="8.42578125" bestFit="1" customWidth="1"/>
    <col min="168" max="168" width="30.42578125" bestFit="1" customWidth="1"/>
    <col min="169" max="169" width="31.42578125" bestFit="1" customWidth="1"/>
    <col min="170" max="170" width="34.28515625" bestFit="1" customWidth="1"/>
    <col min="171" max="171" width="31" bestFit="1" customWidth="1"/>
    <col min="175" max="175" width="7.7109375" bestFit="1" customWidth="1"/>
    <col min="176" max="176" width="8.42578125" bestFit="1" customWidth="1"/>
    <col min="177" max="177" width="39.85546875" bestFit="1" customWidth="1"/>
    <col min="178" max="178" width="39.42578125" bestFit="1" customWidth="1"/>
    <col min="182" max="182" width="7.7109375" bestFit="1" customWidth="1"/>
    <col min="183" max="183" width="8.42578125" bestFit="1" customWidth="1"/>
    <col min="184" max="184" width="27.42578125" bestFit="1" customWidth="1"/>
    <col min="185" max="185" width="21.140625" bestFit="1" customWidth="1"/>
    <col min="189" max="189" width="7.7109375" bestFit="1" customWidth="1"/>
    <col min="190" max="190" width="8.42578125" bestFit="1" customWidth="1"/>
    <col min="191" max="191" width="62" bestFit="1" customWidth="1"/>
    <col min="192" max="192" width="8.42578125" bestFit="1" customWidth="1"/>
    <col min="196" max="196" width="7.7109375" bestFit="1" customWidth="1"/>
    <col min="197" max="197" width="8.42578125" bestFit="1" customWidth="1"/>
    <col min="198" max="198" width="22" bestFit="1" customWidth="1"/>
    <col min="199" max="199" width="26" bestFit="1" customWidth="1"/>
    <col min="203" max="203" width="7.7109375" bestFit="1" customWidth="1"/>
    <col min="204" max="204" width="8.42578125" bestFit="1" customWidth="1"/>
    <col min="205" max="205" width="22" bestFit="1" customWidth="1"/>
    <col min="206" max="206" width="26" bestFit="1" customWidth="1"/>
    <col min="207" max="207" width="23.140625" bestFit="1" customWidth="1"/>
    <col min="208" max="208" width="27.140625" bestFit="1" customWidth="1"/>
    <col min="212" max="212" width="7.7109375" bestFit="1" customWidth="1"/>
    <col min="213" max="213" width="8.42578125" bestFit="1" customWidth="1"/>
    <col min="214" max="214" width="40.42578125" bestFit="1" customWidth="1"/>
    <col min="215" max="215" width="24.28515625" bestFit="1" customWidth="1"/>
    <col min="216" max="216" width="28.7109375" bestFit="1" customWidth="1"/>
    <col min="220" max="220" width="7.7109375" bestFit="1" customWidth="1"/>
    <col min="221" max="221" width="8.42578125" bestFit="1" customWidth="1"/>
    <col min="222" max="222" width="63.7109375" bestFit="1" customWidth="1"/>
    <col min="223" max="223" width="8.42578125" bestFit="1" customWidth="1"/>
    <col min="224" max="224" width="32" bestFit="1" customWidth="1"/>
    <col min="225" max="225" width="7.7109375" bestFit="1" customWidth="1"/>
    <col min="226" max="226" width="8.42578125" bestFit="1" customWidth="1"/>
    <col min="227" max="227" width="78.5703125" bestFit="1" customWidth="1"/>
    <col min="228" max="228" width="8.42578125" bestFit="1" customWidth="1"/>
  </cols>
  <sheetData>
    <row r="2" spans="3:228" ht="21" x14ac:dyDescent="0.35">
      <c r="C2" s="797" t="s">
        <v>1066</v>
      </c>
      <c r="D2" s="797"/>
      <c r="L2" s="797" t="s">
        <v>1071</v>
      </c>
      <c r="M2" s="797"/>
      <c r="U2" s="797" t="s">
        <v>1073</v>
      </c>
      <c r="V2" s="797"/>
      <c r="AD2" s="797" t="s">
        <v>1075</v>
      </c>
      <c r="AE2" s="797"/>
      <c r="AM2" s="797" t="s">
        <v>1077</v>
      </c>
      <c r="AN2" s="797"/>
      <c r="AV2" s="797" t="s">
        <v>1079</v>
      </c>
      <c r="AW2" s="797"/>
      <c r="BF2" s="797" t="s">
        <v>1085</v>
      </c>
      <c r="BG2" s="797"/>
      <c r="BN2" s="797" t="s">
        <v>1089</v>
      </c>
      <c r="BO2" s="797"/>
      <c r="BV2" s="797" t="s">
        <v>1092</v>
      </c>
      <c r="BW2" s="797"/>
      <c r="CD2" s="797" t="s">
        <v>1094</v>
      </c>
      <c r="CE2" s="797"/>
      <c r="CL2" s="797" t="s">
        <v>1096</v>
      </c>
      <c r="CM2" s="797"/>
      <c r="CT2" s="797" t="s">
        <v>1098</v>
      </c>
      <c r="CU2" s="797"/>
      <c r="DA2" s="797" t="s">
        <v>1104</v>
      </c>
      <c r="DB2" s="797"/>
      <c r="DG2" s="797" t="s">
        <v>1113</v>
      </c>
      <c r="DH2" s="797"/>
      <c r="DN2" s="797" t="s">
        <v>1117</v>
      </c>
      <c r="DO2" s="797"/>
      <c r="DU2" s="797" t="s">
        <v>1119</v>
      </c>
      <c r="DV2" s="797"/>
      <c r="EE2" s="797" t="s">
        <v>1121</v>
      </c>
      <c r="EF2" s="797"/>
      <c r="EM2" s="797" t="s">
        <v>1125</v>
      </c>
      <c r="EN2" s="797"/>
      <c r="ET2" s="797" t="s">
        <v>1129</v>
      </c>
      <c r="EU2" s="797"/>
      <c r="FA2" s="797" t="s">
        <v>1132</v>
      </c>
      <c r="FB2" s="797"/>
      <c r="FJ2" s="797" t="s">
        <v>1136</v>
      </c>
      <c r="FK2" s="797"/>
      <c r="FS2" s="797" t="s">
        <v>1142</v>
      </c>
      <c r="FT2" s="797"/>
      <c r="FZ2" s="797" t="s">
        <v>2182</v>
      </c>
      <c r="GA2" s="797"/>
      <c r="GG2" s="797" t="s">
        <v>2183</v>
      </c>
      <c r="GH2" s="797"/>
      <c r="GN2" s="797" t="s">
        <v>2184</v>
      </c>
      <c r="GO2" s="797"/>
      <c r="GU2" s="797" t="s">
        <v>2185</v>
      </c>
      <c r="GV2" s="797"/>
      <c r="HD2" s="797" t="s">
        <v>2186</v>
      </c>
      <c r="HE2" s="797"/>
      <c r="HL2" s="797" t="s">
        <v>2187</v>
      </c>
      <c r="HM2" s="797"/>
      <c r="HN2" s="3"/>
      <c r="HO2" s="3"/>
      <c r="HQ2" s="797" t="s">
        <v>2188</v>
      </c>
      <c r="HR2" s="797"/>
    </row>
    <row r="3" spans="3:228" x14ac:dyDescent="0.25">
      <c r="CL3" s="2"/>
    </row>
    <row r="4" spans="3:228" x14ac:dyDescent="0.25">
      <c r="C4" t="s">
        <v>1356</v>
      </c>
      <c r="D4" t="s">
        <v>1357</v>
      </c>
      <c r="E4" t="s">
        <v>2189</v>
      </c>
      <c r="F4" t="s">
        <v>2190</v>
      </c>
      <c r="G4" t="s">
        <v>2191</v>
      </c>
      <c r="H4" t="s">
        <v>1465</v>
      </c>
      <c r="L4" t="s">
        <v>1356</v>
      </c>
      <c r="M4" t="s">
        <v>1357</v>
      </c>
      <c r="N4" t="s">
        <v>2189</v>
      </c>
      <c r="O4" t="s">
        <v>2190</v>
      </c>
      <c r="P4" t="s">
        <v>2191</v>
      </c>
      <c r="Q4" t="s">
        <v>1465</v>
      </c>
      <c r="U4" t="s">
        <v>1356</v>
      </c>
      <c r="V4" t="s">
        <v>1357</v>
      </c>
      <c r="W4" t="s">
        <v>2189</v>
      </c>
      <c r="X4" t="s">
        <v>2190</v>
      </c>
      <c r="Y4" t="s">
        <v>2191</v>
      </c>
      <c r="Z4" t="s">
        <v>1465</v>
      </c>
      <c r="AD4" t="s">
        <v>1356</v>
      </c>
      <c r="AE4" t="s">
        <v>1357</v>
      </c>
      <c r="AF4" t="s">
        <v>2189</v>
      </c>
      <c r="AG4" t="s">
        <v>2190</v>
      </c>
      <c r="AH4" t="s">
        <v>2191</v>
      </c>
      <c r="AI4" t="s">
        <v>1465</v>
      </c>
      <c r="AM4" t="s">
        <v>1356</v>
      </c>
      <c r="AN4" t="s">
        <v>1357</v>
      </c>
      <c r="AO4" t="s">
        <v>2189</v>
      </c>
      <c r="AP4" t="s">
        <v>2190</v>
      </c>
      <c r="AQ4" t="s">
        <v>2191</v>
      </c>
      <c r="AR4" t="s">
        <v>1465</v>
      </c>
      <c r="AV4" t="s">
        <v>1356</v>
      </c>
      <c r="AW4" t="s">
        <v>1357</v>
      </c>
      <c r="AX4" t="s">
        <v>2192</v>
      </c>
      <c r="AY4" t="s">
        <v>2193</v>
      </c>
      <c r="AZ4" t="s">
        <v>2194</v>
      </c>
      <c r="BA4" t="s">
        <v>2195</v>
      </c>
      <c r="BB4" t="s">
        <v>1465</v>
      </c>
      <c r="BF4" t="s">
        <v>1356</v>
      </c>
      <c r="BG4" t="s">
        <v>1357</v>
      </c>
      <c r="BH4" t="s">
        <v>2196</v>
      </c>
      <c r="BI4" t="s">
        <v>2197</v>
      </c>
      <c r="BJ4" t="s">
        <v>2198</v>
      </c>
      <c r="BN4" t="s">
        <v>1356</v>
      </c>
      <c r="BO4" t="s">
        <v>1357</v>
      </c>
      <c r="BP4" t="s">
        <v>2199</v>
      </c>
      <c r="BQ4" t="s">
        <v>2200</v>
      </c>
      <c r="BR4" t="s">
        <v>2201</v>
      </c>
      <c r="BV4" t="s">
        <v>1356</v>
      </c>
      <c r="BW4" t="s">
        <v>1357</v>
      </c>
      <c r="BX4" t="s">
        <v>2202</v>
      </c>
      <c r="BY4" t="s">
        <v>2203</v>
      </c>
      <c r="BZ4" t="s">
        <v>2204</v>
      </c>
      <c r="CD4" t="s">
        <v>1356</v>
      </c>
      <c r="CE4" t="s">
        <v>1357</v>
      </c>
      <c r="CF4" t="s">
        <v>2205</v>
      </c>
      <c r="CG4" t="s">
        <v>2206</v>
      </c>
      <c r="CH4" t="s">
        <v>2207</v>
      </c>
      <c r="CL4" t="s">
        <v>1356</v>
      </c>
      <c r="CM4" t="s">
        <v>1357</v>
      </c>
      <c r="CN4" t="s">
        <v>2208</v>
      </c>
      <c r="CO4" t="s">
        <v>2209</v>
      </c>
      <c r="CP4" t="s">
        <v>2210</v>
      </c>
      <c r="CT4" t="s">
        <v>1356</v>
      </c>
      <c r="CU4" t="s">
        <v>1357</v>
      </c>
      <c r="CV4" t="s">
        <v>2211</v>
      </c>
      <c r="CW4" t="s">
        <v>2212</v>
      </c>
      <c r="DA4" t="s">
        <v>1356</v>
      </c>
      <c r="DB4" t="s">
        <v>1357</v>
      </c>
      <c r="DC4" t="s">
        <v>2213</v>
      </c>
      <c r="DD4" t="s">
        <v>2214</v>
      </c>
      <c r="DG4" t="s">
        <v>1356</v>
      </c>
      <c r="DH4" t="s">
        <v>1357</v>
      </c>
      <c r="DI4" t="s">
        <v>2215</v>
      </c>
      <c r="DJ4" t="s">
        <v>2216</v>
      </c>
      <c r="DN4" t="s">
        <v>1356</v>
      </c>
      <c r="DO4" t="s">
        <v>1357</v>
      </c>
      <c r="DP4" t="s">
        <v>2215</v>
      </c>
      <c r="DQ4" t="s">
        <v>2216</v>
      </c>
      <c r="DU4" t="s">
        <v>1356</v>
      </c>
      <c r="DV4" t="s">
        <v>1357</v>
      </c>
      <c r="DW4" t="s">
        <v>2217</v>
      </c>
      <c r="DX4" t="s">
        <v>2218</v>
      </c>
      <c r="DY4" t="s">
        <v>2219</v>
      </c>
      <c r="DZ4" t="s">
        <v>2220</v>
      </c>
      <c r="EA4" t="s">
        <v>2221</v>
      </c>
      <c r="EE4" t="s">
        <v>1356</v>
      </c>
      <c r="EF4" t="s">
        <v>1357</v>
      </c>
      <c r="EG4" t="s">
        <v>2222</v>
      </c>
      <c r="EH4" t="s">
        <v>2223</v>
      </c>
      <c r="EI4" t="s">
        <v>1717</v>
      </c>
      <c r="EM4" t="s">
        <v>1356</v>
      </c>
      <c r="EN4" t="s">
        <v>1357</v>
      </c>
      <c r="EO4" t="s">
        <v>2224</v>
      </c>
      <c r="EP4" t="s">
        <v>2225</v>
      </c>
      <c r="ET4" t="s">
        <v>1356</v>
      </c>
      <c r="EU4" t="s">
        <v>1357</v>
      </c>
      <c r="EV4" t="s">
        <v>2226</v>
      </c>
      <c r="EW4" t="s">
        <v>2227</v>
      </c>
      <c r="FA4" t="s">
        <v>1356</v>
      </c>
      <c r="FB4" t="s">
        <v>1357</v>
      </c>
      <c r="FC4" t="s">
        <v>2189</v>
      </c>
      <c r="FD4" t="s">
        <v>2190</v>
      </c>
      <c r="FE4" t="s">
        <v>2191</v>
      </c>
      <c r="FF4" t="s">
        <v>1465</v>
      </c>
      <c r="FJ4" t="s">
        <v>1356</v>
      </c>
      <c r="FK4" t="s">
        <v>1357</v>
      </c>
      <c r="FL4" t="s">
        <v>2228</v>
      </c>
      <c r="FM4" t="s">
        <v>2229</v>
      </c>
      <c r="FN4" t="s">
        <v>2230</v>
      </c>
      <c r="FO4" t="s">
        <v>2231</v>
      </c>
      <c r="FS4" t="s">
        <v>1356</v>
      </c>
      <c r="FT4" t="s">
        <v>1357</v>
      </c>
      <c r="FU4" t="s">
        <v>2232</v>
      </c>
      <c r="FV4" t="s">
        <v>2233</v>
      </c>
      <c r="FZ4" t="s">
        <v>1356</v>
      </c>
      <c r="GA4" t="s">
        <v>1357</v>
      </c>
      <c r="GB4" t="s">
        <v>2234</v>
      </c>
      <c r="GC4" t="s">
        <v>2235</v>
      </c>
      <c r="GG4" t="s">
        <v>1356</v>
      </c>
      <c r="GH4" t="s">
        <v>1357</v>
      </c>
      <c r="GI4" t="s">
        <v>2236</v>
      </c>
      <c r="GJ4" t="s">
        <v>2237</v>
      </c>
      <c r="GN4" t="s">
        <v>1356</v>
      </c>
      <c r="GO4" t="s">
        <v>1357</v>
      </c>
      <c r="GP4" t="s">
        <v>2238</v>
      </c>
      <c r="GQ4" t="s">
        <v>2239</v>
      </c>
      <c r="GU4" t="s">
        <v>1356</v>
      </c>
      <c r="GV4" t="s">
        <v>1357</v>
      </c>
      <c r="GW4" t="s">
        <v>2238</v>
      </c>
      <c r="GX4" t="s">
        <v>2239</v>
      </c>
      <c r="GY4" t="s">
        <v>2240</v>
      </c>
      <c r="GZ4" t="s">
        <v>2241</v>
      </c>
      <c r="HD4" t="s">
        <v>1356</v>
      </c>
      <c r="HE4" t="s">
        <v>1357</v>
      </c>
      <c r="HF4" t="s">
        <v>2242</v>
      </c>
      <c r="HG4" t="s">
        <v>2243</v>
      </c>
      <c r="HH4" t="s">
        <v>2244</v>
      </c>
      <c r="HL4" t="s">
        <v>1356</v>
      </c>
      <c r="HM4" t="s">
        <v>1357</v>
      </c>
      <c r="HN4" t="s">
        <v>2236</v>
      </c>
      <c r="HO4" t="s">
        <v>2237</v>
      </c>
      <c r="HQ4" t="s">
        <v>1356</v>
      </c>
      <c r="HR4" t="s">
        <v>1357</v>
      </c>
      <c r="HS4" t="s">
        <v>2236</v>
      </c>
      <c r="HT4" t="s">
        <v>2237</v>
      </c>
    </row>
    <row r="5" spans="3:228" x14ac:dyDescent="0.25">
      <c r="C5" t="s">
        <v>3393</v>
      </c>
      <c r="D5">
        <v>2019</v>
      </c>
      <c r="E5">
        <v>633</v>
      </c>
      <c r="F5">
        <v>2211</v>
      </c>
      <c r="G5">
        <v>175214</v>
      </c>
      <c r="H5">
        <v>178058</v>
      </c>
      <c r="L5" t="s">
        <v>3393</v>
      </c>
      <c r="M5">
        <v>2019</v>
      </c>
      <c r="N5">
        <v>227.64</v>
      </c>
      <c r="O5">
        <v>191.42</v>
      </c>
      <c r="P5">
        <v>1479.05</v>
      </c>
      <c r="Q5">
        <v>1898.12</v>
      </c>
      <c r="U5" t="s">
        <v>3393</v>
      </c>
      <c r="V5">
        <v>2019</v>
      </c>
      <c r="W5">
        <v>661.12</v>
      </c>
      <c r="X5">
        <v>263.76</v>
      </c>
      <c r="Y5">
        <v>978.27</v>
      </c>
      <c r="Z5">
        <v>1903.15</v>
      </c>
      <c r="AD5" t="s">
        <v>3393</v>
      </c>
      <c r="AE5">
        <v>2019</v>
      </c>
      <c r="AF5">
        <v>1044.42</v>
      </c>
      <c r="AG5">
        <v>119.3</v>
      </c>
      <c r="AH5">
        <v>5.58</v>
      </c>
      <c r="AI5">
        <v>10.69</v>
      </c>
      <c r="AM5" t="s">
        <v>3393</v>
      </c>
      <c r="AN5">
        <v>2019</v>
      </c>
      <c r="AO5">
        <v>12.66</v>
      </c>
      <c r="AP5">
        <v>11.38</v>
      </c>
      <c r="AQ5">
        <v>46.68</v>
      </c>
      <c r="AR5">
        <v>70.72</v>
      </c>
      <c r="AV5" t="s">
        <v>3393</v>
      </c>
      <c r="AW5">
        <v>2019</v>
      </c>
      <c r="AX5">
        <v>1683</v>
      </c>
      <c r="AY5">
        <v>78</v>
      </c>
      <c r="AZ5">
        <v>17</v>
      </c>
      <c r="BA5">
        <v>16</v>
      </c>
      <c r="BB5">
        <v>1794</v>
      </c>
      <c r="BF5" t="s">
        <v>3393</v>
      </c>
      <c r="BG5">
        <v>2019</v>
      </c>
      <c r="BH5">
        <v>121324</v>
      </c>
      <c r="BI5">
        <v>0</v>
      </c>
      <c r="BJ5">
        <v>121324</v>
      </c>
      <c r="BN5" t="s">
        <v>3393</v>
      </c>
      <c r="BO5">
        <v>2019</v>
      </c>
      <c r="BP5">
        <v>3.4622000000000002</v>
      </c>
      <c r="BQ5">
        <v>0</v>
      </c>
      <c r="BR5">
        <v>3.4622000000000002</v>
      </c>
      <c r="BV5" t="s">
        <v>3393</v>
      </c>
      <c r="BW5">
        <v>2019</v>
      </c>
      <c r="BX5">
        <v>665.96</v>
      </c>
      <c r="BY5">
        <v>0</v>
      </c>
      <c r="BZ5">
        <v>665.96</v>
      </c>
      <c r="CD5" t="s">
        <v>3393</v>
      </c>
      <c r="CE5">
        <v>2019</v>
      </c>
      <c r="CF5">
        <v>73.209999999999994</v>
      </c>
      <c r="CG5">
        <v>0</v>
      </c>
      <c r="CH5">
        <v>73.209999999999994</v>
      </c>
      <c r="CL5" t="s">
        <v>3393</v>
      </c>
      <c r="CM5">
        <v>2019</v>
      </c>
      <c r="CN5">
        <v>1055.25</v>
      </c>
      <c r="CO5">
        <v>0</v>
      </c>
      <c r="CP5">
        <v>1055.25</v>
      </c>
      <c r="CT5" t="s">
        <v>3393</v>
      </c>
      <c r="CU5">
        <v>2019</v>
      </c>
      <c r="CV5" t="s">
        <v>3229</v>
      </c>
      <c r="CW5">
        <v>10</v>
      </c>
      <c r="DA5" t="s">
        <v>3393</v>
      </c>
      <c r="DB5">
        <v>2019</v>
      </c>
      <c r="DC5" t="s">
        <v>3229</v>
      </c>
      <c r="DD5">
        <v>245</v>
      </c>
      <c r="DG5" t="s">
        <v>3393</v>
      </c>
      <c r="DH5">
        <v>2019</v>
      </c>
      <c r="DI5">
        <v>0.99719999999999998</v>
      </c>
      <c r="DJ5">
        <v>0.96879999999999999</v>
      </c>
      <c r="DN5" t="s">
        <v>3393</v>
      </c>
      <c r="DO5">
        <v>2019</v>
      </c>
      <c r="DP5">
        <v>0.95040000000000002</v>
      </c>
      <c r="DQ5">
        <v>0.91820000000000002</v>
      </c>
      <c r="DU5" t="s">
        <v>3393</v>
      </c>
      <c r="DV5">
        <v>2019</v>
      </c>
      <c r="DW5">
        <v>0</v>
      </c>
      <c r="DX5">
        <v>756451</v>
      </c>
      <c r="DY5">
        <v>5085</v>
      </c>
      <c r="DZ5">
        <v>66108.3</v>
      </c>
      <c r="EA5">
        <v>827644.3</v>
      </c>
      <c r="EE5" t="s">
        <v>3393</v>
      </c>
      <c r="EF5">
        <v>2019</v>
      </c>
      <c r="EG5">
        <v>259</v>
      </c>
      <c r="EH5">
        <v>535</v>
      </c>
      <c r="EI5">
        <v>794</v>
      </c>
      <c r="EM5" t="s">
        <v>3393</v>
      </c>
      <c r="EN5">
        <v>2019</v>
      </c>
      <c r="EO5">
        <v>87471</v>
      </c>
      <c r="EP5">
        <v>411</v>
      </c>
      <c r="ET5" t="s">
        <v>3393</v>
      </c>
      <c r="EU5">
        <v>2020</v>
      </c>
      <c r="EV5">
        <v>37687.5</v>
      </c>
      <c r="EW5">
        <v>5025</v>
      </c>
      <c r="FA5" t="s">
        <v>3393</v>
      </c>
      <c r="FB5">
        <v>2019</v>
      </c>
      <c r="FC5">
        <v>1.92</v>
      </c>
      <c r="FD5">
        <v>4.3099999999999996</v>
      </c>
      <c r="FE5">
        <v>4.7699999999999996</v>
      </c>
      <c r="FF5">
        <v>3.72</v>
      </c>
      <c r="FJ5" t="s">
        <v>3393</v>
      </c>
      <c r="FK5">
        <v>2019</v>
      </c>
      <c r="FL5">
        <v>0.97899999999999998</v>
      </c>
      <c r="FM5">
        <v>0.878</v>
      </c>
      <c r="FN5">
        <v>0.97399999999999998</v>
      </c>
      <c r="FO5">
        <v>0.89900000000000002</v>
      </c>
      <c r="FS5" t="s">
        <v>3393</v>
      </c>
      <c r="FT5">
        <v>2019</v>
      </c>
      <c r="FU5">
        <v>18</v>
      </c>
      <c r="FV5">
        <v>8</v>
      </c>
      <c r="FZ5" t="s">
        <v>3393</v>
      </c>
      <c r="GA5">
        <v>2019</v>
      </c>
      <c r="GB5" t="s">
        <v>1150</v>
      </c>
      <c r="GC5">
        <v>0.92800000000000005</v>
      </c>
      <c r="GG5" t="s">
        <v>3393</v>
      </c>
      <c r="GH5">
        <v>2019</v>
      </c>
      <c r="GI5" t="s">
        <v>2245</v>
      </c>
      <c r="GJ5" t="s">
        <v>2125</v>
      </c>
      <c r="GN5" t="s">
        <v>3393</v>
      </c>
      <c r="GO5">
        <v>2020</v>
      </c>
      <c r="GP5" t="s">
        <v>1995</v>
      </c>
      <c r="GQ5" t="s">
        <v>1995</v>
      </c>
      <c r="GU5" t="s">
        <v>3393</v>
      </c>
      <c r="GV5">
        <v>2020</v>
      </c>
      <c r="GW5" t="s">
        <v>1995</v>
      </c>
      <c r="GX5" t="s">
        <v>1995</v>
      </c>
      <c r="GY5" t="s">
        <v>1995</v>
      </c>
      <c r="GZ5" t="s">
        <v>1993</v>
      </c>
      <c r="HD5" t="s">
        <v>3393</v>
      </c>
      <c r="HE5">
        <v>2019</v>
      </c>
      <c r="HF5" t="s">
        <v>3435</v>
      </c>
      <c r="HG5" t="s">
        <v>3345</v>
      </c>
      <c r="HH5" t="s">
        <v>3436</v>
      </c>
      <c r="HL5" t="s">
        <v>3393</v>
      </c>
      <c r="HM5">
        <v>2019</v>
      </c>
      <c r="HN5" t="s">
        <v>1173</v>
      </c>
      <c r="HO5" t="s">
        <v>3423</v>
      </c>
      <c r="HQ5" t="s">
        <v>3393</v>
      </c>
      <c r="HR5">
        <v>2019</v>
      </c>
      <c r="HS5" t="s">
        <v>1176</v>
      </c>
      <c r="HT5" t="s">
        <v>3400</v>
      </c>
    </row>
    <row r="6" spans="3:228" x14ac:dyDescent="0.25">
      <c r="C6" t="s">
        <v>3393</v>
      </c>
      <c r="D6">
        <v>2020</v>
      </c>
      <c r="E6">
        <v>641</v>
      </c>
      <c r="F6">
        <v>2240</v>
      </c>
      <c r="G6">
        <v>176251</v>
      </c>
      <c r="H6">
        <v>179132</v>
      </c>
      <c r="L6" t="s">
        <v>3393</v>
      </c>
      <c r="M6">
        <v>2020</v>
      </c>
      <c r="N6">
        <v>235.87</v>
      </c>
      <c r="O6">
        <v>196.86</v>
      </c>
      <c r="P6">
        <v>1491.79</v>
      </c>
      <c r="Q6">
        <v>1924.52</v>
      </c>
      <c r="U6" t="s">
        <v>3393</v>
      </c>
      <c r="V6">
        <v>2020</v>
      </c>
      <c r="W6">
        <v>634.59</v>
      </c>
      <c r="X6">
        <v>248.4</v>
      </c>
      <c r="Y6">
        <v>935.84</v>
      </c>
      <c r="Z6">
        <v>1818.83</v>
      </c>
      <c r="AD6" t="s">
        <v>3393</v>
      </c>
      <c r="AE6">
        <v>2020</v>
      </c>
      <c r="AF6">
        <v>990</v>
      </c>
      <c r="AG6">
        <v>110.89</v>
      </c>
      <c r="AH6">
        <v>5.31</v>
      </c>
      <c r="AI6">
        <v>10.15</v>
      </c>
      <c r="AM6" t="s">
        <v>3393</v>
      </c>
      <c r="AN6">
        <v>2020</v>
      </c>
      <c r="AO6">
        <v>12.64</v>
      </c>
      <c r="AP6">
        <v>11.3</v>
      </c>
      <c r="AQ6">
        <v>46.42</v>
      </c>
      <c r="AR6">
        <v>70.349999999999994</v>
      </c>
      <c r="AV6" t="s">
        <v>3393</v>
      </c>
      <c r="AW6">
        <v>2020</v>
      </c>
      <c r="AX6">
        <v>1870</v>
      </c>
      <c r="AY6">
        <v>79</v>
      </c>
      <c r="AZ6">
        <v>17</v>
      </c>
      <c r="BA6">
        <v>19</v>
      </c>
      <c r="BB6">
        <v>1985</v>
      </c>
      <c r="BF6" t="s">
        <v>3393</v>
      </c>
      <c r="BG6">
        <v>2020</v>
      </c>
      <c r="BH6">
        <v>114818</v>
      </c>
      <c r="BI6">
        <v>0</v>
      </c>
      <c r="BJ6">
        <v>114818</v>
      </c>
      <c r="BN6" t="s">
        <v>3393</v>
      </c>
      <c r="BO6">
        <v>2020</v>
      </c>
      <c r="BP6">
        <v>3.2572000000000001</v>
      </c>
      <c r="BQ6">
        <v>0</v>
      </c>
      <c r="BR6">
        <v>3.2572000000000001</v>
      </c>
      <c r="BV6" t="s">
        <v>3393</v>
      </c>
      <c r="BW6">
        <v>2020</v>
      </c>
      <c r="BX6">
        <v>614.01</v>
      </c>
      <c r="BY6">
        <v>0</v>
      </c>
      <c r="BZ6">
        <v>614.01</v>
      </c>
      <c r="CD6" t="s">
        <v>3393</v>
      </c>
      <c r="CE6">
        <v>2020</v>
      </c>
      <c r="CF6">
        <v>74.959999999999994</v>
      </c>
      <c r="CG6">
        <v>0</v>
      </c>
      <c r="CH6">
        <v>74.959999999999994</v>
      </c>
      <c r="CL6" t="s">
        <v>3393</v>
      </c>
      <c r="CM6">
        <v>2020</v>
      </c>
      <c r="CN6">
        <v>992.25</v>
      </c>
      <c r="CO6">
        <v>0</v>
      </c>
      <c r="CP6">
        <v>992.25</v>
      </c>
      <c r="CT6" t="s">
        <v>3393</v>
      </c>
      <c r="CU6">
        <v>2019</v>
      </c>
      <c r="CV6" t="s">
        <v>2247</v>
      </c>
      <c r="CW6">
        <v>507</v>
      </c>
      <c r="DA6" t="s">
        <v>3393</v>
      </c>
      <c r="DB6">
        <v>2019</v>
      </c>
      <c r="DC6" t="s">
        <v>3449</v>
      </c>
      <c r="DD6">
        <v>23</v>
      </c>
      <c r="DG6" t="s">
        <v>3393</v>
      </c>
      <c r="DH6">
        <v>2020</v>
      </c>
      <c r="DI6">
        <v>0.995</v>
      </c>
      <c r="DJ6">
        <v>0.98450000000000004</v>
      </c>
      <c r="DN6" t="s">
        <v>3393</v>
      </c>
      <c r="DO6">
        <v>2020</v>
      </c>
      <c r="DP6">
        <v>0.75639999999999996</v>
      </c>
      <c r="DQ6">
        <v>0.70409999999999995</v>
      </c>
      <c r="DU6" t="s">
        <v>3393</v>
      </c>
      <c r="DV6">
        <v>2020</v>
      </c>
      <c r="DW6">
        <v>0</v>
      </c>
      <c r="DX6">
        <v>763952</v>
      </c>
      <c r="DY6">
        <v>5220</v>
      </c>
      <c r="DZ6">
        <v>56500.6</v>
      </c>
      <c r="EA6">
        <v>825672.6</v>
      </c>
      <c r="EE6" t="s">
        <v>3393</v>
      </c>
      <c r="EF6">
        <v>2020</v>
      </c>
      <c r="EG6">
        <v>113</v>
      </c>
      <c r="EH6">
        <v>173</v>
      </c>
      <c r="EI6">
        <v>286</v>
      </c>
      <c r="EM6" t="s">
        <v>3393</v>
      </c>
      <c r="EN6">
        <v>2020</v>
      </c>
      <c r="EO6">
        <v>63409</v>
      </c>
      <c r="EP6">
        <v>289</v>
      </c>
      <c r="ET6" t="s">
        <v>3393</v>
      </c>
      <c r="EU6">
        <v>2023</v>
      </c>
      <c r="EV6">
        <v>49867.5</v>
      </c>
      <c r="EW6">
        <v>6649</v>
      </c>
      <c r="FA6" t="s">
        <v>3393</v>
      </c>
      <c r="FB6">
        <v>2020</v>
      </c>
      <c r="FC6">
        <v>1.99</v>
      </c>
      <c r="FD6">
        <v>4.55</v>
      </c>
      <c r="FE6">
        <v>4.96</v>
      </c>
      <c r="FF6">
        <v>3.87</v>
      </c>
      <c r="FJ6" t="s">
        <v>3393</v>
      </c>
      <c r="FK6">
        <v>2020</v>
      </c>
      <c r="FL6">
        <v>0.98099999999999998</v>
      </c>
      <c r="FM6">
        <v>0.86399999999999999</v>
      </c>
      <c r="FN6">
        <v>1</v>
      </c>
      <c r="FO6">
        <v>0.86099999999999999</v>
      </c>
      <c r="FS6" t="s">
        <v>3393</v>
      </c>
      <c r="FT6">
        <v>2020</v>
      </c>
      <c r="FU6">
        <v>16</v>
      </c>
      <c r="FV6">
        <v>41</v>
      </c>
      <c r="FZ6" t="s">
        <v>3393</v>
      </c>
      <c r="GA6">
        <v>2019</v>
      </c>
      <c r="GB6" t="s">
        <v>1148</v>
      </c>
      <c r="GC6">
        <v>0.86199999999999999</v>
      </c>
      <c r="GG6" t="s">
        <v>3393</v>
      </c>
      <c r="GH6">
        <v>2019</v>
      </c>
      <c r="GI6" t="s">
        <v>2248</v>
      </c>
      <c r="GJ6" t="s">
        <v>3405</v>
      </c>
      <c r="GN6" t="s">
        <v>3393</v>
      </c>
      <c r="GO6">
        <v>2021</v>
      </c>
      <c r="GP6" t="s">
        <v>3443</v>
      </c>
      <c r="GQ6" t="s">
        <v>3444</v>
      </c>
      <c r="GU6" t="s">
        <v>3393</v>
      </c>
      <c r="GV6">
        <v>2021</v>
      </c>
      <c r="GW6" t="s">
        <v>3443</v>
      </c>
      <c r="GX6" t="s">
        <v>3444</v>
      </c>
      <c r="GY6" t="s">
        <v>3445</v>
      </c>
      <c r="GZ6" t="s">
        <v>3446</v>
      </c>
      <c r="HD6" t="s">
        <v>3393</v>
      </c>
      <c r="HE6">
        <v>2020</v>
      </c>
      <c r="HF6" t="s">
        <v>3293</v>
      </c>
      <c r="HG6" t="s">
        <v>3437</v>
      </c>
      <c r="HH6" t="s">
        <v>3438</v>
      </c>
      <c r="HL6" t="s">
        <v>3393</v>
      </c>
      <c r="HM6">
        <v>2019</v>
      </c>
      <c r="HN6" t="s">
        <v>1172</v>
      </c>
      <c r="HO6" t="s">
        <v>3424</v>
      </c>
      <c r="HQ6" t="s">
        <v>3393</v>
      </c>
      <c r="HR6">
        <v>2020</v>
      </c>
      <c r="HS6" t="s">
        <v>1176</v>
      </c>
      <c r="HT6" t="s">
        <v>3401</v>
      </c>
    </row>
    <row r="7" spans="3:228" x14ac:dyDescent="0.25">
      <c r="C7" t="s">
        <v>3393</v>
      </c>
      <c r="D7">
        <v>2021</v>
      </c>
      <c r="E7">
        <v>623</v>
      </c>
      <c r="F7">
        <v>2296</v>
      </c>
      <c r="G7">
        <v>177618</v>
      </c>
      <c r="H7">
        <v>180537</v>
      </c>
      <c r="L7" t="s">
        <v>3393</v>
      </c>
      <c r="M7">
        <v>2021</v>
      </c>
      <c r="N7">
        <v>233.76</v>
      </c>
      <c r="O7">
        <v>202.92</v>
      </c>
      <c r="P7">
        <v>1512</v>
      </c>
      <c r="Q7">
        <v>1948.68</v>
      </c>
      <c r="U7" t="s">
        <v>3393</v>
      </c>
      <c r="V7">
        <v>2021</v>
      </c>
      <c r="W7">
        <v>670.38</v>
      </c>
      <c r="X7">
        <v>251.61</v>
      </c>
      <c r="Y7">
        <v>1048.5</v>
      </c>
      <c r="Z7">
        <v>1970.49</v>
      </c>
      <c r="AD7" t="s">
        <v>3393</v>
      </c>
      <c r="AE7">
        <v>2021</v>
      </c>
      <c r="AF7">
        <v>1076.06</v>
      </c>
      <c r="AG7">
        <v>109.58</v>
      </c>
      <c r="AH7">
        <v>5.9</v>
      </c>
      <c r="AI7">
        <v>10.91</v>
      </c>
      <c r="AM7" t="s">
        <v>3393</v>
      </c>
      <c r="AN7">
        <v>2021</v>
      </c>
      <c r="AO7">
        <v>13.31</v>
      </c>
      <c r="AP7">
        <v>11.67</v>
      </c>
      <c r="AQ7">
        <v>53.45</v>
      </c>
      <c r="AR7">
        <v>78.430000000000007</v>
      </c>
      <c r="AV7" t="s">
        <v>3393</v>
      </c>
      <c r="AW7">
        <v>2022</v>
      </c>
      <c r="AX7">
        <v>2687</v>
      </c>
      <c r="AY7">
        <v>96</v>
      </c>
      <c r="AZ7">
        <v>17</v>
      </c>
      <c r="BA7">
        <v>21</v>
      </c>
      <c r="BB7">
        <v>2821</v>
      </c>
      <c r="BF7" t="s">
        <v>3393</v>
      </c>
      <c r="BG7">
        <v>2021</v>
      </c>
      <c r="BH7">
        <v>105828</v>
      </c>
      <c r="BI7">
        <v>0</v>
      </c>
      <c r="BJ7">
        <v>105828</v>
      </c>
      <c r="BN7" t="s">
        <v>3393</v>
      </c>
      <c r="BO7">
        <v>2021</v>
      </c>
      <c r="BP7">
        <v>2.1375999999999999</v>
      </c>
      <c r="BQ7">
        <v>0</v>
      </c>
      <c r="BR7">
        <v>2.1375999999999999</v>
      </c>
      <c r="BV7" t="s">
        <v>3393</v>
      </c>
      <c r="BW7">
        <v>2021</v>
      </c>
      <c r="BX7">
        <v>569.95000000000005</v>
      </c>
      <c r="BY7">
        <v>0</v>
      </c>
      <c r="BZ7">
        <v>569.95000000000005</v>
      </c>
      <c r="CD7" t="s">
        <v>3393</v>
      </c>
      <c r="CE7">
        <v>2021</v>
      </c>
      <c r="CF7">
        <v>72.489999999999995</v>
      </c>
      <c r="CG7">
        <v>0</v>
      </c>
      <c r="CH7">
        <v>72.489999999999995</v>
      </c>
      <c r="CL7" t="s">
        <v>3393</v>
      </c>
      <c r="CM7">
        <v>2021</v>
      </c>
      <c r="CN7">
        <v>921.26</v>
      </c>
      <c r="CO7">
        <v>0</v>
      </c>
      <c r="CP7">
        <v>921.26</v>
      </c>
      <c r="CT7" t="s">
        <v>3393</v>
      </c>
      <c r="CU7">
        <v>2019</v>
      </c>
      <c r="CV7" t="s">
        <v>2249</v>
      </c>
      <c r="CW7">
        <v>232</v>
      </c>
      <c r="DA7" t="s">
        <v>3393</v>
      </c>
      <c r="DB7">
        <v>2019</v>
      </c>
      <c r="DC7" t="s">
        <v>3230</v>
      </c>
      <c r="DD7">
        <v>371</v>
      </c>
      <c r="DG7" t="s">
        <v>3393</v>
      </c>
      <c r="DH7">
        <v>2022</v>
      </c>
      <c r="DI7">
        <v>0.99590000000000001</v>
      </c>
      <c r="DJ7">
        <v>0.98470000000000002</v>
      </c>
      <c r="DN7" t="s">
        <v>3393</v>
      </c>
      <c r="DO7">
        <v>2021</v>
      </c>
      <c r="DP7">
        <v>0.95309999999999995</v>
      </c>
      <c r="DQ7">
        <v>0.57340000000000002</v>
      </c>
      <c r="DU7" t="s">
        <v>3393</v>
      </c>
      <c r="DV7">
        <v>2022</v>
      </c>
      <c r="DW7">
        <v>0</v>
      </c>
      <c r="DX7">
        <v>978171</v>
      </c>
      <c r="DY7">
        <v>5220</v>
      </c>
      <c r="DZ7">
        <v>73461.23</v>
      </c>
      <c r="EA7">
        <v>1056852.23</v>
      </c>
      <c r="EE7" t="s">
        <v>3393</v>
      </c>
      <c r="EF7">
        <v>2023</v>
      </c>
      <c r="EG7">
        <v>0</v>
      </c>
      <c r="EH7">
        <v>0</v>
      </c>
      <c r="EI7">
        <v>1433</v>
      </c>
      <c r="EM7" t="s">
        <v>3393</v>
      </c>
      <c r="EN7">
        <v>2021</v>
      </c>
      <c r="EO7">
        <v>69749</v>
      </c>
      <c r="EP7">
        <v>279</v>
      </c>
      <c r="FA7" t="s">
        <v>3393</v>
      </c>
      <c r="FB7">
        <v>2021</v>
      </c>
      <c r="FC7">
        <v>1.99</v>
      </c>
      <c r="FD7">
        <v>4.6399999999999997</v>
      </c>
      <c r="FE7">
        <v>5.0999999999999996</v>
      </c>
      <c r="FF7">
        <v>3.98</v>
      </c>
      <c r="FJ7" t="s">
        <v>3393</v>
      </c>
      <c r="FK7">
        <v>2021</v>
      </c>
      <c r="FL7">
        <v>0.98299999999999998</v>
      </c>
      <c r="FM7">
        <v>0.93</v>
      </c>
      <c r="FN7">
        <v>0.99099999999999999</v>
      </c>
      <c r="FO7">
        <v>0.92300000000000004</v>
      </c>
      <c r="FS7" t="s">
        <v>3393</v>
      </c>
      <c r="FT7">
        <v>2021</v>
      </c>
      <c r="FU7">
        <v>5</v>
      </c>
      <c r="FV7">
        <v>1</v>
      </c>
      <c r="FZ7" t="s">
        <v>3393</v>
      </c>
      <c r="GA7">
        <v>2019</v>
      </c>
      <c r="GB7" t="s">
        <v>1149</v>
      </c>
      <c r="GC7">
        <v>0.89900000000000002</v>
      </c>
      <c r="GG7" t="s">
        <v>3393</v>
      </c>
      <c r="GH7">
        <v>2019</v>
      </c>
      <c r="GI7" t="s">
        <v>2250</v>
      </c>
      <c r="GJ7" t="s">
        <v>3406</v>
      </c>
      <c r="GN7" t="s">
        <v>3393</v>
      </c>
      <c r="GO7">
        <v>2023</v>
      </c>
      <c r="GP7" t="s">
        <v>3447</v>
      </c>
      <c r="GQ7" t="s">
        <v>3448</v>
      </c>
      <c r="GU7" t="s">
        <v>3393</v>
      </c>
      <c r="GV7">
        <v>2023</v>
      </c>
      <c r="GW7" t="s">
        <v>3447</v>
      </c>
      <c r="GX7" t="s">
        <v>3448</v>
      </c>
      <c r="GY7" t="s">
        <v>3269</v>
      </c>
      <c r="GZ7" t="s">
        <v>3228</v>
      </c>
      <c r="HD7" t="s">
        <v>3393</v>
      </c>
      <c r="HE7">
        <v>2021</v>
      </c>
      <c r="HF7" t="s">
        <v>3439</v>
      </c>
      <c r="HG7" t="s">
        <v>3440</v>
      </c>
      <c r="HH7" t="s">
        <v>3306</v>
      </c>
      <c r="HL7" t="s">
        <v>3393</v>
      </c>
      <c r="HM7">
        <v>2019</v>
      </c>
      <c r="HN7" t="s">
        <v>1171</v>
      </c>
      <c r="HO7" t="s">
        <v>3425</v>
      </c>
      <c r="HQ7" t="s">
        <v>3393</v>
      </c>
      <c r="HR7">
        <v>2021</v>
      </c>
      <c r="HS7" t="s">
        <v>1176</v>
      </c>
      <c r="HT7" t="s">
        <v>3402</v>
      </c>
    </row>
    <row r="8" spans="3:228" x14ac:dyDescent="0.25">
      <c r="C8" t="s">
        <v>3393</v>
      </c>
      <c r="D8">
        <v>2022</v>
      </c>
      <c r="E8">
        <v>643</v>
      </c>
      <c r="F8">
        <v>2329</v>
      </c>
      <c r="G8">
        <v>178787</v>
      </c>
      <c r="H8">
        <v>181759</v>
      </c>
      <c r="L8" t="s">
        <v>3393</v>
      </c>
      <c r="M8">
        <v>2022</v>
      </c>
      <c r="N8">
        <v>245.63</v>
      </c>
      <c r="O8">
        <v>206.66</v>
      </c>
      <c r="P8">
        <v>1526.79</v>
      </c>
      <c r="Q8">
        <v>1979.08</v>
      </c>
      <c r="U8" t="s">
        <v>3393</v>
      </c>
      <c r="V8">
        <v>2022</v>
      </c>
      <c r="W8">
        <v>685.76</v>
      </c>
      <c r="X8">
        <v>260.93</v>
      </c>
      <c r="Y8">
        <v>944.39</v>
      </c>
      <c r="Z8">
        <v>1891.07</v>
      </c>
      <c r="AD8" t="s">
        <v>3393</v>
      </c>
      <c r="AE8">
        <v>2022</v>
      </c>
      <c r="AF8">
        <v>1066.5</v>
      </c>
      <c r="AG8">
        <v>112.03</v>
      </c>
      <c r="AH8">
        <v>5.28</v>
      </c>
      <c r="AI8">
        <v>10.4</v>
      </c>
      <c r="AM8" t="s">
        <v>3393</v>
      </c>
      <c r="AN8">
        <v>2022</v>
      </c>
      <c r="AO8">
        <v>13.9</v>
      </c>
      <c r="AP8">
        <v>12.1</v>
      </c>
      <c r="AQ8">
        <v>50.64</v>
      </c>
      <c r="AR8">
        <v>76.63</v>
      </c>
      <c r="AV8" t="s">
        <v>3393</v>
      </c>
      <c r="AW8">
        <v>2023</v>
      </c>
      <c r="AX8">
        <v>3639</v>
      </c>
      <c r="AY8">
        <v>96</v>
      </c>
      <c r="AZ8">
        <v>17</v>
      </c>
      <c r="BA8">
        <v>24</v>
      </c>
      <c r="BB8">
        <v>3776</v>
      </c>
      <c r="BF8" t="s">
        <v>3393</v>
      </c>
      <c r="BG8">
        <v>2023</v>
      </c>
      <c r="BH8">
        <v>101866</v>
      </c>
      <c r="BI8">
        <v>0</v>
      </c>
      <c r="BJ8">
        <v>101866</v>
      </c>
      <c r="BN8" t="s">
        <v>3393</v>
      </c>
      <c r="BO8">
        <v>2023</v>
      </c>
      <c r="BP8">
        <v>1.9260999999999999</v>
      </c>
      <c r="BQ8">
        <v>0</v>
      </c>
      <c r="BR8">
        <v>1.9260999999999999</v>
      </c>
      <c r="BV8" t="s">
        <v>3393</v>
      </c>
      <c r="BW8">
        <v>2023</v>
      </c>
      <c r="BX8">
        <v>510.73</v>
      </c>
      <c r="BY8">
        <v>0</v>
      </c>
      <c r="BZ8">
        <v>510.73</v>
      </c>
      <c r="CD8" t="s">
        <v>3393</v>
      </c>
      <c r="CE8">
        <v>2023</v>
      </c>
      <c r="CF8">
        <v>110.15</v>
      </c>
      <c r="CG8">
        <v>0</v>
      </c>
      <c r="CH8">
        <v>110.15</v>
      </c>
      <c r="CL8" t="s">
        <v>3393</v>
      </c>
      <c r="CM8">
        <v>2023</v>
      </c>
      <c r="CN8">
        <v>899.72</v>
      </c>
      <c r="CO8">
        <v>0</v>
      </c>
      <c r="CP8">
        <v>899.72</v>
      </c>
      <c r="CT8" t="s">
        <v>3393</v>
      </c>
      <c r="CU8">
        <v>2019</v>
      </c>
      <c r="CV8" t="s">
        <v>2251</v>
      </c>
      <c r="CW8">
        <v>111</v>
      </c>
      <c r="DA8" t="s">
        <v>3393</v>
      </c>
      <c r="DB8">
        <v>2019</v>
      </c>
      <c r="DC8" t="s">
        <v>3231</v>
      </c>
      <c r="DD8">
        <v>685</v>
      </c>
      <c r="DG8" t="s">
        <v>3393</v>
      </c>
      <c r="DH8">
        <v>2023</v>
      </c>
      <c r="DI8">
        <v>0.99780000000000002</v>
      </c>
      <c r="DJ8">
        <v>0.99339999999999995</v>
      </c>
      <c r="DN8" t="s">
        <v>3393</v>
      </c>
      <c r="DO8">
        <v>2022</v>
      </c>
      <c r="DP8">
        <v>0.95299999999999996</v>
      </c>
      <c r="DQ8">
        <v>0.62660000000000005</v>
      </c>
      <c r="DU8" t="s">
        <v>3393</v>
      </c>
      <c r="DV8">
        <v>2023</v>
      </c>
      <c r="DW8">
        <v>0</v>
      </c>
      <c r="DX8">
        <v>981670</v>
      </c>
      <c r="DY8">
        <v>5220</v>
      </c>
      <c r="DZ8">
        <v>132633.97</v>
      </c>
      <c r="EA8">
        <v>1119523.97</v>
      </c>
      <c r="EM8" t="s">
        <v>3393</v>
      </c>
      <c r="EN8">
        <v>2022</v>
      </c>
      <c r="EO8">
        <v>74290</v>
      </c>
      <c r="EP8">
        <v>269</v>
      </c>
      <c r="FA8" t="s">
        <v>3393</v>
      </c>
      <c r="FB8">
        <v>2022</v>
      </c>
      <c r="FC8">
        <v>2.0299999999999998</v>
      </c>
      <c r="FD8">
        <v>4.6399999999999997</v>
      </c>
      <c r="FE8">
        <v>5.36</v>
      </c>
      <c r="FF8">
        <v>4.05</v>
      </c>
      <c r="FJ8" t="s">
        <v>3393</v>
      </c>
      <c r="FK8">
        <v>2022</v>
      </c>
      <c r="FL8">
        <v>0.98799999999999999</v>
      </c>
      <c r="FM8">
        <v>0.96299999999999997</v>
      </c>
      <c r="FN8">
        <v>0.998</v>
      </c>
      <c r="FO8">
        <v>0.76500000000000001</v>
      </c>
      <c r="FS8" t="s">
        <v>3393</v>
      </c>
      <c r="FT8">
        <v>2022</v>
      </c>
      <c r="FU8">
        <v>2</v>
      </c>
      <c r="FV8">
        <v>0</v>
      </c>
      <c r="FZ8" t="s">
        <v>3393</v>
      </c>
      <c r="GA8">
        <v>2020</v>
      </c>
      <c r="GB8" t="s">
        <v>1150</v>
      </c>
      <c r="GC8">
        <v>0.96</v>
      </c>
      <c r="GG8" t="s">
        <v>3393</v>
      </c>
      <c r="GH8">
        <v>2019</v>
      </c>
      <c r="GI8" t="s">
        <v>2252</v>
      </c>
      <c r="GJ8" t="s">
        <v>3308</v>
      </c>
      <c r="HD8" t="s">
        <v>3393</v>
      </c>
      <c r="HE8">
        <v>2022</v>
      </c>
      <c r="HF8" t="s">
        <v>1993</v>
      </c>
      <c r="HG8" t="s">
        <v>1993</v>
      </c>
      <c r="HH8" t="s">
        <v>3441</v>
      </c>
      <c r="HL8" t="s">
        <v>3393</v>
      </c>
      <c r="HM8">
        <v>2020</v>
      </c>
      <c r="HN8" t="s">
        <v>1173</v>
      </c>
      <c r="HO8" t="s">
        <v>3116</v>
      </c>
      <c r="HQ8" t="s">
        <v>3393</v>
      </c>
      <c r="HR8">
        <v>2022</v>
      </c>
      <c r="HS8" t="s">
        <v>1176</v>
      </c>
      <c r="HT8" t="s">
        <v>3403</v>
      </c>
    </row>
    <row r="9" spans="3:228" x14ac:dyDescent="0.25">
      <c r="C9" t="s">
        <v>3393</v>
      </c>
      <c r="D9">
        <v>2023</v>
      </c>
      <c r="E9">
        <v>651</v>
      </c>
      <c r="F9">
        <v>2352</v>
      </c>
      <c r="G9">
        <v>179481</v>
      </c>
      <c r="H9">
        <v>182484</v>
      </c>
      <c r="L9" t="s">
        <v>3393</v>
      </c>
      <c r="M9">
        <v>2023</v>
      </c>
      <c r="N9">
        <v>242.24</v>
      </c>
      <c r="O9">
        <v>209.18</v>
      </c>
      <c r="P9">
        <v>1535.54</v>
      </c>
      <c r="Q9">
        <v>1986.96</v>
      </c>
      <c r="U9" t="s">
        <v>3393</v>
      </c>
      <c r="V9">
        <v>2023</v>
      </c>
      <c r="W9">
        <v>662.15</v>
      </c>
      <c r="X9">
        <v>239.25</v>
      </c>
      <c r="Y9">
        <v>907.41</v>
      </c>
      <c r="Z9">
        <v>1808.81</v>
      </c>
      <c r="AD9" t="s">
        <v>3393</v>
      </c>
      <c r="AE9">
        <v>2023</v>
      </c>
      <c r="AF9">
        <v>1017.13</v>
      </c>
      <c r="AG9">
        <v>101.72</v>
      </c>
      <c r="AH9">
        <v>5.0599999999999996</v>
      </c>
      <c r="AI9">
        <v>9.91</v>
      </c>
      <c r="AM9" t="s">
        <v>3393</v>
      </c>
      <c r="AN9">
        <v>2023</v>
      </c>
      <c r="AO9">
        <v>14.65</v>
      </c>
      <c r="AP9">
        <v>12.14</v>
      </c>
      <c r="AQ9">
        <v>52.73</v>
      </c>
      <c r="AR9">
        <v>79.52</v>
      </c>
      <c r="CT9" t="s">
        <v>3393</v>
      </c>
      <c r="CU9">
        <v>2019</v>
      </c>
      <c r="CV9" t="s">
        <v>2253</v>
      </c>
      <c r="CW9">
        <v>584</v>
      </c>
      <c r="DA9" t="s">
        <v>3393</v>
      </c>
      <c r="DB9">
        <v>2019</v>
      </c>
      <c r="DC9" t="s">
        <v>3232</v>
      </c>
      <c r="DD9">
        <v>96</v>
      </c>
      <c r="DN9" t="s">
        <v>3393</v>
      </c>
      <c r="DO9">
        <v>2023</v>
      </c>
      <c r="DP9">
        <v>0.94310000000000005</v>
      </c>
      <c r="DQ9">
        <v>0.81769999999999998</v>
      </c>
      <c r="EM9" t="s">
        <v>3393</v>
      </c>
      <c r="EN9">
        <v>2023</v>
      </c>
      <c r="EO9">
        <v>71648</v>
      </c>
      <c r="EP9">
        <v>255</v>
      </c>
      <c r="FA9" t="s">
        <v>3393</v>
      </c>
      <c r="FB9">
        <v>2023</v>
      </c>
      <c r="FC9">
        <v>2.21</v>
      </c>
      <c r="FD9">
        <v>5.08</v>
      </c>
      <c r="FE9">
        <v>5.81</v>
      </c>
      <c r="FF9">
        <v>4.4000000000000004</v>
      </c>
      <c r="FJ9" t="s">
        <v>3393</v>
      </c>
      <c r="FK9">
        <v>2023</v>
      </c>
      <c r="FL9">
        <v>0.98199999999999998</v>
      </c>
      <c r="FM9">
        <v>0.96899999999999997</v>
      </c>
      <c r="FN9">
        <v>0.999</v>
      </c>
      <c r="FO9">
        <v>0.71199999999999997</v>
      </c>
      <c r="FS9" t="s">
        <v>3393</v>
      </c>
      <c r="FT9">
        <v>2023</v>
      </c>
      <c r="FU9">
        <v>2</v>
      </c>
      <c r="FV9">
        <v>0</v>
      </c>
      <c r="FZ9" t="s">
        <v>3393</v>
      </c>
      <c r="GA9">
        <v>2020</v>
      </c>
      <c r="GB9" t="s">
        <v>1148</v>
      </c>
      <c r="GC9">
        <v>0.83599999999999997</v>
      </c>
      <c r="GG9" t="s">
        <v>3393</v>
      </c>
      <c r="GH9">
        <v>2019</v>
      </c>
      <c r="GI9" t="s">
        <v>2254</v>
      </c>
      <c r="GJ9" t="s">
        <v>2055</v>
      </c>
      <c r="HD9" t="s">
        <v>3393</v>
      </c>
      <c r="HE9">
        <v>2023</v>
      </c>
      <c r="HF9" t="s">
        <v>1993</v>
      </c>
      <c r="HG9" t="s">
        <v>1993</v>
      </c>
      <c r="HH9" t="s">
        <v>3442</v>
      </c>
      <c r="HL9" t="s">
        <v>3393</v>
      </c>
      <c r="HM9">
        <v>2020</v>
      </c>
      <c r="HN9" t="s">
        <v>1172</v>
      </c>
      <c r="HO9" t="s">
        <v>3426</v>
      </c>
      <c r="HQ9" t="s">
        <v>3393</v>
      </c>
      <c r="HR9">
        <v>2023</v>
      </c>
      <c r="HS9" t="s">
        <v>1176</v>
      </c>
      <c r="HT9" t="s">
        <v>3404</v>
      </c>
    </row>
    <row r="10" spans="3:228" x14ac:dyDescent="0.25">
      <c r="CT10" t="s">
        <v>3393</v>
      </c>
      <c r="CU10">
        <v>2019</v>
      </c>
      <c r="CV10" t="s">
        <v>182</v>
      </c>
      <c r="CW10">
        <v>1444</v>
      </c>
      <c r="DA10" t="s">
        <v>3393</v>
      </c>
      <c r="DB10">
        <v>2019</v>
      </c>
      <c r="DC10" t="s">
        <v>3233</v>
      </c>
      <c r="DD10">
        <v>622</v>
      </c>
      <c r="FZ10" t="s">
        <v>3393</v>
      </c>
      <c r="GA10">
        <v>2020</v>
      </c>
      <c r="GB10" t="s">
        <v>1149</v>
      </c>
      <c r="GC10">
        <v>0.86099999999999999</v>
      </c>
      <c r="GG10" t="s">
        <v>3393</v>
      </c>
      <c r="GH10">
        <v>2019</v>
      </c>
      <c r="GI10" t="s">
        <v>2255</v>
      </c>
      <c r="GJ10" t="s">
        <v>2005</v>
      </c>
      <c r="HL10" t="s">
        <v>3393</v>
      </c>
      <c r="HM10">
        <v>2020</v>
      </c>
      <c r="HN10" t="s">
        <v>1171</v>
      </c>
      <c r="HO10" t="s">
        <v>3106</v>
      </c>
    </row>
    <row r="11" spans="3:228" x14ac:dyDescent="0.25">
      <c r="CT11" t="s">
        <v>3393</v>
      </c>
      <c r="CU11">
        <v>2020</v>
      </c>
      <c r="CV11" t="s">
        <v>3229</v>
      </c>
      <c r="CW11">
        <v>14</v>
      </c>
      <c r="DA11" t="s">
        <v>3393</v>
      </c>
      <c r="DB11">
        <v>2019</v>
      </c>
      <c r="DC11" t="s">
        <v>3234</v>
      </c>
      <c r="DD11">
        <v>49</v>
      </c>
      <c r="FZ11" t="s">
        <v>3393</v>
      </c>
      <c r="GA11">
        <v>2021</v>
      </c>
      <c r="GB11" t="s">
        <v>1150</v>
      </c>
      <c r="GC11">
        <v>0.96599999999999997</v>
      </c>
      <c r="GG11" t="s">
        <v>3393</v>
      </c>
      <c r="GH11">
        <v>2019</v>
      </c>
      <c r="GI11" t="s">
        <v>3115</v>
      </c>
      <c r="GJ11" t="s">
        <v>3407</v>
      </c>
      <c r="HL11" t="s">
        <v>3393</v>
      </c>
      <c r="HM11">
        <v>2021</v>
      </c>
      <c r="HN11" t="s">
        <v>1173</v>
      </c>
      <c r="HO11" t="s">
        <v>3427</v>
      </c>
    </row>
    <row r="12" spans="3:228" x14ac:dyDescent="0.25">
      <c r="CT12" t="s">
        <v>3393</v>
      </c>
      <c r="CU12">
        <v>2020</v>
      </c>
      <c r="CV12" t="s">
        <v>2247</v>
      </c>
      <c r="CW12">
        <v>734</v>
      </c>
      <c r="DA12" t="s">
        <v>3393</v>
      </c>
      <c r="DB12">
        <v>2019</v>
      </c>
      <c r="DC12" t="s">
        <v>3235</v>
      </c>
      <c r="DD12">
        <v>208</v>
      </c>
      <c r="FZ12" t="s">
        <v>3393</v>
      </c>
      <c r="GA12">
        <v>2021</v>
      </c>
      <c r="GB12" t="s">
        <v>1148</v>
      </c>
      <c r="GC12">
        <v>0.876</v>
      </c>
      <c r="GG12" t="s">
        <v>3393</v>
      </c>
      <c r="GH12">
        <v>2020</v>
      </c>
      <c r="GI12" t="s">
        <v>2245</v>
      </c>
      <c r="GJ12" t="s">
        <v>2103</v>
      </c>
      <c r="HL12" t="s">
        <v>3393</v>
      </c>
      <c r="HM12">
        <v>2021</v>
      </c>
      <c r="HN12" t="s">
        <v>1172</v>
      </c>
      <c r="HO12" t="s">
        <v>3428</v>
      </c>
    </row>
    <row r="13" spans="3:228" x14ac:dyDescent="0.25">
      <c r="CT13" t="s">
        <v>3393</v>
      </c>
      <c r="CU13">
        <v>2020</v>
      </c>
      <c r="CV13" t="s">
        <v>2249</v>
      </c>
      <c r="CW13">
        <v>222</v>
      </c>
      <c r="DA13" t="s">
        <v>3393</v>
      </c>
      <c r="DB13">
        <v>2019</v>
      </c>
      <c r="DC13" t="s">
        <v>182</v>
      </c>
      <c r="DD13">
        <v>2299</v>
      </c>
      <c r="FZ13" t="s">
        <v>3393</v>
      </c>
      <c r="GA13">
        <v>2021</v>
      </c>
      <c r="GB13" t="s">
        <v>1149</v>
      </c>
      <c r="GC13">
        <v>0.92300000000000004</v>
      </c>
      <c r="GG13" t="s">
        <v>3393</v>
      </c>
      <c r="GH13">
        <v>2020</v>
      </c>
      <c r="GI13" t="s">
        <v>2248</v>
      </c>
      <c r="GJ13" t="s">
        <v>3408</v>
      </c>
      <c r="HL13" t="s">
        <v>3393</v>
      </c>
      <c r="HM13">
        <v>2021</v>
      </c>
      <c r="HN13" t="s">
        <v>1171</v>
      </c>
      <c r="HO13" t="s">
        <v>3304</v>
      </c>
    </row>
    <row r="14" spans="3:228" x14ac:dyDescent="0.25">
      <c r="CT14" t="s">
        <v>3393</v>
      </c>
      <c r="CU14">
        <v>2020</v>
      </c>
      <c r="CV14" t="s">
        <v>2251</v>
      </c>
      <c r="CW14">
        <v>79</v>
      </c>
      <c r="DA14" t="s">
        <v>3393</v>
      </c>
      <c r="DB14">
        <v>2020</v>
      </c>
      <c r="DC14" t="s">
        <v>3229</v>
      </c>
      <c r="DD14">
        <v>345</v>
      </c>
      <c r="FZ14" t="s">
        <v>3393</v>
      </c>
      <c r="GA14">
        <v>2022</v>
      </c>
      <c r="GB14" t="s">
        <v>1150</v>
      </c>
      <c r="GC14">
        <v>0.90400000000000003</v>
      </c>
      <c r="GG14" t="s">
        <v>3393</v>
      </c>
      <c r="GH14">
        <v>2020</v>
      </c>
      <c r="GI14" t="s">
        <v>2250</v>
      </c>
      <c r="GJ14" t="s">
        <v>3164</v>
      </c>
      <c r="HL14" t="s">
        <v>3393</v>
      </c>
      <c r="HM14">
        <v>2022</v>
      </c>
      <c r="HN14" t="s">
        <v>1173</v>
      </c>
      <c r="HO14" t="s">
        <v>3429</v>
      </c>
    </row>
    <row r="15" spans="3:228" x14ac:dyDescent="0.25">
      <c r="CT15" t="s">
        <v>3393</v>
      </c>
      <c r="CU15">
        <v>2020</v>
      </c>
      <c r="CV15" t="s">
        <v>2253</v>
      </c>
      <c r="CW15">
        <v>760</v>
      </c>
      <c r="DA15" t="s">
        <v>3393</v>
      </c>
      <c r="DB15">
        <v>2020</v>
      </c>
      <c r="DC15" t="s">
        <v>3449</v>
      </c>
      <c r="DD15">
        <v>12</v>
      </c>
      <c r="FZ15" t="s">
        <v>3393</v>
      </c>
      <c r="GA15">
        <v>2022</v>
      </c>
      <c r="GB15" t="s">
        <v>1148</v>
      </c>
      <c r="GC15">
        <v>0.66300000000000003</v>
      </c>
      <c r="GG15" t="s">
        <v>3393</v>
      </c>
      <c r="GH15">
        <v>2020</v>
      </c>
      <c r="GI15" t="s">
        <v>2252</v>
      </c>
      <c r="GJ15" t="s">
        <v>3409</v>
      </c>
      <c r="HL15" t="s">
        <v>3393</v>
      </c>
      <c r="HM15">
        <v>2022</v>
      </c>
      <c r="HN15" t="s">
        <v>1172</v>
      </c>
      <c r="HO15" t="s">
        <v>3430</v>
      </c>
    </row>
    <row r="16" spans="3:228" x14ac:dyDescent="0.25">
      <c r="CT16" t="s">
        <v>3393</v>
      </c>
      <c r="CU16">
        <v>2020</v>
      </c>
      <c r="CV16" t="s">
        <v>182</v>
      </c>
      <c r="CW16">
        <v>1809</v>
      </c>
      <c r="DA16" t="s">
        <v>3393</v>
      </c>
      <c r="DB16">
        <v>2020</v>
      </c>
      <c r="DC16" t="s">
        <v>3230</v>
      </c>
      <c r="DD16">
        <v>419</v>
      </c>
      <c r="FZ16" t="s">
        <v>3393</v>
      </c>
      <c r="GA16">
        <v>2022</v>
      </c>
      <c r="GB16" t="s">
        <v>1149</v>
      </c>
      <c r="GC16">
        <v>0.76500000000000001</v>
      </c>
      <c r="GG16" t="s">
        <v>3393</v>
      </c>
      <c r="GH16">
        <v>2020</v>
      </c>
      <c r="GI16" t="s">
        <v>2254</v>
      </c>
      <c r="GJ16" t="s">
        <v>2045</v>
      </c>
      <c r="HL16" t="s">
        <v>3393</v>
      </c>
      <c r="HM16">
        <v>2022</v>
      </c>
      <c r="HN16" t="s">
        <v>1171</v>
      </c>
      <c r="HO16" t="s">
        <v>3431</v>
      </c>
    </row>
    <row r="17" spans="98:223" x14ac:dyDescent="0.25">
      <c r="CT17" t="s">
        <v>3393</v>
      </c>
      <c r="CU17">
        <v>2022</v>
      </c>
      <c r="CV17" t="s">
        <v>1100</v>
      </c>
      <c r="CW17">
        <v>19</v>
      </c>
      <c r="DA17" t="s">
        <v>3393</v>
      </c>
      <c r="DB17">
        <v>2020</v>
      </c>
      <c r="DC17" t="s">
        <v>3231</v>
      </c>
      <c r="DD17">
        <v>892</v>
      </c>
      <c r="FZ17" t="s">
        <v>3393</v>
      </c>
      <c r="GA17">
        <v>2023</v>
      </c>
      <c r="GB17" t="s">
        <v>1150</v>
      </c>
      <c r="GC17">
        <v>0.90200000000000002</v>
      </c>
      <c r="GG17" t="s">
        <v>3393</v>
      </c>
      <c r="GH17">
        <v>2020</v>
      </c>
      <c r="GI17" t="s">
        <v>2255</v>
      </c>
      <c r="GJ17" t="s">
        <v>2003</v>
      </c>
      <c r="HL17" t="s">
        <v>3393</v>
      </c>
      <c r="HM17">
        <v>2023</v>
      </c>
      <c r="HN17" t="s">
        <v>1173</v>
      </c>
      <c r="HO17" t="s">
        <v>3432</v>
      </c>
    </row>
    <row r="18" spans="98:223" x14ac:dyDescent="0.25">
      <c r="CT18" t="s">
        <v>3393</v>
      </c>
      <c r="CU18">
        <v>2022</v>
      </c>
      <c r="CV18" t="s">
        <v>3450</v>
      </c>
      <c r="CW18">
        <v>88</v>
      </c>
      <c r="DA18" t="s">
        <v>3393</v>
      </c>
      <c r="DB18">
        <v>2020</v>
      </c>
      <c r="DC18" t="s">
        <v>3232</v>
      </c>
      <c r="DD18">
        <v>77</v>
      </c>
      <c r="FZ18" t="s">
        <v>3393</v>
      </c>
      <c r="GA18">
        <v>2023</v>
      </c>
      <c r="GB18" t="s">
        <v>1148</v>
      </c>
      <c r="GC18">
        <v>0.61799999999999999</v>
      </c>
      <c r="GG18" t="s">
        <v>3393</v>
      </c>
      <c r="GH18">
        <v>2020</v>
      </c>
      <c r="GI18" t="s">
        <v>3115</v>
      </c>
      <c r="GJ18" t="s">
        <v>3410</v>
      </c>
      <c r="HL18" t="s">
        <v>3393</v>
      </c>
      <c r="HM18">
        <v>2023</v>
      </c>
      <c r="HN18" t="s">
        <v>1172</v>
      </c>
      <c r="HO18" t="s">
        <v>3433</v>
      </c>
    </row>
    <row r="19" spans="98:223" x14ac:dyDescent="0.25">
      <c r="CT19" t="s">
        <v>3393</v>
      </c>
      <c r="CU19">
        <v>2022</v>
      </c>
      <c r="CV19" t="s">
        <v>3451</v>
      </c>
      <c r="CW19">
        <v>92</v>
      </c>
      <c r="DA19" t="s">
        <v>3393</v>
      </c>
      <c r="DB19">
        <v>2020</v>
      </c>
      <c r="DC19" t="s">
        <v>3233</v>
      </c>
      <c r="DD19">
        <v>644</v>
      </c>
      <c r="FZ19" t="s">
        <v>3393</v>
      </c>
      <c r="GA19">
        <v>2023</v>
      </c>
      <c r="GB19" t="s">
        <v>1149</v>
      </c>
      <c r="GC19">
        <v>0.71199999999999997</v>
      </c>
      <c r="GG19" t="s">
        <v>3393</v>
      </c>
      <c r="GH19">
        <v>2020</v>
      </c>
      <c r="GI19" t="s">
        <v>2256</v>
      </c>
      <c r="GJ19" t="s">
        <v>3410</v>
      </c>
      <c r="HL19" t="s">
        <v>3393</v>
      </c>
      <c r="HM19">
        <v>2023</v>
      </c>
      <c r="HN19" t="s">
        <v>1171</v>
      </c>
      <c r="HO19" t="s">
        <v>3434</v>
      </c>
    </row>
    <row r="20" spans="98:223" x14ac:dyDescent="0.25">
      <c r="CT20" t="s">
        <v>3393</v>
      </c>
      <c r="CU20">
        <v>2022</v>
      </c>
      <c r="CV20" t="s">
        <v>3452</v>
      </c>
      <c r="CW20">
        <v>158</v>
      </c>
      <c r="DA20" t="s">
        <v>3393</v>
      </c>
      <c r="DB20">
        <v>2020</v>
      </c>
      <c r="DC20" t="s">
        <v>3234</v>
      </c>
      <c r="DD20">
        <v>96</v>
      </c>
      <c r="GG20" t="s">
        <v>3393</v>
      </c>
      <c r="GH20">
        <v>2021</v>
      </c>
      <c r="GI20" t="s">
        <v>2245</v>
      </c>
      <c r="GJ20" t="s">
        <v>2003</v>
      </c>
    </row>
    <row r="21" spans="98:223" x14ac:dyDescent="0.25">
      <c r="CT21" t="s">
        <v>3393</v>
      </c>
      <c r="CU21">
        <v>2022</v>
      </c>
      <c r="CV21" t="s">
        <v>3453</v>
      </c>
      <c r="CW21">
        <v>188</v>
      </c>
      <c r="DA21" t="s">
        <v>3393</v>
      </c>
      <c r="DB21">
        <v>2020</v>
      </c>
      <c r="DC21" t="s">
        <v>3235</v>
      </c>
      <c r="DD21">
        <v>175</v>
      </c>
      <c r="GG21" t="s">
        <v>3393</v>
      </c>
      <c r="GH21">
        <v>2021</v>
      </c>
      <c r="GI21" t="s">
        <v>2248</v>
      </c>
      <c r="GJ21" t="s">
        <v>3411</v>
      </c>
    </row>
    <row r="22" spans="98:223" x14ac:dyDescent="0.25">
      <c r="CT22" t="s">
        <v>3393</v>
      </c>
      <c r="CU22">
        <v>2022</v>
      </c>
      <c r="CV22" t="s">
        <v>3454</v>
      </c>
      <c r="CW22">
        <v>52</v>
      </c>
      <c r="DA22" t="s">
        <v>3393</v>
      </c>
      <c r="DB22">
        <v>2020</v>
      </c>
      <c r="DC22" t="s">
        <v>182</v>
      </c>
      <c r="DD22">
        <v>2660</v>
      </c>
      <c r="GG22" t="s">
        <v>3393</v>
      </c>
      <c r="GH22">
        <v>2021</v>
      </c>
      <c r="GI22" t="s">
        <v>2250</v>
      </c>
      <c r="GJ22" t="s">
        <v>3412</v>
      </c>
    </row>
    <row r="23" spans="98:223" x14ac:dyDescent="0.25">
      <c r="CT23" t="s">
        <v>3393</v>
      </c>
      <c r="CU23">
        <v>2022</v>
      </c>
      <c r="CV23" t="s">
        <v>3455</v>
      </c>
      <c r="CW23">
        <v>378</v>
      </c>
      <c r="DA23" t="s">
        <v>3393</v>
      </c>
      <c r="DB23">
        <v>2021</v>
      </c>
      <c r="DC23" t="s">
        <v>3229</v>
      </c>
      <c r="DD23">
        <v>432</v>
      </c>
      <c r="GG23" t="s">
        <v>3393</v>
      </c>
      <c r="GH23">
        <v>2021</v>
      </c>
      <c r="GI23" t="s">
        <v>2252</v>
      </c>
      <c r="GJ23" t="s">
        <v>3413</v>
      </c>
    </row>
    <row r="24" spans="98:223" x14ac:dyDescent="0.25">
      <c r="CT24" t="s">
        <v>3393</v>
      </c>
      <c r="CU24">
        <v>2022</v>
      </c>
      <c r="CV24" t="s">
        <v>182</v>
      </c>
      <c r="CW24">
        <v>982</v>
      </c>
      <c r="DA24" t="s">
        <v>3393</v>
      </c>
      <c r="DB24">
        <v>2021</v>
      </c>
      <c r="DC24" t="s">
        <v>3230</v>
      </c>
      <c r="DD24">
        <v>532</v>
      </c>
      <c r="GG24" t="s">
        <v>3393</v>
      </c>
      <c r="GH24">
        <v>2021</v>
      </c>
      <c r="GI24" t="s">
        <v>2254</v>
      </c>
      <c r="GJ24" t="s">
        <v>2033</v>
      </c>
    </row>
    <row r="25" spans="98:223" x14ac:dyDescent="0.25">
      <c r="CT25" t="s">
        <v>3393</v>
      </c>
      <c r="CU25">
        <v>2022</v>
      </c>
      <c r="CV25" t="s">
        <v>3456</v>
      </c>
      <c r="CW25">
        <v>7</v>
      </c>
      <c r="DA25" t="s">
        <v>3393</v>
      </c>
      <c r="DB25">
        <v>2021</v>
      </c>
      <c r="DC25" t="s">
        <v>3231</v>
      </c>
      <c r="DD25">
        <v>1006</v>
      </c>
      <c r="GG25" t="s">
        <v>3393</v>
      </c>
      <c r="GH25">
        <v>2021</v>
      </c>
      <c r="GI25" t="s">
        <v>2255</v>
      </c>
      <c r="GJ25" t="s">
        <v>2081</v>
      </c>
    </row>
    <row r="26" spans="98:223" x14ac:dyDescent="0.25">
      <c r="CT26" t="s">
        <v>3393</v>
      </c>
      <c r="CU26">
        <v>2023</v>
      </c>
      <c r="CV26" t="s">
        <v>3229</v>
      </c>
      <c r="CW26">
        <v>14</v>
      </c>
      <c r="DA26" t="s">
        <v>3393</v>
      </c>
      <c r="DB26">
        <v>2021</v>
      </c>
      <c r="DC26" t="s">
        <v>3232</v>
      </c>
      <c r="DD26">
        <v>66</v>
      </c>
      <c r="GG26" t="s">
        <v>3393</v>
      </c>
      <c r="GH26">
        <v>2021</v>
      </c>
      <c r="GI26" t="s">
        <v>2256</v>
      </c>
      <c r="GJ26" t="s">
        <v>3414</v>
      </c>
    </row>
    <row r="27" spans="98:223" x14ac:dyDescent="0.25">
      <c r="CT27" t="s">
        <v>3393</v>
      </c>
      <c r="CU27">
        <v>2023</v>
      </c>
      <c r="CV27" t="s">
        <v>2247</v>
      </c>
      <c r="CW27">
        <v>156</v>
      </c>
      <c r="DA27" t="s">
        <v>3393</v>
      </c>
      <c r="DB27">
        <v>2021</v>
      </c>
      <c r="DC27" t="s">
        <v>3233</v>
      </c>
      <c r="DD27">
        <v>707</v>
      </c>
      <c r="GG27" t="s">
        <v>3393</v>
      </c>
      <c r="GH27">
        <v>2022</v>
      </c>
      <c r="GI27" t="s">
        <v>2245</v>
      </c>
      <c r="GJ27" t="s">
        <v>2552</v>
      </c>
    </row>
    <row r="28" spans="98:223" x14ac:dyDescent="0.25">
      <c r="CT28" t="s">
        <v>3393</v>
      </c>
      <c r="CU28">
        <v>2023</v>
      </c>
      <c r="CV28" t="s">
        <v>2249</v>
      </c>
      <c r="CW28">
        <v>200</v>
      </c>
      <c r="DA28" t="s">
        <v>3393</v>
      </c>
      <c r="DB28">
        <v>2021</v>
      </c>
      <c r="DC28" t="s">
        <v>3234</v>
      </c>
      <c r="DD28">
        <v>155</v>
      </c>
      <c r="GG28" t="s">
        <v>3393</v>
      </c>
      <c r="GH28">
        <v>2022</v>
      </c>
      <c r="GI28" t="s">
        <v>2248</v>
      </c>
      <c r="GJ28" t="s">
        <v>3415</v>
      </c>
    </row>
    <row r="29" spans="98:223" x14ac:dyDescent="0.25">
      <c r="CT29" t="s">
        <v>3393</v>
      </c>
      <c r="CU29">
        <v>2023</v>
      </c>
      <c r="CV29" t="s">
        <v>2251</v>
      </c>
      <c r="CW29">
        <v>53</v>
      </c>
      <c r="DA29" t="s">
        <v>3393</v>
      </c>
      <c r="DB29">
        <v>2021</v>
      </c>
      <c r="DC29" t="s">
        <v>3235</v>
      </c>
      <c r="DD29">
        <v>84</v>
      </c>
      <c r="GG29" t="s">
        <v>3393</v>
      </c>
      <c r="GH29">
        <v>2022</v>
      </c>
      <c r="GI29" t="s">
        <v>2250</v>
      </c>
      <c r="GJ29" t="s">
        <v>3416</v>
      </c>
    </row>
    <row r="30" spans="98:223" x14ac:dyDescent="0.25">
      <c r="CT30" t="s">
        <v>3393</v>
      </c>
      <c r="CU30">
        <v>2023</v>
      </c>
      <c r="CV30" t="s">
        <v>2253</v>
      </c>
      <c r="CW30">
        <v>490</v>
      </c>
      <c r="DA30" t="s">
        <v>3393</v>
      </c>
      <c r="DB30">
        <v>2021</v>
      </c>
      <c r="DC30" t="s">
        <v>182</v>
      </c>
      <c r="DD30">
        <v>2982</v>
      </c>
      <c r="GG30" t="s">
        <v>3393</v>
      </c>
      <c r="GH30">
        <v>2022</v>
      </c>
      <c r="GI30" t="s">
        <v>2252</v>
      </c>
      <c r="GJ30" t="s">
        <v>3417</v>
      </c>
    </row>
    <row r="31" spans="98:223" x14ac:dyDescent="0.25">
      <c r="CT31" t="s">
        <v>3393</v>
      </c>
      <c r="CU31">
        <v>2023</v>
      </c>
      <c r="CV31" t="s">
        <v>182</v>
      </c>
      <c r="CW31">
        <v>913</v>
      </c>
      <c r="DA31" t="s">
        <v>3393</v>
      </c>
      <c r="DB31">
        <v>2022</v>
      </c>
      <c r="DC31" t="s">
        <v>3229</v>
      </c>
      <c r="DD31">
        <v>500</v>
      </c>
      <c r="GG31" t="s">
        <v>3393</v>
      </c>
      <c r="GH31">
        <v>2022</v>
      </c>
      <c r="GI31" t="s">
        <v>2254</v>
      </c>
      <c r="GJ31" t="s">
        <v>2069</v>
      </c>
    </row>
    <row r="32" spans="98:223" x14ac:dyDescent="0.25">
      <c r="DA32" t="s">
        <v>3393</v>
      </c>
      <c r="DB32">
        <v>2022</v>
      </c>
      <c r="DC32" t="s">
        <v>3230</v>
      </c>
      <c r="DD32">
        <v>446</v>
      </c>
      <c r="GG32" t="s">
        <v>3393</v>
      </c>
      <c r="GH32">
        <v>2022</v>
      </c>
      <c r="GI32" t="s">
        <v>2255</v>
      </c>
      <c r="GJ32" t="s">
        <v>1999</v>
      </c>
    </row>
    <row r="33" spans="105:192" x14ac:dyDescent="0.25">
      <c r="DA33" t="s">
        <v>3393</v>
      </c>
      <c r="DB33">
        <v>2022</v>
      </c>
      <c r="DC33" t="s">
        <v>3231</v>
      </c>
      <c r="DD33">
        <v>880</v>
      </c>
      <c r="GG33" t="s">
        <v>3393</v>
      </c>
      <c r="GH33">
        <v>2022</v>
      </c>
      <c r="GI33" t="s">
        <v>2256</v>
      </c>
      <c r="GJ33" t="s">
        <v>3418</v>
      </c>
    </row>
    <row r="34" spans="105:192" x14ac:dyDescent="0.25">
      <c r="DA34" t="s">
        <v>3393</v>
      </c>
      <c r="DB34">
        <v>2022</v>
      </c>
      <c r="DC34" t="s">
        <v>3232</v>
      </c>
      <c r="DD34">
        <v>54</v>
      </c>
      <c r="GG34" t="s">
        <v>3393</v>
      </c>
      <c r="GH34">
        <v>2023</v>
      </c>
      <c r="GI34" t="s">
        <v>2245</v>
      </c>
      <c r="GJ34" t="s">
        <v>2147</v>
      </c>
    </row>
    <row r="35" spans="105:192" x14ac:dyDescent="0.25">
      <c r="DA35" t="s">
        <v>3393</v>
      </c>
      <c r="DB35">
        <v>2022</v>
      </c>
      <c r="DC35" t="s">
        <v>3233</v>
      </c>
      <c r="DD35">
        <v>558</v>
      </c>
      <c r="GG35" t="s">
        <v>3393</v>
      </c>
      <c r="GH35">
        <v>2023</v>
      </c>
      <c r="GI35" t="s">
        <v>2248</v>
      </c>
      <c r="GJ35" t="s">
        <v>3419</v>
      </c>
    </row>
    <row r="36" spans="105:192" x14ac:dyDescent="0.25">
      <c r="DA36" t="s">
        <v>3393</v>
      </c>
      <c r="DB36">
        <v>2022</v>
      </c>
      <c r="DC36" t="s">
        <v>3234</v>
      </c>
      <c r="DD36">
        <v>143</v>
      </c>
      <c r="GG36" t="s">
        <v>3393</v>
      </c>
      <c r="GH36">
        <v>2023</v>
      </c>
      <c r="GI36" t="s">
        <v>2250</v>
      </c>
      <c r="GJ36" t="s">
        <v>3420</v>
      </c>
    </row>
    <row r="37" spans="105:192" x14ac:dyDescent="0.25">
      <c r="DA37" t="s">
        <v>3393</v>
      </c>
      <c r="DB37">
        <v>2022</v>
      </c>
      <c r="DC37" t="s">
        <v>3235</v>
      </c>
      <c r="DD37">
        <v>81</v>
      </c>
      <c r="GG37" t="s">
        <v>3393</v>
      </c>
      <c r="GH37">
        <v>2023</v>
      </c>
      <c r="GI37" t="s">
        <v>2252</v>
      </c>
      <c r="GJ37" t="s">
        <v>3421</v>
      </c>
    </row>
    <row r="38" spans="105:192" x14ac:dyDescent="0.25">
      <c r="DA38" t="s">
        <v>3393</v>
      </c>
      <c r="DB38">
        <v>2022</v>
      </c>
      <c r="DC38" t="s">
        <v>182</v>
      </c>
      <c r="DD38">
        <v>2662</v>
      </c>
      <c r="GG38" t="s">
        <v>3393</v>
      </c>
      <c r="GH38">
        <v>2023</v>
      </c>
      <c r="GI38" t="s">
        <v>2254</v>
      </c>
      <c r="GJ38" t="s">
        <v>2089</v>
      </c>
    </row>
    <row r="39" spans="105:192" x14ac:dyDescent="0.25">
      <c r="DA39" t="s">
        <v>3393</v>
      </c>
      <c r="DB39">
        <v>2023</v>
      </c>
      <c r="DC39" t="s">
        <v>3229</v>
      </c>
      <c r="DD39">
        <v>594</v>
      </c>
      <c r="GG39" t="s">
        <v>3393</v>
      </c>
      <c r="GH39">
        <v>2023</v>
      </c>
      <c r="GI39" t="s">
        <v>2255</v>
      </c>
      <c r="GJ39" t="s">
        <v>1997</v>
      </c>
    </row>
    <row r="40" spans="105:192" x14ac:dyDescent="0.25">
      <c r="DA40" t="s">
        <v>3393</v>
      </c>
      <c r="DB40">
        <v>2023</v>
      </c>
      <c r="DC40" t="s">
        <v>3230</v>
      </c>
      <c r="DD40">
        <v>535</v>
      </c>
      <c r="GG40" t="s">
        <v>3393</v>
      </c>
      <c r="GH40">
        <v>2023</v>
      </c>
      <c r="GI40" t="s">
        <v>2256</v>
      </c>
      <c r="GJ40" t="s">
        <v>3422</v>
      </c>
    </row>
    <row r="41" spans="105:192" x14ac:dyDescent="0.25">
      <c r="DA41" t="s">
        <v>3393</v>
      </c>
      <c r="DB41">
        <v>2023</v>
      </c>
      <c r="DC41" t="s">
        <v>3231</v>
      </c>
      <c r="DD41">
        <v>1219</v>
      </c>
    </row>
    <row r="42" spans="105:192" x14ac:dyDescent="0.25">
      <c r="DA42" t="s">
        <v>3393</v>
      </c>
      <c r="DB42">
        <v>2023</v>
      </c>
      <c r="DC42" t="s">
        <v>3232</v>
      </c>
      <c r="DD42">
        <v>59</v>
      </c>
    </row>
    <row r="43" spans="105:192" x14ac:dyDescent="0.25">
      <c r="DA43" t="s">
        <v>3393</v>
      </c>
      <c r="DB43">
        <v>2023</v>
      </c>
      <c r="DC43" t="s">
        <v>3233</v>
      </c>
      <c r="DD43">
        <v>821</v>
      </c>
    </row>
    <row r="44" spans="105:192" x14ac:dyDescent="0.25">
      <c r="DA44" t="s">
        <v>3393</v>
      </c>
      <c r="DB44">
        <v>2023</v>
      </c>
      <c r="DC44" t="s">
        <v>3234</v>
      </c>
      <c r="DD44">
        <v>112</v>
      </c>
    </row>
    <row r="45" spans="105:192" x14ac:dyDescent="0.25">
      <c r="DA45" t="s">
        <v>3393</v>
      </c>
      <c r="DB45">
        <v>2023</v>
      </c>
      <c r="DC45" t="s">
        <v>3235</v>
      </c>
      <c r="DD45">
        <v>89</v>
      </c>
    </row>
    <row r="46" spans="105:192" x14ac:dyDescent="0.25">
      <c r="DA46" t="s">
        <v>3393</v>
      </c>
      <c r="DB46">
        <v>2023</v>
      </c>
      <c r="DC46" t="s">
        <v>182</v>
      </c>
      <c r="DD46">
        <v>3429</v>
      </c>
    </row>
  </sheetData>
  <mergeCells count="29">
    <mergeCell ref="GU2:GV2"/>
    <mergeCell ref="HD2:HE2"/>
    <mergeCell ref="HL2:HM2"/>
    <mergeCell ref="FA2:FB2"/>
    <mergeCell ref="FJ2:FK2"/>
    <mergeCell ref="FS2:FT2"/>
    <mergeCell ref="GG2:GH2"/>
    <mergeCell ref="GN2:GO2"/>
    <mergeCell ref="DN2:DO2"/>
    <mergeCell ref="DU2:DV2"/>
    <mergeCell ref="EE2:EF2"/>
    <mergeCell ref="EM2:EN2"/>
    <mergeCell ref="ET2:EU2"/>
    <mergeCell ref="HQ2:HR2"/>
    <mergeCell ref="CL2:CM2"/>
    <mergeCell ref="C2:D2"/>
    <mergeCell ref="L2:M2"/>
    <mergeCell ref="U2:V2"/>
    <mergeCell ref="AD2:AE2"/>
    <mergeCell ref="AM2:AN2"/>
    <mergeCell ref="AV2:AW2"/>
    <mergeCell ref="BF2:BG2"/>
    <mergeCell ref="BN2:BO2"/>
    <mergeCell ref="BV2:BW2"/>
    <mergeCell ref="CD2:CE2"/>
    <mergeCell ref="FZ2:GA2"/>
    <mergeCell ref="CT2:CU2"/>
    <mergeCell ref="DA2:DB2"/>
    <mergeCell ref="DG2:DH2"/>
  </mergeCells>
  <phoneticPr fontId="5" type="noConversion"/>
  <pageMargins left="0.7" right="0.7" top="0.75" bottom="0.75" header="0.3" footer="0.3"/>
  <tableParts count="2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1BD21-58F5-4AAC-AF03-CA3F5F95D29E}">
  <sheetPr codeName="Feuil21">
    <tabColor theme="4" tint="0.39997558519241921"/>
  </sheetPr>
  <dimension ref="C2:GQ4"/>
  <sheetViews>
    <sheetView zoomScale="66" zoomScaleNormal="85" workbookViewId="0">
      <selection activeCell="I17" sqref="I17"/>
    </sheetView>
  </sheetViews>
  <sheetFormatPr defaultColWidth="11.42578125" defaultRowHeight="15" x14ac:dyDescent="0.25"/>
  <cols>
    <col min="3" max="3" width="9" bestFit="1" customWidth="1"/>
    <col min="4" max="4" width="9.5703125" bestFit="1" customWidth="1"/>
    <col min="5" max="5" width="26.28515625" bestFit="1" customWidth="1"/>
    <col min="6" max="6" width="24.28515625" bestFit="1" customWidth="1"/>
    <col min="7" max="7" width="29.7109375" bestFit="1" customWidth="1"/>
    <col min="8" max="8" width="33.42578125" bestFit="1" customWidth="1"/>
    <col min="9" max="9" width="29.140625" bestFit="1" customWidth="1"/>
    <col min="10" max="10" width="32.7109375" bestFit="1" customWidth="1"/>
    <col min="11" max="11" width="25.28515625" bestFit="1" customWidth="1"/>
    <col min="12" max="12" width="23.28515625" bestFit="1" customWidth="1"/>
    <col min="13" max="13" width="28.7109375" bestFit="1" customWidth="1"/>
    <col min="14" max="14" width="32.42578125" bestFit="1" customWidth="1"/>
    <col min="15" max="15" width="28.140625" bestFit="1" customWidth="1"/>
    <col min="16" max="16" width="31.7109375" bestFit="1" customWidth="1"/>
    <col min="17" max="17" width="21.7109375" bestFit="1" customWidth="1"/>
    <col min="18" max="18" width="16.140625" bestFit="1" customWidth="1"/>
    <col min="19" max="19" width="29.140625" bestFit="1" customWidth="1"/>
    <col min="20" max="20" width="32.7109375" bestFit="1" customWidth="1"/>
    <col min="21" max="21" width="28.42578125" bestFit="1" customWidth="1"/>
    <col min="22" max="22" width="32.140625" bestFit="1" customWidth="1"/>
    <col min="23" max="23" width="23.28515625" bestFit="1" customWidth="1"/>
    <col min="24" max="24" width="17.42578125" bestFit="1" customWidth="1"/>
    <col min="25" max="25" width="30.5703125" bestFit="1" customWidth="1"/>
    <col min="26" max="26" width="34.140625" bestFit="1" customWidth="1"/>
    <col min="27" max="27" width="29.7109375" bestFit="1" customWidth="1"/>
    <col min="28" max="28" width="33.42578125" bestFit="1" customWidth="1"/>
    <col min="29" max="29" width="19.140625" bestFit="1" customWidth="1"/>
    <col min="30" max="30" width="13.5703125" bestFit="1" customWidth="1"/>
    <col min="31" max="31" width="26.5703125" bestFit="1" customWidth="1"/>
    <col min="32" max="32" width="30.28515625" bestFit="1" customWidth="1"/>
    <col min="33" max="33" width="25.85546875" bestFit="1" customWidth="1"/>
    <col min="34" max="34" width="29.42578125" bestFit="1" customWidth="1"/>
    <col min="38" max="38" width="9" bestFit="1" customWidth="1"/>
    <col min="39" max="39" width="9.5703125" bestFit="1" customWidth="1"/>
    <col min="40" max="40" width="29.28515625" bestFit="1" customWidth="1"/>
    <col min="41" max="41" width="27.28515625" bestFit="1" customWidth="1"/>
    <col min="42" max="42" width="32.85546875" bestFit="1" customWidth="1"/>
    <col min="43" max="43" width="36.7109375" bestFit="1" customWidth="1"/>
    <col min="44" max="44" width="32.28515625" bestFit="1" customWidth="1"/>
    <col min="45" max="45" width="36" bestFit="1" customWidth="1"/>
    <col min="46" max="46" width="33.7109375" bestFit="1" customWidth="1"/>
    <col min="47" max="47" width="31.7109375" bestFit="1" customWidth="1"/>
    <col min="48" max="48" width="37.28515625" bestFit="1" customWidth="1"/>
    <col min="49" max="49" width="41" bestFit="1" customWidth="1"/>
    <col min="50" max="50" width="36.7109375" bestFit="1" customWidth="1"/>
    <col min="51" max="51" width="40.28515625" bestFit="1" customWidth="1"/>
    <col min="52" max="52" width="36" bestFit="1" customWidth="1"/>
    <col min="53" max="53" width="34" bestFit="1" customWidth="1"/>
    <col min="54" max="54" width="39.5703125" bestFit="1" customWidth="1"/>
    <col min="55" max="55" width="43.28515625" bestFit="1" customWidth="1"/>
    <col min="56" max="56" width="38.7109375" bestFit="1" customWidth="1"/>
    <col min="57" max="57" width="42.5703125" bestFit="1" customWidth="1"/>
    <col min="58" max="58" width="26.28515625" bestFit="1" customWidth="1"/>
    <col min="59" max="59" width="24.28515625" bestFit="1" customWidth="1"/>
    <col min="60" max="60" width="29.7109375" bestFit="1" customWidth="1"/>
    <col min="61" max="61" width="33.42578125" bestFit="1" customWidth="1"/>
    <col min="62" max="62" width="29.140625" bestFit="1" customWidth="1"/>
    <col min="63" max="63" width="32.7109375" bestFit="1" customWidth="1"/>
    <col min="67" max="67" width="9" bestFit="1" customWidth="1"/>
    <col min="68" max="68" width="9.5703125" bestFit="1" customWidth="1"/>
    <col min="69" max="69" width="28.28515625" bestFit="1" customWidth="1"/>
    <col min="70" max="70" width="26.28515625" bestFit="1" customWidth="1"/>
    <col min="71" max="71" width="31.85546875" bestFit="1" customWidth="1"/>
    <col min="72" max="72" width="35.7109375" bestFit="1" customWidth="1"/>
    <col min="73" max="73" width="31.28515625" bestFit="1" customWidth="1"/>
    <col min="74" max="74" width="34.7109375" bestFit="1" customWidth="1"/>
    <col min="75" max="75" width="32.5703125" bestFit="1" customWidth="1"/>
    <col min="76" max="76" width="30.7109375" bestFit="1" customWidth="1"/>
    <col min="77" max="77" width="36.28515625" bestFit="1" customWidth="1"/>
    <col min="78" max="78" width="39.85546875" bestFit="1" customWidth="1"/>
    <col min="79" max="79" width="35.7109375" bestFit="1" customWidth="1"/>
    <col min="80" max="80" width="39.28515625" bestFit="1" customWidth="1"/>
    <col min="81" max="81" width="34.7109375" bestFit="1" customWidth="1"/>
    <col min="82" max="82" width="32.85546875" bestFit="1" customWidth="1"/>
    <col min="83" max="83" width="38.42578125" bestFit="1" customWidth="1"/>
    <col min="84" max="84" width="42.28515625" bestFit="1" customWidth="1"/>
    <col min="85" max="85" width="37.7109375" bestFit="1" customWidth="1"/>
    <col min="86" max="86" width="41.5703125" bestFit="1" customWidth="1"/>
    <col min="87" max="87" width="25.28515625" bestFit="1" customWidth="1"/>
    <col min="88" max="88" width="23.28515625" bestFit="1" customWidth="1"/>
    <col min="89" max="89" width="28.7109375" bestFit="1" customWidth="1"/>
    <col min="90" max="90" width="32.42578125" bestFit="1" customWidth="1"/>
    <col min="91" max="91" width="28.140625" bestFit="1" customWidth="1"/>
    <col min="92" max="92" width="31.7109375" bestFit="1" customWidth="1"/>
    <col min="96" max="96" width="9" bestFit="1" customWidth="1"/>
    <col min="97" max="97" width="9.5703125" bestFit="1" customWidth="1"/>
    <col min="98" max="98" width="21.7109375" bestFit="1" customWidth="1"/>
    <col min="99" max="99" width="16.140625" bestFit="1" customWidth="1"/>
    <col min="100" max="100" width="29.140625" bestFit="1" customWidth="1"/>
    <col min="101" max="101" width="32.7109375" bestFit="1" customWidth="1"/>
    <col min="102" max="102" width="28.42578125" bestFit="1" customWidth="1"/>
    <col min="103" max="103" width="32.140625" bestFit="1" customWidth="1"/>
    <col min="107" max="107" width="9" bestFit="1" customWidth="1"/>
    <col min="108" max="108" width="9.5703125" bestFit="1" customWidth="1"/>
    <col min="109" max="109" width="23.28515625" bestFit="1" customWidth="1"/>
    <col min="110" max="110" width="17.42578125" bestFit="1" customWidth="1"/>
    <col min="111" max="111" width="30.5703125" bestFit="1" customWidth="1"/>
    <col min="112" max="112" width="34.140625" bestFit="1" customWidth="1"/>
    <col min="113" max="113" width="29.7109375" bestFit="1" customWidth="1"/>
    <col min="114" max="114" width="33.42578125" bestFit="1" customWidth="1"/>
    <col min="118" max="118" width="9" bestFit="1" customWidth="1"/>
    <col min="119" max="119" width="9.5703125" bestFit="1" customWidth="1"/>
    <col min="120" max="120" width="18" bestFit="1" customWidth="1"/>
    <col min="121" max="122" width="30.42578125" bestFit="1" customWidth="1"/>
    <col min="123" max="123" width="31.42578125" bestFit="1" customWidth="1"/>
    <col min="124" max="125" width="32.42578125" bestFit="1" customWidth="1"/>
    <col min="126" max="126" width="28.85546875" bestFit="1" customWidth="1"/>
    <col min="127" max="127" width="12.140625" bestFit="1" customWidth="1"/>
    <col min="128" max="128" width="17" bestFit="1" customWidth="1"/>
    <col min="129" max="130" width="29.28515625" bestFit="1" customWidth="1"/>
    <col min="131" max="131" width="30.42578125" bestFit="1" customWidth="1"/>
    <col min="132" max="133" width="31.42578125" bestFit="1" customWidth="1"/>
    <col min="134" max="134" width="27.85546875" bestFit="1" customWidth="1"/>
    <col min="135" max="135" width="11" bestFit="1" customWidth="1"/>
    <col min="136" max="136" width="20.7109375" bestFit="1" customWidth="1"/>
    <col min="137" max="138" width="33.140625" bestFit="1" customWidth="1"/>
    <col min="139" max="139" width="34.140625" bestFit="1" customWidth="1"/>
    <col min="140" max="141" width="35.140625" bestFit="1" customWidth="1"/>
    <col min="142" max="142" width="31.7109375" bestFit="1" customWidth="1"/>
    <col min="143" max="143" width="14.7109375" bestFit="1" customWidth="1"/>
    <col min="144" max="144" width="22.140625" bestFit="1" customWidth="1"/>
    <col min="145" max="146" width="34.42578125" bestFit="1" customWidth="1"/>
    <col min="147" max="147" width="35.7109375" bestFit="1" customWidth="1"/>
    <col min="148" max="149" width="36.7109375" bestFit="1" customWidth="1"/>
    <col min="150" max="150" width="33.140625" bestFit="1" customWidth="1"/>
    <col min="151" max="151" width="16.140625" bestFit="1" customWidth="1"/>
    <col min="152" max="152" width="21.140625" bestFit="1" customWidth="1"/>
    <col min="153" max="154" width="33.42578125" bestFit="1" customWidth="1"/>
    <col min="155" max="155" width="34.42578125" bestFit="1" customWidth="1"/>
    <col min="156" max="157" width="35.7109375" bestFit="1" customWidth="1"/>
    <col min="158" max="158" width="32.140625" bestFit="1" customWidth="1"/>
    <col min="159" max="159" width="15.140625" bestFit="1" customWidth="1"/>
    <col min="160" max="160" width="25.5703125" bestFit="1" customWidth="1"/>
    <col min="161" max="162" width="37.7109375" bestFit="1" customWidth="1"/>
    <col min="163" max="163" width="38.7109375" bestFit="1" customWidth="1"/>
    <col min="164" max="165" width="39.85546875" bestFit="1" customWidth="1"/>
    <col min="166" max="166" width="36.42578125" bestFit="1" customWidth="1"/>
    <col min="167" max="167" width="19.28515625" bestFit="1" customWidth="1"/>
    <col min="168" max="168" width="27.7109375" bestFit="1" customWidth="1"/>
    <col min="169" max="170" width="40" bestFit="1" customWidth="1"/>
    <col min="171" max="171" width="41.28515625" bestFit="1" customWidth="1"/>
    <col min="172" max="173" width="42.28515625" bestFit="1" customWidth="1"/>
    <col min="174" max="174" width="38.7109375" bestFit="1" customWidth="1"/>
    <col min="175" max="175" width="21.7109375" bestFit="1" customWidth="1"/>
    <col min="176" max="176" width="20.140625" bestFit="1" customWidth="1"/>
    <col min="177" max="178" width="32.42578125" bestFit="1" customWidth="1"/>
    <col min="179" max="179" width="33.42578125" bestFit="1" customWidth="1"/>
    <col min="180" max="181" width="34.42578125" bestFit="1" customWidth="1"/>
    <col min="182" max="182" width="31.140625" bestFit="1" customWidth="1"/>
    <col min="183" max="183" width="14.140625" bestFit="1" customWidth="1"/>
    <col min="184" max="184" width="24.28515625" bestFit="1" customWidth="1"/>
    <col min="185" max="186" width="36.7109375" bestFit="1" customWidth="1"/>
    <col min="187" max="187" width="37.7109375" bestFit="1" customWidth="1"/>
    <col min="188" max="189" width="38.7109375" bestFit="1" customWidth="1"/>
    <col min="190" max="190" width="35.42578125" bestFit="1" customWidth="1"/>
    <col min="191" max="191" width="18.28515625" bestFit="1" customWidth="1"/>
    <col min="192" max="192" width="26.7109375" bestFit="1" customWidth="1"/>
    <col min="193" max="194" width="39" bestFit="1" customWidth="1"/>
    <col min="195" max="195" width="40" bestFit="1" customWidth="1"/>
    <col min="196" max="197" width="41.28515625" bestFit="1" customWidth="1"/>
    <col min="198" max="198" width="37.7109375" bestFit="1" customWidth="1"/>
    <col min="199" max="199" width="20.7109375" bestFit="1" customWidth="1"/>
  </cols>
  <sheetData>
    <row r="2" spans="3:199" ht="21" x14ac:dyDescent="0.35">
      <c r="C2" s="798" t="s">
        <v>2257</v>
      </c>
      <c r="D2" s="798"/>
      <c r="E2" s="798"/>
      <c r="F2" s="798"/>
      <c r="G2" s="798"/>
      <c r="AL2" s="798" t="s">
        <v>2258</v>
      </c>
      <c r="AM2" s="798"/>
      <c r="AN2" s="798"/>
      <c r="AO2" s="798"/>
      <c r="AP2" s="798"/>
      <c r="BO2" s="798" t="s">
        <v>2259</v>
      </c>
      <c r="BP2" s="798"/>
      <c r="BQ2" s="798"/>
      <c r="BR2" s="798"/>
      <c r="BS2" s="798"/>
      <c r="CR2" s="798" t="s">
        <v>2260</v>
      </c>
      <c r="CS2" s="798"/>
      <c r="CT2" s="798"/>
      <c r="CU2" s="798"/>
      <c r="CV2" s="798"/>
      <c r="DC2" s="798" t="s">
        <v>2261</v>
      </c>
      <c r="DD2" s="798"/>
      <c r="DE2" s="798"/>
      <c r="DF2" s="798"/>
      <c r="DG2" s="798"/>
      <c r="DN2" s="798" t="s">
        <v>2262</v>
      </c>
      <c r="DO2" s="798"/>
      <c r="DP2" s="798"/>
      <c r="DQ2" s="798"/>
      <c r="DR2" s="798"/>
    </row>
    <row r="4" spans="3:199" x14ac:dyDescent="0.25">
      <c r="C4" t="s">
        <v>1356</v>
      </c>
      <c r="D4" t="s">
        <v>1357</v>
      </c>
      <c r="E4" t="s">
        <v>2263</v>
      </c>
      <c r="F4" t="s">
        <v>2264</v>
      </c>
      <c r="G4" t="s">
        <v>2265</v>
      </c>
      <c r="H4" t="s">
        <v>2266</v>
      </c>
      <c r="I4" t="s">
        <v>2267</v>
      </c>
      <c r="J4" t="s">
        <v>2268</v>
      </c>
      <c r="K4" t="s">
        <v>2269</v>
      </c>
      <c r="L4" t="s">
        <v>2270</v>
      </c>
      <c r="M4" t="s">
        <v>2271</v>
      </c>
      <c r="N4" t="s">
        <v>2272</v>
      </c>
      <c r="O4" t="s">
        <v>2273</v>
      </c>
      <c r="P4" t="s">
        <v>2274</v>
      </c>
      <c r="Q4" t="s">
        <v>2275</v>
      </c>
      <c r="R4" t="s">
        <v>2276</v>
      </c>
      <c r="S4" t="s">
        <v>2277</v>
      </c>
      <c r="T4" t="s">
        <v>2278</v>
      </c>
      <c r="U4" t="s">
        <v>2279</v>
      </c>
      <c r="V4" t="s">
        <v>2280</v>
      </c>
      <c r="W4" t="s">
        <v>2281</v>
      </c>
      <c r="X4" t="s">
        <v>2282</v>
      </c>
      <c r="Y4" t="s">
        <v>2283</v>
      </c>
      <c r="Z4" t="s">
        <v>2284</v>
      </c>
      <c r="AA4" t="s">
        <v>2285</v>
      </c>
      <c r="AB4" t="s">
        <v>2286</v>
      </c>
      <c r="AC4" t="s">
        <v>3100</v>
      </c>
      <c r="AD4" t="s">
        <v>3101</v>
      </c>
      <c r="AE4" t="s">
        <v>3102</v>
      </c>
      <c r="AF4" t="s">
        <v>3103</v>
      </c>
      <c r="AG4" t="s">
        <v>3104</v>
      </c>
      <c r="AH4" t="s">
        <v>3105</v>
      </c>
      <c r="AL4" t="s">
        <v>1356</v>
      </c>
      <c r="AM4" t="s">
        <v>1357</v>
      </c>
      <c r="AN4" t="s">
        <v>2287</v>
      </c>
      <c r="AO4" t="s">
        <v>2288</v>
      </c>
      <c r="AP4" t="s">
        <v>2289</v>
      </c>
      <c r="AQ4" t="s">
        <v>2290</v>
      </c>
      <c r="AR4" t="s">
        <v>2291</v>
      </c>
      <c r="AS4" t="s">
        <v>2292</v>
      </c>
      <c r="AT4" t="s">
        <v>2293</v>
      </c>
      <c r="AU4" t="s">
        <v>2294</v>
      </c>
      <c r="AV4" t="s">
        <v>2295</v>
      </c>
      <c r="AW4" t="s">
        <v>2296</v>
      </c>
      <c r="AX4" t="s">
        <v>2297</v>
      </c>
      <c r="AY4" t="s">
        <v>2298</v>
      </c>
      <c r="AZ4" t="s">
        <v>2299</v>
      </c>
      <c r="BA4" t="s">
        <v>2300</v>
      </c>
      <c r="BB4" t="s">
        <v>2301</v>
      </c>
      <c r="BC4" t="s">
        <v>2302</v>
      </c>
      <c r="BD4" t="s">
        <v>2303</v>
      </c>
      <c r="BE4" t="s">
        <v>2304</v>
      </c>
      <c r="BF4" t="s">
        <v>2263</v>
      </c>
      <c r="BG4" t="s">
        <v>2264</v>
      </c>
      <c r="BH4" t="s">
        <v>2265</v>
      </c>
      <c r="BI4" t="s">
        <v>2266</v>
      </c>
      <c r="BJ4" t="s">
        <v>2267</v>
      </c>
      <c r="BK4" t="s">
        <v>2268</v>
      </c>
      <c r="BO4" t="s">
        <v>1356</v>
      </c>
      <c r="BP4" t="s">
        <v>1357</v>
      </c>
      <c r="BQ4" t="s">
        <v>2305</v>
      </c>
      <c r="BR4" t="s">
        <v>2306</v>
      </c>
      <c r="BS4" t="s">
        <v>2307</v>
      </c>
      <c r="BT4" t="s">
        <v>2308</v>
      </c>
      <c r="BU4" t="s">
        <v>2309</v>
      </c>
      <c r="BV4" t="s">
        <v>2310</v>
      </c>
      <c r="BW4" t="s">
        <v>2311</v>
      </c>
      <c r="BX4" t="s">
        <v>2312</v>
      </c>
      <c r="BY4" t="s">
        <v>2313</v>
      </c>
      <c r="BZ4" t="s">
        <v>2314</v>
      </c>
      <c r="CA4" t="s">
        <v>2315</v>
      </c>
      <c r="CB4" t="s">
        <v>2316</v>
      </c>
      <c r="CC4" t="s">
        <v>2317</v>
      </c>
      <c r="CD4" t="s">
        <v>2318</v>
      </c>
      <c r="CE4" t="s">
        <v>2319</v>
      </c>
      <c r="CF4" t="s">
        <v>2320</v>
      </c>
      <c r="CG4" t="s">
        <v>2321</v>
      </c>
      <c r="CH4" t="s">
        <v>2322</v>
      </c>
      <c r="CI4" t="s">
        <v>2269</v>
      </c>
      <c r="CJ4" t="s">
        <v>2270</v>
      </c>
      <c r="CK4" t="s">
        <v>2271</v>
      </c>
      <c r="CL4" t="s">
        <v>2272</v>
      </c>
      <c r="CM4" t="s">
        <v>2273</v>
      </c>
      <c r="CN4" t="s">
        <v>2274</v>
      </c>
      <c r="CR4" t="s">
        <v>1356</v>
      </c>
      <c r="CS4" t="s">
        <v>1357</v>
      </c>
      <c r="CT4" t="s">
        <v>2275</v>
      </c>
      <c r="CU4" t="s">
        <v>2276</v>
      </c>
      <c r="CV4" t="s">
        <v>2277</v>
      </c>
      <c r="CW4" t="s">
        <v>2278</v>
      </c>
      <c r="CX4" t="s">
        <v>2279</v>
      </c>
      <c r="CY4" t="s">
        <v>2280</v>
      </c>
      <c r="DC4" t="s">
        <v>1356</v>
      </c>
      <c r="DD4" t="s">
        <v>1357</v>
      </c>
      <c r="DE4" t="s">
        <v>2281</v>
      </c>
      <c r="DF4" t="s">
        <v>2282</v>
      </c>
      <c r="DG4" t="s">
        <v>2283</v>
      </c>
      <c r="DH4" t="s">
        <v>2284</v>
      </c>
      <c r="DI4" t="s">
        <v>2285</v>
      </c>
      <c r="DJ4" t="s">
        <v>2286</v>
      </c>
      <c r="DN4" t="s">
        <v>1356</v>
      </c>
      <c r="DO4" t="s">
        <v>1357</v>
      </c>
      <c r="DP4" t="s">
        <v>2323</v>
      </c>
      <c r="DQ4" t="s">
        <v>2324</v>
      </c>
      <c r="DR4" t="s">
        <v>2325</v>
      </c>
      <c r="DS4" t="s">
        <v>2326</v>
      </c>
      <c r="DT4" t="s">
        <v>2327</v>
      </c>
      <c r="DU4" t="s">
        <v>2328</v>
      </c>
      <c r="DV4" t="s">
        <v>2329</v>
      </c>
      <c r="DW4" t="s">
        <v>2330</v>
      </c>
      <c r="DX4" t="s">
        <v>2331</v>
      </c>
      <c r="DY4" t="s">
        <v>2332</v>
      </c>
      <c r="DZ4" t="s">
        <v>2333</v>
      </c>
      <c r="EA4" t="s">
        <v>2334</v>
      </c>
      <c r="EB4" t="s">
        <v>2335</v>
      </c>
      <c r="EC4" t="s">
        <v>2336</v>
      </c>
      <c r="ED4" t="s">
        <v>2337</v>
      </c>
      <c r="EE4" t="s">
        <v>2338</v>
      </c>
      <c r="EF4" t="s">
        <v>2339</v>
      </c>
      <c r="EG4" t="s">
        <v>2340</v>
      </c>
      <c r="EH4" t="s">
        <v>2341</v>
      </c>
      <c r="EI4" t="s">
        <v>2342</v>
      </c>
      <c r="EJ4" t="s">
        <v>2343</v>
      </c>
      <c r="EK4" t="s">
        <v>2344</v>
      </c>
      <c r="EL4" t="s">
        <v>2345</v>
      </c>
      <c r="EM4" t="s">
        <v>2346</v>
      </c>
      <c r="EN4" t="s">
        <v>2347</v>
      </c>
      <c r="EO4" t="s">
        <v>2348</v>
      </c>
      <c r="EP4" t="s">
        <v>2349</v>
      </c>
      <c r="EQ4" t="s">
        <v>2350</v>
      </c>
      <c r="ER4" t="s">
        <v>2351</v>
      </c>
      <c r="ES4" t="s">
        <v>2352</v>
      </c>
      <c r="ET4" t="s">
        <v>2353</v>
      </c>
      <c r="EU4" t="s">
        <v>2354</v>
      </c>
      <c r="EV4" t="s">
        <v>2355</v>
      </c>
      <c r="EW4" t="s">
        <v>2356</v>
      </c>
      <c r="EX4" t="s">
        <v>2357</v>
      </c>
      <c r="EY4" t="s">
        <v>2358</v>
      </c>
      <c r="EZ4" t="s">
        <v>2359</v>
      </c>
      <c r="FA4" t="s">
        <v>2360</v>
      </c>
      <c r="FB4" t="s">
        <v>2361</v>
      </c>
      <c r="FC4" t="s">
        <v>2362</v>
      </c>
      <c r="FD4" t="s">
        <v>2363</v>
      </c>
      <c r="FE4" t="s">
        <v>2364</v>
      </c>
      <c r="FF4" t="s">
        <v>2365</v>
      </c>
      <c r="FG4" t="s">
        <v>2366</v>
      </c>
      <c r="FH4" t="s">
        <v>2367</v>
      </c>
      <c r="FI4" t="s">
        <v>2368</v>
      </c>
      <c r="FJ4" t="s">
        <v>2369</v>
      </c>
      <c r="FK4" t="s">
        <v>2370</v>
      </c>
      <c r="FL4" t="s">
        <v>2371</v>
      </c>
      <c r="FM4" t="s">
        <v>2372</v>
      </c>
      <c r="FN4" t="s">
        <v>2373</v>
      </c>
      <c r="FO4" t="s">
        <v>2374</v>
      </c>
      <c r="FP4" t="s">
        <v>2375</v>
      </c>
      <c r="FQ4" t="s">
        <v>2376</v>
      </c>
      <c r="FR4" t="s">
        <v>2377</v>
      </c>
      <c r="FS4" t="s">
        <v>2378</v>
      </c>
      <c r="FT4" t="s">
        <v>2379</v>
      </c>
      <c r="FU4" t="s">
        <v>2380</v>
      </c>
      <c r="FV4" t="s">
        <v>2381</v>
      </c>
      <c r="FW4" t="s">
        <v>2382</v>
      </c>
      <c r="FX4" t="s">
        <v>2383</v>
      </c>
      <c r="FY4" t="s">
        <v>2384</v>
      </c>
      <c r="FZ4" t="s">
        <v>2385</v>
      </c>
      <c r="GA4" t="s">
        <v>2386</v>
      </c>
      <c r="GB4" t="s">
        <v>2387</v>
      </c>
      <c r="GC4" t="s">
        <v>2388</v>
      </c>
      <c r="GD4" t="s">
        <v>2389</v>
      </c>
      <c r="GE4" t="s">
        <v>2390</v>
      </c>
      <c r="GF4" t="s">
        <v>2391</v>
      </c>
      <c r="GG4" t="s">
        <v>2392</v>
      </c>
      <c r="GH4" t="s">
        <v>2393</v>
      </c>
      <c r="GI4" t="s">
        <v>2394</v>
      </c>
      <c r="GJ4" t="s">
        <v>2395</v>
      </c>
      <c r="GK4" t="s">
        <v>2396</v>
      </c>
      <c r="GL4" t="s">
        <v>2397</v>
      </c>
      <c r="GM4" t="s">
        <v>2398</v>
      </c>
      <c r="GN4" t="s">
        <v>2399</v>
      </c>
      <c r="GO4" t="s">
        <v>2400</v>
      </c>
      <c r="GP4" t="s">
        <v>2401</v>
      </c>
      <c r="GQ4" t="s">
        <v>2402</v>
      </c>
    </row>
  </sheetData>
  <mergeCells count="6">
    <mergeCell ref="DN2:DR2"/>
    <mergeCell ref="C2:G2"/>
    <mergeCell ref="AL2:AP2"/>
    <mergeCell ref="BO2:BS2"/>
    <mergeCell ref="CR2:CV2"/>
    <mergeCell ref="DC2:DG2"/>
  </mergeCells>
  <phoneticPr fontId="5" type="noConversion"/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F068-A9E1-4215-B2DA-602B47D0DEBF}">
  <sheetPr codeName="Feuil22">
    <tabColor theme="4" tint="0.39997558519241921"/>
  </sheetPr>
  <dimension ref="B2:H2956"/>
  <sheetViews>
    <sheetView zoomScale="25" zoomScaleNormal="25" workbookViewId="0">
      <selection activeCell="F50" sqref="F50"/>
    </sheetView>
  </sheetViews>
  <sheetFormatPr defaultColWidth="11.42578125" defaultRowHeight="15" x14ac:dyDescent="0.25"/>
  <cols>
    <col min="2" max="2" width="21" bestFit="1" customWidth="1"/>
    <col min="3" max="3" width="20.5703125" bestFit="1" customWidth="1"/>
    <col min="4" max="4" width="28.5703125" bestFit="1" customWidth="1"/>
    <col min="5" max="5" width="19.7109375" bestFit="1" customWidth="1"/>
    <col min="6" max="8" width="80.85546875" bestFit="1" customWidth="1"/>
  </cols>
  <sheetData>
    <row r="2" spans="2:8" ht="21" x14ac:dyDescent="0.35">
      <c r="B2" s="798" t="s">
        <v>2403</v>
      </c>
      <c r="C2" s="798"/>
      <c r="D2" s="798"/>
      <c r="E2" s="798"/>
      <c r="F2" s="798"/>
    </row>
    <row r="4" spans="2:8" x14ac:dyDescent="0.25">
      <c r="B4" t="s">
        <v>1356</v>
      </c>
      <c r="C4" t="s">
        <v>1357</v>
      </c>
      <c r="D4" t="s">
        <v>2404</v>
      </c>
      <c r="E4" t="s">
        <v>2405</v>
      </c>
      <c r="F4" t="s">
        <v>2234</v>
      </c>
      <c r="G4" t="s">
        <v>2236</v>
      </c>
      <c r="H4" t="s">
        <v>2237</v>
      </c>
    </row>
    <row r="5" spans="2:8" x14ac:dyDescent="0.25">
      <c r="B5" t="s">
        <v>3393</v>
      </c>
      <c r="C5">
        <v>2019</v>
      </c>
      <c r="D5" t="s">
        <v>3457</v>
      </c>
      <c r="E5" t="s">
        <v>2406</v>
      </c>
      <c r="F5" t="s">
        <v>2407</v>
      </c>
      <c r="G5" t="s">
        <v>2408</v>
      </c>
      <c r="H5" t="s">
        <v>3458</v>
      </c>
    </row>
    <row r="6" spans="2:8" x14ac:dyDescent="0.25">
      <c r="B6" t="s">
        <v>3393</v>
      </c>
      <c r="C6">
        <v>2019</v>
      </c>
      <c r="D6" t="s">
        <v>3457</v>
      </c>
      <c r="E6" t="s">
        <v>2406</v>
      </c>
      <c r="F6" t="s">
        <v>2407</v>
      </c>
      <c r="G6" t="s">
        <v>2409</v>
      </c>
      <c r="H6" t="s">
        <v>3459</v>
      </c>
    </row>
    <row r="7" spans="2:8" x14ac:dyDescent="0.25">
      <c r="B7" t="s">
        <v>3393</v>
      </c>
      <c r="C7">
        <v>2019</v>
      </c>
      <c r="D7" t="s">
        <v>3457</v>
      </c>
      <c r="E7" t="s">
        <v>2406</v>
      </c>
      <c r="F7" t="s">
        <v>2407</v>
      </c>
      <c r="G7" t="s">
        <v>2410</v>
      </c>
      <c r="H7" t="s">
        <v>3460</v>
      </c>
    </row>
    <row r="8" spans="2:8" x14ac:dyDescent="0.25">
      <c r="B8" t="s">
        <v>3393</v>
      </c>
      <c r="C8">
        <v>2019</v>
      </c>
      <c r="D8" t="s">
        <v>3457</v>
      </c>
      <c r="E8" t="s">
        <v>2411</v>
      </c>
      <c r="F8" t="s">
        <v>2412</v>
      </c>
      <c r="G8" t="s">
        <v>2408</v>
      </c>
      <c r="H8" t="s">
        <v>3461</v>
      </c>
    </row>
    <row r="9" spans="2:8" x14ac:dyDescent="0.25">
      <c r="B9" t="s">
        <v>3393</v>
      </c>
      <c r="C9">
        <v>2019</v>
      </c>
      <c r="D9" t="s">
        <v>3457</v>
      </c>
      <c r="E9" t="s">
        <v>2411</v>
      </c>
      <c r="F9" t="s">
        <v>2412</v>
      </c>
      <c r="G9" t="s">
        <v>2409</v>
      </c>
      <c r="H9" t="s">
        <v>3462</v>
      </c>
    </row>
    <row r="10" spans="2:8" x14ac:dyDescent="0.25">
      <c r="B10" t="s">
        <v>3393</v>
      </c>
      <c r="C10">
        <v>2019</v>
      </c>
      <c r="D10" t="s">
        <v>3457</v>
      </c>
      <c r="E10" t="s">
        <v>2411</v>
      </c>
      <c r="F10" t="s">
        <v>2412</v>
      </c>
      <c r="G10" t="s">
        <v>2410</v>
      </c>
      <c r="H10" t="s">
        <v>3463</v>
      </c>
    </row>
    <row r="11" spans="2:8" x14ac:dyDescent="0.25">
      <c r="B11" t="s">
        <v>3393</v>
      </c>
      <c r="C11">
        <v>2019</v>
      </c>
      <c r="D11" t="s">
        <v>3457</v>
      </c>
      <c r="E11" t="s">
        <v>2413</v>
      </c>
      <c r="F11" t="s">
        <v>2414</v>
      </c>
      <c r="G11" t="s">
        <v>2415</v>
      </c>
      <c r="H11" t="s">
        <v>3464</v>
      </c>
    </row>
    <row r="12" spans="2:8" x14ac:dyDescent="0.25">
      <c r="B12" t="s">
        <v>3393</v>
      </c>
      <c r="C12">
        <v>2019</v>
      </c>
      <c r="D12" t="s">
        <v>3457</v>
      </c>
      <c r="E12" t="s">
        <v>2413</v>
      </c>
      <c r="F12" t="s">
        <v>2414</v>
      </c>
      <c r="G12" t="s">
        <v>2416</v>
      </c>
      <c r="H12" t="s">
        <v>3465</v>
      </c>
    </row>
    <row r="13" spans="2:8" x14ac:dyDescent="0.25">
      <c r="B13" t="s">
        <v>3393</v>
      </c>
      <c r="C13">
        <v>2019</v>
      </c>
      <c r="D13" t="s">
        <v>3457</v>
      </c>
      <c r="E13" t="s">
        <v>2413</v>
      </c>
      <c r="F13" t="s">
        <v>2414</v>
      </c>
      <c r="G13" t="s">
        <v>2417</v>
      </c>
      <c r="H13" t="s">
        <v>3466</v>
      </c>
    </row>
    <row r="14" spans="2:8" x14ac:dyDescent="0.25">
      <c r="B14" t="s">
        <v>3393</v>
      </c>
      <c r="C14">
        <v>2019</v>
      </c>
      <c r="D14" t="s">
        <v>3457</v>
      </c>
      <c r="E14" t="s">
        <v>2413</v>
      </c>
      <c r="F14" t="s">
        <v>2414</v>
      </c>
      <c r="G14" t="s">
        <v>2418</v>
      </c>
      <c r="H14" t="s">
        <v>3467</v>
      </c>
    </row>
    <row r="15" spans="2:8" x14ac:dyDescent="0.25">
      <c r="B15" t="s">
        <v>3393</v>
      </c>
      <c r="C15">
        <v>2019</v>
      </c>
      <c r="D15" t="s">
        <v>3457</v>
      </c>
      <c r="E15" t="s">
        <v>2413</v>
      </c>
      <c r="F15" t="s">
        <v>2414</v>
      </c>
      <c r="G15" t="s">
        <v>182</v>
      </c>
      <c r="H15" t="s">
        <v>3468</v>
      </c>
    </row>
    <row r="16" spans="2:8" x14ac:dyDescent="0.25">
      <c r="B16" t="s">
        <v>3393</v>
      </c>
      <c r="C16">
        <v>2019</v>
      </c>
      <c r="D16" t="s">
        <v>3457</v>
      </c>
      <c r="E16" t="s">
        <v>2419</v>
      </c>
      <c r="F16" t="s">
        <v>2420</v>
      </c>
      <c r="G16" t="s">
        <v>2415</v>
      </c>
      <c r="H16" t="s">
        <v>3469</v>
      </c>
    </row>
    <row r="17" spans="2:8" x14ac:dyDescent="0.25">
      <c r="B17" t="s">
        <v>3393</v>
      </c>
      <c r="C17">
        <v>2019</v>
      </c>
      <c r="D17" t="s">
        <v>3457</v>
      </c>
      <c r="E17" t="s">
        <v>2419</v>
      </c>
      <c r="F17" t="s">
        <v>2420</v>
      </c>
      <c r="G17" t="s">
        <v>2416</v>
      </c>
      <c r="H17" t="s">
        <v>3470</v>
      </c>
    </row>
    <row r="18" spans="2:8" x14ac:dyDescent="0.25">
      <c r="B18" t="s">
        <v>3393</v>
      </c>
      <c r="C18">
        <v>2019</v>
      </c>
      <c r="D18" t="s">
        <v>3457</v>
      </c>
      <c r="E18" t="s">
        <v>2419</v>
      </c>
      <c r="F18" t="s">
        <v>2420</v>
      </c>
      <c r="G18" t="s">
        <v>2417</v>
      </c>
      <c r="H18" t="s">
        <v>3471</v>
      </c>
    </row>
    <row r="19" spans="2:8" x14ac:dyDescent="0.25">
      <c r="B19" t="s">
        <v>3393</v>
      </c>
      <c r="C19">
        <v>2019</v>
      </c>
      <c r="D19" t="s">
        <v>3457</v>
      </c>
      <c r="E19" t="s">
        <v>2419</v>
      </c>
      <c r="F19" t="s">
        <v>2420</v>
      </c>
      <c r="G19" t="s">
        <v>2418</v>
      </c>
      <c r="H19" t="s">
        <v>3472</v>
      </c>
    </row>
    <row r="20" spans="2:8" x14ac:dyDescent="0.25">
      <c r="B20" t="s">
        <v>3393</v>
      </c>
      <c r="C20">
        <v>2019</v>
      </c>
      <c r="D20" t="s">
        <v>3457</v>
      </c>
      <c r="E20" t="s">
        <v>2419</v>
      </c>
      <c r="F20" t="s">
        <v>2420</v>
      </c>
      <c r="G20" t="s">
        <v>182</v>
      </c>
      <c r="H20" t="s">
        <v>3461</v>
      </c>
    </row>
    <row r="21" spans="2:8" x14ac:dyDescent="0.25">
      <c r="B21" t="s">
        <v>3393</v>
      </c>
      <c r="C21">
        <v>2019</v>
      </c>
      <c r="D21" t="s">
        <v>3457</v>
      </c>
      <c r="E21" t="s">
        <v>2421</v>
      </c>
      <c r="F21" t="s">
        <v>2422</v>
      </c>
      <c r="G21" t="s">
        <v>2423</v>
      </c>
      <c r="H21" t="s">
        <v>3473</v>
      </c>
    </row>
    <row r="22" spans="2:8" x14ac:dyDescent="0.25">
      <c r="B22" t="s">
        <v>3393</v>
      </c>
      <c r="C22">
        <v>2019</v>
      </c>
      <c r="D22" t="s">
        <v>3457</v>
      </c>
      <c r="E22" t="s">
        <v>2421</v>
      </c>
      <c r="F22" t="s">
        <v>2422</v>
      </c>
      <c r="G22" t="s">
        <v>2424</v>
      </c>
      <c r="H22" t="s">
        <v>3474</v>
      </c>
    </row>
    <row r="23" spans="2:8" x14ac:dyDescent="0.25">
      <c r="B23" t="s">
        <v>3393</v>
      </c>
      <c r="C23">
        <v>2019</v>
      </c>
      <c r="D23" t="s">
        <v>3457</v>
      </c>
      <c r="E23" t="s">
        <v>2425</v>
      </c>
      <c r="F23" t="s">
        <v>2426</v>
      </c>
      <c r="G23" t="s">
        <v>2427</v>
      </c>
      <c r="H23" t="s">
        <v>2428</v>
      </c>
    </row>
    <row r="24" spans="2:8" x14ac:dyDescent="0.25">
      <c r="B24" t="s">
        <v>3393</v>
      </c>
      <c r="C24">
        <v>2019</v>
      </c>
      <c r="D24" t="s">
        <v>3457</v>
      </c>
      <c r="E24" t="s">
        <v>2429</v>
      </c>
      <c r="F24" t="s">
        <v>2430</v>
      </c>
      <c r="G24" t="s">
        <v>2427</v>
      </c>
      <c r="H24" t="s">
        <v>2428</v>
      </c>
    </row>
    <row r="25" spans="2:8" x14ac:dyDescent="0.25">
      <c r="B25" t="s">
        <v>3393</v>
      </c>
      <c r="C25">
        <v>2019</v>
      </c>
      <c r="D25" t="s">
        <v>3457</v>
      </c>
      <c r="E25" t="s">
        <v>2432</v>
      </c>
      <c r="F25" t="s">
        <v>2433</v>
      </c>
      <c r="G25" t="s">
        <v>2427</v>
      </c>
      <c r="H25" t="s">
        <v>3107</v>
      </c>
    </row>
    <row r="26" spans="2:8" x14ac:dyDescent="0.25">
      <c r="B26" t="s">
        <v>3393</v>
      </c>
      <c r="C26">
        <v>2019</v>
      </c>
      <c r="D26" t="s">
        <v>3457</v>
      </c>
      <c r="E26" t="s">
        <v>2435</v>
      </c>
      <c r="F26" t="s">
        <v>2436</v>
      </c>
      <c r="G26" t="s">
        <v>2427</v>
      </c>
      <c r="H26" t="s">
        <v>2431</v>
      </c>
    </row>
    <row r="27" spans="2:8" x14ac:dyDescent="0.25">
      <c r="B27" t="s">
        <v>3393</v>
      </c>
      <c r="C27">
        <v>2019</v>
      </c>
      <c r="D27" t="s">
        <v>3457</v>
      </c>
      <c r="E27" t="s">
        <v>2438</v>
      </c>
      <c r="F27" t="s">
        <v>2439</v>
      </c>
      <c r="G27" t="s">
        <v>2440</v>
      </c>
      <c r="H27" t="s">
        <v>3117</v>
      </c>
    </row>
    <row r="28" spans="2:8" x14ac:dyDescent="0.25">
      <c r="B28" t="s">
        <v>3393</v>
      </c>
      <c r="C28">
        <v>2019</v>
      </c>
      <c r="D28" t="s">
        <v>3457</v>
      </c>
      <c r="E28" t="s">
        <v>2442</v>
      </c>
      <c r="F28" t="s">
        <v>2443</v>
      </c>
      <c r="G28" t="s">
        <v>3118</v>
      </c>
      <c r="H28" t="s">
        <v>3119</v>
      </c>
    </row>
    <row r="29" spans="2:8" x14ac:dyDescent="0.25">
      <c r="B29" t="s">
        <v>3393</v>
      </c>
      <c r="C29">
        <v>2019</v>
      </c>
      <c r="D29" t="s">
        <v>3457</v>
      </c>
      <c r="E29" t="s">
        <v>2446</v>
      </c>
      <c r="F29" t="s">
        <v>2447</v>
      </c>
      <c r="G29" t="s">
        <v>2448</v>
      </c>
      <c r="H29" t="s">
        <v>3120</v>
      </c>
    </row>
    <row r="30" spans="2:8" x14ac:dyDescent="0.25">
      <c r="B30" t="s">
        <v>3393</v>
      </c>
      <c r="C30">
        <v>2019</v>
      </c>
      <c r="D30" t="s">
        <v>3457</v>
      </c>
      <c r="E30" t="s">
        <v>2450</v>
      </c>
      <c r="F30" t="s">
        <v>2451</v>
      </c>
      <c r="G30" t="s">
        <v>2452</v>
      </c>
      <c r="H30" t="s">
        <v>3475</v>
      </c>
    </row>
    <row r="31" spans="2:8" x14ac:dyDescent="0.25">
      <c r="B31" t="s">
        <v>3393</v>
      </c>
      <c r="C31">
        <v>2019</v>
      </c>
      <c r="D31" t="s">
        <v>3457</v>
      </c>
      <c r="E31" t="s">
        <v>2453</v>
      </c>
      <c r="F31" t="s">
        <v>2454</v>
      </c>
      <c r="G31" t="s">
        <v>2455</v>
      </c>
      <c r="H31" t="s">
        <v>3476</v>
      </c>
    </row>
    <row r="32" spans="2:8" x14ac:dyDescent="0.25">
      <c r="B32" t="s">
        <v>3393</v>
      </c>
      <c r="C32">
        <v>2019</v>
      </c>
      <c r="D32" t="s">
        <v>3457</v>
      </c>
      <c r="E32" t="s">
        <v>2453</v>
      </c>
      <c r="F32" t="s">
        <v>2454</v>
      </c>
      <c r="G32" t="s">
        <v>2456</v>
      </c>
      <c r="H32" t="s">
        <v>3477</v>
      </c>
    </row>
    <row r="33" spans="2:8" x14ac:dyDescent="0.25">
      <c r="B33" t="s">
        <v>3393</v>
      </c>
      <c r="C33">
        <v>2019</v>
      </c>
      <c r="D33" t="s">
        <v>3457</v>
      </c>
      <c r="E33" t="s">
        <v>2457</v>
      </c>
      <c r="F33" t="s">
        <v>2458</v>
      </c>
      <c r="G33" t="s">
        <v>2459</v>
      </c>
      <c r="H33" t="s">
        <v>3478</v>
      </c>
    </row>
    <row r="34" spans="2:8" x14ac:dyDescent="0.25">
      <c r="B34" t="s">
        <v>3393</v>
      </c>
      <c r="C34">
        <v>2019</v>
      </c>
      <c r="D34" t="s">
        <v>3457</v>
      </c>
      <c r="E34" t="s">
        <v>2457</v>
      </c>
      <c r="F34" t="s">
        <v>2458</v>
      </c>
      <c r="G34" t="s">
        <v>2460</v>
      </c>
      <c r="H34" t="s">
        <v>3479</v>
      </c>
    </row>
    <row r="35" spans="2:8" x14ac:dyDescent="0.25">
      <c r="B35" t="s">
        <v>3393</v>
      </c>
      <c r="C35">
        <v>2019</v>
      </c>
      <c r="D35" t="s">
        <v>3457</v>
      </c>
      <c r="E35" t="s">
        <v>2457</v>
      </c>
      <c r="F35" t="s">
        <v>2458</v>
      </c>
      <c r="G35" t="s">
        <v>2461</v>
      </c>
      <c r="H35" t="s">
        <v>3480</v>
      </c>
    </row>
    <row r="36" spans="2:8" x14ac:dyDescent="0.25">
      <c r="B36" t="s">
        <v>3393</v>
      </c>
      <c r="C36">
        <v>2019</v>
      </c>
      <c r="D36" t="s">
        <v>3457</v>
      </c>
      <c r="E36" t="s">
        <v>2457</v>
      </c>
      <c r="F36" t="s">
        <v>2458</v>
      </c>
      <c r="G36" t="s">
        <v>2462</v>
      </c>
      <c r="H36" t="s">
        <v>3481</v>
      </c>
    </row>
    <row r="37" spans="2:8" x14ac:dyDescent="0.25">
      <c r="B37" t="s">
        <v>3393</v>
      </c>
      <c r="C37">
        <v>2019</v>
      </c>
      <c r="D37" t="s">
        <v>3457</v>
      </c>
      <c r="E37" t="s">
        <v>2463</v>
      </c>
      <c r="F37" t="s">
        <v>2464</v>
      </c>
      <c r="G37" t="s">
        <v>2465</v>
      </c>
      <c r="H37" t="s">
        <v>3482</v>
      </c>
    </row>
    <row r="38" spans="2:8" x14ac:dyDescent="0.25">
      <c r="B38" t="s">
        <v>3393</v>
      </c>
      <c r="C38">
        <v>2019</v>
      </c>
      <c r="D38" t="s">
        <v>3457</v>
      </c>
      <c r="E38" t="s">
        <v>2466</v>
      </c>
      <c r="F38" t="s">
        <v>2454</v>
      </c>
      <c r="G38" t="s">
        <v>2455</v>
      </c>
      <c r="H38" t="s">
        <v>3483</v>
      </c>
    </row>
    <row r="39" spans="2:8" x14ac:dyDescent="0.25">
      <c r="B39" t="s">
        <v>3393</v>
      </c>
      <c r="C39">
        <v>2019</v>
      </c>
      <c r="D39" t="s">
        <v>3457</v>
      </c>
      <c r="E39" t="s">
        <v>2466</v>
      </c>
      <c r="F39" t="s">
        <v>2454</v>
      </c>
      <c r="G39" t="s">
        <v>2456</v>
      </c>
      <c r="H39" t="s">
        <v>3484</v>
      </c>
    </row>
    <row r="40" spans="2:8" x14ac:dyDescent="0.25">
      <c r="B40" t="s">
        <v>3393</v>
      </c>
      <c r="C40">
        <v>2019</v>
      </c>
      <c r="D40" t="s">
        <v>3457</v>
      </c>
      <c r="E40" t="s">
        <v>2467</v>
      </c>
      <c r="F40" t="s">
        <v>2458</v>
      </c>
      <c r="G40" t="s">
        <v>2459</v>
      </c>
      <c r="H40" t="s">
        <v>3485</v>
      </c>
    </row>
    <row r="41" spans="2:8" x14ac:dyDescent="0.25">
      <c r="B41" t="s">
        <v>3393</v>
      </c>
      <c r="C41">
        <v>2019</v>
      </c>
      <c r="D41" t="s">
        <v>3457</v>
      </c>
      <c r="E41" t="s">
        <v>2467</v>
      </c>
      <c r="F41" t="s">
        <v>2458</v>
      </c>
      <c r="G41" t="s">
        <v>2460</v>
      </c>
      <c r="H41" t="s">
        <v>3268</v>
      </c>
    </row>
    <row r="42" spans="2:8" x14ac:dyDescent="0.25">
      <c r="B42" t="s">
        <v>3393</v>
      </c>
      <c r="C42">
        <v>2019</v>
      </c>
      <c r="D42" t="s">
        <v>3457</v>
      </c>
      <c r="E42" t="s">
        <v>2467</v>
      </c>
      <c r="F42" t="s">
        <v>2458</v>
      </c>
      <c r="G42" t="s">
        <v>2462</v>
      </c>
      <c r="H42" t="s">
        <v>3486</v>
      </c>
    </row>
    <row r="43" spans="2:8" x14ac:dyDescent="0.25">
      <c r="B43" t="s">
        <v>3393</v>
      </c>
      <c r="C43">
        <v>2019</v>
      </c>
      <c r="D43" t="s">
        <v>3457</v>
      </c>
      <c r="E43" t="s">
        <v>2468</v>
      </c>
      <c r="F43" t="s">
        <v>2464</v>
      </c>
      <c r="G43" t="s">
        <v>2465</v>
      </c>
      <c r="H43" t="s">
        <v>3487</v>
      </c>
    </row>
    <row r="44" spans="2:8" x14ac:dyDescent="0.25">
      <c r="B44" t="s">
        <v>3393</v>
      </c>
      <c r="C44">
        <v>2019</v>
      </c>
      <c r="D44" t="s">
        <v>3457</v>
      </c>
      <c r="E44" t="s">
        <v>2469</v>
      </c>
      <c r="F44" t="s">
        <v>2470</v>
      </c>
      <c r="G44" t="s">
        <v>2465</v>
      </c>
      <c r="H44" t="s">
        <v>3488</v>
      </c>
    </row>
    <row r="45" spans="2:8" x14ac:dyDescent="0.25">
      <c r="B45" t="s">
        <v>3393</v>
      </c>
      <c r="C45">
        <v>2019</v>
      </c>
      <c r="D45" t="s">
        <v>3457</v>
      </c>
      <c r="E45" t="s">
        <v>2471</v>
      </c>
      <c r="F45" t="s">
        <v>2472</v>
      </c>
      <c r="G45" t="s">
        <v>2473</v>
      </c>
      <c r="H45" t="s">
        <v>3489</v>
      </c>
    </row>
    <row r="46" spans="2:8" x14ac:dyDescent="0.25">
      <c r="B46" t="s">
        <v>3393</v>
      </c>
      <c r="C46">
        <v>2019</v>
      </c>
      <c r="D46" t="s">
        <v>3457</v>
      </c>
      <c r="E46" t="s">
        <v>2474</v>
      </c>
      <c r="F46" t="s">
        <v>2475</v>
      </c>
      <c r="G46" t="s">
        <v>1173</v>
      </c>
      <c r="H46" t="s">
        <v>3423</v>
      </c>
    </row>
    <row r="47" spans="2:8" x14ac:dyDescent="0.25">
      <c r="B47" t="s">
        <v>3393</v>
      </c>
      <c r="C47">
        <v>2019</v>
      </c>
      <c r="D47" t="s">
        <v>3457</v>
      </c>
      <c r="E47" t="s">
        <v>2474</v>
      </c>
      <c r="F47" t="s">
        <v>2475</v>
      </c>
      <c r="G47" t="s">
        <v>1172</v>
      </c>
      <c r="H47" t="s">
        <v>3490</v>
      </c>
    </row>
    <row r="48" spans="2:8" x14ac:dyDescent="0.25">
      <c r="B48" t="s">
        <v>3393</v>
      </c>
      <c r="C48">
        <v>2019</v>
      </c>
      <c r="D48" t="s">
        <v>3457</v>
      </c>
      <c r="E48" t="s">
        <v>2474</v>
      </c>
      <c r="F48" t="s">
        <v>2475</v>
      </c>
      <c r="G48" t="s">
        <v>1171</v>
      </c>
      <c r="H48" t="s">
        <v>3425</v>
      </c>
    </row>
    <row r="49" spans="2:8" x14ac:dyDescent="0.25">
      <c r="B49" t="s">
        <v>3393</v>
      </c>
      <c r="C49">
        <v>2019</v>
      </c>
      <c r="D49" t="s">
        <v>3457</v>
      </c>
      <c r="E49" t="s">
        <v>2476</v>
      </c>
      <c r="F49" t="s">
        <v>2477</v>
      </c>
      <c r="G49" t="s">
        <v>2478</v>
      </c>
      <c r="H49" t="s">
        <v>3491</v>
      </c>
    </row>
    <row r="50" spans="2:8" x14ac:dyDescent="0.25">
      <c r="B50" t="s">
        <v>3393</v>
      </c>
      <c r="C50">
        <v>2019</v>
      </c>
      <c r="D50" t="s">
        <v>3457</v>
      </c>
      <c r="E50" t="s">
        <v>2476</v>
      </c>
      <c r="F50" t="s">
        <v>2477</v>
      </c>
      <c r="G50" t="s">
        <v>2479</v>
      </c>
      <c r="H50" t="s">
        <v>3345</v>
      </c>
    </row>
    <row r="51" spans="2:8" x14ac:dyDescent="0.25">
      <c r="B51" t="s">
        <v>3393</v>
      </c>
      <c r="C51">
        <v>2019</v>
      </c>
      <c r="D51" t="s">
        <v>3457</v>
      </c>
      <c r="E51" t="s">
        <v>2476</v>
      </c>
      <c r="F51" t="s">
        <v>2477</v>
      </c>
      <c r="G51" t="s">
        <v>2480</v>
      </c>
      <c r="H51" t="s">
        <v>3334</v>
      </c>
    </row>
    <row r="52" spans="2:8" x14ac:dyDescent="0.25">
      <c r="B52" t="s">
        <v>3393</v>
      </c>
      <c r="C52">
        <v>2019</v>
      </c>
      <c r="D52" t="s">
        <v>3457</v>
      </c>
      <c r="E52" t="s">
        <v>2481</v>
      </c>
      <c r="F52" t="s">
        <v>2482</v>
      </c>
      <c r="G52" t="s">
        <v>2483</v>
      </c>
      <c r="H52" t="s">
        <v>3310</v>
      </c>
    </row>
    <row r="53" spans="2:8" x14ac:dyDescent="0.25">
      <c r="B53" t="s">
        <v>3393</v>
      </c>
      <c r="C53">
        <v>2019</v>
      </c>
      <c r="D53" t="s">
        <v>3457</v>
      </c>
      <c r="E53" t="s">
        <v>2484</v>
      </c>
      <c r="F53" t="s">
        <v>2485</v>
      </c>
      <c r="G53" t="s">
        <v>2486</v>
      </c>
      <c r="H53" t="s">
        <v>3436</v>
      </c>
    </row>
    <row r="54" spans="2:8" x14ac:dyDescent="0.25">
      <c r="B54" t="s">
        <v>3393</v>
      </c>
      <c r="C54">
        <v>2019</v>
      </c>
      <c r="D54" t="s">
        <v>3457</v>
      </c>
      <c r="E54" t="s">
        <v>2487</v>
      </c>
      <c r="F54" t="s">
        <v>2488</v>
      </c>
      <c r="G54" t="s">
        <v>2489</v>
      </c>
      <c r="H54" t="s">
        <v>3492</v>
      </c>
    </row>
    <row r="55" spans="2:8" x14ac:dyDescent="0.25">
      <c r="B55" t="s">
        <v>3393</v>
      </c>
      <c r="C55">
        <v>2019</v>
      </c>
      <c r="D55" t="s">
        <v>3457</v>
      </c>
      <c r="E55" t="s">
        <v>2487</v>
      </c>
      <c r="F55" t="s">
        <v>2488</v>
      </c>
      <c r="G55" t="s">
        <v>2490</v>
      </c>
      <c r="H55" t="s">
        <v>3291</v>
      </c>
    </row>
    <row r="56" spans="2:8" x14ac:dyDescent="0.25">
      <c r="B56" t="s">
        <v>3393</v>
      </c>
      <c r="C56">
        <v>2019</v>
      </c>
      <c r="D56" t="s">
        <v>3457</v>
      </c>
      <c r="E56" t="s">
        <v>2491</v>
      </c>
      <c r="F56" t="s">
        <v>2492</v>
      </c>
      <c r="G56" t="s">
        <v>2493</v>
      </c>
      <c r="H56" t="s">
        <v>2428</v>
      </c>
    </row>
    <row r="57" spans="2:8" x14ac:dyDescent="0.25">
      <c r="B57" t="s">
        <v>3393</v>
      </c>
      <c r="C57">
        <v>2019</v>
      </c>
      <c r="D57" t="s">
        <v>3457</v>
      </c>
      <c r="E57" t="s">
        <v>2491</v>
      </c>
      <c r="F57" t="s">
        <v>2492</v>
      </c>
      <c r="G57" t="s">
        <v>2494</v>
      </c>
      <c r="H57" t="s">
        <v>2428</v>
      </c>
    </row>
    <row r="58" spans="2:8" x14ac:dyDescent="0.25">
      <c r="B58" t="s">
        <v>3393</v>
      </c>
      <c r="C58">
        <v>2019</v>
      </c>
      <c r="D58" t="s">
        <v>3457</v>
      </c>
      <c r="E58" t="s">
        <v>2495</v>
      </c>
      <c r="F58" t="s">
        <v>2496</v>
      </c>
      <c r="G58" t="s">
        <v>1116</v>
      </c>
      <c r="H58" t="s">
        <v>3493</v>
      </c>
    </row>
    <row r="59" spans="2:8" x14ac:dyDescent="0.25">
      <c r="B59" t="s">
        <v>3393</v>
      </c>
      <c r="C59">
        <v>2019</v>
      </c>
      <c r="D59" t="s">
        <v>3457</v>
      </c>
      <c r="E59" t="s">
        <v>2497</v>
      </c>
      <c r="F59" t="s">
        <v>2498</v>
      </c>
      <c r="G59" t="s">
        <v>1176</v>
      </c>
      <c r="H59" t="s">
        <v>3400</v>
      </c>
    </row>
    <row r="60" spans="2:8" x14ac:dyDescent="0.25">
      <c r="B60" t="s">
        <v>3393</v>
      </c>
      <c r="C60">
        <v>2019</v>
      </c>
      <c r="D60" t="s">
        <v>3457</v>
      </c>
      <c r="E60" t="s">
        <v>2499</v>
      </c>
      <c r="F60" t="s">
        <v>2500</v>
      </c>
      <c r="G60" t="s">
        <v>2501</v>
      </c>
      <c r="H60" t="s">
        <v>3494</v>
      </c>
    </row>
    <row r="61" spans="2:8" x14ac:dyDescent="0.25">
      <c r="B61" t="s">
        <v>3393</v>
      </c>
      <c r="C61">
        <v>2019</v>
      </c>
      <c r="D61" t="s">
        <v>3457</v>
      </c>
      <c r="E61" t="s">
        <v>2502</v>
      </c>
      <c r="F61" t="s">
        <v>2503</v>
      </c>
      <c r="G61" t="s">
        <v>2504</v>
      </c>
      <c r="H61" t="s">
        <v>3493</v>
      </c>
    </row>
    <row r="62" spans="2:8" x14ac:dyDescent="0.25">
      <c r="B62" t="s">
        <v>3393</v>
      </c>
      <c r="C62">
        <v>2019</v>
      </c>
      <c r="D62" t="s">
        <v>3457</v>
      </c>
      <c r="E62" t="s">
        <v>2505</v>
      </c>
      <c r="F62" t="s">
        <v>2506</v>
      </c>
      <c r="G62" t="s">
        <v>2408</v>
      </c>
      <c r="H62" t="s">
        <v>3495</v>
      </c>
    </row>
    <row r="63" spans="2:8" x14ac:dyDescent="0.25">
      <c r="B63" t="s">
        <v>3393</v>
      </c>
      <c r="C63">
        <v>2019</v>
      </c>
      <c r="D63" t="s">
        <v>3457</v>
      </c>
      <c r="E63" t="s">
        <v>2505</v>
      </c>
      <c r="F63" t="s">
        <v>2506</v>
      </c>
      <c r="G63" t="s">
        <v>2409</v>
      </c>
      <c r="H63" t="s">
        <v>3496</v>
      </c>
    </row>
    <row r="64" spans="2:8" x14ac:dyDescent="0.25">
      <c r="B64" t="s">
        <v>3393</v>
      </c>
      <c r="C64">
        <v>2019</v>
      </c>
      <c r="D64" t="s">
        <v>3457</v>
      </c>
      <c r="E64" t="s">
        <v>2505</v>
      </c>
      <c r="F64" t="s">
        <v>2506</v>
      </c>
      <c r="G64" t="s">
        <v>2410</v>
      </c>
      <c r="H64" t="s">
        <v>3497</v>
      </c>
    </row>
    <row r="65" spans="2:8" x14ac:dyDescent="0.25">
      <c r="B65" t="s">
        <v>3393</v>
      </c>
      <c r="C65">
        <v>2019</v>
      </c>
      <c r="D65" t="s">
        <v>3457</v>
      </c>
      <c r="E65" t="s">
        <v>2507</v>
      </c>
      <c r="F65" t="s">
        <v>2407</v>
      </c>
      <c r="G65" t="s">
        <v>2408</v>
      </c>
      <c r="H65" t="s">
        <v>3458</v>
      </c>
    </row>
    <row r="66" spans="2:8" x14ac:dyDescent="0.25">
      <c r="B66" t="s">
        <v>3393</v>
      </c>
      <c r="C66">
        <v>2019</v>
      </c>
      <c r="D66" t="s">
        <v>3457</v>
      </c>
      <c r="E66" t="s">
        <v>2507</v>
      </c>
      <c r="F66" t="s">
        <v>2407</v>
      </c>
      <c r="G66" t="s">
        <v>2409</v>
      </c>
      <c r="H66" t="s">
        <v>3459</v>
      </c>
    </row>
    <row r="67" spans="2:8" x14ac:dyDescent="0.25">
      <c r="B67" t="s">
        <v>3393</v>
      </c>
      <c r="C67">
        <v>2019</v>
      </c>
      <c r="D67" t="s">
        <v>3457</v>
      </c>
      <c r="E67" t="s">
        <v>2507</v>
      </c>
      <c r="F67" t="s">
        <v>2407</v>
      </c>
      <c r="G67" t="s">
        <v>2410</v>
      </c>
      <c r="H67" t="s">
        <v>3460</v>
      </c>
    </row>
    <row r="68" spans="2:8" x14ac:dyDescent="0.25">
      <c r="B68" t="s">
        <v>3393</v>
      </c>
      <c r="C68">
        <v>2019</v>
      </c>
      <c r="D68" t="s">
        <v>3457</v>
      </c>
      <c r="E68" t="s">
        <v>2508</v>
      </c>
      <c r="F68" t="s">
        <v>2509</v>
      </c>
      <c r="G68" t="s">
        <v>2510</v>
      </c>
      <c r="H68" t="s">
        <v>3121</v>
      </c>
    </row>
    <row r="69" spans="2:8" x14ac:dyDescent="0.25">
      <c r="B69" t="s">
        <v>3393</v>
      </c>
      <c r="C69">
        <v>2019</v>
      </c>
      <c r="D69" t="s">
        <v>3457</v>
      </c>
      <c r="E69" t="s">
        <v>2508</v>
      </c>
      <c r="F69" t="s">
        <v>2509</v>
      </c>
      <c r="G69" t="s">
        <v>2512</v>
      </c>
      <c r="H69" t="s">
        <v>3122</v>
      </c>
    </row>
    <row r="70" spans="2:8" x14ac:dyDescent="0.25">
      <c r="B70" t="s">
        <v>3393</v>
      </c>
      <c r="C70">
        <v>2019</v>
      </c>
      <c r="D70" t="s">
        <v>3457</v>
      </c>
      <c r="E70" t="s">
        <v>2508</v>
      </c>
      <c r="F70" t="s">
        <v>2509</v>
      </c>
      <c r="G70" t="s">
        <v>2514</v>
      </c>
      <c r="H70" t="s">
        <v>3123</v>
      </c>
    </row>
    <row r="71" spans="2:8" x14ac:dyDescent="0.25">
      <c r="B71" t="s">
        <v>3393</v>
      </c>
      <c r="C71">
        <v>2019</v>
      </c>
      <c r="D71" t="s">
        <v>3457</v>
      </c>
      <c r="E71" t="s">
        <v>2516</v>
      </c>
      <c r="F71" t="s">
        <v>2517</v>
      </c>
      <c r="G71" t="s">
        <v>2518</v>
      </c>
      <c r="H71" t="s">
        <v>3498</v>
      </c>
    </row>
    <row r="72" spans="2:8" x14ac:dyDescent="0.25">
      <c r="B72" t="s">
        <v>3393</v>
      </c>
      <c r="C72">
        <v>2019</v>
      </c>
      <c r="D72" t="s">
        <v>3457</v>
      </c>
      <c r="E72" t="s">
        <v>2516</v>
      </c>
      <c r="F72" t="s">
        <v>2517</v>
      </c>
      <c r="G72" t="s">
        <v>2519</v>
      </c>
      <c r="H72" t="s">
        <v>3499</v>
      </c>
    </row>
    <row r="73" spans="2:8" x14ac:dyDescent="0.25">
      <c r="B73" t="s">
        <v>3393</v>
      </c>
      <c r="C73">
        <v>2019</v>
      </c>
      <c r="D73" t="s">
        <v>3457</v>
      </c>
      <c r="E73" t="s">
        <v>2520</v>
      </c>
      <c r="F73" t="s">
        <v>2521</v>
      </c>
      <c r="G73" t="s">
        <v>2518</v>
      </c>
      <c r="H73" t="s">
        <v>3500</v>
      </c>
    </row>
    <row r="74" spans="2:8" x14ac:dyDescent="0.25">
      <c r="B74" t="s">
        <v>3393</v>
      </c>
      <c r="C74">
        <v>2019</v>
      </c>
      <c r="D74" t="s">
        <v>3457</v>
      </c>
      <c r="E74" t="s">
        <v>2520</v>
      </c>
      <c r="F74" t="s">
        <v>2521</v>
      </c>
      <c r="G74" t="s">
        <v>2519</v>
      </c>
      <c r="H74" t="s">
        <v>3501</v>
      </c>
    </row>
    <row r="75" spans="2:8" x14ac:dyDescent="0.25">
      <c r="B75" t="s">
        <v>3393</v>
      </c>
      <c r="C75">
        <v>2019</v>
      </c>
      <c r="D75" t="s">
        <v>3457</v>
      </c>
      <c r="E75" t="s">
        <v>2522</v>
      </c>
      <c r="F75" t="s">
        <v>2523</v>
      </c>
      <c r="G75" t="s">
        <v>2524</v>
      </c>
      <c r="H75" t="s">
        <v>3502</v>
      </c>
    </row>
    <row r="76" spans="2:8" x14ac:dyDescent="0.25">
      <c r="B76" t="s">
        <v>3393</v>
      </c>
      <c r="C76">
        <v>2019</v>
      </c>
      <c r="D76" t="s">
        <v>3457</v>
      </c>
      <c r="E76" t="s">
        <v>2522</v>
      </c>
      <c r="F76" t="s">
        <v>2523</v>
      </c>
      <c r="G76" t="s">
        <v>2525</v>
      </c>
      <c r="H76" t="s">
        <v>2526</v>
      </c>
    </row>
    <row r="77" spans="2:8" x14ac:dyDescent="0.25">
      <c r="B77" t="s">
        <v>3393</v>
      </c>
      <c r="C77">
        <v>2019</v>
      </c>
      <c r="D77" t="s">
        <v>3457</v>
      </c>
      <c r="E77" t="s">
        <v>2522</v>
      </c>
      <c r="F77" t="s">
        <v>2523</v>
      </c>
      <c r="G77" t="s">
        <v>2527</v>
      </c>
      <c r="H77" t="s">
        <v>3503</v>
      </c>
    </row>
    <row r="78" spans="2:8" x14ac:dyDescent="0.25">
      <c r="B78" t="s">
        <v>3393</v>
      </c>
      <c r="C78">
        <v>2019</v>
      </c>
      <c r="D78" t="s">
        <v>3457</v>
      </c>
      <c r="E78" t="s">
        <v>2522</v>
      </c>
      <c r="F78" t="s">
        <v>2523</v>
      </c>
      <c r="G78" t="s">
        <v>182</v>
      </c>
      <c r="H78" t="s">
        <v>3502</v>
      </c>
    </row>
    <row r="79" spans="2:8" x14ac:dyDescent="0.25">
      <c r="B79" t="s">
        <v>3393</v>
      </c>
      <c r="C79">
        <v>2019</v>
      </c>
      <c r="D79" t="s">
        <v>3457</v>
      </c>
      <c r="E79" t="s">
        <v>2528</v>
      </c>
      <c r="F79" t="s">
        <v>2529</v>
      </c>
      <c r="G79" t="s">
        <v>2510</v>
      </c>
      <c r="H79" t="s">
        <v>3504</v>
      </c>
    </row>
    <row r="80" spans="2:8" x14ac:dyDescent="0.25">
      <c r="B80" t="s">
        <v>3393</v>
      </c>
      <c r="C80">
        <v>2019</v>
      </c>
      <c r="D80" t="s">
        <v>3457</v>
      </c>
      <c r="E80" t="s">
        <v>2528</v>
      </c>
      <c r="F80" t="s">
        <v>2529</v>
      </c>
      <c r="G80" t="s">
        <v>2512</v>
      </c>
      <c r="H80" t="s">
        <v>3505</v>
      </c>
    </row>
    <row r="81" spans="2:8" x14ac:dyDescent="0.25">
      <c r="B81" t="s">
        <v>3393</v>
      </c>
      <c r="C81">
        <v>2019</v>
      </c>
      <c r="D81" t="s">
        <v>3457</v>
      </c>
      <c r="E81" t="s">
        <v>2528</v>
      </c>
      <c r="F81" t="s">
        <v>2529</v>
      </c>
      <c r="G81" t="s">
        <v>2514</v>
      </c>
      <c r="H81" t="s">
        <v>3506</v>
      </c>
    </row>
    <row r="82" spans="2:8" x14ac:dyDescent="0.25">
      <c r="B82" t="s">
        <v>3393</v>
      </c>
      <c r="C82">
        <v>2019</v>
      </c>
      <c r="D82" t="s">
        <v>3457</v>
      </c>
      <c r="E82" t="s">
        <v>2530</v>
      </c>
      <c r="F82" t="s">
        <v>2531</v>
      </c>
      <c r="G82" t="s">
        <v>2408</v>
      </c>
      <c r="H82" t="s">
        <v>3507</v>
      </c>
    </row>
    <row r="83" spans="2:8" x14ac:dyDescent="0.25">
      <c r="B83" t="s">
        <v>3393</v>
      </c>
      <c r="C83">
        <v>2019</v>
      </c>
      <c r="D83" t="s">
        <v>3457</v>
      </c>
      <c r="E83" t="s">
        <v>2530</v>
      </c>
      <c r="F83" t="s">
        <v>2531</v>
      </c>
      <c r="G83" t="s">
        <v>2409</v>
      </c>
      <c r="H83" t="s">
        <v>2011</v>
      </c>
    </row>
    <row r="84" spans="2:8" x14ac:dyDescent="0.25">
      <c r="B84" t="s">
        <v>3393</v>
      </c>
      <c r="C84">
        <v>2019</v>
      </c>
      <c r="D84" t="s">
        <v>3457</v>
      </c>
      <c r="E84" t="s">
        <v>2530</v>
      </c>
      <c r="F84" t="s">
        <v>2531</v>
      </c>
      <c r="G84" t="s">
        <v>2410</v>
      </c>
      <c r="H84" t="s">
        <v>3508</v>
      </c>
    </row>
    <row r="85" spans="2:8" x14ac:dyDescent="0.25">
      <c r="B85" t="s">
        <v>3393</v>
      </c>
      <c r="C85">
        <v>2019</v>
      </c>
      <c r="D85" t="s">
        <v>3457</v>
      </c>
      <c r="E85" t="s">
        <v>2532</v>
      </c>
      <c r="F85" t="s">
        <v>2533</v>
      </c>
      <c r="G85" t="s">
        <v>2408</v>
      </c>
      <c r="H85" t="s">
        <v>3509</v>
      </c>
    </row>
    <row r="86" spans="2:8" x14ac:dyDescent="0.25">
      <c r="B86" t="s">
        <v>3393</v>
      </c>
      <c r="C86">
        <v>2019</v>
      </c>
      <c r="D86" t="s">
        <v>3457</v>
      </c>
      <c r="E86" t="s">
        <v>2532</v>
      </c>
      <c r="F86" t="s">
        <v>2533</v>
      </c>
      <c r="G86" t="s">
        <v>2409</v>
      </c>
      <c r="H86" t="s">
        <v>2035</v>
      </c>
    </row>
    <row r="87" spans="2:8" x14ac:dyDescent="0.25">
      <c r="B87" t="s">
        <v>3393</v>
      </c>
      <c r="C87">
        <v>2019</v>
      </c>
      <c r="D87" t="s">
        <v>3457</v>
      </c>
      <c r="E87" t="s">
        <v>2532</v>
      </c>
      <c r="F87" t="s">
        <v>2533</v>
      </c>
      <c r="G87" t="s">
        <v>2410</v>
      </c>
      <c r="H87" t="s">
        <v>3510</v>
      </c>
    </row>
    <row r="88" spans="2:8" x14ac:dyDescent="0.25">
      <c r="B88" t="s">
        <v>3393</v>
      </c>
      <c r="C88">
        <v>2019</v>
      </c>
      <c r="D88" t="s">
        <v>3457</v>
      </c>
      <c r="E88" t="s">
        <v>2534</v>
      </c>
      <c r="F88" t="s">
        <v>2535</v>
      </c>
      <c r="G88" t="s">
        <v>626</v>
      </c>
      <c r="H88" t="s">
        <v>2538</v>
      </c>
    </row>
    <row r="89" spans="2:8" x14ac:dyDescent="0.25">
      <c r="B89" t="s">
        <v>3393</v>
      </c>
      <c r="C89">
        <v>2019</v>
      </c>
      <c r="D89" t="s">
        <v>3457</v>
      </c>
      <c r="E89" t="s">
        <v>2534</v>
      </c>
      <c r="F89" t="s">
        <v>2535</v>
      </c>
      <c r="G89" t="s">
        <v>628</v>
      </c>
      <c r="H89" t="s">
        <v>3511</v>
      </c>
    </row>
    <row r="90" spans="2:8" x14ac:dyDescent="0.25">
      <c r="B90" t="s">
        <v>3393</v>
      </c>
      <c r="C90">
        <v>2019</v>
      </c>
      <c r="D90" t="s">
        <v>3457</v>
      </c>
      <c r="E90" t="s">
        <v>2534</v>
      </c>
      <c r="F90" t="s">
        <v>2535</v>
      </c>
      <c r="G90" t="s">
        <v>627</v>
      </c>
      <c r="H90" t="s">
        <v>3512</v>
      </c>
    </row>
    <row r="91" spans="2:8" x14ac:dyDescent="0.25">
      <c r="B91" t="s">
        <v>3393</v>
      </c>
      <c r="C91">
        <v>2019</v>
      </c>
      <c r="D91" t="s">
        <v>3457</v>
      </c>
      <c r="E91" t="s">
        <v>2534</v>
      </c>
      <c r="F91" t="s">
        <v>2535</v>
      </c>
      <c r="G91" t="s">
        <v>2536</v>
      </c>
      <c r="H91" t="s">
        <v>3513</v>
      </c>
    </row>
    <row r="92" spans="2:8" x14ac:dyDescent="0.25">
      <c r="B92" t="s">
        <v>3393</v>
      </c>
      <c r="C92">
        <v>2019</v>
      </c>
      <c r="D92" t="s">
        <v>3457</v>
      </c>
      <c r="E92" t="s">
        <v>2534</v>
      </c>
      <c r="F92" t="s">
        <v>2535</v>
      </c>
      <c r="G92" t="s">
        <v>2537</v>
      </c>
      <c r="H92" t="s">
        <v>3514</v>
      </c>
    </row>
    <row r="93" spans="2:8" x14ac:dyDescent="0.25">
      <c r="B93" t="s">
        <v>3393</v>
      </c>
      <c r="C93">
        <v>2019</v>
      </c>
      <c r="D93" t="s">
        <v>3457</v>
      </c>
      <c r="E93" t="s">
        <v>2534</v>
      </c>
      <c r="F93" t="s">
        <v>2535</v>
      </c>
      <c r="G93" t="s">
        <v>2539</v>
      </c>
      <c r="H93" t="s">
        <v>3515</v>
      </c>
    </row>
    <row r="94" spans="2:8" x14ac:dyDescent="0.25">
      <c r="B94" t="s">
        <v>3393</v>
      </c>
      <c r="C94">
        <v>2019</v>
      </c>
      <c r="D94" t="s">
        <v>3457</v>
      </c>
      <c r="E94" t="s">
        <v>2534</v>
      </c>
      <c r="F94" t="s">
        <v>2535</v>
      </c>
      <c r="G94" t="s">
        <v>629</v>
      </c>
      <c r="H94" t="s">
        <v>3516</v>
      </c>
    </row>
    <row r="95" spans="2:8" x14ac:dyDescent="0.25">
      <c r="B95" t="s">
        <v>3393</v>
      </c>
      <c r="C95">
        <v>2019</v>
      </c>
      <c r="D95" t="s">
        <v>3457</v>
      </c>
      <c r="E95" t="s">
        <v>2534</v>
      </c>
      <c r="F95" t="s">
        <v>2535</v>
      </c>
      <c r="G95" t="s">
        <v>2540</v>
      </c>
      <c r="H95" t="s">
        <v>3294</v>
      </c>
    </row>
    <row r="96" spans="2:8" x14ac:dyDescent="0.25">
      <c r="B96" t="s">
        <v>3393</v>
      </c>
      <c r="C96">
        <v>2019</v>
      </c>
      <c r="D96" t="s">
        <v>3457</v>
      </c>
      <c r="E96" t="s">
        <v>2534</v>
      </c>
      <c r="F96" t="s">
        <v>2535</v>
      </c>
      <c r="G96" t="s">
        <v>2541</v>
      </c>
      <c r="H96" t="s">
        <v>3517</v>
      </c>
    </row>
    <row r="97" spans="2:8" x14ac:dyDescent="0.25">
      <c r="B97" t="s">
        <v>3393</v>
      </c>
      <c r="C97">
        <v>2019</v>
      </c>
      <c r="D97" t="s">
        <v>3457</v>
      </c>
      <c r="E97" t="s">
        <v>2534</v>
      </c>
      <c r="F97" t="s">
        <v>2535</v>
      </c>
      <c r="G97" t="s">
        <v>2542</v>
      </c>
      <c r="H97" t="s">
        <v>3518</v>
      </c>
    </row>
    <row r="98" spans="2:8" x14ac:dyDescent="0.25">
      <c r="B98" t="s">
        <v>3393</v>
      </c>
      <c r="C98">
        <v>2019</v>
      </c>
      <c r="D98" t="s">
        <v>3457</v>
      </c>
      <c r="E98" t="s">
        <v>2543</v>
      </c>
      <c r="F98" t="s">
        <v>2544</v>
      </c>
      <c r="G98" t="s">
        <v>2545</v>
      </c>
      <c r="H98" t="s">
        <v>3519</v>
      </c>
    </row>
    <row r="99" spans="2:8" x14ac:dyDescent="0.25">
      <c r="B99" t="s">
        <v>3393</v>
      </c>
      <c r="C99">
        <v>2019</v>
      </c>
      <c r="D99" t="s">
        <v>3457</v>
      </c>
      <c r="E99" t="s">
        <v>2543</v>
      </c>
      <c r="F99" t="s">
        <v>2544</v>
      </c>
      <c r="G99" t="s">
        <v>714</v>
      </c>
      <c r="H99" t="s">
        <v>3520</v>
      </c>
    </row>
    <row r="100" spans="2:8" x14ac:dyDescent="0.25">
      <c r="B100" t="s">
        <v>3393</v>
      </c>
      <c r="C100">
        <v>2019</v>
      </c>
      <c r="D100" t="s">
        <v>3457</v>
      </c>
      <c r="E100" t="s">
        <v>2546</v>
      </c>
      <c r="F100" t="s">
        <v>2547</v>
      </c>
      <c r="G100" t="s">
        <v>2548</v>
      </c>
      <c r="H100" t="s">
        <v>3521</v>
      </c>
    </row>
    <row r="101" spans="2:8" x14ac:dyDescent="0.25">
      <c r="B101" t="s">
        <v>3393</v>
      </c>
      <c r="C101">
        <v>2019</v>
      </c>
      <c r="D101" t="s">
        <v>3457</v>
      </c>
      <c r="E101" t="s">
        <v>2546</v>
      </c>
      <c r="F101" t="s">
        <v>2547</v>
      </c>
      <c r="G101" t="s">
        <v>3124</v>
      </c>
      <c r="H101" t="s">
        <v>3522</v>
      </c>
    </row>
    <row r="102" spans="2:8" x14ac:dyDescent="0.25">
      <c r="B102" t="s">
        <v>3393</v>
      </c>
      <c r="C102">
        <v>2019</v>
      </c>
      <c r="D102" t="s">
        <v>3457</v>
      </c>
      <c r="E102" t="s">
        <v>2550</v>
      </c>
      <c r="F102" t="s">
        <v>2551</v>
      </c>
      <c r="G102" t="s">
        <v>858</v>
      </c>
      <c r="H102" t="s">
        <v>3523</v>
      </c>
    </row>
    <row r="103" spans="2:8" x14ac:dyDescent="0.25">
      <c r="B103" t="s">
        <v>3393</v>
      </c>
      <c r="C103">
        <v>2019</v>
      </c>
      <c r="D103" t="s">
        <v>3457</v>
      </c>
      <c r="E103" t="s">
        <v>2550</v>
      </c>
      <c r="F103" t="s">
        <v>2551</v>
      </c>
      <c r="G103" t="s">
        <v>859</v>
      </c>
      <c r="H103" t="s">
        <v>3524</v>
      </c>
    </row>
    <row r="104" spans="2:8" x14ac:dyDescent="0.25">
      <c r="B104" t="s">
        <v>3393</v>
      </c>
      <c r="C104">
        <v>2019</v>
      </c>
      <c r="D104" t="s">
        <v>3457</v>
      </c>
      <c r="E104" t="s">
        <v>2550</v>
      </c>
      <c r="F104" t="s">
        <v>2551</v>
      </c>
      <c r="G104" t="s">
        <v>857</v>
      </c>
      <c r="H104" t="s">
        <v>3525</v>
      </c>
    </row>
    <row r="105" spans="2:8" x14ac:dyDescent="0.25">
      <c r="B105" t="s">
        <v>3393</v>
      </c>
      <c r="C105">
        <v>2019</v>
      </c>
      <c r="D105" t="s">
        <v>3457</v>
      </c>
      <c r="E105" t="s">
        <v>2550</v>
      </c>
      <c r="F105" t="s">
        <v>2551</v>
      </c>
      <c r="G105" t="s">
        <v>862</v>
      </c>
      <c r="H105" t="s">
        <v>3526</v>
      </c>
    </row>
    <row r="106" spans="2:8" x14ac:dyDescent="0.25">
      <c r="B106" t="s">
        <v>3393</v>
      </c>
      <c r="C106">
        <v>2019</v>
      </c>
      <c r="D106" t="s">
        <v>3457</v>
      </c>
      <c r="E106" t="s">
        <v>2550</v>
      </c>
      <c r="F106" t="s">
        <v>2551</v>
      </c>
      <c r="G106" t="s">
        <v>872</v>
      </c>
      <c r="H106" t="s">
        <v>3527</v>
      </c>
    </row>
    <row r="107" spans="2:8" x14ac:dyDescent="0.25">
      <c r="B107" t="s">
        <v>3393</v>
      </c>
      <c r="C107">
        <v>2019</v>
      </c>
      <c r="D107" t="s">
        <v>3457</v>
      </c>
      <c r="E107" t="s">
        <v>2550</v>
      </c>
      <c r="F107" t="s">
        <v>2551</v>
      </c>
      <c r="G107" t="s">
        <v>864</v>
      </c>
      <c r="H107" t="s">
        <v>3528</v>
      </c>
    </row>
    <row r="108" spans="2:8" x14ac:dyDescent="0.25">
      <c r="B108" t="s">
        <v>3393</v>
      </c>
      <c r="C108">
        <v>2019</v>
      </c>
      <c r="D108" t="s">
        <v>3457</v>
      </c>
      <c r="E108" t="s">
        <v>2550</v>
      </c>
      <c r="F108" t="s">
        <v>2551</v>
      </c>
      <c r="G108" t="s">
        <v>866</v>
      </c>
      <c r="H108" t="s">
        <v>3529</v>
      </c>
    </row>
    <row r="109" spans="2:8" x14ac:dyDescent="0.25">
      <c r="B109" t="s">
        <v>3393</v>
      </c>
      <c r="C109">
        <v>2019</v>
      </c>
      <c r="D109" t="s">
        <v>3457</v>
      </c>
      <c r="E109" t="s">
        <v>2550</v>
      </c>
      <c r="F109" t="s">
        <v>2551</v>
      </c>
      <c r="G109" t="s">
        <v>860</v>
      </c>
      <c r="H109" t="s">
        <v>3530</v>
      </c>
    </row>
    <row r="110" spans="2:8" x14ac:dyDescent="0.25">
      <c r="B110" t="s">
        <v>3393</v>
      </c>
      <c r="C110">
        <v>2019</v>
      </c>
      <c r="D110" t="s">
        <v>3457</v>
      </c>
      <c r="E110" t="s">
        <v>2550</v>
      </c>
      <c r="F110" t="s">
        <v>2551</v>
      </c>
      <c r="G110" t="s">
        <v>850</v>
      </c>
      <c r="H110" t="s">
        <v>3531</v>
      </c>
    </row>
    <row r="111" spans="2:8" x14ac:dyDescent="0.25">
      <c r="B111" t="s">
        <v>3393</v>
      </c>
      <c r="C111">
        <v>2019</v>
      </c>
      <c r="D111" t="s">
        <v>3457</v>
      </c>
      <c r="E111" t="s">
        <v>2550</v>
      </c>
      <c r="F111" t="s">
        <v>2551</v>
      </c>
      <c r="G111" t="s">
        <v>849</v>
      </c>
      <c r="H111" t="s">
        <v>3532</v>
      </c>
    </row>
    <row r="112" spans="2:8" x14ac:dyDescent="0.25">
      <c r="B112" t="s">
        <v>3393</v>
      </c>
      <c r="C112">
        <v>2019</v>
      </c>
      <c r="D112" t="s">
        <v>3457</v>
      </c>
      <c r="E112" t="s">
        <v>2550</v>
      </c>
      <c r="F112" t="s">
        <v>2551</v>
      </c>
      <c r="G112" t="s">
        <v>852</v>
      </c>
      <c r="H112" t="s">
        <v>3533</v>
      </c>
    </row>
    <row r="113" spans="2:8" x14ac:dyDescent="0.25">
      <c r="B113" t="s">
        <v>3393</v>
      </c>
      <c r="C113">
        <v>2019</v>
      </c>
      <c r="D113" t="s">
        <v>3457</v>
      </c>
      <c r="E113" t="s">
        <v>2550</v>
      </c>
      <c r="F113" t="s">
        <v>2551</v>
      </c>
      <c r="G113" t="s">
        <v>851</v>
      </c>
      <c r="H113" t="s">
        <v>3534</v>
      </c>
    </row>
    <row r="114" spans="2:8" x14ac:dyDescent="0.25">
      <c r="B114" t="s">
        <v>3393</v>
      </c>
      <c r="C114">
        <v>2019</v>
      </c>
      <c r="D114" t="s">
        <v>3457</v>
      </c>
      <c r="E114" t="s">
        <v>2550</v>
      </c>
      <c r="F114" t="s">
        <v>2551</v>
      </c>
      <c r="G114" t="s">
        <v>855</v>
      </c>
      <c r="H114" t="s">
        <v>2005</v>
      </c>
    </row>
    <row r="115" spans="2:8" x14ac:dyDescent="0.25">
      <c r="B115" t="s">
        <v>3393</v>
      </c>
      <c r="C115">
        <v>2019</v>
      </c>
      <c r="D115" t="s">
        <v>3457</v>
      </c>
      <c r="E115" t="s">
        <v>2550</v>
      </c>
      <c r="F115" t="s">
        <v>2551</v>
      </c>
      <c r="G115" t="s">
        <v>856</v>
      </c>
      <c r="H115" t="s">
        <v>2177</v>
      </c>
    </row>
    <row r="116" spans="2:8" x14ac:dyDescent="0.25">
      <c r="B116" t="s">
        <v>3393</v>
      </c>
      <c r="C116">
        <v>2019</v>
      </c>
      <c r="D116" t="s">
        <v>3457</v>
      </c>
      <c r="E116" t="s">
        <v>2550</v>
      </c>
      <c r="F116" t="s">
        <v>2551</v>
      </c>
      <c r="G116" t="s">
        <v>865</v>
      </c>
      <c r="H116" t="s">
        <v>3535</v>
      </c>
    </row>
    <row r="117" spans="2:8" x14ac:dyDescent="0.25">
      <c r="B117" t="s">
        <v>3393</v>
      </c>
      <c r="C117">
        <v>2019</v>
      </c>
      <c r="D117" t="s">
        <v>3457</v>
      </c>
      <c r="E117" t="s">
        <v>2550</v>
      </c>
      <c r="F117" t="s">
        <v>2551</v>
      </c>
      <c r="G117" t="s">
        <v>861</v>
      </c>
      <c r="H117" t="s">
        <v>2151</v>
      </c>
    </row>
    <row r="118" spans="2:8" x14ac:dyDescent="0.25">
      <c r="B118" t="s">
        <v>3393</v>
      </c>
      <c r="C118">
        <v>2019</v>
      </c>
      <c r="D118" t="s">
        <v>3457</v>
      </c>
      <c r="E118" t="s">
        <v>2550</v>
      </c>
      <c r="F118" t="s">
        <v>2551</v>
      </c>
      <c r="G118" t="s">
        <v>871</v>
      </c>
      <c r="H118" t="s">
        <v>3536</v>
      </c>
    </row>
    <row r="119" spans="2:8" x14ac:dyDescent="0.25">
      <c r="B119" t="s">
        <v>3393</v>
      </c>
      <c r="C119">
        <v>2019</v>
      </c>
      <c r="D119" t="s">
        <v>3457</v>
      </c>
      <c r="E119" t="s">
        <v>2550</v>
      </c>
      <c r="F119" t="s">
        <v>2551</v>
      </c>
      <c r="G119" t="s">
        <v>848</v>
      </c>
      <c r="H119" t="s">
        <v>3537</v>
      </c>
    </row>
    <row r="120" spans="2:8" x14ac:dyDescent="0.25">
      <c r="B120" t="s">
        <v>3393</v>
      </c>
      <c r="C120">
        <v>2019</v>
      </c>
      <c r="D120" t="s">
        <v>3457</v>
      </c>
      <c r="E120" t="s">
        <v>2550</v>
      </c>
      <c r="F120" t="s">
        <v>2551</v>
      </c>
      <c r="G120" t="s">
        <v>853</v>
      </c>
      <c r="H120" t="s">
        <v>3538</v>
      </c>
    </row>
    <row r="121" spans="2:8" x14ac:dyDescent="0.25">
      <c r="B121" t="s">
        <v>3393</v>
      </c>
      <c r="C121">
        <v>2019</v>
      </c>
      <c r="D121" t="s">
        <v>3457</v>
      </c>
      <c r="E121" t="s">
        <v>2550</v>
      </c>
      <c r="F121" t="s">
        <v>2551</v>
      </c>
      <c r="G121" t="s">
        <v>854</v>
      </c>
      <c r="H121" t="s">
        <v>3539</v>
      </c>
    </row>
    <row r="122" spans="2:8" x14ac:dyDescent="0.25">
      <c r="B122" t="s">
        <v>3393</v>
      </c>
      <c r="C122">
        <v>2019</v>
      </c>
      <c r="D122" t="s">
        <v>3457</v>
      </c>
      <c r="E122" t="s">
        <v>2550</v>
      </c>
      <c r="F122" t="s">
        <v>2551</v>
      </c>
      <c r="G122" t="s">
        <v>863</v>
      </c>
      <c r="H122" t="s">
        <v>3536</v>
      </c>
    </row>
    <row r="123" spans="2:8" x14ac:dyDescent="0.25">
      <c r="B123" t="s">
        <v>3393</v>
      </c>
      <c r="C123">
        <v>2019</v>
      </c>
      <c r="D123" t="s">
        <v>3457</v>
      </c>
      <c r="E123" t="s">
        <v>2550</v>
      </c>
      <c r="F123" t="s">
        <v>2551</v>
      </c>
      <c r="G123" t="s">
        <v>868</v>
      </c>
      <c r="H123" t="s">
        <v>2177</v>
      </c>
    </row>
    <row r="124" spans="2:8" x14ac:dyDescent="0.25">
      <c r="B124" t="s">
        <v>3393</v>
      </c>
      <c r="C124">
        <v>2019</v>
      </c>
      <c r="D124" t="s">
        <v>3457</v>
      </c>
      <c r="E124" t="s">
        <v>2550</v>
      </c>
      <c r="F124" t="s">
        <v>2551</v>
      </c>
      <c r="G124" t="s">
        <v>869</v>
      </c>
      <c r="H124" t="s">
        <v>1993</v>
      </c>
    </row>
    <row r="125" spans="2:8" x14ac:dyDescent="0.25">
      <c r="B125" t="s">
        <v>3393</v>
      </c>
      <c r="C125">
        <v>2019</v>
      </c>
      <c r="D125" t="s">
        <v>3457</v>
      </c>
      <c r="E125" t="s">
        <v>2550</v>
      </c>
      <c r="F125" t="s">
        <v>2551</v>
      </c>
      <c r="G125" t="s">
        <v>870</v>
      </c>
      <c r="H125" t="s">
        <v>3540</v>
      </c>
    </row>
    <row r="126" spans="2:8" x14ac:dyDescent="0.25">
      <c r="B126" t="s">
        <v>3393</v>
      </c>
      <c r="C126">
        <v>2019</v>
      </c>
      <c r="D126" t="s">
        <v>3457</v>
      </c>
      <c r="E126" t="s">
        <v>2553</v>
      </c>
      <c r="F126" t="s">
        <v>2554</v>
      </c>
      <c r="G126" t="s">
        <v>1150</v>
      </c>
      <c r="H126" t="s">
        <v>3541</v>
      </c>
    </row>
    <row r="127" spans="2:8" x14ac:dyDescent="0.25">
      <c r="B127" t="s">
        <v>3393</v>
      </c>
      <c r="C127">
        <v>2019</v>
      </c>
      <c r="D127" t="s">
        <v>3457</v>
      </c>
      <c r="E127" t="s">
        <v>2553</v>
      </c>
      <c r="F127" t="s">
        <v>2554</v>
      </c>
      <c r="G127" t="s">
        <v>1148</v>
      </c>
      <c r="H127" t="s">
        <v>2574</v>
      </c>
    </row>
    <row r="128" spans="2:8" x14ac:dyDescent="0.25">
      <c r="B128" t="s">
        <v>3393</v>
      </c>
      <c r="C128">
        <v>2019</v>
      </c>
      <c r="D128" t="s">
        <v>3457</v>
      </c>
      <c r="E128" t="s">
        <v>2553</v>
      </c>
      <c r="F128" t="s">
        <v>2554</v>
      </c>
      <c r="G128" t="s">
        <v>1149</v>
      </c>
      <c r="H128" t="s">
        <v>3330</v>
      </c>
    </row>
    <row r="129" spans="2:8" x14ac:dyDescent="0.25">
      <c r="B129" t="s">
        <v>3393</v>
      </c>
      <c r="C129">
        <v>2019</v>
      </c>
      <c r="D129" t="s">
        <v>3457</v>
      </c>
      <c r="E129" t="s">
        <v>2555</v>
      </c>
      <c r="F129" t="s">
        <v>2556</v>
      </c>
      <c r="G129" t="s">
        <v>2557</v>
      </c>
      <c r="H129" t="s">
        <v>3542</v>
      </c>
    </row>
    <row r="130" spans="2:8" x14ac:dyDescent="0.25">
      <c r="B130" t="s">
        <v>3393</v>
      </c>
      <c r="C130">
        <v>2019</v>
      </c>
      <c r="D130" t="s">
        <v>3457</v>
      </c>
      <c r="E130" t="s">
        <v>2555</v>
      </c>
      <c r="F130" t="s">
        <v>2556</v>
      </c>
      <c r="G130" t="s">
        <v>2558</v>
      </c>
      <c r="H130" t="s">
        <v>3543</v>
      </c>
    </row>
    <row r="131" spans="2:8" x14ac:dyDescent="0.25">
      <c r="B131" t="s">
        <v>3393</v>
      </c>
      <c r="C131">
        <v>2019</v>
      </c>
      <c r="D131" t="s">
        <v>3457</v>
      </c>
      <c r="E131" t="s">
        <v>2555</v>
      </c>
      <c r="F131" t="s">
        <v>2556</v>
      </c>
      <c r="G131" t="s">
        <v>2559</v>
      </c>
      <c r="H131" t="s">
        <v>3544</v>
      </c>
    </row>
    <row r="132" spans="2:8" x14ac:dyDescent="0.25">
      <c r="B132" t="s">
        <v>3393</v>
      </c>
      <c r="C132">
        <v>2019</v>
      </c>
      <c r="D132" t="s">
        <v>3457</v>
      </c>
      <c r="E132" t="s">
        <v>2560</v>
      </c>
      <c r="F132" t="s">
        <v>2561</v>
      </c>
      <c r="G132" t="s">
        <v>2562</v>
      </c>
      <c r="H132" t="s">
        <v>3545</v>
      </c>
    </row>
    <row r="133" spans="2:8" x14ac:dyDescent="0.25">
      <c r="B133" t="s">
        <v>3393</v>
      </c>
      <c r="C133">
        <v>2019</v>
      </c>
      <c r="D133" t="s">
        <v>3457</v>
      </c>
      <c r="E133" t="s">
        <v>2560</v>
      </c>
      <c r="F133" t="s">
        <v>2561</v>
      </c>
      <c r="G133" t="s">
        <v>2563</v>
      </c>
      <c r="H133" t="s">
        <v>3125</v>
      </c>
    </row>
    <row r="134" spans="2:8" x14ac:dyDescent="0.25">
      <c r="B134" t="s">
        <v>3393</v>
      </c>
      <c r="C134">
        <v>2019</v>
      </c>
      <c r="D134" t="s">
        <v>3457</v>
      </c>
      <c r="E134" t="s">
        <v>2560</v>
      </c>
      <c r="F134" t="s">
        <v>2561</v>
      </c>
      <c r="G134" t="s">
        <v>2565</v>
      </c>
      <c r="H134" t="s">
        <v>3546</v>
      </c>
    </row>
    <row r="135" spans="2:8" x14ac:dyDescent="0.25">
      <c r="B135" t="s">
        <v>3393</v>
      </c>
      <c r="C135">
        <v>2019</v>
      </c>
      <c r="D135" t="s">
        <v>3457</v>
      </c>
      <c r="E135" t="s">
        <v>2560</v>
      </c>
      <c r="F135" t="s">
        <v>2561</v>
      </c>
      <c r="G135" t="s">
        <v>2566</v>
      </c>
      <c r="H135" t="s">
        <v>3126</v>
      </c>
    </row>
    <row r="136" spans="2:8" x14ac:dyDescent="0.25">
      <c r="B136" t="s">
        <v>3393</v>
      </c>
      <c r="C136">
        <v>2019</v>
      </c>
      <c r="D136" t="s">
        <v>3457</v>
      </c>
      <c r="E136" t="s">
        <v>2560</v>
      </c>
      <c r="F136" t="s">
        <v>2561</v>
      </c>
      <c r="G136" t="s">
        <v>2568</v>
      </c>
      <c r="H136" t="s">
        <v>3547</v>
      </c>
    </row>
    <row r="137" spans="2:8" x14ac:dyDescent="0.25">
      <c r="B137" t="s">
        <v>3393</v>
      </c>
      <c r="C137">
        <v>2019</v>
      </c>
      <c r="D137" t="s">
        <v>3457</v>
      </c>
      <c r="E137" t="s">
        <v>2560</v>
      </c>
      <c r="F137" t="s">
        <v>2561</v>
      </c>
      <c r="G137" t="s">
        <v>2569</v>
      </c>
      <c r="H137" t="s">
        <v>3127</v>
      </c>
    </row>
    <row r="138" spans="2:8" x14ac:dyDescent="0.25">
      <c r="B138" t="s">
        <v>3393</v>
      </c>
      <c r="C138">
        <v>2019</v>
      </c>
      <c r="D138" t="s">
        <v>3457</v>
      </c>
      <c r="E138" t="s">
        <v>2571</v>
      </c>
      <c r="F138" t="s">
        <v>2572</v>
      </c>
      <c r="G138" t="s">
        <v>2562</v>
      </c>
      <c r="H138" t="s">
        <v>3548</v>
      </c>
    </row>
    <row r="139" spans="2:8" x14ac:dyDescent="0.25">
      <c r="B139" t="s">
        <v>3393</v>
      </c>
      <c r="C139">
        <v>2019</v>
      </c>
      <c r="D139" t="s">
        <v>3457</v>
      </c>
      <c r="E139" t="s">
        <v>2571</v>
      </c>
      <c r="F139" t="s">
        <v>2572</v>
      </c>
      <c r="G139" t="s">
        <v>2563</v>
      </c>
      <c r="H139" t="s">
        <v>2564</v>
      </c>
    </row>
    <row r="140" spans="2:8" x14ac:dyDescent="0.25">
      <c r="B140" t="s">
        <v>3393</v>
      </c>
      <c r="C140">
        <v>2019</v>
      </c>
      <c r="D140" t="s">
        <v>3457</v>
      </c>
      <c r="E140" t="s">
        <v>2571</v>
      </c>
      <c r="F140" t="s">
        <v>2572</v>
      </c>
      <c r="G140" t="s">
        <v>2565</v>
      </c>
      <c r="H140" t="s">
        <v>3549</v>
      </c>
    </row>
    <row r="141" spans="2:8" x14ac:dyDescent="0.25">
      <c r="B141" t="s">
        <v>3393</v>
      </c>
      <c r="C141">
        <v>2019</v>
      </c>
      <c r="D141" t="s">
        <v>3457</v>
      </c>
      <c r="E141" t="s">
        <v>2571</v>
      </c>
      <c r="F141" t="s">
        <v>2572</v>
      </c>
      <c r="G141" t="s">
        <v>2566</v>
      </c>
      <c r="H141" t="s">
        <v>3128</v>
      </c>
    </row>
    <row r="142" spans="2:8" x14ac:dyDescent="0.25">
      <c r="B142" t="s">
        <v>3393</v>
      </c>
      <c r="C142">
        <v>2019</v>
      </c>
      <c r="D142" t="s">
        <v>3457</v>
      </c>
      <c r="E142" t="s">
        <v>2571</v>
      </c>
      <c r="F142" t="s">
        <v>2572</v>
      </c>
      <c r="G142" t="s">
        <v>3550</v>
      </c>
      <c r="H142" t="s">
        <v>3551</v>
      </c>
    </row>
    <row r="143" spans="2:8" x14ac:dyDescent="0.25">
      <c r="B143" t="s">
        <v>3393</v>
      </c>
      <c r="C143">
        <v>2019</v>
      </c>
      <c r="D143" t="s">
        <v>3457</v>
      </c>
      <c r="E143" t="s">
        <v>2571</v>
      </c>
      <c r="F143" t="s">
        <v>2572</v>
      </c>
      <c r="G143" t="s">
        <v>2569</v>
      </c>
      <c r="H143" t="s">
        <v>3129</v>
      </c>
    </row>
    <row r="144" spans="2:8" x14ac:dyDescent="0.25">
      <c r="B144" t="s">
        <v>3393</v>
      </c>
      <c r="C144">
        <v>2019</v>
      </c>
      <c r="D144" t="s">
        <v>3457</v>
      </c>
      <c r="E144" t="s">
        <v>2576</v>
      </c>
      <c r="F144" t="s">
        <v>2577</v>
      </c>
      <c r="G144" t="s">
        <v>2578</v>
      </c>
      <c r="H144" t="s">
        <v>3552</v>
      </c>
    </row>
    <row r="145" spans="2:8" x14ac:dyDescent="0.25">
      <c r="B145" t="s">
        <v>3393</v>
      </c>
      <c r="C145">
        <v>2019</v>
      </c>
      <c r="D145" t="s">
        <v>3457</v>
      </c>
      <c r="E145" t="s">
        <v>2576</v>
      </c>
      <c r="F145" t="s">
        <v>2577</v>
      </c>
      <c r="G145" t="s">
        <v>2579</v>
      </c>
      <c r="H145" t="s">
        <v>3130</v>
      </c>
    </row>
    <row r="146" spans="2:8" x14ac:dyDescent="0.25">
      <c r="B146" t="s">
        <v>3393</v>
      </c>
      <c r="C146">
        <v>2019</v>
      </c>
      <c r="D146" t="s">
        <v>3457</v>
      </c>
      <c r="E146" t="s">
        <v>2576</v>
      </c>
      <c r="F146" t="s">
        <v>2577</v>
      </c>
      <c r="G146" t="s">
        <v>2581</v>
      </c>
      <c r="H146" t="s">
        <v>3553</v>
      </c>
    </row>
    <row r="147" spans="2:8" x14ac:dyDescent="0.25">
      <c r="B147" t="s">
        <v>3393</v>
      </c>
      <c r="C147">
        <v>2019</v>
      </c>
      <c r="D147" t="s">
        <v>3457</v>
      </c>
      <c r="E147" t="s">
        <v>2576</v>
      </c>
      <c r="F147" t="s">
        <v>2577</v>
      </c>
      <c r="G147" t="s">
        <v>2582</v>
      </c>
      <c r="H147" t="s">
        <v>3131</v>
      </c>
    </row>
    <row r="148" spans="2:8" x14ac:dyDescent="0.25">
      <c r="B148" t="s">
        <v>3393</v>
      </c>
      <c r="C148">
        <v>2019</v>
      </c>
      <c r="D148" t="s">
        <v>3457</v>
      </c>
      <c r="E148" t="s">
        <v>2576</v>
      </c>
      <c r="F148" t="s">
        <v>2577</v>
      </c>
      <c r="G148" t="s">
        <v>2584</v>
      </c>
      <c r="H148" t="s">
        <v>3554</v>
      </c>
    </row>
    <row r="149" spans="2:8" x14ac:dyDescent="0.25">
      <c r="B149" t="s">
        <v>3393</v>
      </c>
      <c r="C149">
        <v>2019</v>
      </c>
      <c r="D149" t="s">
        <v>3457</v>
      </c>
      <c r="E149" t="s">
        <v>2576</v>
      </c>
      <c r="F149" t="s">
        <v>2577</v>
      </c>
      <c r="G149" t="s">
        <v>2585</v>
      </c>
      <c r="H149" t="s">
        <v>3132</v>
      </c>
    </row>
    <row r="150" spans="2:8" x14ac:dyDescent="0.25">
      <c r="B150" t="s">
        <v>3393</v>
      </c>
      <c r="C150">
        <v>2019</v>
      </c>
      <c r="D150" t="s">
        <v>3457</v>
      </c>
      <c r="E150" t="s">
        <v>2587</v>
      </c>
      <c r="F150" t="s">
        <v>2588</v>
      </c>
      <c r="G150" t="s">
        <v>1115</v>
      </c>
      <c r="H150" t="s">
        <v>3555</v>
      </c>
    </row>
    <row r="151" spans="2:8" x14ac:dyDescent="0.25">
      <c r="B151" t="s">
        <v>3393</v>
      </c>
      <c r="C151">
        <v>2019</v>
      </c>
      <c r="D151" t="s">
        <v>3457</v>
      </c>
      <c r="E151" t="s">
        <v>2589</v>
      </c>
      <c r="F151" t="s">
        <v>2590</v>
      </c>
      <c r="G151" t="s">
        <v>1100</v>
      </c>
      <c r="H151" t="s">
        <v>1997</v>
      </c>
    </row>
    <row r="152" spans="2:8" x14ac:dyDescent="0.25">
      <c r="B152" t="s">
        <v>3393</v>
      </c>
      <c r="C152">
        <v>2019</v>
      </c>
      <c r="D152" t="s">
        <v>3457</v>
      </c>
      <c r="E152" t="s">
        <v>2589</v>
      </c>
      <c r="F152" t="s">
        <v>2590</v>
      </c>
      <c r="G152" t="s">
        <v>2591</v>
      </c>
      <c r="H152" t="s">
        <v>3331</v>
      </c>
    </row>
    <row r="153" spans="2:8" x14ac:dyDescent="0.25">
      <c r="B153" t="s">
        <v>3393</v>
      </c>
      <c r="C153">
        <v>2019</v>
      </c>
      <c r="D153" t="s">
        <v>3457</v>
      </c>
      <c r="E153" t="s">
        <v>2589</v>
      </c>
      <c r="F153" t="s">
        <v>2590</v>
      </c>
      <c r="G153" t="s">
        <v>2592</v>
      </c>
      <c r="H153" t="s">
        <v>3556</v>
      </c>
    </row>
    <row r="154" spans="2:8" x14ac:dyDescent="0.25">
      <c r="B154" t="s">
        <v>3393</v>
      </c>
      <c r="C154">
        <v>2019</v>
      </c>
      <c r="D154" t="s">
        <v>3457</v>
      </c>
      <c r="E154" t="s">
        <v>2589</v>
      </c>
      <c r="F154" t="s">
        <v>2590</v>
      </c>
      <c r="G154" t="s">
        <v>1053</v>
      </c>
      <c r="H154" t="s">
        <v>3557</v>
      </c>
    </row>
    <row r="155" spans="2:8" x14ac:dyDescent="0.25">
      <c r="B155" t="s">
        <v>3393</v>
      </c>
      <c r="C155">
        <v>2019</v>
      </c>
      <c r="D155" t="s">
        <v>3457</v>
      </c>
      <c r="E155" t="s">
        <v>2589</v>
      </c>
      <c r="F155" t="s">
        <v>2590</v>
      </c>
      <c r="G155" t="s">
        <v>1103</v>
      </c>
      <c r="H155" t="s">
        <v>3558</v>
      </c>
    </row>
    <row r="156" spans="2:8" x14ac:dyDescent="0.25">
      <c r="B156" t="s">
        <v>3393</v>
      </c>
      <c r="C156">
        <v>2019</v>
      </c>
      <c r="D156" t="s">
        <v>3457</v>
      </c>
      <c r="E156" t="s">
        <v>2589</v>
      </c>
      <c r="F156" t="s">
        <v>2590</v>
      </c>
      <c r="G156" t="s">
        <v>182</v>
      </c>
      <c r="H156" t="s">
        <v>3559</v>
      </c>
    </row>
    <row r="157" spans="2:8" x14ac:dyDescent="0.25">
      <c r="B157" t="s">
        <v>3393</v>
      </c>
      <c r="C157">
        <v>2019</v>
      </c>
      <c r="D157" t="s">
        <v>3457</v>
      </c>
      <c r="E157" t="s">
        <v>2593</v>
      </c>
      <c r="F157" t="s">
        <v>2594</v>
      </c>
      <c r="G157" t="s">
        <v>2595</v>
      </c>
      <c r="H157" t="s">
        <v>3560</v>
      </c>
    </row>
    <row r="158" spans="2:8" x14ac:dyDescent="0.25">
      <c r="B158" t="s">
        <v>3393</v>
      </c>
      <c r="C158">
        <v>2019</v>
      </c>
      <c r="D158" t="s">
        <v>3457</v>
      </c>
      <c r="E158" t="s">
        <v>2593</v>
      </c>
      <c r="F158" t="s">
        <v>2594</v>
      </c>
      <c r="G158" t="s">
        <v>3134</v>
      </c>
      <c r="H158" t="s">
        <v>3561</v>
      </c>
    </row>
    <row r="159" spans="2:8" x14ac:dyDescent="0.25">
      <c r="B159" t="s">
        <v>3393</v>
      </c>
      <c r="C159">
        <v>2019</v>
      </c>
      <c r="D159" t="s">
        <v>3457</v>
      </c>
      <c r="E159" t="s">
        <v>2593</v>
      </c>
      <c r="F159" t="s">
        <v>2594</v>
      </c>
      <c r="G159" t="s">
        <v>3135</v>
      </c>
      <c r="H159" t="s">
        <v>3562</v>
      </c>
    </row>
    <row r="160" spans="2:8" x14ac:dyDescent="0.25">
      <c r="B160" t="s">
        <v>3393</v>
      </c>
      <c r="C160">
        <v>2019</v>
      </c>
      <c r="D160" t="s">
        <v>3457</v>
      </c>
      <c r="E160" t="s">
        <v>2593</v>
      </c>
      <c r="F160" t="s">
        <v>2594</v>
      </c>
      <c r="G160" t="s">
        <v>2596</v>
      </c>
      <c r="H160" t="s">
        <v>3563</v>
      </c>
    </row>
    <row r="161" spans="2:8" x14ac:dyDescent="0.25">
      <c r="B161" t="s">
        <v>3393</v>
      </c>
      <c r="C161">
        <v>2019</v>
      </c>
      <c r="D161" t="s">
        <v>3457</v>
      </c>
      <c r="E161" t="s">
        <v>2593</v>
      </c>
      <c r="F161" t="s">
        <v>2594</v>
      </c>
      <c r="G161" t="s">
        <v>2597</v>
      </c>
      <c r="H161" t="s">
        <v>3564</v>
      </c>
    </row>
    <row r="162" spans="2:8" x14ac:dyDescent="0.25">
      <c r="B162" t="s">
        <v>3393</v>
      </c>
      <c r="C162">
        <v>2019</v>
      </c>
      <c r="D162" t="s">
        <v>3457</v>
      </c>
      <c r="E162" t="s">
        <v>2593</v>
      </c>
      <c r="F162" t="s">
        <v>2594</v>
      </c>
      <c r="G162" t="s">
        <v>2599</v>
      </c>
      <c r="H162" t="s">
        <v>3565</v>
      </c>
    </row>
    <row r="163" spans="2:8" x14ac:dyDescent="0.25">
      <c r="B163" t="s">
        <v>3393</v>
      </c>
      <c r="C163">
        <v>2019</v>
      </c>
      <c r="D163" t="s">
        <v>3457</v>
      </c>
      <c r="E163" t="s">
        <v>3137</v>
      </c>
      <c r="F163" t="s">
        <v>3138</v>
      </c>
      <c r="G163" t="s">
        <v>3139</v>
      </c>
      <c r="H163" t="s">
        <v>3566</v>
      </c>
    </row>
    <row r="164" spans="2:8" x14ac:dyDescent="0.25">
      <c r="B164" t="s">
        <v>3393</v>
      </c>
      <c r="C164">
        <v>2019</v>
      </c>
      <c r="D164" t="s">
        <v>3457</v>
      </c>
      <c r="E164" t="s">
        <v>2600</v>
      </c>
      <c r="F164" t="s">
        <v>2601</v>
      </c>
      <c r="G164" t="s">
        <v>996</v>
      </c>
      <c r="H164" t="s">
        <v>3567</v>
      </c>
    </row>
    <row r="165" spans="2:8" x14ac:dyDescent="0.25">
      <c r="B165" t="s">
        <v>3393</v>
      </c>
      <c r="C165">
        <v>2019</v>
      </c>
      <c r="D165" t="s">
        <v>3457</v>
      </c>
      <c r="E165" t="s">
        <v>2600</v>
      </c>
      <c r="F165" t="s">
        <v>2601</v>
      </c>
      <c r="G165" t="s">
        <v>1005</v>
      </c>
      <c r="H165" t="s">
        <v>3568</v>
      </c>
    </row>
    <row r="166" spans="2:8" x14ac:dyDescent="0.25">
      <c r="B166" t="s">
        <v>3393</v>
      </c>
      <c r="C166">
        <v>2019</v>
      </c>
      <c r="D166" t="s">
        <v>3457</v>
      </c>
      <c r="E166" t="s">
        <v>2600</v>
      </c>
      <c r="F166" t="s">
        <v>2601</v>
      </c>
      <c r="G166" t="s">
        <v>994</v>
      </c>
      <c r="H166" t="s">
        <v>3569</v>
      </c>
    </row>
    <row r="167" spans="2:8" x14ac:dyDescent="0.25">
      <c r="B167" t="s">
        <v>3393</v>
      </c>
      <c r="C167">
        <v>2019</v>
      </c>
      <c r="D167" t="s">
        <v>3457</v>
      </c>
      <c r="E167" t="s">
        <v>2600</v>
      </c>
      <c r="F167" t="s">
        <v>2601</v>
      </c>
      <c r="G167" t="s">
        <v>995</v>
      </c>
      <c r="H167" t="s">
        <v>3570</v>
      </c>
    </row>
    <row r="168" spans="2:8" x14ac:dyDescent="0.25">
      <c r="B168" t="s">
        <v>3393</v>
      </c>
      <c r="C168">
        <v>2019</v>
      </c>
      <c r="D168" t="s">
        <v>3457</v>
      </c>
      <c r="E168" t="s">
        <v>2600</v>
      </c>
      <c r="F168" t="s">
        <v>2601</v>
      </c>
      <c r="G168" t="s">
        <v>990</v>
      </c>
      <c r="H168" t="s">
        <v>3571</v>
      </c>
    </row>
    <row r="169" spans="2:8" x14ac:dyDescent="0.25">
      <c r="B169" t="s">
        <v>3393</v>
      </c>
      <c r="C169">
        <v>2019</v>
      </c>
      <c r="D169" t="s">
        <v>3457</v>
      </c>
      <c r="E169" t="s">
        <v>2600</v>
      </c>
      <c r="F169" t="s">
        <v>2601</v>
      </c>
      <c r="G169" t="s">
        <v>1001</v>
      </c>
      <c r="H169" t="s">
        <v>2171</v>
      </c>
    </row>
    <row r="170" spans="2:8" x14ac:dyDescent="0.25">
      <c r="B170" t="s">
        <v>3393</v>
      </c>
      <c r="C170">
        <v>2019</v>
      </c>
      <c r="D170" t="s">
        <v>3457</v>
      </c>
      <c r="E170" t="s">
        <v>2600</v>
      </c>
      <c r="F170" t="s">
        <v>2601</v>
      </c>
      <c r="G170" t="s">
        <v>2602</v>
      </c>
      <c r="H170" t="s">
        <v>3572</v>
      </c>
    </row>
    <row r="171" spans="2:8" x14ac:dyDescent="0.25">
      <c r="B171" t="s">
        <v>3393</v>
      </c>
      <c r="C171">
        <v>2019</v>
      </c>
      <c r="D171" t="s">
        <v>3457</v>
      </c>
      <c r="E171" t="s">
        <v>2600</v>
      </c>
      <c r="F171" t="s">
        <v>2601</v>
      </c>
      <c r="G171" t="s">
        <v>989</v>
      </c>
      <c r="H171" t="s">
        <v>3573</v>
      </c>
    </row>
    <row r="172" spans="2:8" x14ac:dyDescent="0.25">
      <c r="B172" t="s">
        <v>3393</v>
      </c>
      <c r="C172">
        <v>2019</v>
      </c>
      <c r="D172" t="s">
        <v>3457</v>
      </c>
      <c r="E172" t="s">
        <v>2600</v>
      </c>
      <c r="F172" t="s">
        <v>2601</v>
      </c>
      <c r="G172" t="s">
        <v>987</v>
      </c>
      <c r="H172" t="s">
        <v>3574</v>
      </c>
    </row>
    <row r="173" spans="2:8" x14ac:dyDescent="0.25">
      <c r="B173" t="s">
        <v>3393</v>
      </c>
      <c r="C173">
        <v>2019</v>
      </c>
      <c r="D173" t="s">
        <v>3457</v>
      </c>
      <c r="E173" t="s">
        <v>2600</v>
      </c>
      <c r="F173" t="s">
        <v>2601</v>
      </c>
      <c r="G173" t="s">
        <v>993</v>
      </c>
      <c r="H173" t="s">
        <v>3575</v>
      </c>
    </row>
    <row r="174" spans="2:8" x14ac:dyDescent="0.25">
      <c r="B174" t="s">
        <v>3393</v>
      </c>
      <c r="C174">
        <v>2019</v>
      </c>
      <c r="D174" t="s">
        <v>3457</v>
      </c>
      <c r="E174" t="s">
        <v>2600</v>
      </c>
      <c r="F174" t="s">
        <v>2601</v>
      </c>
      <c r="G174" t="s">
        <v>992</v>
      </c>
      <c r="H174" t="s">
        <v>3576</v>
      </c>
    </row>
    <row r="175" spans="2:8" x14ac:dyDescent="0.25">
      <c r="B175" t="s">
        <v>3393</v>
      </c>
      <c r="C175">
        <v>2019</v>
      </c>
      <c r="D175" t="s">
        <v>3457</v>
      </c>
      <c r="E175" t="s">
        <v>2600</v>
      </c>
      <c r="F175" t="s">
        <v>2601</v>
      </c>
      <c r="G175" t="s">
        <v>1000</v>
      </c>
      <c r="H175" t="s">
        <v>2972</v>
      </c>
    </row>
    <row r="176" spans="2:8" x14ac:dyDescent="0.25">
      <c r="B176" t="s">
        <v>3393</v>
      </c>
      <c r="C176">
        <v>2019</v>
      </c>
      <c r="D176" t="s">
        <v>3457</v>
      </c>
      <c r="E176" t="s">
        <v>2600</v>
      </c>
      <c r="F176" t="s">
        <v>2601</v>
      </c>
      <c r="G176" t="s">
        <v>1004</v>
      </c>
      <c r="H176" t="s">
        <v>3577</v>
      </c>
    </row>
    <row r="177" spans="2:8" x14ac:dyDescent="0.25">
      <c r="B177" t="s">
        <v>3393</v>
      </c>
      <c r="C177">
        <v>2019</v>
      </c>
      <c r="D177" t="s">
        <v>3457</v>
      </c>
      <c r="E177" t="s">
        <v>2600</v>
      </c>
      <c r="F177" t="s">
        <v>2601</v>
      </c>
      <c r="G177" t="s">
        <v>1003</v>
      </c>
      <c r="H177" t="s">
        <v>3578</v>
      </c>
    </row>
    <row r="178" spans="2:8" x14ac:dyDescent="0.25">
      <c r="B178" t="s">
        <v>3393</v>
      </c>
      <c r="C178">
        <v>2019</v>
      </c>
      <c r="D178" t="s">
        <v>3457</v>
      </c>
      <c r="E178" t="s">
        <v>2600</v>
      </c>
      <c r="F178" t="s">
        <v>2601</v>
      </c>
      <c r="G178" t="s">
        <v>997</v>
      </c>
      <c r="H178" t="s">
        <v>3579</v>
      </c>
    </row>
    <row r="179" spans="2:8" x14ac:dyDescent="0.25">
      <c r="B179" t="s">
        <v>3393</v>
      </c>
      <c r="C179">
        <v>2019</v>
      </c>
      <c r="D179" t="s">
        <v>3457</v>
      </c>
      <c r="E179" t="s">
        <v>2600</v>
      </c>
      <c r="F179" t="s">
        <v>2601</v>
      </c>
      <c r="G179" t="s">
        <v>986</v>
      </c>
      <c r="H179" t="s">
        <v>3580</v>
      </c>
    </row>
    <row r="180" spans="2:8" x14ac:dyDescent="0.25">
      <c r="B180" t="s">
        <v>3393</v>
      </c>
      <c r="C180">
        <v>2019</v>
      </c>
      <c r="D180" t="s">
        <v>3457</v>
      </c>
      <c r="E180" t="s">
        <v>2600</v>
      </c>
      <c r="F180" t="s">
        <v>2601</v>
      </c>
      <c r="G180" t="s">
        <v>991</v>
      </c>
      <c r="H180" t="s">
        <v>3581</v>
      </c>
    </row>
    <row r="181" spans="2:8" x14ac:dyDescent="0.25">
      <c r="B181" t="s">
        <v>3393</v>
      </c>
      <c r="C181">
        <v>2019</v>
      </c>
      <c r="D181" t="s">
        <v>3457</v>
      </c>
      <c r="E181" t="s">
        <v>2600</v>
      </c>
      <c r="F181" t="s">
        <v>2601</v>
      </c>
      <c r="G181" t="s">
        <v>999</v>
      </c>
      <c r="H181" t="s">
        <v>3582</v>
      </c>
    </row>
    <row r="182" spans="2:8" x14ac:dyDescent="0.25">
      <c r="B182" t="s">
        <v>3393</v>
      </c>
      <c r="C182">
        <v>2019</v>
      </c>
      <c r="D182" t="s">
        <v>3457</v>
      </c>
      <c r="E182" t="s">
        <v>2600</v>
      </c>
      <c r="F182" t="s">
        <v>2601</v>
      </c>
      <c r="G182" t="s">
        <v>998</v>
      </c>
      <c r="H182" t="s">
        <v>3583</v>
      </c>
    </row>
    <row r="183" spans="2:8" x14ac:dyDescent="0.25">
      <c r="B183" t="s">
        <v>3393</v>
      </c>
      <c r="C183">
        <v>2019</v>
      </c>
      <c r="D183" t="s">
        <v>3457</v>
      </c>
      <c r="E183" t="s">
        <v>2600</v>
      </c>
      <c r="F183" t="s">
        <v>2601</v>
      </c>
      <c r="G183" t="s">
        <v>1002</v>
      </c>
      <c r="H183" t="s">
        <v>3584</v>
      </c>
    </row>
    <row r="184" spans="2:8" x14ac:dyDescent="0.25">
      <c r="B184" t="s">
        <v>3393</v>
      </c>
      <c r="C184">
        <v>2019</v>
      </c>
      <c r="D184" t="s">
        <v>3457</v>
      </c>
      <c r="E184" t="s">
        <v>2600</v>
      </c>
      <c r="F184" t="s">
        <v>2601</v>
      </c>
      <c r="G184" t="s">
        <v>1006</v>
      </c>
      <c r="H184" t="s">
        <v>3585</v>
      </c>
    </row>
    <row r="185" spans="2:8" x14ac:dyDescent="0.25">
      <c r="B185" t="s">
        <v>3393</v>
      </c>
      <c r="C185">
        <v>2019</v>
      </c>
      <c r="D185" t="s">
        <v>3457</v>
      </c>
      <c r="E185" t="s">
        <v>2604</v>
      </c>
      <c r="F185" t="s">
        <v>2605</v>
      </c>
      <c r="G185" t="s">
        <v>1010</v>
      </c>
      <c r="H185" t="s">
        <v>3586</v>
      </c>
    </row>
    <row r="186" spans="2:8" x14ac:dyDescent="0.25">
      <c r="B186" t="s">
        <v>3393</v>
      </c>
      <c r="C186">
        <v>2019</v>
      </c>
      <c r="D186" t="s">
        <v>3457</v>
      </c>
      <c r="E186" t="s">
        <v>2604</v>
      </c>
      <c r="F186" t="s">
        <v>2605</v>
      </c>
      <c r="G186" t="s">
        <v>1011</v>
      </c>
      <c r="H186" t="s">
        <v>3587</v>
      </c>
    </row>
    <row r="187" spans="2:8" x14ac:dyDescent="0.25">
      <c r="B187" t="s">
        <v>3393</v>
      </c>
      <c r="C187">
        <v>2019</v>
      </c>
      <c r="D187" t="s">
        <v>3457</v>
      </c>
      <c r="E187" t="s">
        <v>2604</v>
      </c>
      <c r="F187" t="s">
        <v>2605</v>
      </c>
      <c r="G187" t="s">
        <v>1017</v>
      </c>
      <c r="H187" t="s">
        <v>3588</v>
      </c>
    </row>
    <row r="188" spans="2:8" x14ac:dyDescent="0.25">
      <c r="B188" t="s">
        <v>3393</v>
      </c>
      <c r="C188">
        <v>2019</v>
      </c>
      <c r="D188" t="s">
        <v>3457</v>
      </c>
      <c r="E188" t="s">
        <v>2604</v>
      </c>
      <c r="F188" t="s">
        <v>2605</v>
      </c>
      <c r="G188" t="s">
        <v>1029</v>
      </c>
      <c r="H188" t="s">
        <v>3589</v>
      </c>
    </row>
    <row r="189" spans="2:8" x14ac:dyDescent="0.25">
      <c r="B189" t="s">
        <v>3393</v>
      </c>
      <c r="C189">
        <v>2019</v>
      </c>
      <c r="D189" t="s">
        <v>3457</v>
      </c>
      <c r="E189" t="s">
        <v>2604</v>
      </c>
      <c r="F189" t="s">
        <v>2605</v>
      </c>
      <c r="G189" t="s">
        <v>1013</v>
      </c>
      <c r="H189" t="s">
        <v>3590</v>
      </c>
    </row>
    <row r="190" spans="2:8" x14ac:dyDescent="0.25">
      <c r="B190" t="s">
        <v>3393</v>
      </c>
      <c r="C190">
        <v>2019</v>
      </c>
      <c r="D190" t="s">
        <v>3457</v>
      </c>
      <c r="E190" t="s">
        <v>2604</v>
      </c>
      <c r="F190" t="s">
        <v>2605</v>
      </c>
      <c r="G190" t="s">
        <v>1028</v>
      </c>
      <c r="H190" t="s">
        <v>3591</v>
      </c>
    </row>
    <row r="191" spans="2:8" x14ac:dyDescent="0.25">
      <c r="B191" t="s">
        <v>3393</v>
      </c>
      <c r="C191">
        <v>2019</v>
      </c>
      <c r="D191" t="s">
        <v>3457</v>
      </c>
      <c r="E191" t="s">
        <v>2604</v>
      </c>
      <c r="F191" t="s">
        <v>2605</v>
      </c>
      <c r="G191" t="s">
        <v>1020</v>
      </c>
      <c r="H191" t="s">
        <v>3592</v>
      </c>
    </row>
    <row r="192" spans="2:8" x14ac:dyDescent="0.25">
      <c r="B192" t="s">
        <v>3393</v>
      </c>
      <c r="C192">
        <v>2019</v>
      </c>
      <c r="D192" t="s">
        <v>3457</v>
      </c>
      <c r="E192" t="s">
        <v>2604</v>
      </c>
      <c r="F192" t="s">
        <v>2605</v>
      </c>
      <c r="G192" t="s">
        <v>1016</v>
      </c>
      <c r="H192" t="s">
        <v>3593</v>
      </c>
    </row>
    <row r="193" spans="2:8" x14ac:dyDescent="0.25">
      <c r="B193" t="s">
        <v>3393</v>
      </c>
      <c r="C193">
        <v>2019</v>
      </c>
      <c r="D193" t="s">
        <v>3457</v>
      </c>
      <c r="E193" t="s">
        <v>2604</v>
      </c>
      <c r="F193" t="s">
        <v>2605</v>
      </c>
      <c r="G193" t="s">
        <v>1030</v>
      </c>
      <c r="H193" t="s">
        <v>3594</v>
      </c>
    </row>
    <row r="194" spans="2:8" x14ac:dyDescent="0.25">
      <c r="B194" t="s">
        <v>3393</v>
      </c>
      <c r="C194">
        <v>2019</v>
      </c>
      <c r="D194" t="s">
        <v>3457</v>
      </c>
      <c r="E194" t="s">
        <v>2604</v>
      </c>
      <c r="F194" t="s">
        <v>2605</v>
      </c>
      <c r="G194" t="s">
        <v>1021</v>
      </c>
      <c r="H194" t="s">
        <v>3595</v>
      </c>
    </row>
    <row r="195" spans="2:8" x14ac:dyDescent="0.25">
      <c r="B195" t="s">
        <v>3393</v>
      </c>
      <c r="C195">
        <v>2019</v>
      </c>
      <c r="D195" t="s">
        <v>3457</v>
      </c>
      <c r="E195" t="s">
        <v>2604</v>
      </c>
      <c r="F195" t="s">
        <v>2605</v>
      </c>
      <c r="G195" t="s">
        <v>1009</v>
      </c>
      <c r="H195" t="s">
        <v>3596</v>
      </c>
    </row>
    <row r="196" spans="2:8" x14ac:dyDescent="0.25">
      <c r="B196" t="s">
        <v>3393</v>
      </c>
      <c r="C196">
        <v>2019</v>
      </c>
      <c r="D196" t="s">
        <v>3457</v>
      </c>
      <c r="E196" t="s">
        <v>2604</v>
      </c>
      <c r="F196" t="s">
        <v>2605</v>
      </c>
      <c r="G196" t="s">
        <v>1019</v>
      </c>
      <c r="H196" t="s">
        <v>3597</v>
      </c>
    </row>
    <row r="197" spans="2:8" x14ac:dyDescent="0.25">
      <c r="B197" t="s">
        <v>3393</v>
      </c>
      <c r="C197">
        <v>2019</v>
      </c>
      <c r="D197" t="s">
        <v>3457</v>
      </c>
      <c r="E197" t="s">
        <v>2604</v>
      </c>
      <c r="F197" t="s">
        <v>2605</v>
      </c>
      <c r="G197" t="s">
        <v>1025</v>
      </c>
      <c r="H197" t="s">
        <v>3268</v>
      </c>
    </row>
    <row r="198" spans="2:8" x14ac:dyDescent="0.25">
      <c r="B198" t="s">
        <v>3393</v>
      </c>
      <c r="C198">
        <v>2019</v>
      </c>
      <c r="D198" t="s">
        <v>3457</v>
      </c>
      <c r="E198" t="s">
        <v>2604</v>
      </c>
      <c r="F198" t="s">
        <v>2605</v>
      </c>
      <c r="G198" t="s">
        <v>1024</v>
      </c>
      <c r="H198" t="s">
        <v>3598</v>
      </c>
    </row>
    <row r="199" spans="2:8" x14ac:dyDescent="0.25">
      <c r="B199" t="s">
        <v>3393</v>
      </c>
      <c r="C199">
        <v>2019</v>
      </c>
      <c r="D199" t="s">
        <v>3457</v>
      </c>
      <c r="E199" t="s">
        <v>2604</v>
      </c>
      <c r="F199" t="s">
        <v>2605</v>
      </c>
      <c r="G199" t="s">
        <v>1026</v>
      </c>
      <c r="H199" t="s">
        <v>1993</v>
      </c>
    </row>
    <row r="200" spans="2:8" x14ac:dyDescent="0.25">
      <c r="B200" t="s">
        <v>3393</v>
      </c>
      <c r="C200">
        <v>2019</v>
      </c>
      <c r="D200" t="s">
        <v>3457</v>
      </c>
      <c r="E200" t="s">
        <v>2604</v>
      </c>
      <c r="F200" t="s">
        <v>2605</v>
      </c>
      <c r="G200" t="s">
        <v>1023</v>
      </c>
      <c r="H200" t="s">
        <v>3599</v>
      </c>
    </row>
    <row r="201" spans="2:8" x14ac:dyDescent="0.25">
      <c r="B201" t="s">
        <v>3393</v>
      </c>
      <c r="C201">
        <v>2019</v>
      </c>
      <c r="D201" t="s">
        <v>3457</v>
      </c>
      <c r="E201" t="s">
        <v>2604</v>
      </c>
      <c r="F201" t="s">
        <v>2605</v>
      </c>
      <c r="G201" t="s">
        <v>1027</v>
      </c>
      <c r="H201" t="s">
        <v>3600</v>
      </c>
    </row>
    <row r="202" spans="2:8" x14ac:dyDescent="0.25">
      <c r="B202" t="s">
        <v>3393</v>
      </c>
      <c r="C202">
        <v>2019</v>
      </c>
      <c r="D202" t="s">
        <v>3457</v>
      </c>
      <c r="E202" t="s">
        <v>2604</v>
      </c>
      <c r="F202" t="s">
        <v>2605</v>
      </c>
      <c r="G202" t="s">
        <v>1022</v>
      </c>
      <c r="H202" t="s">
        <v>3601</v>
      </c>
    </row>
    <row r="203" spans="2:8" x14ac:dyDescent="0.25">
      <c r="B203" t="s">
        <v>3393</v>
      </c>
      <c r="C203">
        <v>2019</v>
      </c>
      <c r="D203" t="s">
        <v>3457</v>
      </c>
      <c r="E203" t="s">
        <v>2604</v>
      </c>
      <c r="F203" t="s">
        <v>2605</v>
      </c>
      <c r="G203" t="s">
        <v>1018</v>
      </c>
      <c r="H203" t="s">
        <v>3602</v>
      </c>
    </row>
    <row r="204" spans="2:8" x14ac:dyDescent="0.25">
      <c r="B204" t="s">
        <v>3393</v>
      </c>
      <c r="C204">
        <v>2019</v>
      </c>
      <c r="D204" t="s">
        <v>3457</v>
      </c>
      <c r="E204" t="s">
        <v>2604</v>
      </c>
      <c r="F204" t="s">
        <v>2605</v>
      </c>
      <c r="G204" t="s">
        <v>1014</v>
      </c>
      <c r="H204" t="s">
        <v>3160</v>
      </c>
    </row>
    <row r="205" spans="2:8" x14ac:dyDescent="0.25">
      <c r="B205" t="s">
        <v>3393</v>
      </c>
      <c r="C205">
        <v>2019</v>
      </c>
      <c r="D205" t="s">
        <v>3457</v>
      </c>
      <c r="E205" t="s">
        <v>2604</v>
      </c>
      <c r="F205" t="s">
        <v>2605</v>
      </c>
      <c r="G205" t="s">
        <v>792</v>
      </c>
      <c r="H205" t="s">
        <v>3603</v>
      </c>
    </row>
    <row r="206" spans="2:8" x14ac:dyDescent="0.25">
      <c r="B206" t="s">
        <v>3393</v>
      </c>
      <c r="C206">
        <v>2019</v>
      </c>
      <c r="D206" t="s">
        <v>3457</v>
      </c>
      <c r="E206" t="s">
        <v>2604</v>
      </c>
      <c r="F206" t="s">
        <v>2605</v>
      </c>
      <c r="G206" t="s">
        <v>1012</v>
      </c>
      <c r="H206" t="s">
        <v>3604</v>
      </c>
    </row>
    <row r="207" spans="2:8" x14ac:dyDescent="0.25">
      <c r="B207" t="s">
        <v>3393</v>
      </c>
      <c r="C207">
        <v>2019</v>
      </c>
      <c r="D207" t="s">
        <v>3457</v>
      </c>
      <c r="E207" t="s">
        <v>2604</v>
      </c>
      <c r="F207" t="s">
        <v>2605</v>
      </c>
      <c r="G207" t="s">
        <v>1015</v>
      </c>
      <c r="H207" t="s">
        <v>3605</v>
      </c>
    </row>
    <row r="208" spans="2:8" x14ac:dyDescent="0.25">
      <c r="B208" t="s">
        <v>3393</v>
      </c>
      <c r="C208">
        <v>2019</v>
      </c>
      <c r="D208" t="s">
        <v>3457</v>
      </c>
      <c r="E208" t="s">
        <v>2604</v>
      </c>
      <c r="F208" t="s">
        <v>2605</v>
      </c>
      <c r="G208" t="s">
        <v>1031</v>
      </c>
      <c r="H208" t="s">
        <v>3606</v>
      </c>
    </row>
    <row r="209" spans="2:8" x14ac:dyDescent="0.25">
      <c r="B209" t="s">
        <v>3393</v>
      </c>
      <c r="C209">
        <v>2019</v>
      </c>
      <c r="D209" t="s">
        <v>3457</v>
      </c>
      <c r="E209" t="s">
        <v>2604</v>
      </c>
      <c r="F209" t="s">
        <v>2605</v>
      </c>
      <c r="G209" t="s">
        <v>798</v>
      </c>
      <c r="H209" t="s">
        <v>3607</v>
      </c>
    </row>
    <row r="210" spans="2:8" x14ac:dyDescent="0.25">
      <c r="B210" t="s">
        <v>3393</v>
      </c>
      <c r="C210">
        <v>2019</v>
      </c>
      <c r="D210" t="s">
        <v>3457</v>
      </c>
      <c r="E210" t="s">
        <v>2606</v>
      </c>
      <c r="F210" t="s">
        <v>2607</v>
      </c>
      <c r="G210" t="s">
        <v>2608</v>
      </c>
      <c r="H210" t="s">
        <v>3608</v>
      </c>
    </row>
    <row r="211" spans="2:8" x14ac:dyDescent="0.25">
      <c r="B211" t="s">
        <v>3393</v>
      </c>
      <c r="C211">
        <v>2019</v>
      </c>
      <c r="D211" t="s">
        <v>3457</v>
      </c>
      <c r="E211" t="s">
        <v>2609</v>
      </c>
      <c r="F211" t="s">
        <v>2610</v>
      </c>
      <c r="G211" t="s">
        <v>2611</v>
      </c>
      <c r="H211" t="s">
        <v>1993</v>
      </c>
    </row>
    <row r="212" spans="2:8" x14ac:dyDescent="0.25">
      <c r="B212" t="s">
        <v>3393</v>
      </c>
      <c r="C212">
        <v>2019</v>
      </c>
      <c r="D212" t="s">
        <v>3457</v>
      </c>
      <c r="E212" t="s">
        <v>2609</v>
      </c>
      <c r="F212" t="s">
        <v>2610</v>
      </c>
      <c r="G212" t="s">
        <v>2612</v>
      </c>
      <c r="H212" t="s">
        <v>3609</v>
      </c>
    </row>
    <row r="213" spans="2:8" x14ac:dyDescent="0.25">
      <c r="B213" t="s">
        <v>3393</v>
      </c>
      <c r="C213">
        <v>2019</v>
      </c>
      <c r="D213" t="s">
        <v>3457</v>
      </c>
      <c r="E213" t="s">
        <v>2609</v>
      </c>
      <c r="F213" t="s">
        <v>2610</v>
      </c>
      <c r="G213" t="s">
        <v>2613</v>
      </c>
      <c r="H213" t="s">
        <v>3610</v>
      </c>
    </row>
    <row r="214" spans="2:8" x14ac:dyDescent="0.25">
      <c r="B214" t="s">
        <v>3393</v>
      </c>
      <c r="C214">
        <v>2019</v>
      </c>
      <c r="D214" t="s">
        <v>3457</v>
      </c>
      <c r="E214" t="s">
        <v>2609</v>
      </c>
      <c r="F214" t="s">
        <v>2610</v>
      </c>
      <c r="G214" t="s">
        <v>2614</v>
      </c>
      <c r="H214" t="s">
        <v>3611</v>
      </c>
    </row>
    <row r="215" spans="2:8" x14ac:dyDescent="0.25">
      <c r="B215" t="s">
        <v>3393</v>
      </c>
      <c r="C215">
        <v>2019</v>
      </c>
      <c r="D215" t="s">
        <v>3457</v>
      </c>
      <c r="E215" t="s">
        <v>2615</v>
      </c>
      <c r="F215" t="s">
        <v>2616</v>
      </c>
      <c r="G215" t="s">
        <v>2617</v>
      </c>
      <c r="H215" t="s">
        <v>2518</v>
      </c>
    </row>
    <row r="216" spans="2:8" x14ac:dyDescent="0.25">
      <c r="B216" t="s">
        <v>3393</v>
      </c>
      <c r="C216">
        <v>2019</v>
      </c>
      <c r="D216" t="s">
        <v>3457</v>
      </c>
      <c r="E216" t="s">
        <v>2615</v>
      </c>
      <c r="F216" t="s">
        <v>2616</v>
      </c>
      <c r="G216" t="s">
        <v>2618</v>
      </c>
      <c r="H216" t="s">
        <v>2039</v>
      </c>
    </row>
    <row r="217" spans="2:8" x14ac:dyDescent="0.25">
      <c r="B217" t="s">
        <v>3393</v>
      </c>
      <c r="C217">
        <v>2019</v>
      </c>
      <c r="D217" t="s">
        <v>3457</v>
      </c>
      <c r="E217" t="s">
        <v>2615</v>
      </c>
      <c r="F217" t="s">
        <v>2616</v>
      </c>
      <c r="G217" t="s">
        <v>2619</v>
      </c>
      <c r="H217" t="s">
        <v>3612</v>
      </c>
    </row>
    <row r="218" spans="2:8" x14ac:dyDescent="0.25">
      <c r="B218" t="s">
        <v>3393</v>
      </c>
      <c r="C218">
        <v>2019</v>
      </c>
      <c r="D218" t="s">
        <v>3457</v>
      </c>
      <c r="E218" t="s">
        <v>2615</v>
      </c>
      <c r="F218" t="s">
        <v>2616</v>
      </c>
      <c r="G218" t="s">
        <v>2620</v>
      </c>
      <c r="H218" t="s">
        <v>3613</v>
      </c>
    </row>
    <row r="219" spans="2:8" x14ac:dyDescent="0.25">
      <c r="B219" t="s">
        <v>3393</v>
      </c>
      <c r="C219">
        <v>2019</v>
      </c>
      <c r="D219" t="s">
        <v>3457</v>
      </c>
      <c r="E219" t="s">
        <v>2615</v>
      </c>
      <c r="F219" t="s">
        <v>2616</v>
      </c>
      <c r="G219" t="s">
        <v>2621</v>
      </c>
      <c r="H219" t="s">
        <v>2518</v>
      </c>
    </row>
    <row r="220" spans="2:8" x14ac:dyDescent="0.25">
      <c r="B220" t="s">
        <v>3393</v>
      </c>
      <c r="C220">
        <v>2019</v>
      </c>
      <c r="D220" t="s">
        <v>3457</v>
      </c>
      <c r="E220" t="s">
        <v>2615</v>
      </c>
      <c r="F220" t="s">
        <v>2616</v>
      </c>
      <c r="G220" t="s">
        <v>2622</v>
      </c>
      <c r="H220" t="s">
        <v>2153</v>
      </c>
    </row>
    <row r="221" spans="2:8" x14ac:dyDescent="0.25">
      <c r="B221" t="s">
        <v>3393</v>
      </c>
      <c r="C221">
        <v>2019</v>
      </c>
      <c r="D221" t="s">
        <v>3457</v>
      </c>
      <c r="E221" t="s">
        <v>2615</v>
      </c>
      <c r="F221" t="s">
        <v>2616</v>
      </c>
      <c r="G221" t="s">
        <v>2624</v>
      </c>
      <c r="H221" t="s">
        <v>3614</v>
      </c>
    </row>
    <row r="222" spans="2:8" x14ac:dyDescent="0.25">
      <c r="B222" t="s">
        <v>3393</v>
      </c>
      <c r="C222">
        <v>2019</v>
      </c>
      <c r="D222" t="s">
        <v>3457</v>
      </c>
      <c r="E222" t="s">
        <v>2615</v>
      </c>
      <c r="F222" t="s">
        <v>2616</v>
      </c>
      <c r="G222" t="s">
        <v>2625</v>
      </c>
      <c r="H222" t="s">
        <v>3613</v>
      </c>
    </row>
    <row r="223" spans="2:8" x14ac:dyDescent="0.25">
      <c r="B223" t="s">
        <v>3393</v>
      </c>
      <c r="C223">
        <v>2019</v>
      </c>
      <c r="D223" t="s">
        <v>3457</v>
      </c>
      <c r="E223" t="s">
        <v>2615</v>
      </c>
      <c r="F223" t="s">
        <v>2616</v>
      </c>
      <c r="G223" t="s">
        <v>2626</v>
      </c>
      <c r="H223" t="s">
        <v>2518</v>
      </c>
    </row>
    <row r="224" spans="2:8" x14ac:dyDescent="0.25">
      <c r="B224" t="s">
        <v>3393</v>
      </c>
      <c r="C224">
        <v>2019</v>
      </c>
      <c r="D224" t="s">
        <v>3457</v>
      </c>
      <c r="E224" t="s">
        <v>2615</v>
      </c>
      <c r="F224" t="s">
        <v>2616</v>
      </c>
      <c r="G224" t="s">
        <v>2627</v>
      </c>
      <c r="H224" t="s">
        <v>1993</v>
      </c>
    </row>
    <row r="225" spans="2:8" x14ac:dyDescent="0.25">
      <c r="B225" t="s">
        <v>3393</v>
      </c>
      <c r="C225">
        <v>2019</v>
      </c>
      <c r="D225" t="s">
        <v>3457</v>
      </c>
      <c r="E225" t="s">
        <v>2615</v>
      </c>
      <c r="F225" t="s">
        <v>2616</v>
      </c>
      <c r="G225" t="s">
        <v>2628</v>
      </c>
      <c r="H225" t="s">
        <v>2171</v>
      </c>
    </row>
    <row r="226" spans="2:8" x14ac:dyDescent="0.25">
      <c r="B226" t="s">
        <v>3393</v>
      </c>
      <c r="C226">
        <v>2019</v>
      </c>
      <c r="D226" t="s">
        <v>3457</v>
      </c>
      <c r="E226" t="s">
        <v>2615</v>
      </c>
      <c r="F226" t="s">
        <v>2616</v>
      </c>
      <c r="G226" t="s">
        <v>2629</v>
      </c>
      <c r="H226" t="s">
        <v>3613</v>
      </c>
    </row>
    <row r="227" spans="2:8" x14ac:dyDescent="0.25">
      <c r="B227" t="s">
        <v>3393</v>
      </c>
      <c r="C227">
        <v>2019</v>
      </c>
      <c r="D227" t="s">
        <v>3457</v>
      </c>
      <c r="E227" t="s">
        <v>2615</v>
      </c>
      <c r="F227" t="s">
        <v>2616</v>
      </c>
      <c r="G227" t="s">
        <v>2630</v>
      </c>
      <c r="H227" t="s">
        <v>2518</v>
      </c>
    </row>
    <row r="228" spans="2:8" x14ac:dyDescent="0.25">
      <c r="B228" t="s">
        <v>3393</v>
      </c>
      <c r="C228">
        <v>2019</v>
      </c>
      <c r="D228" t="s">
        <v>3457</v>
      </c>
      <c r="E228" t="s">
        <v>2615</v>
      </c>
      <c r="F228" t="s">
        <v>2616</v>
      </c>
      <c r="G228" t="s">
        <v>2631</v>
      </c>
      <c r="H228" t="s">
        <v>2972</v>
      </c>
    </row>
    <row r="229" spans="2:8" x14ac:dyDescent="0.25">
      <c r="B229" t="s">
        <v>3393</v>
      </c>
      <c r="C229">
        <v>2019</v>
      </c>
      <c r="D229" t="s">
        <v>3457</v>
      </c>
      <c r="E229" t="s">
        <v>2615</v>
      </c>
      <c r="F229" t="s">
        <v>2616</v>
      </c>
      <c r="G229" t="s">
        <v>2632</v>
      </c>
      <c r="H229" t="s">
        <v>1993</v>
      </c>
    </row>
    <row r="230" spans="2:8" x14ac:dyDescent="0.25">
      <c r="B230" t="s">
        <v>3393</v>
      </c>
      <c r="C230">
        <v>2019</v>
      </c>
      <c r="D230" t="s">
        <v>3457</v>
      </c>
      <c r="E230" t="s">
        <v>2615</v>
      </c>
      <c r="F230" t="s">
        <v>2616</v>
      </c>
      <c r="G230" t="s">
        <v>2633</v>
      </c>
      <c r="H230" t="s">
        <v>3613</v>
      </c>
    </row>
    <row r="231" spans="2:8" x14ac:dyDescent="0.25">
      <c r="B231" t="s">
        <v>3393</v>
      </c>
      <c r="C231">
        <v>2019</v>
      </c>
      <c r="D231" t="s">
        <v>3457</v>
      </c>
      <c r="E231" t="s">
        <v>2615</v>
      </c>
      <c r="F231" t="s">
        <v>2616</v>
      </c>
      <c r="G231" t="s">
        <v>2634</v>
      </c>
      <c r="H231" t="s">
        <v>2518</v>
      </c>
    </row>
    <row r="232" spans="2:8" x14ac:dyDescent="0.25">
      <c r="B232" t="s">
        <v>3393</v>
      </c>
      <c r="C232">
        <v>2019</v>
      </c>
      <c r="D232" t="s">
        <v>3457</v>
      </c>
      <c r="E232" t="s">
        <v>2615</v>
      </c>
      <c r="F232" t="s">
        <v>2616</v>
      </c>
      <c r="G232" t="s">
        <v>2635</v>
      </c>
      <c r="H232" t="s">
        <v>1993</v>
      </c>
    </row>
    <row r="233" spans="2:8" x14ac:dyDescent="0.25">
      <c r="B233" t="s">
        <v>3393</v>
      </c>
      <c r="C233">
        <v>2019</v>
      </c>
      <c r="D233" t="s">
        <v>3457</v>
      </c>
      <c r="E233" t="s">
        <v>2615</v>
      </c>
      <c r="F233" t="s">
        <v>2616</v>
      </c>
      <c r="G233" t="s">
        <v>2636</v>
      </c>
      <c r="H233" t="s">
        <v>3615</v>
      </c>
    </row>
    <row r="234" spans="2:8" x14ac:dyDescent="0.25">
      <c r="B234" t="s">
        <v>3393</v>
      </c>
      <c r="C234">
        <v>2019</v>
      </c>
      <c r="D234" t="s">
        <v>3457</v>
      </c>
      <c r="E234" t="s">
        <v>2615</v>
      </c>
      <c r="F234" t="s">
        <v>2616</v>
      </c>
      <c r="G234" t="s">
        <v>2637</v>
      </c>
      <c r="H234" t="s">
        <v>3613</v>
      </c>
    </row>
    <row r="235" spans="2:8" x14ac:dyDescent="0.25">
      <c r="B235" t="s">
        <v>3393</v>
      </c>
      <c r="C235">
        <v>2019</v>
      </c>
      <c r="D235" t="s">
        <v>3457</v>
      </c>
      <c r="E235" t="s">
        <v>2615</v>
      </c>
      <c r="F235" t="s">
        <v>2616</v>
      </c>
      <c r="G235" t="s">
        <v>2638</v>
      </c>
      <c r="H235" t="s">
        <v>2518</v>
      </c>
    </row>
    <row r="236" spans="2:8" x14ac:dyDescent="0.25">
      <c r="B236" t="s">
        <v>3393</v>
      </c>
      <c r="C236">
        <v>2019</v>
      </c>
      <c r="D236" t="s">
        <v>3457</v>
      </c>
      <c r="E236" t="s">
        <v>2615</v>
      </c>
      <c r="F236" t="s">
        <v>2616</v>
      </c>
      <c r="G236" t="s">
        <v>2639</v>
      </c>
      <c r="H236" t="s">
        <v>3578</v>
      </c>
    </row>
    <row r="237" spans="2:8" x14ac:dyDescent="0.25">
      <c r="B237" t="s">
        <v>3393</v>
      </c>
      <c r="C237">
        <v>2019</v>
      </c>
      <c r="D237" t="s">
        <v>3457</v>
      </c>
      <c r="E237" t="s">
        <v>2615</v>
      </c>
      <c r="F237" t="s">
        <v>2616</v>
      </c>
      <c r="G237" t="s">
        <v>2640</v>
      </c>
      <c r="H237" t="s">
        <v>1993</v>
      </c>
    </row>
    <row r="238" spans="2:8" x14ac:dyDescent="0.25">
      <c r="B238" t="s">
        <v>3393</v>
      </c>
      <c r="C238">
        <v>2019</v>
      </c>
      <c r="D238" t="s">
        <v>3457</v>
      </c>
      <c r="E238" t="s">
        <v>2615</v>
      </c>
      <c r="F238" t="s">
        <v>2616</v>
      </c>
      <c r="G238" t="s">
        <v>2641</v>
      </c>
      <c r="H238" t="s">
        <v>3613</v>
      </c>
    </row>
    <row r="239" spans="2:8" x14ac:dyDescent="0.25">
      <c r="B239" t="s">
        <v>3393</v>
      </c>
      <c r="C239">
        <v>2019</v>
      </c>
      <c r="D239" t="s">
        <v>3457</v>
      </c>
      <c r="E239" t="s">
        <v>2615</v>
      </c>
      <c r="F239" t="s">
        <v>2616</v>
      </c>
      <c r="G239" t="s">
        <v>2642</v>
      </c>
      <c r="H239" t="s">
        <v>2643</v>
      </c>
    </row>
    <row r="240" spans="2:8" x14ac:dyDescent="0.25">
      <c r="B240" t="s">
        <v>3393</v>
      </c>
      <c r="C240">
        <v>2019</v>
      </c>
      <c r="D240" t="s">
        <v>3457</v>
      </c>
      <c r="E240" t="s">
        <v>2615</v>
      </c>
      <c r="F240" t="s">
        <v>2616</v>
      </c>
      <c r="G240" t="s">
        <v>2644</v>
      </c>
      <c r="H240" t="s">
        <v>3367</v>
      </c>
    </row>
    <row r="241" spans="2:8" x14ac:dyDescent="0.25">
      <c r="B241" t="s">
        <v>3393</v>
      </c>
      <c r="C241">
        <v>2019</v>
      </c>
      <c r="D241" t="s">
        <v>3457</v>
      </c>
      <c r="E241" t="s">
        <v>2615</v>
      </c>
      <c r="F241" t="s">
        <v>2616</v>
      </c>
      <c r="G241" t="s">
        <v>2645</v>
      </c>
      <c r="H241" t="s">
        <v>1995</v>
      </c>
    </row>
    <row r="242" spans="2:8" x14ac:dyDescent="0.25">
      <c r="B242" t="s">
        <v>3393</v>
      </c>
      <c r="C242">
        <v>2019</v>
      </c>
      <c r="D242" t="s">
        <v>3457</v>
      </c>
      <c r="E242" t="s">
        <v>2615</v>
      </c>
      <c r="F242" t="s">
        <v>2616</v>
      </c>
      <c r="G242" t="s">
        <v>2646</v>
      </c>
      <c r="H242" t="s">
        <v>3616</v>
      </c>
    </row>
    <row r="243" spans="2:8" x14ac:dyDescent="0.25">
      <c r="B243" t="s">
        <v>3393</v>
      </c>
      <c r="C243">
        <v>2019</v>
      </c>
      <c r="D243" t="s">
        <v>3457</v>
      </c>
      <c r="E243" t="s">
        <v>2615</v>
      </c>
      <c r="F243" t="s">
        <v>2616</v>
      </c>
      <c r="G243" t="s">
        <v>2647</v>
      </c>
      <c r="H243" t="s">
        <v>2518</v>
      </c>
    </row>
    <row r="244" spans="2:8" x14ac:dyDescent="0.25">
      <c r="B244" t="s">
        <v>3393</v>
      </c>
      <c r="C244">
        <v>2019</v>
      </c>
      <c r="D244" t="s">
        <v>3457</v>
      </c>
      <c r="E244" t="s">
        <v>2615</v>
      </c>
      <c r="F244" t="s">
        <v>2616</v>
      </c>
      <c r="G244" t="s">
        <v>2648</v>
      </c>
      <c r="H244" t="s">
        <v>3617</v>
      </c>
    </row>
    <row r="245" spans="2:8" x14ac:dyDescent="0.25">
      <c r="B245" t="s">
        <v>3393</v>
      </c>
      <c r="C245">
        <v>2019</v>
      </c>
      <c r="D245" t="s">
        <v>3457</v>
      </c>
      <c r="E245" t="s">
        <v>2615</v>
      </c>
      <c r="F245" t="s">
        <v>2616</v>
      </c>
      <c r="G245" t="s">
        <v>2649</v>
      </c>
      <c r="H245" t="s">
        <v>3618</v>
      </c>
    </row>
    <row r="246" spans="2:8" x14ac:dyDescent="0.25">
      <c r="B246" t="s">
        <v>3393</v>
      </c>
      <c r="C246">
        <v>2019</v>
      </c>
      <c r="D246" t="s">
        <v>3457</v>
      </c>
      <c r="E246" t="s">
        <v>2615</v>
      </c>
      <c r="F246" t="s">
        <v>2616</v>
      </c>
      <c r="G246" t="s">
        <v>2650</v>
      </c>
      <c r="H246" t="s">
        <v>3613</v>
      </c>
    </row>
    <row r="247" spans="2:8" x14ac:dyDescent="0.25">
      <c r="B247" t="s">
        <v>3393</v>
      </c>
      <c r="C247">
        <v>2019</v>
      </c>
      <c r="D247" t="s">
        <v>3457</v>
      </c>
      <c r="E247" t="s">
        <v>2615</v>
      </c>
      <c r="F247" t="s">
        <v>2616</v>
      </c>
      <c r="G247" t="s">
        <v>2651</v>
      </c>
      <c r="H247" t="s">
        <v>2518</v>
      </c>
    </row>
    <row r="248" spans="2:8" x14ac:dyDescent="0.25">
      <c r="B248" t="s">
        <v>3393</v>
      </c>
      <c r="C248">
        <v>2019</v>
      </c>
      <c r="D248" t="s">
        <v>3457</v>
      </c>
      <c r="E248" t="s">
        <v>2615</v>
      </c>
      <c r="F248" t="s">
        <v>2616</v>
      </c>
      <c r="G248" t="s">
        <v>2652</v>
      </c>
      <c r="H248" t="s">
        <v>3619</v>
      </c>
    </row>
    <row r="249" spans="2:8" x14ac:dyDescent="0.25">
      <c r="B249" t="s">
        <v>3393</v>
      </c>
      <c r="C249">
        <v>2019</v>
      </c>
      <c r="D249" t="s">
        <v>3457</v>
      </c>
      <c r="E249" t="s">
        <v>2615</v>
      </c>
      <c r="F249" t="s">
        <v>2616</v>
      </c>
      <c r="G249" t="s">
        <v>2653</v>
      </c>
      <c r="H249" t="s">
        <v>1993</v>
      </c>
    </row>
    <row r="250" spans="2:8" x14ac:dyDescent="0.25">
      <c r="B250" t="s">
        <v>3393</v>
      </c>
      <c r="C250">
        <v>2019</v>
      </c>
      <c r="D250" t="s">
        <v>3457</v>
      </c>
      <c r="E250" t="s">
        <v>2615</v>
      </c>
      <c r="F250" t="s">
        <v>2616</v>
      </c>
      <c r="G250" t="s">
        <v>2654</v>
      </c>
      <c r="H250" t="s">
        <v>3613</v>
      </c>
    </row>
    <row r="251" spans="2:8" x14ac:dyDescent="0.25">
      <c r="B251" t="s">
        <v>3393</v>
      </c>
      <c r="C251">
        <v>2019</v>
      </c>
      <c r="D251" t="s">
        <v>3457</v>
      </c>
      <c r="E251" t="s">
        <v>2615</v>
      </c>
      <c r="F251" t="s">
        <v>2616</v>
      </c>
      <c r="G251" t="s">
        <v>2655</v>
      </c>
      <c r="H251" t="s">
        <v>2643</v>
      </c>
    </row>
    <row r="252" spans="2:8" x14ac:dyDescent="0.25">
      <c r="B252" t="s">
        <v>3393</v>
      </c>
      <c r="C252">
        <v>2019</v>
      </c>
      <c r="D252" t="s">
        <v>3457</v>
      </c>
      <c r="E252" t="s">
        <v>2615</v>
      </c>
      <c r="F252" t="s">
        <v>2616</v>
      </c>
      <c r="G252" t="s">
        <v>2656</v>
      </c>
      <c r="H252" t="s">
        <v>3620</v>
      </c>
    </row>
    <row r="253" spans="2:8" x14ac:dyDescent="0.25">
      <c r="B253" t="s">
        <v>3393</v>
      </c>
      <c r="C253">
        <v>2019</v>
      </c>
      <c r="D253" t="s">
        <v>3457</v>
      </c>
      <c r="E253" t="s">
        <v>2615</v>
      </c>
      <c r="F253" t="s">
        <v>2616</v>
      </c>
      <c r="G253" t="s">
        <v>2657</v>
      </c>
      <c r="H253" t="s">
        <v>3621</v>
      </c>
    </row>
    <row r="254" spans="2:8" x14ac:dyDescent="0.25">
      <c r="B254" t="s">
        <v>3393</v>
      </c>
      <c r="C254">
        <v>2019</v>
      </c>
      <c r="D254" t="s">
        <v>3457</v>
      </c>
      <c r="E254" t="s">
        <v>2615</v>
      </c>
      <c r="F254" t="s">
        <v>2616</v>
      </c>
      <c r="G254" t="s">
        <v>2658</v>
      </c>
      <c r="H254" t="s">
        <v>3622</v>
      </c>
    </row>
    <row r="255" spans="2:8" x14ac:dyDescent="0.25">
      <c r="B255" t="s">
        <v>3393</v>
      </c>
      <c r="C255">
        <v>2019</v>
      </c>
      <c r="D255" t="s">
        <v>3457</v>
      </c>
      <c r="E255" t="s">
        <v>2615</v>
      </c>
      <c r="F255" t="s">
        <v>2616</v>
      </c>
      <c r="G255" t="s">
        <v>2659</v>
      </c>
      <c r="H255" t="s">
        <v>2518</v>
      </c>
    </row>
    <row r="256" spans="2:8" x14ac:dyDescent="0.25">
      <c r="B256" t="s">
        <v>3393</v>
      </c>
      <c r="C256">
        <v>2019</v>
      </c>
      <c r="D256" t="s">
        <v>3457</v>
      </c>
      <c r="E256" t="s">
        <v>2615</v>
      </c>
      <c r="F256" t="s">
        <v>2616</v>
      </c>
      <c r="G256" t="s">
        <v>2660</v>
      </c>
      <c r="H256" t="s">
        <v>3385</v>
      </c>
    </row>
    <row r="257" spans="2:8" x14ac:dyDescent="0.25">
      <c r="B257" t="s">
        <v>3393</v>
      </c>
      <c r="C257">
        <v>2019</v>
      </c>
      <c r="D257" t="s">
        <v>3457</v>
      </c>
      <c r="E257" t="s">
        <v>2615</v>
      </c>
      <c r="F257" t="s">
        <v>2616</v>
      </c>
      <c r="G257" t="s">
        <v>2662</v>
      </c>
      <c r="H257" t="s">
        <v>3623</v>
      </c>
    </row>
    <row r="258" spans="2:8" x14ac:dyDescent="0.25">
      <c r="B258" t="s">
        <v>3393</v>
      </c>
      <c r="C258">
        <v>2019</v>
      </c>
      <c r="D258" t="s">
        <v>3457</v>
      </c>
      <c r="E258" t="s">
        <v>2615</v>
      </c>
      <c r="F258" t="s">
        <v>2616</v>
      </c>
      <c r="G258" t="s">
        <v>2663</v>
      </c>
      <c r="H258" t="s">
        <v>3613</v>
      </c>
    </row>
    <row r="259" spans="2:8" x14ac:dyDescent="0.25">
      <c r="B259" t="s">
        <v>3393</v>
      </c>
      <c r="C259">
        <v>2019</v>
      </c>
      <c r="D259" t="s">
        <v>3457</v>
      </c>
      <c r="E259" t="s">
        <v>2603</v>
      </c>
      <c r="F259" t="s">
        <v>2664</v>
      </c>
      <c r="G259" t="s">
        <v>3140</v>
      </c>
      <c r="H259" t="s">
        <v>2009</v>
      </c>
    </row>
    <row r="260" spans="2:8" x14ac:dyDescent="0.25">
      <c r="B260" t="s">
        <v>3393</v>
      </c>
      <c r="C260">
        <v>2019</v>
      </c>
      <c r="D260" t="s">
        <v>3457</v>
      </c>
      <c r="E260" t="s">
        <v>2603</v>
      </c>
      <c r="F260" t="s">
        <v>2664</v>
      </c>
      <c r="G260" t="s">
        <v>3141</v>
      </c>
      <c r="H260" t="s">
        <v>2143</v>
      </c>
    </row>
    <row r="261" spans="2:8" x14ac:dyDescent="0.25">
      <c r="B261" t="s">
        <v>3393</v>
      </c>
      <c r="C261">
        <v>2019</v>
      </c>
      <c r="D261" t="s">
        <v>3457</v>
      </c>
      <c r="E261" t="s">
        <v>2603</v>
      </c>
      <c r="F261" t="s">
        <v>2664</v>
      </c>
      <c r="G261" t="s">
        <v>3142</v>
      </c>
      <c r="H261" t="s">
        <v>2011</v>
      </c>
    </row>
    <row r="262" spans="2:8" x14ac:dyDescent="0.25">
      <c r="B262" t="s">
        <v>3393</v>
      </c>
      <c r="C262">
        <v>2019</v>
      </c>
      <c r="D262" t="s">
        <v>3457</v>
      </c>
      <c r="E262" t="s">
        <v>2603</v>
      </c>
      <c r="F262" t="s">
        <v>2664</v>
      </c>
      <c r="G262" t="s">
        <v>3143</v>
      </c>
      <c r="H262" t="s">
        <v>3624</v>
      </c>
    </row>
    <row r="263" spans="2:8" x14ac:dyDescent="0.25">
      <c r="B263" t="s">
        <v>3393</v>
      </c>
      <c r="C263">
        <v>2019</v>
      </c>
      <c r="D263" t="s">
        <v>3457</v>
      </c>
      <c r="E263" t="s">
        <v>2603</v>
      </c>
      <c r="F263" t="s">
        <v>2664</v>
      </c>
      <c r="G263" t="s">
        <v>2669</v>
      </c>
      <c r="H263" t="s">
        <v>3625</v>
      </c>
    </row>
    <row r="264" spans="2:8" x14ac:dyDescent="0.25">
      <c r="B264" t="s">
        <v>3393</v>
      </c>
      <c r="C264">
        <v>2019</v>
      </c>
      <c r="D264" t="s">
        <v>3457</v>
      </c>
      <c r="E264" t="s">
        <v>2603</v>
      </c>
      <c r="F264" t="s">
        <v>2664</v>
      </c>
      <c r="G264" t="s">
        <v>3144</v>
      </c>
      <c r="H264" t="s">
        <v>3626</v>
      </c>
    </row>
    <row r="265" spans="2:8" x14ac:dyDescent="0.25">
      <c r="B265" t="s">
        <v>3393</v>
      </c>
      <c r="C265">
        <v>2019</v>
      </c>
      <c r="D265" t="s">
        <v>3457</v>
      </c>
      <c r="E265" t="s">
        <v>2603</v>
      </c>
      <c r="F265" t="s">
        <v>2664</v>
      </c>
      <c r="G265" t="s">
        <v>3145</v>
      </c>
      <c r="H265" t="s">
        <v>3627</v>
      </c>
    </row>
    <row r="266" spans="2:8" x14ac:dyDescent="0.25">
      <c r="B266" t="s">
        <v>3393</v>
      </c>
      <c r="C266">
        <v>2019</v>
      </c>
      <c r="D266" t="s">
        <v>3457</v>
      </c>
      <c r="E266" t="s">
        <v>2603</v>
      </c>
      <c r="F266" t="s">
        <v>2664</v>
      </c>
      <c r="G266" t="s">
        <v>3146</v>
      </c>
      <c r="H266" t="s">
        <v>3628</v>
      </c>
    </row>
    <row r="267" spans="2:8" x14ac:dyDescent="0.25">
      <c r="B267" t="s">
        <v>3393</v>
      </c>
      <c r="C267">
        <v>2019</v>
      </c>
      <c r="D267" t="s">
        <v>3457</v>
      </c>
      <c r="E267" t="s">
        <v>2603</v>
      </c>
      <c r="F267" t="s">
        <v>2664</v>
      </c>
      <c r="G267" t="s">
        <v>3147</v>
      </c>
      <c r="H267" t="s">
        <v>3629</v>
      </c>
    </row>
    <row r="268" spans="2:8" x14ac:dyDescent="0.25">
      <c r="B268" t="s">
        <v>3393</v>
      </c>
      <c r="C268">
        <v>2019</v>
      </c>
      <c r="D268" t="s">
        <v>3457</v>
      </c>
      <c r="E268" t="s">
        <v>2603</v>
      </c>
      <c r="F268" t="s">
        <v>2664</v>
      </c>
      <c r="G268" t="s">
        <v>2674</v>
      </c>
      <c r="H268" t="s">
        <v>3630</v>
      </c>
    </row>
    <row r="269" spans="2:8" x14ac:dyDescent="0.25">
      <c r="B269" t="s">
        <v>3393</v>
      </c>
      <c r="C269">
        <v>2019</v>
      </c>
      <c r="D269" t="s">
        <v>3457</v>
      </c>
      <c r="E269" t="s">
        <v>2675</v>
      </c>
      <c r="F269" t="s">
        <v>2676</v>
      </c>
      <c r="G269" t="s">
        <v>2677</v>
      </c>
      <c r="H269" t="s">
        <v>2678</v>
      </c>
    </row>
    <row r="270" spans="2:8" x14ac:dyDescent="0.25">
      <c r="B270" t="s">
        <v>3393</v>
      </c>
      <c r="C270">
        <v>2019</v>
      </c>
      <c r="D270" t="s">
        <v>3457</v>
      </c>
      <c r="E270" t="s">
        <v>2675</v>
      </c>
      <c r="F270" t="s">
        <v>2676</v>
      </c>
      <c r="G270" t="s">
        <v>2679</v>
      </c>
      <c r="H270" t="s">
        <v>1993</v>
      </c>
    </row>
    <row r="271" spans="2:8" x14ac:dyDescent="0.25">
      <c r="B271" t="s">
        <v>3393</v>
      </c>
      <c r="C271">
        <v>2019</v>
      </c>
      <c r="D271" t="s">
        <v>3457</v>
      </c>
      <c r="E271" t="s">
        <v>2675</v>
      </c>
      <c r="F271" t="s">
        <v>2676</v>
      </c>
      <c r="G271" t="s">
        <v>2680</v>
      </c>
      <c r="H271" t="s">
        <v>3586</v>
      </c>
    </row>
    <row r="272" spans="2:8" x14ac:dyDescent="0.25">
      <c r="B272" t="s">
        <v>3393</v>
      </c>
      <c r="C272">
        <v>2019</v>
      </c>
      <c r="D272" t="s">
        <v>3457</v>
      </c>
      <c r="E272" t="s">
        <v>2675</v>
      </c>
      <c r="F272" t="s">
        <v>2676</v>
      </c>
      <c r="G272" t="s">
        <v>2681</v>
      </c>
      <c r="H272" t="s">
        <v>3631</v>
      </c>
    </row>
    <row r="273" spans="2:8" x14ac:dyDescent="0.25">
      <c r="B273" t="s">
        <v>3393</v>
      </c>
      <c r="C273">
        <v>2019</v>
      </c>
      <c r="D273" t="s">
        <v>3457</v>
      </c>
      <c r="E273" t="s">
        <v>2675</v>
      </c>
      <c r="F273" t="s">
        <v>2676</v>
      </c>
      <c r="G273" t="s">
        <v>2682</v>
      </c>
      <c r="H273" t="s">
        <v>2678</v>
      </c>
    </row>
    <row r="274" spans="2:8" x14ac:dyDescent="0.25">
      <c r="B274" t="s">
        <v>3393</v>
      </c>
      <c r="C274">
        <v>2019</v>
      </c>
      <c r="D274" t="s">
        <v>3457</v>
      </c>
      <c r="E274" t="s">
        <v>2675</v>
      </c>
      <c r="F274" t="s">
        <v>2676</v>
      </c>
      <c r="G274" t="s">
        <v>2683</v>
      </c>
      <c r="H274" t="s">
        <v>1993</v>
      </c>
    </row>
    <row r="275" spans="2:8" x14ac:dyDescent="0.25">
      <c r="B275" t="s">
        <v>3393</v>
      </c>
      <c r="C275">
        <v>2019</v>
      </c>
      <c r="D275" t="s">
        <v>3457</v>
      </c>
      <c r="E275" t="s">
        <v>2675</v>
      </c>
      <c r="F275" t="s">
        <v>2676</v>
      </c>
      <c r="G275" t="s">
        <v>2684</v>
      </c>
      <c r="H275" t="s">
        <v>3587</v>
      </c>
    </row>
    <row r="276" spans="2:8" x14ac:dyDescent="0.25">
      <c r="B276" t="s">
        <v>3393</v>
      </c>
      <c r="C276">
        <v>2019</v>
      </c>
      <c r="D276" t="s">
        <v>3457</v>
      </c>
      <c r="E276" t="s">
        <v>2675</v>
      </c>
      <c r="F276" t="s">
        <v>2676</v>
      </c>
      <c r="G276" t="s">
        <v>2685</v>
      </c>
      <c r="H276" t="s">
        <v>3631</v>
      </c>
    </row>
    <row r="277" spans="2:8" x14ac:dyDescent="0.25">
      <c r="B277" t="s">
        <v>3393</v>
      </c>
      <c r="C277">
        <v>2019</v>
      </c>
      <c r="D277" t="s">
        <v>3457</v>
      </c>
      <c r="E277" t="s">
        <v>2675</v>
      </c>
      <c r="F277" t="s">
        <v>2676</v>
      </c>
      <c r="G277" t="s">
        <v>2686</v>
      </c>
      <c r="H277" t="s">
        <v>2518</v>
      </c>
    </row>
    <row r="278" spans="2:8" x14ac:dyDescent="0.25">
      <c r="B278" t="s">
        <v>3393</v>
      </c>
      <c r="C278">
        <v>2019</v>
      </c>
      <c r="D278" t="s">
        <v>3457</v>
      </c>
      <c r="E278" t="s">
        <v>2675</v>
      </c>
      <c r="F278" t="s">
        <v>2676</v>
      </c>
      <c r="G278" t="s">
        <v>2687</v>
      </c>
      <c r="H278" t="s">
        <v>3632</v>
      </c>
    </row>
    <row r="279" spans="2:8" x14ac:dyDescent="0.25">
      <c r="B279" t="s">
        <v>3393</v>
      </c>
      <c r="C279">
        <v>2019</v>
      </c>
      <c r="D279" t="s">
        <v>3457</v>
      </c>
      <c r="E279" t="s">
        <v>2675</v>
      </c>
      <c r="F279" t="s">
        <v>2676</v>
      </c>
      <c r="G279" t="s">
        <v>2688</v>
      </c>
      <c r="H279" t="s">
        <v>3633</v>
      </c>
    </row>
    <row r="280" spans="2:8" x14ac:dyDescent="0.25">
      <c r="B280" t="s">
        <v>3393</v>
      </c>
      <c r="C280">
        <v>2019</v>
      </c>
      <c r="D280" t="s">
        <v>3457</v>
      </c>
      <c r="E280" t="s">
        <v>2675</v>
      </c>
      <c r="F280" t="s">
        <v>2676</v>
      </c>
      <c r="G280" t="s">
        <v>2689</v>
      </c>
      <c r="H280" t="s">
        <v>3613</v>
      </c>
    </row>
    <row r="281" spans="2:8" x14ac:dyDescent="0.25">
      <c r="B281" t="s">
        <v>3393</v>
      </c>
      <c r="C281">
        <v>2019</v>
      </c>
      <c r="D281" t="s">
        <v>3457</v>
      </c>
      <c r="E281" t="s">
        <v>2675</v>
      </c>
      <c r="F281" t="s">
        <v>2676</v>
      </c>
      <c r="G281" t="s">
        <v>2690</v>
      </c>
      <c r="H281" t="s">
        <v>2518</v>
      </c>
    </row>
    <row r="282" spans="2:8" x14ac:dyDescent="0.25">
      <c r="B282" t="s">
        <v>3393</v>
      </c>
      <c r="C282">
        <v>2019</v>
      </c>
      <c r="D282" t="s">
        <v>3457</v>
      </c>
      <c r="E282" t="s">
        <v>2675</v>
      </c>
      <c r="F282" t="s">
        <v>2676</v>
      </c>
      <c r="G282" t="s">
        <v>2691</v>
      </c>
      <c r="H282" t="s">
        <v>3600</v>
      </c>
    </row>
    <row r="283" spans="2:8" x14ac:dyDescent="0.25">
      <c r="B283" t="s">
        <v>3393</v>
      </c>
      <c r="C283">
        <v>2019</v>
      </c>
      <c r="D283" t="s">
        <v>3457</v>
      </c>
      <c r="E283" t="s">
        <v>2675</v>
      </c>
      <c r="F283" t="s">
        <v>2676</v>
      </c>
      <c r="G283" t="s">
        <v>2692</v>
      </c>
      <c r="H283" t="s">
        <v>3634</v>
      </c>
    </row>
    <row r="284" spans="2:8" x14ac:dyDescent="0.25">
      <c r="B284" t="s">
        <v>3393</v>
      </c>
      <c r="C284">
        <v>2019</v>
      </c>
      <c r="D284" t="s">
        <v>3457</v>
      </c>
      <c r="E284" t="s">
        <v>2675</v>
      </c>
      <c r="F284" t="s">
        <v>2676</v>
      </c>
      <c r="G284" t="s">
        <v>2693</v>
      </c>
      <c r="H284" t="s">
        <v>3613</v>
      </c>
    </row>
    <row r="285" spans="2:8" x14ac:dyDescent="0.25">
      <c r="B285" t="s">
        <v>3393</v>
      </c>
      <c r="C285">
        <v>2019</v>
      </c>
      <c r="D285" t="s">
        <v>3457</v>
      </c>
      <c r="E285" t="s">
        <v>2675</v>
      </c>
      <c r="F285" t="s">
        <v>2676</v>
      </c>
      <c r="G285" t="s">
        <v>2694</v>
      </c>
      <c r="H285" t="s">
        <v>2518</v>
      </c>
    </row>
    <row r="286" spans="2:8" x14ac:dyDescent="0.25">
      <c r="B286" t="s">
        <v>3393</v>
      </c>
      <c r="C286">
        <v>2019</v>
      </c>
      <c r="D286" t="s">
        <v>3457</v>
      </c>
      <c r="E286" t="s">
        <v>2675</v>
      </c>
      <c r="F286" t="s">
        <v>2676</v>
      </c>
      <c r="G286" t="s">
        <v>2695</v>
      </c>
      <c r="H286" t="s">
        <v>1993</v>
      </c>
    </row>
    <row r="287" spans="2:8" x14ac:dyDescent="0.25">
      <c r="B287" t="s">
        <v>3393</v>
      </c>
      <c r="C287">
        <v>2019</v>
      </c>
      <c r="D287" t="s">
        <v>3457</v>
      </c>
      <c r="E287" t="s">
        <v>2675</v>
      </c>
      <c r="F287" t="s">
        <v>2676</v>
      </c>
      <c r="G287" t="s">
        <v>2696</v>
      </c>
      <c r="H287" t="s">
        <v>3591</v>
      </c>
    </row>
    <row r="288" spans="2:8" x14ac:dyDescent="0.25">
      <c r="B288" t="s">
        <v>3393</v>
      </c>
      <c r="C288">
        <v>2019</v>
      </c>
      <c r="D288" t="s">
        <v>3457</v>
      </c>
      <c r="E288" t="s">
        <v>2675</v>
      </c>
      <c r="F288" t="s">
        <v>2676</v>
      </c>
      <c r="G288" t="s">
        <v>2697</v>
      </c>
      <c r="H288" t="s">
        <v>3613</v>
      </c>
    </row>
    <row r="289" spans="2:8" x14ac:dyDescent="0.25">
      <c r="B289" t="s">
        <v>3393</v>
      </c>
      <c r="C289">
        <v>2019</v>
      </c>
      <c r="D289" t="s">
        <v>3457</v>
      </c>
      <c r="E289" t="s">
        <v>2675</v>
      </c>
      <c r="F289" t="s">
        <v>2676</v>
      </c>
      <c r="G289" t="s">
        <v>2698</v>
      </c>
      <c r="H289" t="s">
        <v>2518</v>
      </c>
    </row>
    <row r="290" spans="2:8" x14ac:dyDescent="0.25">
      <c r="B290" t="s">
        <v>3393</v>
      </c>
      <c r="C290">
        <v>2019</v>
      </c>
      <c r="D290" t="s">
        <v>3457</v>
      </c>
      <c r="E290" t="s">
        <v>2675</v>
      </c>
      <c r="F290" t="s">
        <v>2676</v>
      </c>
      <c r="G290" t="s">
        <v>2699</v>
      </c>
      <c r="H290" t="s">
        <v>3635</v>
      </c>
    </row>
    <row r="291" spans="2:8" x14ac:dyDescent="0.25">
      <c r="B291" t="s">
        <v>3393</v>
      </c>
      <c r="C291">
        <v>2019</v>
      </c>
      <c r="D291" t="s">
        <v>3457</v>
      </c>
      <c r="E291" t="s">
        <v>2675</v>
      </c>
      <c r="F291" t="s">
        <v>2676</v>
      </c>
      <c r="G291" t="s">
        <v>2700</v>
      </c>
      <c r="H291" t="s">
        <v>3636</v>
      </c>
    </row>
    <row r="292" spans="2:8" x14ac:dyDescent="0.25">
      <c r="B292" t="s">
        <v>3393</v>
      </c>
      <c r="C292">
        <v>2019</v>
      </c>
      <c r="D292" t="s">
        <v>3457</v>
      </c>
      <c r="E292" t="s">
        <v>2675</v>
      </c>
      <c r="F292" t="s">
        <v>2676</v>
      </c>
      <c r="G292" t="s">
        <v>2701</v>
      </c>
      <c r="H292" t="s">
        <v>3613</v>
      </c>
    </row>
    <row r="293" spans="2:8" x14ac:dyDescent="0.25">
      <c r="B293" t="s">
        <v>3393</v>
      </c>
      <c r="C293">
        <v>2019</v>
      </c>
      <c r="D293" t="s">
        <v>3457</v>
      </c>
      <c r="E293" t="s">
        <v>2675</v>
      </c>
      <c r="F293" t="s">
        <v>2676</v>
      </c>
      <c r="G293" t="s">
        <v>2702</v>
      </c>
      <c r="H293" t="s">
        <v>2518</v>
      </c>
    </row>
    <row r="294" spans="2:8" x14ac:dyDescent="0.25">
      <c r="B294" t="s">
        <v>3393</v>
      </c>
      <c r="C294">
        <v>2019</v>
      </c>
      <c r="D294" t="s">
        <v>3457</v>
      </c>
      <c r="E294" t="s">
        <v>2675</v>
      </c>
      <c r="F294" t="s">
        <v>2676</v>
      </c>
      <c r="G294" t="s">
        <v>2703</v>
      </c>
      <c r="H294" t="s">
        <v>1993</v>
      </c>
    </row>
    <row r="295" spans="2:8" x14ac:dyDescent="0.25">
      <c r="B295" t="s">
        <v>3393</v>
      </c>
      <c r="C295">
        <v>2019</v>
      </c>
      <c r="D295" t="s">
        <v>3457</v>
      </c>
      <c r="E295" t="s">
        <v>2675</v>
      </c>
      <c r="F295" t="s">
        <v>2676</v>
      </c>
      <c r="G295" t="s">
        <v>2704</v>
      </c>
      <c r="H295" t="s">
        <v>3637</v>
      </c>
    </row>
    <row r="296" spans="2:8" x14ac:dyDescent="0.25">
      <c r="B296" t="s">
        <v>3393</v>
      </c>
      <c r="C296">
        <v>2019</v>
      </c>
      <c r="D296" t="s">
        <v>3457</v>
      </c>
      <c r="E296" t="s">
        <v>2675</v>
      </c>
      <c r="F296" t="s">
        <v>2676</v>
      </c>
      <c r="G296" t="s">
        <v>2705</v>
      </c>
      <c r="H296" t="s">
        <v>3613</v>
      </c>
    </row>
    <row r="297" spans="2:8" x14ac:dyDescent="0.25">
      <c r="B297" t="s">
        <v>3393</v>
      </c>
      <c r="C297">
        <v>2019</v>
      </c>
      <c r="D297" t="s">
        <v>3457</v>
      </c>
      <c r="E297" t="s">
        <v>2675</v>
      </c>
      <c r="F297" t="s">
        <v>2676</v>
      </c>
      <c r="G297" t="s">
        <v>2706</v>
      </c>
      <c r="H297" t="s">
        <v>3003</v>
      </c>
    </row>
    <row r="298" spans="2:8" x14ac:dyDescent="0.25">
      <c r="B298" t="s">
        <v>3393</v>
      </c>
      <c r="C298">
        <v>2019</v>
      </c>
      <c r="D298" t="s">
        <v>3457</v>
      </c>
      <c r="E298" t="s">
        <v>2675</v>
      </c>
      <c r="F298" t="s">
        <v>2676</v>
      </c>
      <c r="G298" t="s">
        <v>2707</v>
      </c>
      <c r="H298" t="s">
        <v>3638</v>
      </c>
    </row>
    <row r="299" spans="2:8" x14ac:dyDescent="0.25">
      <c r="B299" t="s">
        <v>3393</v>
      </c>
      <c r="C299">
        <v>2019</v>
      </c>
      <c r="D299" t="s">
        <v>3457</v>
      </c>
      <c r="E299" t="s">
        <v>2675</v>
      </c>
      <c r="F299" t="s">
        <v>2676</v>
      </c>
      <c r="G299" t="s">
        <v>2708</v>
      </c>
      <c r="H299" t="s">
        <v>3639</v>
      </c>
    </row>
    <row r="300" spans="2:8" x14ac:dyDescent="0.25">
      <c r="B300" t="s">
        <v>3393</v>
      </c>
      <c r="C300">
        <v>2019</v>
      </c>
      <c r="D300" t="s">
        <v>3457</v>
      </c>
      <c r="E300" t="s">
        <v>2675</v>
      </c>
      <c r="F300" t="s">
        <v>2676</v>
      </c>
      <c r="G300" t="s">
        <v>2709</v>
      </c>
      <c r="H300" t="s">
        <v>3640</v>
      </c>
    </row>
    <row r="301" spans="2:8" x14ac:dyDescent="0.25">
      <c r="B301" t="s">
        <v>3393</v>
      </c>
      <c r="C301">
        <v>2019</v>
      </c>
      <c r="D301" t="s">
        <v>3457</v>
      </c>
      <c r="E301" t="s">
        <v>2675</v>
      </c>
      <c r="F301" t="s">
        <v>2676</v>
      </c>
      <c r="G301" t="s">
        <v>2710</v>
      </c>
      <c r="H301" t="s">
        <v>2711</v>
      </c>
    </row>
    <row r="302" spans="2:8" x14ac:dyDescent="0.25">
      <c r="B302" t="s">
        <v>3393</v>
      </c>
      <c r="C302">
        <v>2019</v>
      </c>
      <c r="D302" t="s">
        <v>3457</v>
      </c>
      <c r="E302" t="s">
        <v>2675</v>
      </c>
      <c r="F302" t="s">
        <v>2676</v>
      </c>
      <c r="G302" t="s">
        <v>2712</v>
      </c>
      <c r="H302" t="s">
        <v>3597</v>
      </c>
    </row>
    <row r="303" spans="2:8" x14ac:dyDescent="0.25">
      <c r="B303" t="s">
        <v>3393</v>
      </c>
      <c r="C303">
        <v>2019</v>
      </c>
      <c r="D303" t="s">
        <v>3457</v>
      </c>
      <c r="E303" t="s">
        <v>2675</v>
      </c>
      <c r="F303" t="s">
        <v>2676</v>
      </c>
      <c r="G303" t="s">
        <v>2713</v>
      </c>
      <c r="H303" t="s">
        <v>1993</v>
      </c>
    </row>
    <row r="304" spans="2:8" x14ac:dyDescent="0.25">
      <c r="B304" t="s">
        <v>3393</v>
      </c>
      <c r="C304">
        <v>2019</v>
      </c>
      <c r="D304" t="s">
        <v>3457</v>
      </c>
      <c r="E304" t="s">
        <v>2675</v>
      </c>
      <c r="F304" t="s">
        <v>2676</v>
      </c>
      <c r="G304" t="s">
        <v>2714</v>
      </c>
      <c r="H304" t="s">
        <v>3336</v>
      </c>
    </row>
    <row r="305" spans="2:8" x14ac:dyDescent="0.25">
      <c r="B305" t="s">
        <v>3393</v>
      </c>
      <c r="C305">
        <v>2019</v>
      </c>
      <c r="D305" t="s">
        <v>3457</v>
      </c>
      <c r="E305" t="s">
        <v>2675</v>
      </c>
      <c r="F305" t="s">
        <v>2676</v>
      </c>
      <c r="G305" t="s">
        <v>2715</v>
      </c>
      <c r="H305" t="s">
        <v>2518</v>
      </c>
    </row>
    <row r="306" spans="2:8" x14ac:dyDescent="0.25">
      <c r="B306" t="s">
        <v>3393</v>
      </c>
      <c r="C306">
        <v>2019</v>
      </c>
      <c r="D306" t="s">
        <v>3457</v>
      </c>
      <c r="E306" t="s">
        <v>2675</v>
      </c>
      <c r="F306" t="s">
        <v>2676</v>
      </c>
      <c r="G306" t="s">
        <v>2716</v>
      </c>
      <c r="H306" t="s">
        <v>3641</v>
      </c>
    </row>
    <row r="307" spans="2:8" x14ac:dyDescent="0.25">
      <c r="B307" t="s">
        <v>3393</v>
      </c>
      <c r="C307">
        <v>2019</v>
      </c>
      <c r="D307" t="s">
        <v>3457</v>
      </c>
      <c r="E307" t="s">
        <v>2675</v>
      </c>
      <c r="F307" t="s">
        <v>2676</v>
      </c>
      <c r="G307" t="s">
        <v>2717</v>
      </c>
      <c r="H307" t="s">
        <v>1993</v>
      </c>
    </row>
    <row r="308" spans="2:8" x14ac:dyDescent="0.25">
      <c r="B308" t="s">
        <v>3393</v>
      </c>
      <c r="C308">
        <v>2019</v>
      </c>
      <c r="D308" t="s">
        <v>3457</v>
      </c>
      <c r="E308" t="s">
        <v>2675</v>
      </c>
      <c r="F308" t="s">
        <v>2676</v>
      </c>
      <c r="G308" t="s">
        <v>2718</v>
      </c>
      <c r="H308" t="s">
        <v>3613</v>
      </c>
    </row>
    <row r="309" spans="2:8" x14ac:dyDescent="0.25">
      <c r="B309" t="s">
        <v>3393</v>
      </c>
      <c r="C309">
        <v>2019</v>
      </c>
      <c r="D309" t="s">
        <v>3457</v>
      </c>
      <c r="E309" t="s">
        <v>2675</v>
      </c>
      <c r="F309" t="s">
        <v>2676</v>
      </c>
      <c r="G309" t="s">
        <v>2719</v>
      </c>
      <c r="H309" t="s">
        <v>2518</v>
      </c>
    </row>
    <row r="310" spans="2:8" x14ac:dyDescent="0.25">
      <c r="B310" t="s">
        <v>3393</v>
      </c>
      <c r="C310">
        <v>2019</v>
      </c>
      <c r="D310" t="s">
        <v>3457</v>
      </c>
      <c r="E310" t="s">
        <v>2675</v>
      </c>
      <c r="F310" t="s">
        <v>2676</v>
      </c>
      <c r="G310" t="s">
        <v>2720</v>
      </c>
      <c r="H310" t="s">
        <v>3598</v>
      </c>
    </row>
    <row r="311" spans="2:8" x14ac:dyDescent="0.25">
      <c r="B311" t="s">
        <v>3393</v>
      </c>
      <c r="C311">
        <v>2019</v>
      </c>
      <c r="D311" t="s">
        <v>3457</v>
      </c>
      <c r="E311" t="s">
        <v>2675</v>
      </c>
      <c r="F311" t="s">
        <v>2676</v>
      </c>
      <c r="G311" t="s">
        <v>2721</v>
      </c>
      <c r="H311" t="s">
        <v>1993</v>
      </c>
    </row>
    <row r="312" spans="2:8" x14ac:dyDescent="0.25">
      <c r="B312" t="s">
        <v>3393</v>
      </c>
      <c r="C312">
        <v>2019</v>
      </c>
      <c r="D312" t="s">
        <v>3457</v>
      </c>
      <c r="E312" t="s">
        <v>2675</v>
      </c>
      <c r="F312" t="s">
        <v>2676</v>
      </c>
      <c r="G312" t="s">
        <v>2722</v>
      </c>
      <c r="H312" t="s">
        <v>3613</v>
      </c>
    </row>
    <row r="313" spans="2:8" x14ac:dyDescent="0.25">
      <c r="B313" t="s">
        <v>3393</v>
      </c>
      <c r="C313">
        <v>2019</v>
      </c>
      <c r="D313" t="s">
        <v>3457</v>
      </c>
      <c r="E313" t="s">
        <v>2675</v>
      </c>
      <c r="F313" t="s">
        <v>2676</v>
      </c>
      <c r="G313" t="s">
        <v>2723</v>
      </c>
      <c r="H313" t="s">
        <v>2518</v>
      </c>
    </row>
    <row r="314" spans="2:8" x14ac:dyDescent="0.25">
      <c r="B314" t="s">
        <v>3393</v>
      </c>
      <c r="C314">
        <v>2019</v>
      </c>
      <c r="D314" t="s">
        <v>3457</v>
      </c>
      <c r="E314" t="s">
        <v>2675</v>
      </c>
      <c r="F314" t="s">
        <v>2676</v>
      </c>
      <c r="G314" t="s">
        <v>2724</v>
      </c>
      <c r="H314" t="s">
        <v>1993</v>
      </c>
    </row>
    <row r="315" spans="2:8" x14ac:dyDescent="0.25">
      <c r="B315" t="s">
        <v>3393</v>
      </c>
      <c r="C315">
        <v>2019</v>
      </c>
      <c r="D315" t="s">
        <v>3457</v>
      </c>
      <c r="E315" t="s">
        <v>2675</v>
      </c>
      <c r="F315" t="s">
        <v>2676</v>
      </c>
      <c r="G315" t="s">
        <v>2725</v>
      </c>
      <c r="H315" t="s">
        <v>1993</v>
      </c>
    </row>
    <row r="316" spans="2:8" x14ac:dyDescent="0.25">
      <c r="B316" t="s">
        <v>3393</v>
      </c>
      <c r="C316">
        <v>2019</v>
      </c>
      <c r="D316" t="s">
        <v>3457</v>
      </c>
      <c r="E316" t="s">
        <v>2675</v>
      </c>
      <c r="F316" t="s">
        <v>2676</v>
      </c>
      <c r="G316" t="s">
        <v>2726</v>
      </c>
      <c r="H316" t="s">
        <v>3613</v>
      </c>
    </row>
    <row r="317" spans="2:8" x14ac:dyDescent="0.25">
      <c r="B317" t="s">
        <v>3393</v>
      </c>
      <c r="C317">
        <v>2019</v>
      </c>
      <c r="D317" t="s">
        <v>3457</v>
      </c>
      <c r="E317" t="s">
        <v>2675</v>
      </c>
      <c r="F317" t="s">
        <v>2676</v>
      </c>
      <c r="G317" t="s">
        <v>2727</v>
      </c>
      <c r="H317" t="s">
        <v>2518</v>
      </c>
    </row>
    <row r="318" spans="2:8" x14ac:dyDescent="0.25">
      <c r="B318" t="s">
        <v>3393</v>
      </c>
      <c r="C318">
        <v>2019</v>
      </c>
      <c r="D318" t="s">
        <v>3457</v>
      </c>
      <c r="E318" t="s">
        <v>2675</v>
      </c>
      <c r="F318" t="s">
        <v>2676</v>
      </c>
      <c r="G318" t="s">
        <v>2728</v>
      </c>
      <c r="H318" t="s">
        <v>3642</v>
      </c>
    </row>
    <row r="319" spans="2:8" x14ac:dyDescent="0.25">
      <c r="B319" t="s">
        <v>3393</v>
      </c>
      <c r="C319">
        <v>2019</v>
      </c>
      <c r="D319" t="s">
        <v>3457</v>
      </c>
      <c r="E319" t="s">
        <v>2675</v>
      </c>
      <c r="F319" t="s">
        <v>2676</v>
      </c>
      <c r="G319" t="s">
        <v>2729</v>
      </c>
      <c r="H319" t="s">
        <v>1993</v>
      </c>
    </row>
    <row r="320" spans="2:8" x14ac:dyDescent="0.25">
      <c r="B320" t="s">
        <v>3393</v>
      </c>
      <c r="C320">
        <v>2019</v>
      </c>
      <c r="D320" t="s">
        <v>3457</v>
      </c>
      <c r="E320" t="s">
        <v>2675</v>
      </c>
      <c r="F320" t="s">
        <v>2676</v>
      </c>
      <c r="G320" t="s">
        <v>2730</v>
      </c>
      <c r="H320" t="s">
        <v>3613</v>
      </c>
    </row>
    <row r="321" spans="2:8" x14ac:dyDescent="0.25">
      <c r="B321" t="s">
        <v>3393</v>
      </c>
      <c r="C321">
        <v>2019</v>
      </c>
      <c r="D321" t="s">
        <v>3457</v>
      </c>
      <c r="E321" t="s">
        <v>2675</v>
      </c>
      <c r="F321" t="s">
        <v>2676</v>
      </c>
      <c r="G321" t="s">
        <v>2731</v>
      </c>
      <c r="H321" t="s">
        <v>2518</v>
      </c>
    </row>
    <row r="322" spans="2:8" x14ac:dyDescent="0.25">
      <c r="B322" t="s">
        <v>3393</v>
      </c>
      <c r="C322">
        <v>2019</v>
      </c>
      <c r="D322" t="s">
        <v>3457</v>
      </c>
      <c r="E322" t="s">
        <v>2675</v>
      </c>
      <c r="F322" t="s">
        <v>2676</v>
      </c>
      <c r="G322" t="s">
        <v>2732</v>
      </c>
      <c r="H322" t="s">
        <v>3600</v>
      </c>
    </row>
    <row r="323" spans="2:8" x14ac:dyDescent="0.25">
      <c r="B323" t="s">
        <v>3393</v>
      </c>
      <c r="C323">
        <v>2019</v>
      </c>
      <c r="D323" t="s">
        <v>3457</v>
      </c>
      <c r="E323" t="s">
        <v>2675</v>
      </c>
      <c r="F323" t="s">
        <v>2676</v>
      </c>
      <c r="G323" t="s">
        <v>2733</v>
      </c>
      <c r="H323" t="s">
        <v>1993</v>
      </c>
    </row>
    <row r="324" spans="2:8" x14ac:dyDescent="0.25">
      <c r="B324" t="s">
        <v>3393</v>
      </c>
      <c r="C324">
        <v>2019</v>
      </c>
      <c r="D324" t="s">
        <v>3457</v>
      </c>
      <c r="E324" t="s">
        <v>2675</v>
      </c>
      <c r="F324" t="s">
        <v>2676</v>
      </c>
      <c r="G324" t="s">
        <v>2734</v>
      </c>
      <c r="H324" t="s">
        <v>3613</v>
      </c>
    </row>
    <row r="325" spans="2:8" x14ac:dyDescent="0.25">
      <c r="B325" t="s">
        <v>3393</v>
      </c>
      <c r="C325">
        <v>2019</v>
      </c>
      <c r="D325" t="s">
        <v>3457</v>
      </c>
      <c r="E325" t="s">
        <v>2675</v>
      </c>
      <c r="F325" t="s">
        <v>2676</v>
      </c>
      <c r="G325" t="s">
        <v>2735</v>
      </c>
      <c r="H325" t="s">
        <v>2518</v>
      </c>
    </row>
    <row r="326" spans="2:8" x14ac:dyDescent="0.25">
      <c r="B326" t="s">
        <v>3393</v>
      </c>
      <c r="C326">
        <v>2019</v>
      </c>
      <c r="D326" t="s">
        <v>3457</v>
      </c>
      <c r="E326" t="s">
        <v>2675</v>
      </c>
      <c r="F326" t="s">
        <v>2676</v>
      </c>
      <c r="G326" t="s">
        <v>2736</v>
      </c>
      <c r="H326" t="s">
        <v>1993</v>
      </c>
    </row>
    <row r="327" spans="2:8" x14ac:dyDescent="0.25">
      <c r="B327" t="s">
        <v>3393</v>
      </c>
      <c r="C327">
        <v>2019</v>
      </c>
      <c r="D327" t="s">
        <v>3457</v>
      </c>
      <c r="E327" t="s">
        <v>2675</v>
      </c>
      <c r="F327" t="s">
        <v>2676</v>
      </c>
      <c r="G327" t="s">
        <v>2737</v>
      </c>
      <c r="H327" t="s">
        <v>3160</v>
      </c>
    </row>
    <row r="328" spans="2:8" x14ac:dyDescent="0.25">
      <c r="B328" t="s">
        <v>3393</v>
      </c>
      <c r="C328">
        <v>2019</v>
      </c>
      <c r="D328" t="s">
        <v>3457</v>
      </c>
      <c r="E328" t="s">
        <v>2675</v>
      </c>
      <c r="F328" t="s">
        <v>2676</v>
      </c>
      <c r="G328" t="s">
        <v>2738</v>
      </c>
      <c r="H328" t="s">
        <v>3613</v>
      </c>
    </row>
    <row r="329" spans="2:8" x14ac:dyDescent="0.25">
      <c r="B329" t="s">
        <v>3393</v>
      </c>
      <c r="C329">
        <v>2019</v>
      </c>
      <c r="D329" t="s">
        <v>3457</v>
      </c>
      <c r="E329" t="s">
        <v>2675</v>
      </c>
      <c r="F329" t="s">
        <v>2676</v>
      </c>
      <c r="G329" t="s">
        <v>2739</v>
      </c>
      <c r="H329" t="s">
        <v>3004</v>
      </c>
    </row>
    <row r="330" spans="2:8" x14ac:dyDescent="0.25">
      <c r="B330" t="s">
        <v>3393</v>
      </c>
      <c r="C330">
        <v>2019</v>
      </c>
      <c r="D330" t="s">
        <v>3457</v>
      </c>
      <c r="E330" t="s">
        <v>2675</v>
      </c>
      <c r="F330" t="s">
        <v>2676</v>
      </c>
      <c r="G330" t="s">
        <v>2740</v>
      </c>
      <c r="H330" t="s">
        <v>3315</v>
      </c>
    </row>
    <row r="331" spans="2:8" x14ac:dyDescent="0.25">
      <c r="B331" t="s">
        <v>3393</v>
      </c>
      <c r="C331">
        <v>2019</v>
      </c>
      <c r="D331" t="s">
        <v>3457</v>
      </c>
      <c r="E331" t="s">
        <v>2675</v>
      </c>
      <c r="F331" t="s">
        <v>2676</v>
      </c>
      <c r="G331" t="s">
        <v>2741</v>
      </c>
      <c r="H331" t="s">
        <v>3643</v>
      </c>
    </row>
    <row r="332" spans="2:8" x14ac:dyDescent="0.25">
      <c r="B332" t="s">
        <v>3393</v>
      </c>
      <c r="C332">
        <v>2019</v>
      </c>
      <c r="D332" t="s">
        <v>3457</v>
      </c>
      <c r="E332" t="s">
        <v>2675</v>
      </c>
      <c r="F332" t="s">
        <v>2676</v>
      </c>
      <c r="G332" t="s">
        <v>2742</v>
      </c>
      <c r="H332" t="s">
        <v>3644</v>
      </c>
    </row>
    <row r="333" spans="2:8" x14ac:dyDescent="0.25">
      <c r="B333" t="s">
        <v>3393</v>
      </c>
      <c r="C333">
        <v>2019</v>
      </c>
      <c r="D333" t="s">
        <v>3457</v>
      </c>
      <c r="E333" t="s">
        <v>2675</v>
      </c>
      <c r="F333" t="s">
        <v>2676</v>
      </c>
      <c r="G333" t="s">
        <v>2743</v>
      </c>
      <c r="H333" t="s">
        <v>2744</v>
      </c>
    </row>
    <row r="334" spans="2:8" x14ac:dyDescent="0.25">
      <c r="B334" t="s">
        <v>3393</v>
      </c>
      <c r="C334">
        <v>2019</v>
      </c>
      <c r="D334" t="s">
        <v>3457</v>
      </c>
      <c r="E334" t="s">
        <v>2675</v>
      </c>
      <c r="F334" t="s">
        <v>2676</v>
      </c>
      <c r="G334" t="s">
        <v>2745</v>
      </c>
      <c r="H334" t="s">
        <v>3604</v>
      </c>
    </row>
    <row r="335" spans="2:8" x14ac:dyDescent="0.25">
      <c r="B335" t="s">
        <v>3393</v>
      </c>
      <c r="C335">
        <v>2019</v>
      </c>
      <c r="D335" t="s">
        <v>3457</v>
      </c>
      <c r="E335" t="s">
        <v>2675</v>
      </c>
      <c r="F335" t="s">
        <v>2676</v>
      </c>
      <c r="G335" t="s">
        <v>2746</v>
      </c>
      <c r="H335" t="s">
        <v>1993</v>
      </c>
    </row>
    <row r="336" spans="2:8" x14ac:dyDescent="0.25">
      <c r="B336" t="s">
        <v>3393</v>
      </c>
      <c r="C336">
        <v>2019</v>
      </c>
      <c r="D336" t="s">
        <v>3457</v>
      </c>
      <c r="E336" t="s">
        <v>2675</v>
      </c>
      <c r="F336" t="s">
        <v>2676</v>
      </c>
      <c r="G336" t="s">
        <v>2747</v>
      </c>
      <c r="H336" t="s">
        <v>2748</v>
      </c>
    </row>
    <row r="337" spans="2:8" x14ac:dyDescent="0.25">
      <c r="B337" t="s">
        <v>3393</v>
      </c>
      <c r="C337">
        <v>2019</v>
      </c>
      <c r="D337" t="s">
        <v>3457</v>
      </c>
      <c r="E337" t="s">
        <v>2675</v>
      </c>
      <c r="F337" t="s">
        <v>2676</v>
      </c>
      <c r="G337" t="s">
        <v>2749</v>
      </c>
      <c r="H337" t="s">
        <v>2518</v>
      </c>
    </row>
    <row r="338" spans="2:8" x14ac:dyDescent="0.25">
      <c r="B338" t="s">
        <v>3393</v>
      </c>
      <c r="C338">
        <v>2019</v>
      </c>
      <c r="D338" t="s">
        <v>3457</v>
      </c>
      <c r="E338" t="s">
        <v>2675</v>
      </c>
      <c r="F338" t="s">
        <v>2676</v>
      </c>
      <c r="G338" t="s">
        <v>2750</v>
      </c>
      <c r="H338" t="s">
        <v>1993</v>
      </c>
    </row>
    <row r="339" spans="2:8" x14ac:dyDescent="0.25">
      <c r="B339" t="s">
        <v>3393</v>
      </c>
      <c r="C339">
        <v>2019</v>
      </c>
      <c r="D339" t="s">
        <v>3457</v>
      </c>
      <c r="E339" t="s">
        <v>2675</v>
      </c>
      <c r="F339" t="s">
        <v>2676</v>
      </c>
      <c r="G339" t="s">
        <v>2751</v>
      </c>
      <c r="H339" t="s">
        <v>3605</v>
      </c>
    </row>
    <row r="340" spans="2:8" x14ac:dyDescent="0.25">
      <c r="B340" t="s">
        <v>3393</v>
      </c>
      <c r="C340">
        <v>2019</v>
      </c>
      <c r="D340" t="s">
        <v>3457</v>
      </c>
      <c r="E340" t="s">
        <v>2675</v>
      </c>
      <c r="F340" t="s">
        <v>2676</v>
      </c>
      <c r="G340" t="s">
        <v>2752</v>
      </c>
      <c r="H340" t="s">
        <v>3613</v>
      </c>
    </row>
    <row r="341" spans="2:8" x14ac:dyDescent="0.25">
      <c r="B341" t="s">
        <v>3393</v>
      </c>
      <c r="C341">
        <v>2019</v>
      </c>
      <c r="D341" t="s">
        <v>3457</v>
      </c>
      <c r="E341" t="s">
        <v>2675</v>
      </c>
      <c r="F341" t="s">
        <v>2676</v>
      </c>
      <c r="G341" t="s">
        <v>2753</v>
      </c>
      <c r="H341" t="s">
        <v>2518</v>
      </c>
    </row>
    <row r="342" spans="2:8" x14ac:dyDescent="0.25">
      <c r="B342" t="s">
        <v>3393</v>
      </c>
      <c r="C342">
        <v>2019</v>
      </c>
      <c r="D342" t="s">
        <v>3457</v>
      </c>
      <c r="E342" t="s">
        <v>2675</v>
      </c>
      <c r="F342" t="s">
        <v>2676</v>
      </c>
      <c r="G342" t="s">
        <v>2754</v>
      </c>
      <c r="H342" t="s">
        <v>3301</v>
      </c>
    </row>
    <row r="343" spans="2:8" x14ac:dyDescent="0.25">
      <c r="B343" t="s">
        <v>3393</v>
      </c>
      <c r="C343">
        <v>2019</v>
      </c>
      <c r="D343" t="s">
        <v>3457</v>
      </c>
      <c r="E343" t="s">
        <v>2675</v>
      </c>
      <c r="F343" t="s">
        <v>2676</v>
      </c>
      <c r="G343" t="s">
        <v>2755</v>
      </c>
      <c r="H343" t="s">
        <v>3645</v>
      </c>
    </row>
    <row r="344" spans="2:8" x14ac:dyDescent="0.25">
      <c r="B344" t="s">
        <v>3393</v>
      </c>
      <c r="C344">
        <v>2019</v>
      </c>
      <c r="D344" t="s">
        <v>3457</v>
      </c>
      <c r="E344" t="s">
        <v>2675</v>
      </c>
      <c r="F344" t="s">
        <v>2676</v>
      </c>
      <c r="G344" t="s">
        <v>2756</v>
      </c>
      <c r="H344" t="s">
        <v>3613</v>
      </c>
    </row>
    <row r="345" spans="2:8" x14ac:dyDescent="0.25">
      <c r="B345" t="s">
        <v>3393</v>
      </c>
      <c r="C345">
        <v>2019</v>
      </c>
      <c r="D345" t="s">
        <v>3457</v>
      </c>
      <c r="E345" t="s">
        <v>2757</v>
      </c>
      <c r="F345" t="s">
        <v>2758</v>
      </c>
      <c r="G345" t="s">
        <v>1034</v>
      </c>
      <c r="H345" t="s">
        <v>3646</v>
      </c>
    </row>
    <row r="346" spans="2:8" x14ac:dyDescent="0.25">
      <c r="B346" t="s">
        <v>3393</v>
      </c>
      <c r="C346">
        <v>2019</v>
      </c>
      <c r="D346" t="s">
        <v>3457</v>
      </c>
      <c r="E346" t="s">
        <v>2757</v>
      </c>
      <c r="F346" t="s">
        <v>2758</v>
      </c>
      <c r="G346" t="s">
        <v>1032</v>
      </c>
      <c r="H346" t="s">
        <v>3647</v>
      </c>
    </row>
    <row r="347" spans="2:8" x14ac:dyDescent="0.25">
      <c r="B347" t="s">
        <v>3393</v>
      </c>
      <c r="C347">
        <v>2019</v>
      </c>
      <c r="D347" t="s">
        <v>3457</v>
      </c>
      <c r="E347" t="s">
        <v>2757</v>
      </c>
      <c r="F347" t="s">
        <v>2758</v>
      </c>
      <c r="G347" t="s">
        <v>2759</v>
      </c>
      <c r="H347" t="s">
        <v>3648</v>
      </c>
    </row>
    <row r="348" spans="2:8" x14ac:dyDescent="0.25">
      <c r="B348" t="s">
        <v>3393</v>
      </c>
      <c r="C348">
        <v>2019</v>
      </c>
      <c r="D348" t="s">
        <v>3457</v>
      </c>
      <c r="E348" t="s">
        <v>2760</v>
      </c>
      <c r="F348" t="s">
        <v>2761</v>
      </c>
      <c r="G348" t="s">
        <v>2762</v>
      </c>
      <c r="H348" t="s">
        <v>3649</v>
      </c>
    </row>
    <row r="349" spans="2:8" x14ac:dyDescent="0.25">
      <c r="B349" t="s">
        <v>3393</v>
      </c>
      <c r="C349">
        <v>2019</v>
      </c>
      <c r="D349" t="s">
        <v>3457</v>
      </c>
      <c r="E349" t="s">
        <v>2760</v>
      </c>
      <c r="F349" t="s">
        <v>2761</v>
      </c>
      <c r="G349" t="s">
        <v>2763</v>
      </c>
      <c r="H349" t="s">
        <v>2175</v>
      </c>
    </row>
    <row r="350" spans="2:8" x14ac:dyDescent="0.25">
      <c r="B350" t="s">
        <v>3393</v>
      </c>
      <c r="C350">
        <v>2019</v>
      </c>
      <c r="D350" t="s">
        <v>3457</v>
      </c>
      <c r="E350" t="s">
        <v>2760</v>
      </c>
      <c r="F350" t="s">
        <v>2761</v>
      </c>
      <c r="G350" t="s">
        <v>2764</v>
      </c>
      <c r="H350" t="s">
        <v>3650</v>
      </c>
    </row>
    <row r="351" spans="2:8" x14ac:dyDescent="0.25">
      <c r="B351" t="s">
        <v>3393</v>
      </c>
      <c r="C351">
        <v>2019</v>
      </c>
      <c r="D351" t="s">
        <v>3457</v>
      </c>
      <c r="E351" t="s">
        <v>2760</v>
      </c>
      <c r="F351" t="s">
        <v>2761</v>
      </c>
      <c r="G351" t="s">
        <v>2765</v>
      </c>
      <c r="H351" t="s">
        <v>3651</v>
      </c>
    </row>
    <row r="352" spans="2:8" x14ac:dyDescent="0.25">
      <c r="B352" t="s">
        <v>3393</v>
      </c>
      <c r="C352">
        <v>2019</v>
      </c>
      <c r="D352" t="s">
        <v>3457</v>
      </c>
      <c r="E352" t="s">
        <v>2760</v>
      </c>
      <c r="F352" t="s">
        <v>2761</v>
      </c>
      <c r="G352" t="s">
        <v>2766</v>
      </c>
      <c r="H352" t="s">
        <v>3652</v>
      </c>
    </row>
    <row r="353" spans="2:8" x14ac:dyDescent="0.25">
      <c r="B353" t="s">
        <v>3393</v>
      </c>
      <c r="C353">
        <v>2019</v>
      </c>
      <c r="D353" t="s">
        <v>3457</v>
      </c>
      <c r="E353" t="s">
        <v>2760</v>
      </c>
      <c r="F353" t="s">
        <v>2761</v>
      </c>
      <c r="G353" t="s">
        <v>2767</v>
      </c>
      <c r="H353" t="s">
        <v>3358</v>
      </c>
    </row>
    <row r="354" spans="2:8" x14ac:dyDescent="0.25">
      <c r="B354" t="s">
        <v>3393</v>
      </c>
      <c r="C354">
        <v>2019</v>
      </c>
      <c r="D354" t="s">
        <v>3457</v>
      </c>
      <c r="E354" t="s">
        <v>2760</v>
      </c>
      <c r="F354" t="s">
        <v>2761</v>
      </c>
      <c r="G354" t="s">
        <v>2768</v>
      </c>
      <c r="H354" t="s">
        <v>1995</v>
      </c>
    </row>
    <row r="355" spans="2:8" x14ac:dyDescent="0.25">
      <c r="B355" t="s">
        <v>3393</v>
      </c>
      <c r="C355">
        <v>2019</v>
      </c>
      <c r="D355" t="s">
        <v>3457</v>
      </c>
      <c r="E355" t="s">
        <v>2760</v>
      </c>
      <c r="F355" t="s">
        <v>2761</v>
      </c>
      <c r="G355" t="s">
        <v>2769</v>
      </c>
      <c r="H355" t="s">
        <v>3653</v>
      </c>
    </row>
    <row r="356" spans="2:8" x14ac:dyDescent="0.25">
      <c r="B356" t="s">
        <v>3393</v>
      </c>
      <c r="C356">
        <v>2019</v>
      </c>
      <c r="D356" t="s">
        <v>3457</v>
      </c>
      <c r="E356" t="s">
        <v>2760</v>
      </c>
      <c r="F356" t="s">
        <v>2761</v>
      </c>
      <c r="G356" t="s">
        <v>2770</v>
      </c>
      <c r="H356" t="s">
        <v>3654</v>
      </c>
    </row>
    <row r="357" spans="2:8" x14ac:dyDescent="0.25">
      <c r="B357" t="s">
        <v>3393</v>
      </c>
      <c r="C357">
        <v>2019</v>
      </c>
      <c r="D357" t="s">
        <v>3457</v>
      </c>
      <c r="E357" t="s">
        <v>2760</v>
      </c>
      <c r="F357" t="s">
        <v>2761</v>
      </c>
      <c r="G357" t="s">
        <v>2771</v>
      </c>
      <c r="H357" t="s">
        <v>2975</v>
      </c>
    </row>
    <row r="358" spans="2:8" x14ac:dyDescent="0.25">
      <c r="B358" t="s">
        <v>3393</v>
      </c>
      <c r="C358">
        <v>2019</v>
      </c>
      <c r="D358" t="s">
        <v>3457</v>
      </c>
      <c r="E358" t="s">
        <v>2760</v>
      </c>
      <c r="F358" t="s">
        <v>2761</v>
      </c>
      <c r="G358" t="s">
        <v>2772</v>
      </c>
      <c r="H358" t="s">
        <v>3655</v>
      </c>
    </row>
    <row r="359" spans="2:8" x14ac:dyDescent="0.25">
      <c r="B359" t="s">
        <v>3393</v>
      </c>
      <c r="C359">
        <v>2019</v>
      </c>
      <c r="D359" t="s">
        <v>3457</v>
      </c>
      <c r="E359" t="s">
        <v>2760</v>
      </c>
      <c r="F359" t="s">
        <v>2761</v>
      </c>
      <c r="G359" t="s">
        <v>2773</v>
      </c>
      <c r="H359" t="s">
        <v>3656</v>
      </c>
    </row>
    <row r="360" spans="2:8" x14ac:dyDescent="0.25">
      <c r="B360" t="s">
        <v>3393</v>
      </c>
      <c r="C360">
        <v>2019</v>
      </c>
      <c r="D360" t="s">
        <v>3457</v>
      </c>
      <c r="E360" t="s">
        <v>2760</v>
      </c>
      <c r="F360" t="s">
        <v>2761</v>
      </c>
      <c r="G360" t="s">
        <v>2774</v>
      </c>
      <c r="H360" t="s">
        <v>3657</v>
      </c>
    </row>
    <row r="361" spans="2:8" x14ac:dyDescent="0.25">
      <c r="B361" t="s">
        <v>3393</v>
      </c>
      <c r="C361">
        <v>2019</v>
      </c>
      <c r="D361" t="s">
        <v>3457</v>
      </c>
      <c r="E361" t="s">
        <v>2760</v>
      </c>
      <c r="F361" t="s">
        <v>2761</v>
      </c>
      <c r="G361" t="s">
        <v>2775</v>
      </c>
      <c r="H361" t="s">
        <v>3658</v>
      </c>
    </row>
    <row r="362" spans="2:8" x14ac:dyDescent="0.25">
      <c r="B362" t="s">
        <v>3393</v>
      </c>
      <c r="C362">
        <v>2019</v>
      </c>
      <c r="D362" t="s">
        <v>3457</v>
      </c>
      <c r="E362" t="s">
        <v>2760</v>
      </c>
      <c r="F362" t="s">
        <v>2761</v>
      </c>
      <c r="G362" t="s">
        <v>2776</v>
      </c>
      <c r="H362" t="s">
        <v>3659</v>
      </c>
    </row>
    <row r="363" spans="2:8" x14ac:dyDescent="0.25">
      <c r="B363" t="s">
        <v>3393</v>
      </c>
      <c r="C363">
        <v>2019</v>
      </c>
      <c r="D363" t="s">
        <v>3457</v>
      </c>
      <c r="E363" t="s">
        <v>2760</v>
      </c>
      <c r="F363" t="s">
        <v>2761</v>
      </c>
      <c r="G363" t="s">
        <v>2777</v>
      </c>
      <c r="H363" t="s">
        <v>3660</v>
      </c>
    </row>
    <row r="364" spans="2:8" x14ac:dyDescent="0.25">
      <c r="B364" t="s">
        <v>3393</v>
      </c>
      <c r="C364">
        <v>2019</v>
      </c>
      <c r="D364" t="s">
        <v>3457</v>
      </c>
      <c r="E364" t="s">
        <v>2760</v>
      </c>
      <c r="F364" t="s">
        <v>2761</v>
      </c>
      <c r="G364" t="s">
        <v>2778</v>
      </c>
      <c r="H364" t="s">
        <v>3661</v>
      </c>
    </row>
    <row r="365" spans="2:8" x14ac:dyDescent="0.25">
      <c r="B365" t="s">
        <v>3393</v>
      </c>
      <c r="C365">
        <v>2019</v>
      </c>
      <c r="D365" t="s">
        <v>3457</v>
      </c>
      <c r="E365" t="s">
        <v>2760</v>
      </c>
      <c r="F365" t="s">
        <v>2761</v>
      </c>
      <c r="G365" t="s">
        <v>2779</v>
      </c>
      <c r="H365" t="s">
        <v>3662</v>
      </c>
    </row>
    <row r="366" spans="2:8" x14ac:dyDescent="0.25">
      <c r="B366" t="s">
        <v>3393</v>
      </c>
      <c r="C366">
        <v>2019</v>
      </c>
      <c r="D366" t="s">
        <v>3457</v>
      </c>
      <c r="E366" t="s">
        <v>2760</v>
      </c>
      <c r="F366" t="s">
        <v>2761</v>
      </c>
      <c r="G366" t="s">
        <v>2780</v>
      </c>
      <c r="H366" t="s">
        <v>3663</v>
      </c>
    </row>
    <row r="367" spans="2:8" x14ac:dyDescent="0.25">
      <c r="B367" t="s">
        <v>3393</v>
      </c>
      <c r="C367">
        <v>2019</v>
      </c>
      <c r="D367" t="s">
        <v>3457</v>
      </c>
      <c r="E367" t="s">
        <v>2760</v>
      </c>
      <c r="F367" t="s">
        <v>2761</v>
      </c>
      <c r="G367" t="s">
        <v>2781</v>
      </c>
      <c r="H367" t="s">
        <v>3664</v>
      </c>
    </row>
    <row r="368" spans="2:8" x14ac:dyDescent="0.25">
      <c r="B368" t="s">
        <v>3393</v>
      </c>
      <c r="C368">
        <v>2019</v>
      </c>
      <c r="D368" t="s">
        <v>3457</v>
      </c>
      <c r="E368" t="s">
        <v>2760</v>
      </c>
      <c r="F368" t="s">
        <v>2761</v>
      </c>
      <c r="G368" t="s">
        <v>2782</v>
      </c>
      <c r="H368" t="s">
        <v>3665</v>
      </c>
    </row>
    <row r="369" spans="2:8" x14ac:dyDescent="0.25">
      <c r="B369" t="s">
        <v>3393</v>
      </c>
      <c r="C369">
        <v>2019</v>
      </c>
      <c r="D369" t="s">
        <v>3457</v>
      </c>
      <c r="E369" t="s">
        <v>2760</v>
      </c>
      <c r="F369" t="s">
        <v>2761</v>
      </c>
      <c r="G369" t="s">
        <v>2783</v>
      </c>
      <c r="H369" t="s">
        <v>3666</v>
      </c>
    </row>
    <row r="370" spans="2:8" x14ac:dyDescent="0.25">
      <c r="B370" t="s">
        <v>3393</v>
      </c>
      <c r="C370">
        <v>2019</v>
      </c>
      <c r="D370" t="s">
        <v>3457</v>
      </c>
      <c r="E370" t="s">
        <v>2760</v>
      </c>
      <c r="F370" t="s">
        <v>2761</v>
      </c>
      <c r="G370" t="s">
        <v>2784</v>
      </c>
      <c r="H370" t="s">
        <v>3667</v>
      </c>
    </row>
    <row r="371" spans="2:8" x14ac:dyDescent="0.25">
      <c r="B371" t="s">
        <v>3393</v>
      </c>
      <c r="C371">
        <v>2019</v>
      </c>
      <c r="D371" t="s">
        <v>3457</v>
      </c>
      <c r="E371" t="s">
        <v>2760</v>
      </c>
      <c r="F371" t="s">
        <v>2761</v>
      </c>
      <c r="G371" t="s">
        <v>2785</v>
      </c>
      <c r="H371" t="s">
        <v>3668</v>
      </c>
    </row>
    <row r="372" spans="2:8" x14ac:dyDescent="0.25">
      <c r="B372" t="s">
        <v>3393</v>
      </c>
      <c r="C372">
        <v>2019</v>
      </c>
      <c r="D372" t="s">
        <v>3457</v>
      </c>
      <c r="E372" t="s">
        <v>2760</v>
      </c>
      <c r="F372" t="s">
        <v>2761</v>
      </c>
      <c r="G372" t="s">
        <v>2786</v>
      </c>
      <c r="H372" t="s">
        <v>3669</v>
      </c>
    </row>
    <row r="373" spans="2:8" x14ac:dyDescent="0.25">
      <c r="B373" t="s">
        <v>3393</v>
      </c>
      <c r="C373">
        <v>2019</v>
      </c>
      <c r="D373" t="s">
        <v>3457</v>
      </c>
      <c r="E373" t="s">
        <v>2760</v>
      </c>
      <c r="F373" t="s">
        <v>2761</v>
      </c>
      <c r="G373" t="s">
        <v>2787</v>
      </c>
      <c r="H373" t="s">
        <v>3670</v>
      </c>
    </row>
    <row r="374" spans="2:8" x14ac:dyDescent="0.25">
      <c r="B374" t="s">
        <v>3393</v>
      </c>
      <c r="C374">
        <v>2019</v>
      </c>
      <c r="D374" t="s">
        <v>3457</v>
      </c>
      <c r="E374" t="s">
        <v>2760</v>
      </c>
      <c r="F374" t="s">
        <v>2761</v>
      </c>
      <c r="G374" t="s">
        <v>2788</v>
      </c>
      <c r="H374" t="s">
        <v>3671</v>
      </c>
    </row>
    <row r="375" spans="2:8" x14ac:dyDescent="0.25">
      <c r="B375" t="s">
        <v>3393</v>
      </c>
      <c r="C375">
        <v>2019</v>
      </c>
      <c r="D375" t="s">
        <v>3457</v>
      </c>
      <c r="E375" t="s">
        <v>2760</v>
      </c>
      <c r="F375" t="s">
        <v>2761</v>
      </c>
      <c r="G375" t="s">
        <v>2789</v>
      </c>
      <c r="H375" t="s">
        <v>3672</v>
      </c>
    </row>
    <row r="376" spans="2:8" x14ac:dyDescent="0.25">
      <c r="B376" t="s">
        <v>3393</v>
      </c>
      <c r="C376">
        <v>2019</v>
      </c>
      <c r="D376" t="s">
        <v>3457</v>
      </c>
      <c r="E376" t="s">
        <v>2760</v>
      </c>
      <c r="F376" t="s">
        <v>2761</v>
      </c>
      <c r="G376" t="s">
        <v>2790</v>
      </c>
      <c r="H376" t="s">
        <v>3673</v>
      </c>
    </row>
    <row r="377" spans="2:8" x14ac:dyDescent="0.25">
      <c r="B377" t="s">
        <v>3393</v>
      </c>
      <c r="C377">
        <v>2019</v>
      </c>
      <c r="D377" t="s">
        <v>3457</v>
      </c>
      <c r="E377" t="s">
        <v>2760</v>
      </c>
      <c r="F377" t="s">
        <v>2761</v>
      </c>
      <c r="G377" t="s">
        <v>2791</v>
      </c>
      <c r="H377" t="s">
        <v>3674</v>
      </c>
    </row>
    <row r="378" spans="2:8" x14ac:dyDescent="0.25">
      <c r="B378" t="s">
        <v>3393</v>
      </c>
      <c r="C378">
        <v>2019</v>
      </c>
      <c r="D378" t="s">
        <v>3457</v>
      </c>
      <c r="E378" t="s">
        <v>2760</v>
      </c>
      <c r="F378" t="s">
        <v>2761</v>
      </c>
      <c r="G378" t="s">
        <v>2792</v>
      </c>
      <c r="H378" t="s">
        <v>3675</v>
      </c>
    </row>
    <row r="379" spans="2:8" x14ac:dyDescent="0.25">
      <c r="B379" t="s">
        <v>3393</v>
      </c>
      <c r="C379">
        <v>2019</v>
      </c>
      <c r="D379" t="s">
        <v>3457</v>
      </c>
      <c r="E379" t="s">
        <v>2760</v>
      </c>
      <c r="F379" t="s">
        <v>2761</v>
      </c>
      <c r="G379" t="s">
        <v>2793</v>
      </c>
      <c r="H379" t="s">
        <v>3676</v>
      </c>
    </row>
    <row r="380" spans="2:8" x14ac:dyDescent="0.25">
      <c r="B380" t="s">
        <v>3393</v>
      </c>
      <c r="C380">
        <v>2019</v>
      </c>
      <c r="D380" t="s">
        <v>3457</v>
      </c>
      <c r="E380" t="s">
        <v>2760</v>
      </c>
      <c r="F380" t="s">
        <v>2761</v>
      </c>
      <c r="G380" t="s">
        <v>2794</v>
      </c>
      <c r="H380" t="s">
        <v>3677</v>
      </c>
    </row>
    <row r="381" spans="2:8" x14ac:dyDescent="0.25">
      <c r="B381" t="s">
        <v>3393</v>
      </c>
      <c r="C381">
        <v>2019</v>
      </c>
      <c r="D381" t="s">
        <v>3457</v>
      </c>
      <c r="E381" t="s">
        <v>2760</v>
      </c>
      <c r="F381" t="s">
        <v>2761</v>
      </c>
      <c r="G381" t="s">
        <v>2795</v>
      </c>
      <c r="H381" t="s">
        <v>3678</v>
      </c>
    </row>
    <row r="382" spans="2:8" x14ac:dyDescent="0.25">
      <c r="B382" t="s">
        <v>3393</v>
      </c>
      <c r="C382">
        <v>2019</v>
      </c>
      <c r="D382" t="s">
        <v>3457</v>
      </c>
      <c r="E382" t="s">
        <v>2760</v>
      </c>
      <c r="F382" t="s">
        <v>2761</v>
      </c>
      <c r="G382" t="s">
        <v>2796</v>
      </c>
      <c r="H382" t="s">
        <v>3679</v>
      </c>
    </row>
    <row r="383" spans="2:8" x14ac:dyDescent="0.25">
      <c r="B383" t="s">
        <v>3393</v>
      </c>
      <c r="C383">
        <v>2019</v>
      </c>
      <c r="D383" t="s">
        <v>3457</v>
      </c>
      <c r="E383" t="s">
        <v>2760</v>
      </c>
      <c r="F383" t="s">
        <v>2761</v>
      </c>
      <c r="G383" t="s">
        <v>2797</v>
      </c>
      <c r="H383" t="s">
        <v>3680</v>
      </c>
    </row>
    <row r="384" spans="2:8" x14ac:dyDescent="0.25">
      <c r="B384" t="s">
        <v>3393</v>
      </c>
      <c r="C384">
        <v>2019</v>
      </c>
      <c r="D384" t="s">
        <v>3457</v>
      </c>
      <c r="E384" t="s">
        <v>2760</v>
      </c>
      <c r="F384" t="s">
        <v>2761</v>
      </c>
      <c r="G384" t="s">
        <v>2798</v>
      </c>
      <c r="H384" t="s">
        <v>3681</v>
      </c>
    </row>
    <row r="385" spans="2:8" x14ac:dyDescent="0.25">
      <c r="B385" t="s">
        <v>3393</v>
      </c>
      <c r="C385">
        <v>2019</v>
      </c>
      <c r="D385" t="s">
        <v>3457</v>
      </c>
      <c r="E385" t="s">
        <v>2760</v>
      </c>
      <c r="F385" t="s">
        <v>2761</v>
      </c>
      <c r="G385" t="s">
        <v>2799</v>
      </c>
      <c r="H385" t="s">
        <v>3682</v>
      </c>
    </row>
    <row r="386" spans="2:8" x14ac:dyDescent="0.25">
      <c r="B386" t="s">
        <v>3393</v>
      </c>
      <c r="C386">
        <v>2019</v>
      </c>
      <c r="D386" t="s">
        <v>3457</v>
      </c>
      <c r="E386" t="s">
        <v>2760</v>
      </c>
      <c r="F386" t="s">
        <v>2761</v>
      </c>
      <c r="G386" t="s">
        <v>2800</v>
      </c>
      <c r="H386" t="s">
        <v>3683</v>
      </c>
    </row>
    <row r="387" spans="2:8" x14ac:dyDescent="0.25">
      <c r="B387" t="s">
        <v>3393</v>
      </c>
      <c r="C387">
        <v>2019</v>
      </c>
      <c r="D387" t="s">
        <v>3457</v>
      </c>
      <c r="E387" t="s">
        <v>2760</v>
      </c>
      <c r="F387" t="s">
        <v>2761</v>
      </c>
      <c r="G387" t="s">
        <v>2801</v>
      </c>
      <c r="H387" t="s">
        <v>3684</v>
      </c>
    </row>
    <row r="388" spans="2:8" x14ac:dyDescent="0.25">
      <c r="B388" t="s">
        <v>3393</v>
      </c>
      <c r="C388">
        <v>2019</v>
      </c>
      <c r="D388" t="s">
        <v>3457</v>
      </c>
      <c r="E388" t="s">
        <v>2760</v>
      </c>
      <c r="F388" t="s">
        <v>2761</v>
      </c>
      <c r="G388" t="s">
        <v>2802</v>
      </c>
      <c r="H388" t="s">
        <v>3685</v>
      </c>
    </row>
    <row r="389" spans="2:8" x14ac:dyDescent="0.25">
      <c r="B389" t="s">
        <v>3393</v>
      </c>
      <c r="C389">
        <v>2019</v>
      </c>
      <c r="D389" t="s">
        <v>3457</v>
      </c>
      <c r="E389" t="s">
        <v>2760</v>
      </c>
      <c r="F389" t="s">
        <v>2761</v>
      </c>
      <c r="G389" t="s">
        <v>2803</v>
      </c>
      <c r="H389" t="s">
        <v>3686</v>
      </c>
    </row>
    <row r="390" spans="2:8" x14ac:dyDescent="0.25">
      <c r="B390" t="s">
        <v>3393</v>
      </c>
      <c r="C390">
        <v>2019</v>
      </c>
      <c r="D390" t="s">
        <v>3457</v>
      </c>
      <c r="E390" t="s">
        <v>2760</v>
      </c>
      <c r="F390" t="s">
        <v>2761</v>
      </c>
      <c r="G390" t="s">
        <v>2804</v>
      </c>
      <c r="H390" t="s">
        <v>1993</v>
      </c>
    </row>
    <row r="391" spans="2:8" x14ac:dyDescent="0.25">
      <c r="B391" t="s">
        <v>3393</v>
      </c>
      <c r="C391">
        <v>2019</v>
      </c>
      <c r="D391" t="s">
        <v>3457</v>
      </c>
      <c r="E391" t="s">
        <v>2760</v>
      </c>
      <c r="F391" t="s">
        <v>2761</v>
      </c>
      <c r="G391" t="s">
        <v>2805</v>
      </c>
      <c r="H391" t="s">
        <v>3687</v>
      </c>
    </row>
    <row r="392" spans="2:8" x14ac:dyDescent="0.25">
      <c r="B392" t="s">
        <v>3393</v>
      </c>
      <c r="C392">
        <v>2019</v>
      </c>
      <c r="D392" t="s">
        <v>3457</v>
      </c>
      <c r="E392" t="s">
        <v>2760</v>
      </c>
      <c r="F392" t="s">
        <v>2761</v>
      </c>
      <c r="G392" t="s">
        <v>2806</v>
      </c>
      <c r="H392" t="s">
        <v>3687</v>
      </c>
    </row>
    <row r="393" spans="2:8" x14ac:dyDescent="0.25">
      <c r="B393" t="s">
        <v>3393</v>
      </c>
      <c r="C393">
        <v>2019</v>
      </c>
      <c r="D393" t="s">
        <v>3457</v>
      </c>
      <c r="E393" t="s">
        <v>2760</v>
      </c>
      <c r="F393" t="s">
        <v>2761</v>
      </c>
      <c r="G393" t="s">
        <v>2807</v>
      </c>
      <c r="H393" t="s">
        <v>3688</v>
      </c>
    </row>
    <row r="394" spans="2:8" x14ac:dyDescent="0.25">
      <c r="B394" t="s">
        <v>3393</v>
      </c>
      <c r="C394">
        <v>2019</v>
      </c>
      <c r="D394" t="s">
        <v>3457</v>
      </c>
      <c r="E394" t="s">
        <v>2760</v>
      </c>
      <c r="F394" t="s">
        <v>2761</v>
      </c>
      <c r="G394" t="s">
        <v>2808</v>
      </c>
      <c r="H394" t="s">
        <v>1993</v>
      </c>
    </row>
    <row r="395" spans="2:8" x14ac:dyDescent="0.25">
      <c r="B395" t="s">
        <v>3393</v>
      </c>
      <c r="C395">
        <v>2019</v>
      </c>
      <c r="D395" t="s">
        <v>3457</v>
      </c>
      <c r="E395" t="s">
        <v>2760</v>
      </c>
      <c r="F395" t="s">
        <v>2761</v>
      </c>
      <c r="G395" t="s">
        <v>2809</v>
      </c>
      <c r="H395" t="s">
        <v>3689</v>
      </c>
    </row>
    <row r="396" spans="2:8" x14ac:dyDescent="0.25">
      <c r="B396" t="s">
        <v>3393</v>
      </c>
      <c r="C396">
        <v>2019</v>
      </c>
      <c r="D396" t="s">
        <v>3457</v>
      </c>
      <c r="E396" t="s">
        <v>2760</v>
      </c>
      <c r="F396" t="s">
        <v>2761</v>
      </c>
      <c r="G396" t="s">
        <v>2810</v>
      </c>
      <c r="H396" t="s">
        <v>3689</v>
      </c>
    </row>
    <row r="397" spans="2:8" x14ac:dyDescent="0.25">
      <c r="B397" t="s">
        <v>3393</v>
      </c>
      <c r="C397">
        <v>2019</v>
      </c>
      <c r="D397" t="s">
        <v>3457</v>
      </c>
      <c r="E397" t="s">
        <v>2760</v>
      </c>
      <c r="F397" t="s">
        <v>2761</v>
      </c>
      <c r="G397" t="s">
        <v>2811</v>
      </c>
      <c r="H397" t="s">
        <v>3690</v>
      </c>
    </row>
    <row r="398" spans="2:8" x14ac:dyDescent="0.25">
      <c r="B398" t="s">
        <v>3393</v>
      </c>
      <c r="C398">
        <v>2019</v>
      </c>
      <c r="D398" t="s">
        <v>3457</v>
      </c>
      <c r="E398" t="s">
        <v>2760</v>
      </c>
      <c r="F398" t="s">
        <v>2761</v>
      </c>
      <c r="G398" t="s">
        <v>2812</v>
      </c>
      <c r="H398" t="s">
        <v>3691</v>
      </c>
    </row>
    <row r="399" spans="2:8" x14ac:dyDescent="0.25">
      <c r="B399" t="s">
        <v>3393</v>
      </c>
      <c r="C399">
        <v>2019</v>
      </c>
      <c r="D399" t="s">
        <v>3457</v>
      </c>
      <c r="E399" t="s">
        <v>2760</v>
      </c>
      <c r="F399" t="s">
        <v>2761</v>
      </c>
      <c r="G399" t="s">
        <v>2813</v>
      </c>
      <c r="H399" t="s">
        <v>1993</v>
      </c>
    </row>
    <row r="400" spans="2:8" x14ac:dyDescent="0.25">
      <c r="B400" t="s">
        <v>3393</v>
      </c>
      <c r="C400">
        <v>2019</v>
      </c>
      <c r="D400" t="s">
        <v>3457</v>
      </c>
      <c r="E400" t="s">
        <v>2760</v>
      </c>
      <c r="F400" t="s">
        <v>2761</v>
      </c>
      <c r="G400" t="s">
        <v>2814</v>
      </c>
      <c r="H400" t="s">
        <v>3692</v>
      </c>
    </row>
    <row r="401" spans="2:8" x14ac:dyDescent="0.25">
      <c r="B401" t="s">
        <v>3393</v>
      </c>
      <c r="C401">
        <v>2019</v>
      </c>
      <c r="D401" t="s">
        <v>3457</v>
      </c>
      <c r="E401" t="s">
        <v>2760</v>
      </c>
      <c r="F401" t="s">
        <v>2761</v>
      </c>
      <c r="G401" t="s">
        <v>2815</v>
      </c>
      <c r="H401" t="s">
        <v>3692</v>
      </c>
    </row>
    <row r="402" spans="2:8" x14ac:dyDescent="0.25">
      <c r="B402" t="s">
        <v>3393</v>
      </c>
      <c r="C402">
        <v>2019</v>
      </c>
      <c r="D402" t="s">
        <v>3457</v>
      </c>
      <c r="E402" t="s">
        <v>2760</v>
      </c>
      <c r="F402" t="s">
        <v>2761</v>
      </c>
      <c r="G402" t="s">
        <v>2816</v>
      </c>
      <c r="H402" t="s">
        <v>3693</v>
      </c>
    </row>
    <row r="403" spans="2:8" x14ac:dyDescent="0.25">
      <c r="B403" t="s">
        <v>3393</v>
      </c>
      <c r="C403">
        <v>2019</v>
      </c>
      <c r="D403" t="s">
        <v>3457</v>
      </c>
      <c r="E403" t="s">
        <v>2760</v>
      </c>
      <c r="F403" t="s">
        <v>2761</v>
      </c>
      <c r="G403" t="s">
        <v>2817</v>
      </c>
      <c r="H403" t="s">
        <v>3694</v>
      </c>
    </row>
    <row r="404" spans="2:8" x14ac:dyDescent="0.25">
      <c r="B404" t="s">
        <v>3393</v>
      </c>
      <c r="C404">
        <v>2019</v>
      </c>
      <c r="D404" t="s">
        <v>3457</v>
      </c>
      <c r="E404" t="s">
        <v>2760</v>
      </c>
      <c r="F404" t="s">
        <v>2761</v>
      </c>
      <c r="G404" t="s">
        <v>2818</v>
      </c>
      <c r="H404" t="s">
        <v>1993</v>
      </c>
    </row>
    <row r="405" spans="2:8" x14ac:dyDescent="0.25">
      <c r="B405" t="s">
        <v>3393</v>
      </c>
      <c r="C405">
        <v>2019</v>
      </c>
      <c r="D405" t="s">
        <v>3457</v>
      </c>
      <c r="E405" t="s">
        <v>2760</v>
      </c>
      <c r="F405" t="s">
        <v>2761</v>
      </c>
      <c r="G405" t="s">
        <v>2819</v>
      </c>
      <c r="H405" t="s">
        <v>3345</v>
      </c>
    </row>
    <row r="406" spans="2:8" x14ac:dyDescent="0.25">
      <c r="B406" t="s">
        <v>3393</v>
      </c>
      <c r="C406">
        <v>2019</v>
      </c>
      <c r="D406" t="s">
        <v>3457</v>
      </c>
      <c r="E406" t="s">
        <v>2760</v>
      </c>
      <c r="F406" t="s">
        <v>2761</v>
      </c>
      <c r="G406" t="s">
        <v>2820</v>
      </c>
      <c r="H406" t="s">
        <v>3345</v>
      </c>
    </row>
    <row r="407" spans="2:8" x14ac:dyDescent="0.25">
      <c r="B407" t="s">
        <v>3393</v>
      </c>
      <c r="C407">
        <v>2019</v>
      </c>
      <c r="D407" t="s">
        <v>3457</v>
      </c>
      <c r="E407" t="s">
        <v>2760</v>
      </c>
      <c r="F407" t="s">
        <v>2761</v>
      </c>
      <c r="G407" t="s">
        <v>2821</v>
      </c>
      <c r="H407" t="s">
        <v>3323</v>
      </c>
    </row>
    <row r="408" spans="2:8" x14ac:dyDescent="0.25">
      <c r="B408" t="s">
        <v>3393</v>
      </c>
      <c r="C408">
        <v>2019</v>
      </c>
      <c r="D408" t="s">
        <v>3457</v>
      </c>
      <c r="E408" t="s">
        <v>2760</v>
      </c>
      <c r="F408" t="s">
        <v>2761</v>
      </c>
      <c r="G408" t="s">
        <v>2822</v>
      </c>
      <c r="H408" t="s">
        <v>3695</v>
      </c>
    </row>
    <row r="409" spans="2:8" x14ac:dyDescent="0.25">
      <c r="B409" t="s">
        <v>3393</v>
      </c>
      <c r="C409">
        <v>2019</v>
      </c>
      <c r="D409" t="s">
        <v>3457</v>
      </c>
      <c r="E409" t="s">
        <v>2760</v>
      </c>
      <c r="F409" t="s">
        <v>2761</v>
      </c>
      <c r="G409" t="s">
        <v>2823</v>
      </c>
      <c r="H409" t="s">
        <v>1993</v>
      </c>
    </row>
    <row r="410" spans="2:8" x14ac:dyDescent="0.25">
      <c r="B410" t="s">
        <v>3393</v>
      </c>
      <c r="C410">
        <v>2019</v>
      </c>
      <c r="D410" t="s">
        <v>3457</v>
      </c>
      <c r="E410" t="s">
        <v>2760</v>
      </c>
      <c r="F410" t="s">
        <v>2761</v>
      </c>
      <c r="G410" t="s">
        <v>2824</v>
      </c>
      <c r="H410" t="s">
        <v>3696</v>
      </c>
    </row>
    <row r="411" spans="2:8" x14ac:dyDescent="0.25">
      <c r="B411" t="s">
        <v>3393</v>
      </c>
      <c r="C411">
        <v>2019</v>
      </c>
      <c r="D411" t="s">
        <v>3457</v>
      </c>
      <c r="E411" t="s">
        <v>2760</v>
      </c>
      <c r="F411" t="s">
        <v>2761</v>
      </c>
      <c r="G411" t="s">
        <v>2825</v>
      </c>
      <c r="H411" t="s">
        <v>3697</v>
      </c>
    </row>
    <row r="412" spans="2:8" x14ac:dyDescent="0.25">
      <c r="B412" t="s">
        <v>3393</v>
      </c>
      <c r="C412">
        <v>2019</v>
      </c>
      <c r="D412" t="s">
        <v>3457</v>
      </c>
      <c r="E412" t="s">
        <v>2760</v>
      </c>
      <c r="F412" t="s">
        <v>2761</v>
      </c>
      <c r="G412" t="s">
        <v>2826</v>
      </c>
      <c r="H412" t="s">
        <v>3313</v>
      </c>
    </row>
    <row r="413" spans="2:8" x14ac:dyDescent="0.25">
      <c r="B413" t="s">
        <v>3393</v>
      </c>
      <c r="C413">
        <v>2019</v>
      </c>
      <c r="D413" t="s">
        <v>3457</v>
      </c>
      <c r="E413" t="s">
        <v>2760</v>
      </c>
      <c r="F413" t="s">
        <v>2761</v>
      </c>
      <c r="G413" t="s">
        <v>2827</v>
      </c>
      <c r="H413" t="s">
        <v>3698</v>
      </c>
    </row>
    <row r="414" spans="2:8" x14ac:dyDescent="0.25">
      <c r="B414" t="s">
        <v>3393</v>
      </c>
      <c r="C414">
        <v>2019</v>
      </c>
      <c r="D414" t="s">
        <v>3457</v>
      </c>
      <c r="E414" t="s">
        <v>2760</v>
      </c>
      <c r="F414" t="s">
        <v>2761</v>
      </c>
      <c r="G414" t="s">
        <v>2828</v>
      </c>
      <c r="H414" t="s">
        <v>3699</v>
      </c>
    </row>
    <row r="415" spans="2:8" x14ac:dyDescent="0.25">
      <c r="B415" t="s">
        <v>3393</v>
      </c>
      <c r="C415">
        <v>2019</v>
      </c>
      <c r="D415" t="s">
        <v>3457</v>
      </c>
      <c r="E415" t="s">
        <v>2760</v>
      </c>
      <c r="F415" t="s">
        <v>2761</v>
      </c>
      <c r="G415" t="s">
        <v>2829</v>
      </c>
      <c r="H415" t="s">
        <v>3700</v>
      </c>
    </row>
    <row r="416" spans="2:8" x14ac:dyDescent="0.25">
      <c r="B416" t="s">
        <v>3393</v>
      </c>
      <c r="C416">
        <v>2019</v>
      </c>
      <c r="D416" t="s">
        <v>3457</v>
      </c>
      <c r="E416" t="s">
        <v>2760</v>
      </c>
      <c r="F416" t="s">
        <v>2761</v>
      </c>
      <c r="G416" t="s">
        <v>2830</v>
      </c>
      <c r="H416" t="s">
        <v>3701</v>
      </c>
    </row>
    <row r="417" spans="2:8" x14ac:dyDescent="0.25">
      <c r="B417" t="s">
        <v>3393</v>
      </c>
      <c r="C417">
        <v>2019</v>
      </c>
      <c r="D417" t="s">
        <v>3457</v>
      </c>
      <c r="E417" t="s">
        <v>2760</v>
      </c>
      <c r="F417" t="s">
        <v>2761</v>
      </c>
      <c r="G417" t="s">
        <v>2831</v>
      </c>
      <c r="H417" t="s">
        <v>3702</v>
      </c>
    </row>
    <row r="418" spans="2:8" x14ac:dyDescent="0.25">
      <c r="B418" t="s">
        <v>3393</v>
      </c>
      <c r="C418">
        <v>2019</v>
      </c>
      <c r="D418" t="s">
        <v>3457</v>
      </c>
      <c r="E418" t="s">
        <v>2760</v>
      </c>
      <c r="F418" t="s">
        <v>2761</v>
      </c>
      <c r="G418" t="s">
        <v>2832</v>
      </c>
      <c r="H418" t="s">
        <v>3285</v>
      </c>
    </row>
    <row r="419" spans="2:8" x14ac:dyDescent="0.25">
      <c r="B419" t="s">
        <v>3393</v>
      </c>
      <c r="C419">
        <v>2019</v>
      </c>
      <c r="D419" t="s">
        <v>3457</v>
      </c>
      <c r="E419" t="s">
        <v>2760</v>
      </c>
      <c r="F419" t="s">
        <v>2761</v>
      </c>
      <c r="G419" t="s">
        <v>2833</v>
      </c>
      <c r="H419" t="s">
        <v>3703</v>
      </c>
    </row>
    <row r="420" spans="2:8" x14ac:dyDescent="0.25">
      <c r="B420" t="s">
        <v>3393</v>
      </c>
      <c r="C420">
        <v>2019</v>
      </c>
      <c r="D420" t="s">
        <v>3457</v>
      </c>
      <c r="E420" t="s">
        <v>2760</v>
      </c>
      <c r="F420" t="s">
        <v>2761</v>
      </c>
      <c r="G420" t="s">
        <v>2834</v>
      </c>
      <c r="H420" t="s">
        <v>3704</v>
      </c>
    </row>
    <row r="421" spans="2:8" x14ac:dyDescent="0.25">
      <c r="B421" t="s">
        <v>3393</v>
      </c>
      <c r="C421">
        <v>2019</v>
      </c>
      <c r="D421" t="s">
        <v>3457</v>
      </c>
      <c r="E421" t="s">
        <v>2760</v>
      </c>
      <c r="F421" t="s">
        <v>2761</v>
      </c>
      <c r="G421" t="s">
        <v>2835</v>
      </c>
      <c r="H421" t="s">
        <v>3705</v>
      </c>
    </row>
    <row r="422" spans="2:8" x14ac:dyDescent="0.25">
      <c r="B422" t="s">
        <v>3393</v>
      </c>
      <c r="C422">
        <v>2019</v>
      </c>
      <c r="D422" t="s">
        <v>3457</v>
      </c>
      <c r="E422" t="s">
        <v>2760</v>
      </c>
      <c r="F422" t="s">
        <v>2761</v>
      </c>
      <c r="G422" t="s">
        <v>2836</v>
      </c>
      <c r="H422" t="s">
        <v>3706</v>
      </c>
    </row>
    <row r="423" spans="2:8" x14ac:dyDescent="0.25">
      <c r="B423" t="s">
        <v>3393</v>
      </c>
      <c r="C423">
        <v>2019</v>
      </c>
      <c r="D423" t="s">
        <v>3457</v>
      </c>
      <c r="E423" t="s">
        <v>2760</v>
      </c>
      <c r="F423" t="s">
        <v>2761</v>
      </c>
      <c r="G423" t="s">
        <v>2837</v>
      </c>
      <c r="H423" t="s">
        <v>3707</v>
      </c>
    </row>
    <row r="424" spans="2:8" x14ac:dyDescent="0.25">
      <c r="B424" t="s">
        <v>3393</v>
      </c>
      <c r="C424">
        <v>2019</v>
      </c>
      <c r="D424" t="s">
        <v>3457</v>
      </c>
      <c r="E424" t="s">
        <v>2760</v>
      </c>
      <c r="F424" t="s">
        <v>2761</v>
      </c>
      <c r="G424" t="s">
        <v>2838</v>
      </c>
      <c r="H424" t="s">
        <v>3708</v>
      </c>
    </row>
    <row r="425" spans="2:8" x14ac:dyDescent="0.25">
      <c r="B425" t="s">
        <v>3393</v>
      </c>
      <c r="C425">
        <v>2019</v>
      </c>
      <c r="D425" t="s">
        <v>3457</v>
      </c>
      <c r="E425" t="s">
        <v>2760</v>
      </c>
      <c r="F425" t="s">
        <v>2761</v>
      </c>
      <c r="G425" t="s">
        <v>2839</v>
      </c>
      <c r="H425" t="s">
        <v>3709</v>
      </c>
    </row>
    <row r="426" spans="2:8" x14ac:dyDescent="0.25">
      <c r="B426" t="s">
        <v>3393</v>
      </c>
      <c r="C426">
        <v>2019</v>
      </c>
      <c r="D426" t="s">
        <v>3457</v>
      </c>
      <c r="E426" t="s">
        <v>2760</v>
      </c>
      <c r="F426" t="s">
        <v>2761</v>
      </c>
      <c r="G426" t="s">
        <v>2840</v>
      </c>
      <c r="H426" t="s">
        <v>3710</v>
      </c>
    </row>
    <row r="427" spans="2:8" x14ac:dyDescent="0.25">
      <c r="B427" t="s">
        <v>3393</v>
      </c>
      <c r="C427">
        <v>2019</v>
      </c>
      <c r="D427" t="s">
        <v>3457</v>
      </c>
      <c r="E427" t="s">
        <v>2760</v>
      </c>
      <c r="F427" t="s">
        <v>2761</v>
      </c>
      <c r="G427" t="s">
        <v>2841</v>
      </c>
      <c r="H427" t="s">
        <v>3711</v>
      </c>
    </row>
    <row r="428" spans="2:8" x14ac:dyDescent="0.25">
      <c r="B428" t="s">
        <v>3393</v>
      </c>
      <c r="C428">
        <v>2019</v>
      </c>
      <c r="D428" t="s">
        <v>3457</v>
      </c>
      <c r="E428" t="s">
        <v>2760</v>
      </c>
      <c r="F428" t="s">
        <v>2761</v>
      </c>
      <c r="G428" t="s">
        <v>2842</v>
      </c>
      <c r="H428" t="s">
        <v>3712</v>
      </c>
    </row>
    <row r="429" spans="2:8" x14ac:dyDescent="0.25">
      <c r="B429" t="s">
        <v>3393</v>
      </c>
      <c r="C429">
        <v>2019</v>
      </c>
      <c r="D429" t="s">
        <v>3457</v>
      </c>
      <c r="E429" t="s">
        <v>2760</v>
      </c>
      <c r="F429" t="s">
        <v>2761</v>
      </c>
      <c r="G429" t="s">
        <v>2843</v>
      </c>
      <c r="H429" t="s">
        <v>3713</v>
      </c>
    </row>
    <row r="430" spans="2:8" x14ac:dyDescent="0.25">
      <c r="B430" t="s">
        <v>3393</v>
      </c>
      <c r="C430">
        <v>2019</v>
      </c>
      <c r="D430" t="s">
        <v>3457</v>
      </c>
      <c r="E430" t="s">
        <v>2760</v>
      </c>
      <c r="F430" t="s">
        <v>2761</v>
      </c>
      <c r="G430" t="s">
        <v>2844</v>
      </c>
      <c r="H430" t="s">
        <v>3714</v>
      </c>
    </row>
    <row r="431" spans="2:8" x14ac:dyDescent="0.25">
      <c r="B431" t="s">
        <v>3393</v>
      </c>
      <c r="C431">
        <v>2019</v>
      </c>
      <c r="D431" t="s">
        <v>3457</v>
      </c>
      <c r="E431" t="s">
        <v>2760</v>
      </c>
      <c r="F431" t="s">
        <v>2761</v>
      </c>
      <c r="G431" t="s">
        <v>2845</v>
      </c>
      <c r="H431" t="s">
        <v>3715</v>
      </c>
    </row>
    <row r="432" spans="2:8" x14ac:dyDescent="0.25">
      <c r="B432" t="s">
        <v>3393</v>
      </c>
      <c r="C432">
        <v>2019</v>
      </c>
      <c r="D432" t="s">
        <v>3457</v>
      </c>
      <c r="E432" t="s">
        <v>2760</v>
      </c>
      <c r="F432" t="s">
        <v>2761</v>
      </c>
      <c r="G432" t="s">
        <v>2846</v>
      </c>
      <c r="H432" t="s">
        <v>3332</v>
      </c>
    </row>
    <row r="433" spans="2:8" x14ac:dyDescent="0.25">
      <c r="B433" t="s">
        <v>3393</v>
      </c>
      <c r="C433">
        <v>2019</v>
      </c>
      <c r="D433" t="s">
        <v>3457</v>
      </c>
      <c r="E433" t="s">
        <v>2847</v>
      </c>
      <c r="F433" t="s">
        <v>2848</v>
      </c>
      <c r="G433" t="s">
        <v>2849</v>
      </c>
      <c r="H433" t="s">
        <v>3711</v>
      </c>
    </row>
    <row r="434" spans="2:8" x14ac:dyDescent="0.25">
      <c r="B434" t="s">
        <v>3393</v>
      </c>
      <c r="C434">
        <v>2019</v>
      </c>
      <c r="D434" t="s">
        <v>3457</v>
      </c>
      <c r="E434" t="s">
        <v>2847</v>
      </c>
      <c r="F434" t="s">
        <v>2848</v>
      </c>
      <c r="G434" t="s">
        <v>2850</v>
      </c>
      <c r="H434" t="s">
        <v>3716</v>
      </c>
    </row>
    <row r="435" spans="2:8" x14ac:dyDescent="0.25">
      <c r="B435" t="s">
        <v>3393</v>
      </c>
      <c r="C435">
        <v>2019</v>
      </c>
      <c r="D435" t="s">
        <v>3457</v>
      </c>
      <c r="E435" t="s">
        <v>2851</v>
      </c>
      <c r="F435" t="s">
        <v>2852</v>
      </c>
      <c r="G435" t="s">
        <v>2853</v>
      </c>
      <c r="H435" t="s">
        <v>3717</v>
      </c>
    </row>
    <row r="436" spans="2:8" x14ac:dyDescent="0.25">
      <c r="B436" t="s">
        <v>3393</v>
      </c>
      <c r="C436">
        <v>2019</v>
      </c>
      <c r="D436" t="s">
        <v>3457</v>
      </c>
      <c r="E436" t="s">
        <v>2854</v>
      </c>
      <c r="F436" t="s">
        <v>2855</v>
      </c>
      <c r="G436" t="s">
        <v>2856</v>
      </c>
      <c r="H436" t="s">
        <v>3718</v>
      </c>
    </row>
    <row r="437" spans="2:8" x14ac:dyDescent="0.25">
      <c r="B437" t="s">
        <v>3393</v>
      </c>
      <c r="C437">
        <v>2019</v>
      </c>
      <c r="D437" t="s">
        <v>3457</v>
      </c>
      <c r="E437" t="s">
        <v>2857</v>
      </c>
      <c r="F437" t="s">
        <v>2858</v>
      </c>
      <c r="G437" t="s">
        <v>2859</v>
      </c>
      <c r="H437" t="s">
        <v>3719</v>
      </c>
    </row>
    <row r="438" spans="2:8" x14ac:dyDescent="0.25">
      <c r="B438" t="s">
        <v>3393</v>
      </c>
      <c r="C438">
        <v>2019</v>
      </c>
      <c r="D438" t="s">
        <v>3457</v>
      </c>
      <c r="E438" t="s">
        <v>2860</v>
      </c>
      <c r="F438" t="s">
        <v>2861</v>
      </c>
      <c r="G438" t="s">
        <v>2862</v>
      </c>
      <c r="H438" t="s">
        <v>1993</v>
      </c>
    </row>
    <row r="439" spans="2:8" x14ac:dyDescent="0.25">
      <c r="B439" t="s">
        <v>3393</v>
      </c>
      <c r="C439">
        <v>2019</v>
      </c>
      <c r="D439" t="s">
        <v>3457</v>
      </c>
      <c r="E439" t="s">
        <v>2860</v>
      </c>
      <c r="F439" t="s">
        <v>2861</v>
      </c>
      <c r="G439" t="s">
        <v>3148</v>
      </c>
      <c r="H439" t="s">
        <v>3720</v>
      </c>
    </row>
    <row r="440" spans="2:8" x14ac:dyDescent="0.25">
      <c r="B440" t="s">
        <v>3393</v>
      </c>
      <c r="C440">
        <v>2019</v>
      </c>
      <c r="D440" t="s">
        <v>3457</v>
      </c>
      <c r="E440" t="s">
        <v>2860</v>
      </c>
      <c r="F440" t="s">
        <v>2861</v>
      </c>
      <c r="G440" t="s">
        <v>2863</v>
      </c>
      <c r="H440" t="s">
        <v>3721</v>
      </c>
    </row>
    <row r="441" spans="2:8" x14ac:dyDescent="0.25">
      <c r="B441" t="s">
        <v>3393</v>
      </c>
      <c r="C441">
        <v>2019</v>
      </c>
      <c r="D441" t="s">
        <v>3457</v>
      </c>
      <c r="E441" t="s">
        <v>3286</v>
      </c>
      <c r="F441" t="s">
        <v>3287</v>
      </c>
      <c r="G441" t="s">
        <v>3288</v>
      </c>
      <c r="H441" t="s">
        <v>1993</v>
      </c>
    </row>
    <row r="442" spans="2:8" x14ac:dyDescent="0.25">
      <c r="B442" t="s">
        <v>3393</v>
      </c>
      <c r="C442">
        <v>2019</v>
      </c>
      <c r="D442" t="s">
        <v>3457</v>
      </c>
      <c r="E442" t="s">
        <v>3286</v>
      </c>
      <c r="F442" t="s">
        <v>3287</v>
      </c>
      <c r="G442" t="s">
        <v>3289</v>
      </c>
      <c r="H442" t="s">
        <v>3722</v>
      </c>
    </row>
    <row r="443" spans="2:8" x14ac:dyDescent="0.25">
      <c r="B443" t="s">
        <v>3393</v>
      </c>
      <c r="C443">
        <v>2019</v>
      </c>
      <c r="D443" t="s">
        <v>3457</v>
      </c>
      <c r="E443" t="s">
        <v>3286</v>
      </c>
      <c r="F443" t="s">
        <v>3287</v>
      </c>
      <c r="G443" t="s">
        <v>3312</v>
      </c>
      <c r="H443" t="s">
        <v>3723</v>
      </c>
    </row>
    <row r="444" spans="2:8" x14ac:dyDescent="0.25">
      <c r="B444" t="s">
        <v>3393</v>
      </c>
      <c r="C444">
        <v>2019</v>
      </c>
      <c r="D444" t="s">
        <v>3457</v>
      </c>
      <c r="E444" t="s">
        <v>2864</v>
      </c>
      <c r="F444" t="s">
        <v>2865</v>
      </c>
      <c r="G444" t="s">
        <v>2866</v>
      </c>
      <c r="H444" t="s">
        <v>3724</v>
      </c>
    </row>
    <row r="445" spans="2:8" x14ac:dyDescent="0.25">
      <c r="B445" t="s">
        <v>3393</v>
      </c>
      <c r="C445">
        <v>2019</v>
      </c>
      <c r="D445" t="s">
        <v>3457</v>
      </c>
      <c r="E445" t="s">
        <v>2864</v>
      </c>
      <c r="F445" t="s">
        <v>2865</v>
      </c>
      <c r="G445" t="s">
        <v>2409</v>
      </c>
      <c r="H445" t="s">
        <v>3725</v>
      </c>
    </row>
    <row r="446" spans="2:8" x14ac:dyDescent="0.25">
      <c r="B446" t="s">
        <v>3393</v>
      </c>
      <c r="C446">
        <v>2019</v>
      </c>
      <c r="D446" t="s">
        <v>3457</v>
      </c>
      <c r="E446" t="s">
        <v>2864</v>
      </c>
      <c r="F446" t="s">
        <v>2865</v>
      </c>
      <c r="G446" t="s">
        <v>2867</v>
      </c>
      <c r="H446" t="s">
        <v>3726</v>
      </c>
    </row>
    <row r="447" spans="2:8" x14ac:dyDescent="0.25">
      <c r="B447" t="s">
        <v>3393</v>
      </c>
      <c r="C447">
        <v>2019</v>
      </c>
      <c r="D447" t="s">
        <v>3457</v>
      </c>
      <c r="E447" t="s">
        <v>2868</v>
      </c>
      <c r="F447" t="s">
        <v>2869</v>
      </c>
      <c r="G447" t="s">
        <v>2870</v>
      </c>
      <c r="H447" t="s">
        <v>3727</v>
      </c>
    </row>
    <row r="448" spans="2:8" x14ac:dyDescent="0.25">
      <c r="B448" t="s">
        <v>3393</v>
      </c>
      <c r="C448">
        <v>2019</v>
      </c>
      <c r="D448" t="s">
        <v>3457</v>
      </c>
      <c r="E448" t="s">
        <v>2871</v>
      </c>
      <c r="F448" t="s">
        <v>2872</v>
      </c>
      <c r="G448" t="s">
        <v>2873</v>
      </c>
      <c r="H448" t="s">
        <v>3728</v>
      </c>
    </row>
    <row r="449" spans="2:8" x14ac:dyDescent="0.25">
      <c r="B449" t="s">
        <v>3393</v>
      </c>
      <c r="C449">
        <v>2019</v>
      </c>
      <c r="D449" t="s">
        <v>3457</v>
      </c>
      <c r="E449" t="s">
        <v>2871</v>
      </c>
      <c r="F449" t="s">
        <v>2872</v>
      </c>
      <c r="G449" t="s">
        <v>2874</v>
      </c>
      <c r="H449" t="s">
        <v>3729</v>
      </c>
    </row>
    <row r="450" spans="2:8" x14ac:dyDescent="0.25">
      <c r="B450" t="s">
        <v>3393</v>
      </c>
      <c r="C450">
        <v>2019</v>
      </c>
      <c r="D450" t="s">
        <v>3457</v>
      </c>
      <c r="E450" t="s">
        <v>2871</v>
      </c>
      <c r="F450" t="s">
        <v>2872</v>
      </c>
      <c r="G450" t="s">
        <v>2875</v>
      </c>
      <c r="H450" t="s">
        <v>3730</v>
      </c>
    </row>
    <row r="451" spans="2:8" x14ac:dyDescent="0.25">
      <c r="B451" t="s">
        <v>3393</v>
      </c>
      <c r="C451">
        <v>2019</v>
      </c>
      <c r="D451" t="s">
        <v>3457</v>
      </c>
      <c r="E451" t="s">
        <v>2871</v>
      </c>
      <c r="F451" t="s">
        <v>2872</v>
      </c>
      <c r="G451" t="s">
        <v>2876</v>
      </c>
      <c r="H451" t="s">
        <v>3731</v>
      </c>
    </row>
    <row r="452" spans="2:8" x14ac:dyDescent="0.25">
      <c r="B452" t="s">
        <v>3393</v>
      </c>
      <c r="C452">
        <v>2019</v>
      </c>
      <c r="D452" t="s">
        <v>3457</v>
      </c>
      <c r="E452" t="s">
        <v>2871</v>
      </c>
      <c r="F452" t="s">
        <v>2872</v>
      </c>
      <c r="G452" t="s">
        <v>2877</v>
      </c>
      <c r="H452" t="s">
        <v>3732</v>
      </c>
    </row>
    <row r="453" spans="2:8" x14ac:dyDescent="0.25">
      <c r="B453" t="s">
        <v>3393</v>
      </c>
      <c r="C453">
        <v>2019</v>
      </c>
      <c r="D453" t="s">
        <v>3457</v>
      </c>
      <c r="E453" t="s">
        <v>2871</v>
      </c>
      <c r="F453" t="s">
        <v>2872</v>
      </c>
      <c r="G453" t="s">
        <v>608</v>
      </c>
      <c r="H453" t="s">
        <v>3733</v>
      </c>
    </row>
    <row r="454" spans="2:8" x14ac:dyDescent="0.25">
      <c r="B454" t="s">
        <v>3393</v>
      </c>
      <c r="C454">
        <v>2019</v>
      </c>
      <c r="D454" t="s">
        <v>3457</v>
      </c>
      <c r="E454" t="s">
        <v>2878</v>
      </c>
      <c r="F454" t="s">
        <v>2879</v>
      </c>
      <c r="G454" t="s">
        <v>2880</v>
      </c>
      <c r="H454" t="s">
        <v>3292</v>
      </c>
    </row>
    <row r="455" spans="2:8" x14ac:dyDescent="0.25">
      <c r="B455" t="s">
        <v>3393</v>
      </c>
      <c r="C455">
        <v>2019</v>
      </c>
      <c r="D455" t="s">
        <v>3457</v>
      </c>
      <c r="E455" t="s">
        <v>2878</v>
      </c>
      <c r="F455" t="s">
        <v>2879</v>
      </c>
      <c r="G455" t="s">
        <v>2881</v>
      </c>
      <c r="H455" t="s">
        <v>3351</v>
      </c>
    </row>
    <row r="456" spans="2:8" x14ac:dyDescent="0.25">
      <c r="B456" t="s">
        <v>3393</v>
      </c>
      <c r="C456">
        <v>2019</v>
      </c>
      <c r="D456" t="s">
        <v>3457</v>
      </c>
      <c r="E456" t="s">
        <v>2878</v>
      </c>
      <c r="F456" t="s">
        <v>2879</v>
      </c>
      <c r="G456" t="s">
        <v>2882</v>
      </c>
      <c r="H456" t="s">
        <v>3519</v>
      </c>
    </row>
    <row r="457" spans="2:8" x14ac:dyDescent="0.25">
      <c r="B457" t="s">
        <v>3393</v>
      </c>
      <c r="C457">
        <v>2019</v>
      </c>
      <c r="D457" t="s">
        <v>3457</v>
      </c>
      <c r="E457" t="s">
        <v>2878</v>
      </c>
      <c r="F457" t="s">
        <v>2879</v>
      </c>
      <c r="G457" t="s">
        <v>281</v>
      </c>
      <c r="H457" t="s">
        <v>3734</v>
      </c>
    </row>
    <row r="458" spans="2:8" x14ac:dyDescent="0.25">
      <c r="B458" t="s">
        <v>3393</v>
      </c>
      <c r="C458">
        <v>2019</v>
      </c>
      <c r="D458" t="s">
        <v>3457</v>
      </c>
      <c r="E458" t="s">
        <v>2878</v>
      </c>
      <c r="F458" t="s">
        <v>2879</v>
      </c>
      <c r="G458" t="s">
        <v>2883</v>
      </c>
      <c r="H458" t="s">
        <v>3279</v>
      </c>
    </row>
    <row r="459" spans="2:8" x14ac:dyDescent="0.25">
      <c r="B459" t="s">
        <v>3393</v>
      </c>
      <c r="C459">
        <v>2019</v>
      </c>
      <c r="D459" t="s">
        <v>3457</v>
      </c>
      <c r="E459" t="s">
        <v>2878</v>
      </c>
      <c r="F459" t="s">
        <v>2879</v>
      </c>
      <c r="G459" t="s">
        <v>2884</v>
      </c>
      <c r="H459" t="s">
        <v>3735</v>
      </c>
    </row>
    <row r="460" spans="2:8" x14ac:dyDescent="0.25">
      <c r="B460" t="s">
        <v>3393</v>
      </c>
      <c r="C460">
        <v>2019</v>
      </c>
      <c r="D460" t="s">
        <v>3457</v>
      </c>
      <c r="E460" t="s">
        <v>2878</v>
      </c>
      <c r="F460" t="s">
        <v>2879</v>
      </c>
      <c r="G460" t="s">
        <v>2885</v>
      </c>
      <c r="H460" t="s">
        <v>3736</v>
      </c>
    </row>
    <row r="461" spans="2:8" x14ac:dyDescent="0.25">
      <c r="B461" t="s">
        <v>3393</v>
      </c>
      <c r="C461">
        <v>2019</v>
      </c>
      <c r="D461" t="s">
        <v>3457</v>
      </c>
      <c r="E461" t="s">
        <v>2886</v>
      </c>
      <c r="F461" t="s">
        <v>2887</v>
      </c>
      <c r="G461" t="s">
        <v>2888</v>
      </c>
      <c r="H461" t="s">
        <v>3737</v>
      </c>
    </row>
    <row r="462" spans="2:8" x14ac:dyDescent="0.25">
      <c r="B462" t="s">
        <v>3393</v>
      </c>
      <c r="C462">
        <v>2019</v>
      </c>
      <c r="D462" t="s">
        <v>3457</v>
      </c>
      <c r="E462" t="s">
        <v>2886</v>
      </c>
      <c r="F462" t="s">
        <v>2887</v>
      </c>
      <c r="G462" t="s">
        <v>2873</v>
      </c>
      <c r="H462" t="s">
        <v>3738</v>
      </c>
    </row>
    <row r="463" spans="2:8" x14ac:dyDescent="0.25">
      <c r="B463" t="s">
        <v>3393</v>
      </c>
      <c r="C463">
        <v>2019</v>
      </c>
      <c r="D463" t="s">
        <v>3457</v>
      </c>
      <c r="E463" t="s">
        <v>2886</v>
      </c>
      <c r="F463" t="s">
        <v>2887</v>
      </c>
      <c r="G463" t="s">
        <v>2874</v>
      </c>
      <c r="H463" t="s">
        <v>3739</v>
      </c>
    </row>
    <row r="464" spans="2:8" x14ac:dyDescent="0.25">
      <c r="B464" t="s">
        <v>3393</v>
      </c>
      <c r="C464">
        <v>2019</v>
      </c>
      <c r="D464" t="s">
        <v>3457</v>
      </c>
      <c r="E464" t="s">
        <v>2886</v>
      </c>
      <c r="F464" t="s">
        <v>2887</v>
      </c>
      <c r="G464" t="s">
        <v>2875</v>
      </c>
      <c r="H464" t="s">
        <v>3740</v>
      </c>
    </row>
    <row r="465" spans="2:8" x14ac:dyDescent="0.25">
      <c r="B465" t="s">
        <v>3393</v>
      </c>
      <c r="C465">
        <v>2019</v>
      </c>
      <c r="D465" t="s">
        <v>3457</v>
      </c>
      <c r="E465" t="s">
        <v>2886</v>
      </c>
      <c r="F465" t="s">
        <v>2887</v>
      </c>
      <c r="G465" t="s">
        <v>2876</v>
      </c>
      <c r="H465" t="s">
        <v>3741</v>
      </c>
    </row>
    <row r="466" spans="2:8" x14ac:dyDescent="0.25">
      <c r="B466" t="s">
        <v>3393</v>
      </c>
      <c r="C466">
        <v>2019</v>
      </c>
      <c r="D466" t="s">
        <v>3457</v>
      </c>
      <c r="E466" t="s">
        <v>2886</v>
      </c>
      <c r="F466" t="s">
        <v>2887</v>
      </c>
      <c r="G466" t="s">
        <v>2889</v>
      </c>
      <c r="H466" t="s">
        <v>3742</v>
      </c>
    </row>
    <row r="467" spans="2:8" x14ac:dyDescent="0.25">
      <c r="B467" t="s">
        <v>3393</v>
      </c>
      <c r="C467">
        <v>2019</v>
      </c>
      <c r="D467" t="s">
        <v>3457</v>
      </c>
      <c r="E467" t="s">
        <v>2886</v>
      </c>
      <c r="F467" t="s">
        <v>2887</v>
      </c>
      <c r="G467" t="s">
        <v>611</v>
      </c>
      <c r="H467" t="s">
        <v>3743</v>
      </c>
    </row>
    <row r="468" spans="2:8" x14ac:dyDescent="0.25">
      <c r="B468" t="s">
        <v>3393</v>
      </c>
      <c r="C468">
        <v>2019</v>
      </c>
      <c r="D468" t="s">
        <v>3457</v>
      </c>
      <c r="E468" t="s">
        <v>2890</v>
      </c>
      <c r="F468" t="s">
        <v>2891</v>
      </c>
      <c r="G468" t="s">
        <v>2892</v>
      </c>
      <c r="H468" t="s">
        <v>3744</v>
      </c>
    </row>
    <row r="469" spans="2:8" x14ac:dyDescent="0.25">
      <c r="B469" t="s">
        <v>3393</v>
      </c>
      <c r="C469">
        <v>2019</v>
      </c>
      <c r="D469" t="s">
        <v>3457</v>
      </c>
      <c r="E469" t="s">
        <v>2890</v>
      </c>
      <c r="F469" t="s">
        <v>2891</v>
      </c>
      <c r="G469" t="s">
        <v>2893</v>
      </c>
      <c r="H469" t="s">
        <v>3745</v>
      </c>
    </row>
    <row r="470" spans="2:8" x14ac:dyDescent="0.25">
      <c r="B470" t="s">
        <v>3393</v>
      </c>
      <c r="C470">
        <v>2019</v>
      </c>
      <c r="D470" t="s">
        <v>3457</v>
      </c>
      <c r="E470" t="s">
        <v>2894</v>
      </c>
      <c r="F470" t="s">
        <v>2895</v>
      </c>
      <c r="G470" t="s">
        <v>2896</v>
      </c>
      <c r="H470" t="s">
        <v>3746</v>
      </c>
    </row>
    <row r="471" spans="2:8" x14ac:dyDescent="0.25">
      <c r="B471" t="s">
        <v>3393</v>
      </c>
      <c r="C471">
        <v>2019</v>
      </c>
      <c r="D471" t="s">
        <v>3457</v>
      </c>
      <c r="E471" t="s">
        <v>2894</v>
      </c>
      <c r="F471" t="s">
        <v>2895</v>
      </c>
      <c r="G471" t="s">
        <v>2897</v>
      </c>
      <c r="H471" t="s">
        <v>3747</v>
      </c>
    </row>
    <row r="472" spans="2:8" x14ac:dyDescent="0.25">
      <c r="B472" t="s">
        <v>3393</v>
      </c>
      <c r="C472">
        <v>2019</v>
      </c>
      <c r="D472" t="s">
        <v>3457</v>
      </c>
      <c r="E472" t="s">
        <v>2894</v>
      </c>
      <c r="F472" t="s">
        <v>2895</v>
      </c>
      <c r="G472" t="s">
        <v>2898</v>
      </c>
      <c r="H472" t="s">
        <v>3352</v>
      </c>
    </row>
    <row r="473" spans="2:8" x14ac:dyDescent="0.25">
      <c r="B473" t="s">
        <v>3393</v>
      </c>
      <c r="C473">
        <v>2019</v>
      </c>
      <c r="D473" t="s">
        <v>3457</v>
      </c>
      <c r="E473" t="s">
        <v>2894</v>
      </c>
      <c r="F473" t="s">
        <v>2895</v>
      </c>
      <c r="G473" t="s">
        <v>2899</v>
      </c>
      <c r="H473" t="s">
        <v>3748</v>
      </c>
    </row>
    <row r="474" spans="2:8" x14ac:dyDescent="0.25">
      <c r="B474" t="s">
        <v>3393</v>
      </c>
      <c r="C474">
        <v>2019</v>
      </c>
      <c r="D474" t="s">
        <v>3457</v>
      </c>
      <c r="E474" t="s">
        <v>2894</v>
      </c>
      <c r="F474" t="s">
        <v>2895</v>
      </c>
      <c r="G474" t="s">
        <v>2900</v>
      </c>
      <c r="H474" t="s">
        <v>3749</v>
      </c>
    </row>
    <row r="475" spans="2:8" x14ac:dyDescent="0.25">
      <c r="B475" t="s">
        <v>3393</v>
      </c>
      <c r="C475">
        <v>2019</v>
      </c>
      <c r="D475" t="s">
        <v>3457</v>
      </c>
      <c r="E475" t="s">
        <v>2894</v>
      </c>
      <c r="F475" t="s">
        <v>2895</v>
      </c>
      <c r="G475" t="s">
        <v>2901</v>
      </c>
      <c r="H475" t="s">
        <v>3388</v>
      </c>
    </row>
    <row r="476" spans="2:8" x14ac:dyDescent="0.25">
      <c r="B476" t="s">
        <v>3393</v>
      </c>
      <c r="C476">
        <v>2019</v>
      </c>
      <c r="D476" t="s">
        <v>3457</v>
      </c>
      <c r="E476" t="s">
        <v>2894</v>
      </c>
      <c r="F476" t="s">
        <v>2895</v>
      </c>
      <c r="G476" t="s">
        <v>2902</v>
      </c>
      <c r="H476" t="s">
        <v>3750</v>
      </c>
    </row>
    <row r="477" spans="2:8" x14ac:dyDescent="0.25">
      <c r="B477" t="s">
        <v>3393</v>
      </c>
      <c r="C477">
        <v>2019</v>
      </c>
      <c r="D477" t="s">
        <v>3457</v>
      </c>
      <c r="E477" t="s">
        <v>2894</v>
      </c>
      <c r="F477" t="s">
        <v>2895</v>
      </c>
      <c r="G477" t="s">
        <v>2903</v>
      </c>
      <c r="H477" t="s">
        <v>3751</v>
      </c>
    </row>
    <row r="478" spans="2:8" x14ac:dyDescent="0.25">
      <c r="B478" t="s">
        <v>3393</v>
      </c>
      <c r="C478">
        <v>2019</v>
      </c>
      <c r="D478" t="s">
        <v>3457</v>
      </c>
      <c r="E478" t="s">
        <v>2894</v>
      </c>
      <c r="F478" t="s">
        <v>2895</v>
      </c>
      <c r="G478" t="s">
        <v>2904</v>
      </c>
      <c r="H478" t="s">
        <v>3414</v>
      </c>
    </row>
    <row r="479" spans="2:8" x14ac:dyDescent="0.25">
      <c r="B479" t="s">
        <v>3393</v>
      </c>
      <c r="C479">
        <v>2019</v>
      </c>
      <c r="D479" t="s">
        <v>3457</v>
      </c>
      <c r="E479" t="s">
        <v>2894</v>
      </c>
      <c r="F479" t="s">
        <v>2895</v>
      </c>
      <c r="G479" t="s">
        <v>2905</v>
      </c>
      <c r="H479" t="s">
        <v>3752</v>
      </c>
    </row>
    <row r="480" spans="2:8" x14ac:dyDescent="0.25">
      <c r="B480" t="s">
        <v>3393</v>
      </c>
      <c r="C480">
        <v>2019</v>
      </c>
      <c r="D480" t="s">
        <v>3457</v>
      </c>
      <c r="E480" t="s">
        <v>2894</v>
      </c>
      <c r="F480" t="s">
        <v>2895</v>
      </c>
      <c r="G480" t="s">
        <v>2906</v>
      </c>
      <c r="H480" t="s">
        <v>3753</v>
      </c>
    </row>
    <row r="481" spans="2:8" x14ac:dyDescent="0.25">
      <c r="B481" t="s">
        <v>3393</v>
      </c>
      <c r="C481">
        <v>2019</v>
      </c>
      <c r="D481" t="s">
        <v>3457</v>
      </c>
      <c r="E481" t="s">
        <v>2894</v>
      </c>
      <c r="F481" t="s">
        <v>2895</v>
      </c>
      <c r="G481" t="s">
        <v>2907</v>
      </c>
      <c r="H481" t="s">
        <v>3754</v>
      </c>
    </row>
    <row r="482" spans="2:8" x14ac:dyDescent="0.25">
      <c r="B482" t="s">
        <v>3393</v>
      </c>
      <c r="C482">
        <v>2019</v>
      </c>
      <c r="D482" t="s">
        <v>3457</v>
      </c>
      <c r="E482" t="s">
        <v>2894</v>
      </c>
      <c r="F482" t="s">
        <v>2895</v>
      </c>
      <c r="G482" t="s">
        <v>2908</v>
      </c>
      <c r="H482" t="s">
        <v>3755</v>
      </c>
    </row>
    <row r="483" spans="2:8" x14ac:dyDescent="0.25">
      <c r="B483" t="s">
        <v>3393</v>
      </c>
      <c r="C483">
        <v>2019</v>
      </c>
      <c r="D483" t="s">
        <v>3457</v>
      </c>
      <c r="E483" t="s">
        <v>2894</v>
      </c>
      <c r="F483" t="s">
        <v>2895</v>
      </c>
      <c r="G483" t="s">
        <v>2909</v>
      </c>
      <c r="H483" t="s">
        <v>3756</v>
      </c>
    </row>
    <row r="484" spans="2:8" x14ac:dyDescent="0.25">
      <c r="B484" t="s">
        <v>3393</v>
      </c>
      <c r="C484">
        <v>2019</v>
      </c>
      <c r="D484" t="s">
        <v>3457</v>
      </c>
      <c r="E484" t="s">
        <v>2894</v>
      </c>
      <c r="F484" t="s">
        <v>2895</v>
      </c>
      <c r="G484" t="s">
        <v>2910</v>
      </c>
      <c r="H484" t="s">
        <v>3757</v>
      </c>
    </row>
    <row r="485" spans="2:8" x14ac:dyDescent="0.25">
      <c r="B485" t="s">
        <v>3393</v>
      </c>
      <c r="C485">
        <v>2019</v>
      </c>
      <c r="D485" t="s">
        <v>3457</v>
      </c>
      <c r="E485" t="s">
        <v>2911</v>
      </c>
      <c r="F485" t="s">
        <v>2912</v>
      </c>
      <c r="G485" t="s">
        <v>113</v>
      </c>
      <c r="H485" t="s">
        <v>3758</v>
      </c>
    </row>
    <row r="486" spans="2:8" x14ac:dyDescent="0.25">
      <c r="B486" t="s">
        <v>3393</v>
      </c>
      <c r="C486">
        <v>2019</v>
      </c>
      <c r="D486" t="s">
        <v>3457</v>
      </c>
      <c r="E486" t="s">
        <v>2911</v>
      </c>
      <c r="F486" t="s">
        <v>2912</v>
      </c>
      <c r="G486" t="s">
        <v>2913</v>
      </c>
      <c r="H486" t="s">
        <v>2914</v>
      </c>
    </row>
    <row r="487" spans="2:8" x14ac:dyDescent="0.25">
      <c r="B487" t="s">
        <v>3393</v>
      </c>
      <c r="C487">
        <v>2019</v>
      </c>
      <c r="D487" t="s">
        <v>3457</v>
      </c>
      <c r="E487" t="s">
        <v>2911</v>
      </c>
      <c r="F487" t="s">
        <v>2912</v>
      </c>
      <c r="G487" t="s">
        <v>890</v>
      </c>
      <c r="H487" t="s">
        <v>3759</v>
      </c>
    </row>
    <row r="488" spans="2:8" x14ac:dyDescent="0.25">
      <c r="B488" t="s">
        <v>3393</v>
      </c>
      <c r="C488">
        <v>2019</v>
      </c>
      <c r="D488" t="s">
        <v>3457</v>
      </c>
      <c r="E488" t="s">
        <v>2911</v>
      </c>
      <c r="F488" t="s">
        <v>2912</v>
      </c>
      <c r="G488" t="s">
        <v>892</v>
      </c>
      <c r="H488" t="s">
        <v>3760</v>
      </c>
    </row>
    <row r="489" spans="2:8" x14ac:dyDescent="0.25">
      <c r="B489" t="s">
        <v>3393</v>
      </c>
      <c r="C489">
        <v>2019</v>
      </c>
      <c r="D489" t="s">
        <v>3457</v>
      </c>
      <c r="E489" t="s">
        <v>2911</v>
      </c>
      <c r="F489" t="s">
        <v>2912</v>
      </c>
      <c r="G489" t="s">
        <v>891</v>
      </c>
      <c r="H489" t="s">
        <v>3761</v>
      </c>
    </row>
    <row r="490" spans="2:8" x14ac:dyDescent="0.25">
      <c r="B490" t="s">
        <v>3393</v>
      </c>
      <c r="C490">
        <v>2019</v>
      </c>
      <c r="D490" t="s">
        <v>3457</v>
      </c>
      <c r="E490" t="s">
        <v>2911</v>
      </c>
      <c r="F490" t="s">
        <v>2912</v>
      </c>
      <c r="G490" t="s">
        <v>115</v>
      </c>
      <c r="H490" t="s">
        <v>3762</v>
      </c>
    </row>
    <row r="491" spans="2:8" x14ac:dyDescent="0.25">
      <c r="B491" t="s">
        <v>3393</v>
      </c>
      <c r="C491">
        <v>2019</v>
      </c>
      <c r="D491" t="s">
        <v>3457</v>
      </c>
      <c r="E491" t="s">
        <v>2911</v>
      </c>
      <c r="F491" t="s">
        <v>2912</v>
      </c>
      <c r="G491" t="s">
        <v>888</v>
      </c>
      <c r="H491" t="s">
        <v>1993</v>
      </c>
    </row>
    <row r="492" spans="2:8" x14ac:dyDescent="0.25">
      <c r="B492" t="s">
        <v>3393</v>
      </c>
      <c r="C492">
        <v>2019</v>
      </c>
      <c r="D492" t="s">
        <v>3457</v>
      </c>
      <c r="E492" t="s">
        <v>2911</v>
      </c>
      <c r="F492" t="s">
        <v>2912</v>
      </c>
      <c r="G492" t="s">
        <v>182</v>
      </c>
      <c r="H492" t="s">
        <v>3763</v>
      </c>
    </row>
    <row r="493" spans="2:8" x14ac:dyDescent="0.25">
      <c r="B493" t="s">
        <v>3393</v>
      </c>
      <c r="C493">
        <v>2019</v>
      </c>
      <c r="D493" t="s">
        <v>3457</v>
      </c>
      <c r="E493" t="s">
        <v>2915</v>
      </c>
      <c r="F493" t="s">
        <v>2916</v>
      </c>
      <c r="G493" t="s">
        <v>113</v>
      </c>
      <c r="H493" t="s">
        <v>1993</v>
      </c>
    </row>
    <row r="494" spans="2:8" x14ac:dyDescent="0.25">
      <c r="B494" t="s">
        <v>3393</v>
      </c>
      <c r="C494">
        <v>2019</v>
      </c>
      <c r="D494" t="s">
        <v>3457</v>
      </c>
      <c r="E494" t="s">
        <v>2915</v>
      </c>
      <c r="F494" t="s">
        <v>2916</v>
      </c>
      <c r="G494" t="s">
        <v>2913</v>
      </c>
      <c r="H494" t="s">
        <v>3764</v>
      </c>
    </row>
    <row r="495" spans="2:8" x14ac:dyDescent="0.25">
      <c r="B495" t="s">
        <v>3393</v>
      </c>
      <c r="C495">
        <v>2019</v>
      </c>
      <c r="D495" t="s">
        <v>3457</v>
      </c>
      <c r="E495" t="s">
        <v>2915</v>
      </c>
      <c r="F495" t="s">
        <v>2916</v>
      </c>
      <c r="G495" t="s">
        <v>890</v>
      </c>
      <c r="H495" t="s">
        <v>3765</v>
      </c>
    </row>
    <row r="496" spans="2:8" x14ac:dyDescent="0.25">
      <c r="B496" t="s">
        <v>3393</v>
      </c>
      <c r="C496">
        <v>2019</v>
      </c>
      <c r="D496" t="s">
        <v>3457</v>
      </c>
      <c r="E496" t="s">
        <v>2915</v>
      </c>
      <c r="F496" t="s">
        <v>2916</v>
      </c>
      <c r="G496" t="s">
        <v>892</v>
      </c>
      <c r="H496" t="s">
        <v>3437</v>
      </c>
    </row>
    <row r="497" spans="2:8" x14ac:dyDescent="0.25">
      <c r="B497" t="s">
        <v>3393</v>
      </c>
      <c r="C497">
        <v>2019</v>
      </c>
      <c r="D497" t="s">
        <v>3457</v>
      </c>
      <c r="E497" t="s">
        <v>2915</v>
      </c>
      <c r="F497" t="s">
        <v>2916</v>
      </c>
      <c r="G497" t="s">
        <v>891</v>
      </c>
      <c r="H497" t="s">
        <v>3766</v>
      </c>
    </row>
    <row r="498" spans="2:8" x14ac:dyDescent="0.25">
      <c r="B498" t="s">
        <v>3393</v>
      </c>
      <c r="C498">
        <v>2019</v>
      </c>
      <c r="D498" t="s">
        <v>3457</v>
      </c>
      <c r="E498" t="s">
        <v>2915</v>
      </c>
      <c r="F498" t="s">
        <v>2916</v>
      </c>
      <c r="G498" t="s">
        <v>115</v>
      </c>
      <c r="H498" t="s">
        <v>3767</v>
      </c>
    </row>
    <row r="499" spans="2:8" x14ac:dyDescent="0.25">
      <c r="B499" t="s">
        <v>3393</v>
      </c>
      <c r="C499">
        <v>2019</v>
      </c>
      <c r="D499" t="s">
        <v>3457</v>
      </c>
      <c r="E499" t="s">
        <v>2915</v>
      </c>
      <c r="F499" t="s">
        <v>2916</v>
      </c>
      <c r="G499" t="s">
        <v>888</v>
      </c>
      <c r="H499" t="s">
        <v>3768</v>
      </c>
    </row>
    <row r="500" spans="2:8" x14ac:dyDescent="0.25">
      <c r="B500" t="s">
        <v>3393</v>
      </c>
      <c r="C500">
        <v>2019</v>
      </c>
      <c r="D500" t="s">
        <v>3457</v>
      </c>
      <c r="E500" t="s">
        <v>2915</v>
      </c>
      <c r="F500" t="s">
        <v>2916</v>
      </c>
      <c r="G500" t="s">
        <v>182</v>
      </c>
      <c r="H500" t="s">
        <v>3769</v>
      </c>
    </row>
    <row r="501" spans="2:8" x14ac:dyDescent="0.25">
      <c r="B501" t="s">
        <v>3393</v>
      </c>
      <c r="C501">
        <v>2019</v>
      </c>
      <c r="D501" t="s">
        <v>3457</v>
      </c>
      <c r="E501" t="s">
        <v>2917</v>
      </c>
      <c r="F501" t="s">
        <v>2918</v>
      </c>
      <c r="G501" t="s">
        <v>2919</v>
      </c>
      <c r="H501" t="s">
        <v>3770</v>
      </c>
    </row>
    <row r="502" spans="2:8" x14ac:dyDescent="0.25">
      <c r="B502" t="s">
        <v>3393</v>
      </c>
      <c r="C502">
        <v>2019</v>
      </c>
      <c r="D502" t="s">
        <v>3457</v>
      </c>
      <c r="E502" t="s">
        <v>2917</v>
      </c>
      <c r="F502" t="s">
        <v>2918</v>
      </c>
      <c r="G502" t="s">
        <v>2920</v>
      </c>
      <c r="H502" t="s">
        <v>3771</v>
      </c>
    </row>
    <row r="503" spans="2:8" x14ac:dyDescent="0.25">
      <c r="B503" t="s">
        <v>3393</v>
      </c>
      <c r="C503">
        <v>2019</v>
      </c>
      <c r="D503" t="s">
        <v>3457</v>
      </c>
      <c r="E503" t="s">
        <v>2917</v>
      </c>
      <c r="F503" t="s">
        <v>2918</v>
      </c>
      <c r="G503" t="s">
        <v>719</v>
      </c>
      <c r="H503" t="s">
        <v>3772</v>
      </c>
    </row>
    <row r="504" spans="2:8" x14ac:dyDescent="0.25">
      <c r="B504" t="s">
        <v>3393</v>
      </c>
      <c r="C504">
        <v>2019</v>
      </c>
      <c r="D504" t="s">
        <v>3457</v>
      </c>
      <c r="E504" t="s">
        <v>2917</v>
      </c>
      <c r="F504" t="s">
        <v>2918</v>
      </c>
      <c r="G504" t="s">
        <v>2921</v>
      </c>
      <c r="H504" t="s">
        <v>3319</v>
      </c>
    </row>
    <row r="505" spans="2:8" x14ac:dyDescent="0.25">
      <c r="B505" t="s">
        <v>3393</v>
      </c>
      <c r="C505">
        <v>2019</v>
      </c>
      <c r="D505" t="s">
        <v>3457</v>
      </c>
      <c r="E505" t="s">
        <v>2917</v>
      </c>
      <c r="F505" t="s">
        <v>2918</v>
      </c>
      <c r="G505" t="s">
        <v>2922</v>
      </c>
      <c r="H505" t="s">
        <v>3773</v>
      </c>
    </row>
    <row r="506" spans="2:8" x14ac:dyDescent="0.25">
      <c r="B506" t="s">
        <v>3393</v>
      </c>
      <c r="C506">
        <v>2019</v>
      </c>
      <c r="D506" t="s">
        <v>3457</v>
      </c>
      <c r="E506" t="s">
        <v>2917</v>
      </c>
      <c r="F506" t="s">
        <v>2918</v>
      </c>
      <c r="G506" t="s">
        <v>716</v>
      </c>
      <c r="H506" t="s">
        <v>3389</v>
      </c>
    </row>
    <row r="507" spans="2:8" x14ac:dyDescent="0.25">
      <c r="B507" t="s">
        <v>3393</v>
      </c>
      <c r="C507">
        <v>2019</v>
      </c>
      <c r="D507" t="s">
        <v>3457</v>
      </c>
      <c r="E507" t="s">
        <v>2917</v>
      </c>
      <c r="F507" t="s">
        <v>2918</v>
      </c>
      <c r="G507" t="s">
        <v>2923</v>
      </c>
      <c r="H507" t="s">
        <v>3165</v>
      </c>
    </row>
    <row r="508" spans="2:8" x14ac:dyDescent="0.25">
      <c r="B508" t="s">
        <v>3393</v>
      </c>
      <c r="C508">
        <v>2019</v>
      </c>
      <c r="D508" t="s">
        <v>3457</v>
      </c>
      <c r="E508" t="s">
        <v>2917</v>
      </c>
      <c r="F508" t="s">
        <v>2918</v>
      </c>
      <c r="G508" t="s">
        <v>2924</v>
      </c>
      <c r="H508" t="s">
        <v>3271</v>
      </c>
    </row>
    <row r="509" spans="2:8" x14ac:dyDescent="0.25">
      <c r="B509" t="s">
        <v>3393</v>
      </c>
      <c r="C509">
        <v>2019</v>
      </c>
      <c r="D509" t="s">
        <v>3457</v>
      </c>
      <c r="E509" t="s">
        <v>2917</v>
      </c>
      <c r="F509" t="s">
        <v>2918</v>
      </c>
      <c r="G509" t="s">
        <v>720</v>
      </c>
      <c r="H509" t="s">
        <v>3774</v>
      </c>
    </row>
    <row r="510" spans="2:8" x14ac:dyDescent="0.25">
      <c r="B510" t="s">
        <v>3393</v>
      </c>
      <c r="C510">
        <v>2019</v>
      </c>
      <c r="D510" t="s">
        <v>3457</v>
      </c>
      <c r="E510" t="s">
        <v>2925</v>
      </c>
      <c r="F510" t="s">
        <v>2926</v>
      </c>
      <c r="G510" t="s">
        <v>2866</v>
      </c>
      <c r="H510" t="s">
        <v>3775</v>
      </c>
    </row>
    <row r="511" spans="2:8" x14ac:dyDescent="0.25">
      <c r="B511" t="s">
        <v>3393</v>
      </c>
      <c r="C511">
        <v>2019</v>
      </c>
      <c r="D511" t="s">
        <v>3457</v>
      </c>
      <c r="E511" t="s">
        <v>2925</v>
      </c>
      <c r="F511" t="s">
        <v>2926</v>
      </c>
      <c r="G511" t="s">
        <v>2409</v>
      </c>
      <c r="H511" t="s">
        <v>3776</v>
      </c>
    </row>
    <row r="512" spans="2:8" x14ac:dyDescent="0.25">
      <c r="B512" t="s">
        <v>3393</v>
      </c>
      <c r="C512">
        <v>2019</v>
      </c>
      <c r="D512" t="s">
        <v>3457</v>
      </c>
      <c r="E512" t="s">
        <v>2925</v>
      </c>
      <c r="F512" t="s">
        <v>2926</v>
      </c>
      <c r="G512" t="s">
        <v>2867</v>
      </c>
      <c r="H512" t="s">
        <v>3777</v>
      </c>
    </row>
    <row r="513" spans="2:8" x14ac:dyDescent="0.25">
      <c r="B513" t="s">
        <v>3393</v>
      </c>
      <c r="C513">
        <v>2019</v>
      </c>
      <c r="D513" t="s">
        <v>3457</v>
      </c>
      <c r="E513" t="s">
        <v>2927</v>
      </c>
      <c r="F513" t="s">
        <v>2928</v>
      </c>
      <c r="G513" t="s">
        <v>724</v>
      </c>
      <c r="H513" t="s">
        <v>3778</v>
      </c>
    </row>
    <row r="514" spans="2:8" x14ac:dyDescent="0.25">
      <c r="B514" t="s">
        <v>3393</v>
      </c>
      <c r="C514">
        <v>2019</v>
      </c>
      <c r="D514" t="s">
        <v>3457</v>
      </c>
      <c r="E514" t="s">
        <v>2927</v>
      </c>
      <c r="F514" t="s">
        <v>2928</v>
      </c>
      <c r="G514" t="s">
        <v>2929</v>
      </c>
      <c r="H514" t="s">
        <v>3779</v>
      </c>
    </row>
    <row r="515" spans="2:8" x14ac:dyDescent="0.25">
      <c r="B515" t="s">
        <v>3393</v>
      </c>
      <c r="C515">
        <v>2019</v>
      </c>
      <c r="D515" t="s">
        <v>3457</v>
      </c>
      <c r="E515" t="s">
        <v>2927</v>
      </c>
      <c r="F515" t="s">
        <v>2928</v>
      </c>
      <c r="G515" t="s">
        <v>2930</v>
      </c>
      <c r="H515" t="s">
        <v>3342</v>
      </c>
    </row>
    <row r="516" spans="2:8" x14ac:dyDescent="0.25">
      <c r="B516" t="s">
        <v>3393</v>
      </c>
      <c r="C516">
        <v>2019</v>
      </c>
      <c r="D516" t="s">
        <v>3457</v>
      </c>
      <c r="E516" t="s">
        <v>2927</v>
      </c>
      <c r="F516" t="s">
        <v>2928</v>
      </c>
      <c r="G516" t="s">
        <v>727</v>
      </c>
      <c r="H516" t="s">
        <v>2001</v>
      </c>
    </row>
    <row r="517" spans="2:8" x14ac:dyDescent="0.25">
      <c r="B517" t="s">
        <v>3393</v>
      </c>
      <c r="C517">
        <v>2019</v>
      </c>
      <c r="D517" t="s">
        <v>3457</v>
      </c>
      <c r="E517" t="s">
        <v>2931</v>
      </c>
      <c r="F517" t="s">
        <v>2544</v>
      </c>
      <c r="G517" t="s">
        <v>2932</v>
      </c>
      <c r="H517" t="s">
        <v>2748</v>
      </c>
    </row>
    <row r="518" spans="2:8" x14ac:dyDescent="0.25">
      <c r="B518" t="s">
        <v>3393</v>
      </c>
      <c r="C518">
        <v>2019</v>
      </c>
      <c r="D518" t="s">
        <v>3457</v>
      </c>
      <c r="E518" t="s">
        <v>2931</v>
      </c>
      <c r="F518" t="s">
        <v>2544</v>
      </c>
      <c r="G518" t="s">
        <v>2545</v>
      </c>
      <c r="H518" t="s">
        <v>3519</v>
      </c>
    </row>
    <row r="519" spans="2:8" x14ac:dyDescent="0.25">
      <c r="B519" t="s">
        <v>3393</v>
      </c>
      <c r="C519">
        <v>2019</v>
      </c>
      <c r="D519" t="s">
        <v>3457</v>
      </c>
      <c r="E519" t="s">
        <v>2931</v>
      </c>
      <c r="F519" t="s">
        <v>2544</v>
      </c>
      <c r="G519" t="s">
        <v>2933</v>
      </c>
      <c r="H519" t="s">
        <v>3780</v>
      </c>
    </row>
    <row r="520" spans="2:8" x14ac:dyDescent="0.25">
      <c r="B520" t="s">
        <v>3393</v>
      </c>
      <c r="C520">
        <v>2019</v>
      </c>
      <c r="D520" t="s">
        <v>3457</v>
      </c>
      <c r="E520" t="s">
        <v>2931</v>
      </c>
      <c r="F520" t="s">
        <v>2544</v>
      </c>
      <c r="G520" t="s">
        <v>714</v>
      </c>
      <c r="H520" t="s">
        <v>3520</v>
      </c>
    </row>
    <row r="521" spans="2:8" x14ac:dyDescent="0.25">
      <c r="B521" t="s">
        <v>3393</v>
      </c>
      <c r="C521">
        <v>2019</v>
      </c>
      <c r="D521" t="s">
        <v>3457</v>
      </c>
      <c r="E521" t="s">
        <v>2931</v>
      </c>
      <c r="F521" t="s">
        <v>2544</v>
      </c>
      <c r="G521" t="s">
        <v>2934</v>
      </c>
      <c r="H521" t="s">
        <v>2748</v>
      </c>
    </row>
    <row r="522" spans="2:8" x14ac:dyDescent="0.25">
      <c r="B522" t="s">
        <v>3393</v>
      </c>
      <c r="C522">
        <v>2019</v>
      </c>
      <c r="D522" t="s">
        <v>3457</v>
      </c>
      <c r="E522" t="s">
        <v>2931</v>
      </c>
      <c r="F522" t="s">
        <v>2544</v>
      </c>
      <c r="G522" t="s">
        <v>2935</v>
      </c>
      <c r="H522" t="s">
        <v>3781</v>
      </c>
    </row>
    <row r="523" spans="2:8" x14ac:dyDescent="0.25">
      <c r="B523" t="s">
        <v>3393</v>
      </c>
      <c r="C523">
        <v>2019</v>
      </c>
      <c r="D523" t="s">
        <v>3457</v>
      </c>
      <c r="E523" t="s">
        <v>2936</v>
      </c>
      <c r="F523" t="s">
        <v>2937</v>
      </c>
      <c r="G523" t="s">
        <v>2938</v>
      </c>
      <c r="H523" t="s">
        <v>3320</v>
      </c>
    </row>
    <row r="524" spans="2:8" x14ac:dyDescent="0.25">
      <c r="B524" t="s">
        <v>3393</v>
      </c>
      <c r="C524">
        <v>2019</v>
      </c>
      <c r="D524" t="s">
        <v>3457</v>
      </c>
      <c r="E524" t="s">
        <v>2936</v>
      </c>
      <c r="F524" t="s">
        <v>2937</v>
      </c>
      <c r="G524" t="s">
        <v>2939</v>
      </c>
      <c r="H524" t="s">
        <v>3782</v>
      </c>
    </row>
    <row r="525" spans="2:8" x14ac:dyDescent="0.25">
      <c r="B525" t="s">
        <v>3393</v>
      </c>
      <c r="C525">
        <v>2019</v>
      </c>
      <c r="D525" t="s">
        <v>3457</v>
      </c>
      <c r="E525" t="s">
        <v>2941</v>
      </c>
      <c r="F525" t="s">
        <v>2942</v>
      </c>
      <c r="G525" t="s">
        <v>2943</v>
      </c>
      <c r="H525" t="s">
        <v>3333</v>
      </c>
    </row>
    <row r="526" spans="2:8" x14ac:dyDescent="0.25">
      <c r="B526" t="s">
        <v>3393</v>
      </c>
      <c r="C526">
        <v>2019</v>
      </c>
      <c r="D526" t="s">
        <v>3457</v>
      </c>
      <c r="E526" t="s">
        <v>2941</v>
      </c>
      <c r="F526" t="s">
        <v>2942</v>
      </c>
      <c r="G526" t="s">
        <v>2944</v>
      </c>
      <c r="H526" t="s">
        <v>3616</v>
      </c>
    </row>
    <row r="527" spans="2:8" x14ac:dyDescent="0.25">
      <c r="B527" t="s">
        <v>3393</v>
      </c>
      <c r="C527">
        <v>2019</v>
      </c>
      <c r="D527" t="s">
        <v>3457</v>
      </c>
      <c r="E527" t="s">
        <v>2945</v>
      </c>
      <c r="F527" t="s">
        <v>2946</v>
      </c>
      <c r="G527" t="s">
        <v>2245</v>
      </c>
      <c r="H527" t="s">
        <v>2125</v>
      </c>
    </row>
    <row r="528" spans="2:8" x14ac:dyDescent="0.25">
      <c r="B528" t="s">
        <v>3393</v>
      </c>
      <c r="C528">
        <v>2019</v>
      </c>
      <c r="D528" t="s">
        <v>3457</v>
      </c>
      <c r="E528" t="s">
        <v>2945</v>
      </c>
      <c r="F528" t="s">
        <v>2946</v>
      </c>
      <c r="G528" t="s">
        <v>2248</v>
      </c>
      <c r="H528" t="s">
        <v>3405</v>
      </c>
    </row>
    <row r="529" spans="2:8" x14ac:dyDescent="0.25">
      <c r="B529" t="s">
        <v>3393</v>
      </c>
      <c r="C529">
        <v>2019</v>
      </c>
      <c r="D529" t="s">
        <v>3457</v>
      </c>
      <c r="E529" t="s">
        <v>2945</v>
      </c>
      <c r="F529" t="s">
        <v>2946</v>
      </c>
      <c r="G529" t="s">
        <v>2250</v>
      </c>
      <c r="H529" t="s">
        <v>3406</v>
      </c>
    </row>
    <row r="530" spans="2:8" x14ac:dyDescent="0.25">
      <c r="B530" t="s">
        <v>3393</v>
      </c>
      <c r="C530">
        <v>2019</v>
      </c>
      <c r="D530" t="s">
        <v>3457</v>
      </c>
      <c r="E530" t="s">
        <v>2945</v>
      </c>
      <c r="F530" t="s">
        <v>2946</v>
      </c>
      <c r="G530" t="s">
        <v>2252</v>
      </c>
      <c r="H530" t="s">
        <v>3308</v>
      </c>
    </row>
    <row r="531" spans="2:8" x14ac:dyDescent="0.25">
      <c r="B531" t="s">
        <v>3393</v>
      </c>
      <c r="C531">
        <v>2019</v>
      </c>
      <c r="D531" t="s">
        <v>3457</v>
      </c>
      <c r="E531" t="s">
        <v>2945</v>
      </c>
      <c r="F531" t="s">
        <v>2946</v>
      </c>
      <c r="G531" t="s">
        <v>2254</v>
      </c>
      <c r="H531" t="s">
        <v>2055</v>
      </c>
    </row>
    <row r="532" spans="2:8" x14ac:dyDescent="0.25">
      <c r="B532" t="s">
        <v>3393</v>
      </c>
      <c r="C532">
        <v>2019</v>
      </c>
      <c r="D532" t="s">
        <v>3457</v>
      </c>
      <c r="E532" t="s">
        <v>2945</v>
      </c>
      <c r="F532" t="s">
        <v>2946</v>
      </c>
      <c r="G532" t="s">
        <v>2255</v>
      </c>
      <c r="H532" t="s">
        <v>2005</v>
      </c>
    </row>
    <row r="533" spans="2:8" x14ac:dyDescent="0.25">
      <c r="B533" t="s">
        <v>3393</v>
      </c>
      <c r="C533">
        <v>2019</v>
      </c>
      <c r="D533" t="s">
        <v>3457</v>
      </c>
      <c r="E533" t="s">
        <v>2945</v>
      </c>
      <c r="F533" t="s">
        <v>2946</v>
      </c>
      <c r="G533" t="s">
        <v>3115</v>
      </c>
      <c r="H533" t="s">
        <v>3407</v>
      </c>
    </row>
    <row r="534" spans="2:8" x14ac:dyDescent="0.25">
      <c r="B534" t="s">
        <v>3393</v>
      </c>
      <c r="C534">
        <v>2019</v>
      </c>
      <c r="D534" t="s">
        <v>3457</v>
      </c>
      <c r="E534" t="s">
        <v>2947</v>
      </c>
      <c r="F534" t="s">
        <v>2948</v>
      </c>
      <c r="G534" t="s">
        <v>3149</v>
      </c>
      <c r="H534" t="s">
        <v>2117</v>
      </c>
    </row>
    <row r="535" spans="2:8" x14ac:dyDescent="0.25">
      <c r="B535" t="s">
        <v>3393</v>
      </c>
      <c r="C535">
        <v>2019</v>
      </c>
      <c r="D535" t="s">
        <v>3457</v>
      </c>
      <c r="E535" t="s">
        <v>2951</v>
      </c>
      <c r="F535" t="s">
        <v>2952</v>
      </c>
      <c r="G535" t="s">
        <v>2953</v>
      </c>
      <c r="H535" t="s">
        <v>2013</v>
      </c>
    </row>
    <row r="536" spans="2:8" x14ac:dyDescent="0.25">
      <c r="B536" t="s">
        <v>3393</v>
      </c>
      <c r="C536">
        <v>2019</v>
      </c>
      <c r="D536" t="s">
        <v>3457</v>
      </c>
      <c r="E536" t="s">
        <v>2951</v>
      </c>
      <c r="F536" t="s">
        <v>2952</v>
      </c>
      <c r="G536" t="s">
        <v>2954</v>
      </c>
      <c r="H536" t="s">
        <v>3547</v>
      </c>
    </row>
    <row r="537" spans="2:8" x14ac:dyDescent="0.25">
      <c r="B537" t="s">
        <v>3393</v>
      </c>
      <c r="C537">
        <v>2019</v>
      </c>
      <c r="D537" t="s">
        <v>3457</v>
      </c>
      <c r="E537" t="s">
        <v>2955</v>
      </c>
      <c r="F537" t="s">
        <v>2956</v>
      </c>
      <c r="G537" t="s">
        <v>2953</v>
      </c>
      <c r="H537" t="s">
        <v>2147</v>
      </c>
    </row>
    <row r="538" spans="2:8" x14ac:dyDescent="0.25">
      <c r="B538" t="s">
        <v>3393</v>
      </c>
      <c r="C538">
        <v>2019</v>
      </c>
      <c r="D538" t="s">
        <v>3457</v>
      </c>
      <c r="E538" t="s">
        <v>2955</v>
      </c>
      <c r="F538" t="s">
        <v>2956</v>
      </c>
      <c r="G538" t="s">
        <v>2954</v>
      </c>
      <c r="H538" t="s">
        <v>3783</v>
      </c>
    </row>
    <row r="539" spans="2:8" x14ac:dyDescent="0.25">
      <c r="B539" t="s">
        <v>3393</v>
      </c>
      <c r="C539">
        <v>2019</v>
      </c>
      <c r="D539" t="s">
        <v>3457</v>
      </c>
      <c r="E539" t="s">
        <v>2957</v>
      </c>
      <c r="F539" t="s">
        <v>2958</v>
      </c>
      <c r="G539" t="s">
        <v>2959</v>
      </c>
      <c r="H539" t="s">
        <v>2081</v>
      </c>
    </row>
    <row r="540" spans="2:8" x14ac:dyDescent="0.25">
      <c r="B540" t="s">
        <v>3393</v>
      </c>
      <c r="C540">
        <v>2019</v>
      </c>
      <c r="D540" t="s">
        <v>3457</v>
      </c>
      <c r="E540" t="s">
        <v>2957</v>
      </c>
      <c r="F540" t="s">
        <v>2958</v>
      </c>
      <c r="G540" t="s">
        <v>2960</v>
      </c>
      <c r="H540" t="s">
        <v>3784</v>
      </c>
    </row>
    <row r="541" spans="2:8" x14ac:dyDescent="0.25">
      <c r="B541" t="s">
        <v>3393</v>
      </c>
      <c r="C541">
        <v>2019</v>
      </c>
      <c r="D541" t="s">
        <v>3457</v>
      </c>
      <c r="E541" t="s">
        <v>2957</v>
      </c>
      <c r="F541" t="s">
        <v>2958</v>
      </c>
      <c r="G541" t="s">
        <v>2961</v>
      </c>
      <c r="H541" t="s">
        <v>2021</v>
      </c>
    </row>
    <row r="542" spans="2:8" x14ac:dyDescent="0.25">
      <c r="B542" t="s">
        <v>3393</v>
      </c>
      <c r="C542">
        <v>2019</v>
      </c>
      <c r="D542" t="s">
        <v>3457</v>
      </c>
      <c r="E542" t="s">
        <v>2957</v>
      </c>
      <c r="F542" t="s">
        <v>2958</v>
      </c>
      <c r="G542" t="s">
        <v>2962</v>
      </c>
      <c r="H542" t="s">
        <v>2125</v>
      </c>
    </row>
    <row r="543" spans="2:8" x14ac:dyDescent="0.25">
      <c r="B543" t="s">
        <v>3393</v>
      </c>
      <c r="C543">
        <v>2019</v>
      </c>
      <c r="D543" t="s">
        <v>3457</v>
      </c>
      <c r="E543" t="s">
        <v>2966</v>
      </c>
      <c r="F543" t="s">
        <v>2967</v>
      </c>
      <c r="G543" t="s">
        <v>2866</v>
      </c>
      <c r="H543" t="s">
        <v>3785</v>
      </c>
    </row>
    <row r="544" spans="2:8" x14ac:dyDescent="0.25">
      <c r="B544" t="s">
        <v>3393</v>
      </c>
      <c r="C544">
        <v>2019</v>
      </c>
      <c r="D544" t="s">
        <v>3457</v>
      </c>
      <c r="E544" t="s">
        <v>2966</v>
      </c>
      <c r="F544" t="s">
        <v>2967</v>
      </c>
      <c r="G544" t="s">
        <v>2409</v>
      </c>
      <c r="H544" t="s">
        <v>3786</v>
      </c>
    </row>
    <row r="545" spans="2:8" x14ac:dyDescent="0.25">
      <c r="B545" t="s">
        <v>3393</v>
      </c>
      <c r="C545">
        <v>2019</v>
      </c>
      <c r="D545" t="s">
        <v>3457</v>
      </c>
      <c r="E545" t="s">
        <v>2966</v>
      </c>
      <c r="F545" t="s">
        <v>2967</v>
      </c>
      <c r="G545" t="s">
        <v>2867</v>
      </c>
      <c r="H545" t="s">
        <v>3787</v>
      </c>
    </row>
    <row r="546" spans="2:8" x14ac:dyDescent="0.25">
      <c r="B546" t="s">
        <v>3393</v>
      </c>
      <c r="C546">
        <v>2019</v>
      </c>
      <c r="D546" t="s">
        <v>3457</v>
      </c>
      <c r="E546" t="s">
        <v>2968</v>
      </c>
      <c r="F546" t="s">
        <v>2969</v>
      </c>
      <c r="G546" t="s">
        <v>2970</v>
      </c>
      <c r="H546" t="s">
        <v>3788</v>
      </c>
    </row>
    <row r="547" spans="2:8" x14ac:dyDescent="0.25">
      <c r="B547" t="s">
        <v>3393</v>
      </c>
      <c r="C547">
        <v>2019</v>
      </c>
      <c r="D547" t="s">
        <v>3457</v>
      </c>
      <c r="E547" t="s">
        <v>2968</v>
      </c>
      <c r="F547" t="s">
        <v>2969</v>
      </c>
      <c r="G547" t="s">
        <v>2971</v>
      </c>
      <c r="H547" t="s">
        <v>3299</v>
      </c>
    </row>
    <row r="548" spans="2:8" x14ac:dyDescent="0.25">
      <c r="B548" t="s">
        <v>3393</v>
      </c>
      <c r="C548">
        <v>2019</v>
      </c>
      <c r="D548" t="s">
        <v>3457</v>
      </c>
      <c r="E548" t="s">
        <v>2972</v>
      </c>
      <c r="F548" t="s">
        <v>2973</v>
      </c>
      <c r="G548" t="s">
        <v>2866</v>
      </c>
      <c r="H548" t="s">
        <v>3789</v>
      </c>
    </row>
    <row r="549" spans="2:8" x14ac:dyDescent="0.25">
      <c r="B549" t="s">
        <v>3393</v>
      </c>
      <c r="C549">
        <v>2019</v>
      </c>
      <c r="D549" t="s">
        <v>3457</v>
      </c>
      <c r="E549" t="s">
        <v>2972</v>
      </c>
      <c r="F549" t="s">
        <v>2973</v>
      </c>
      <c r="G549" t="s">
        <v>2409</v>
      </c>
      <c r="H549" t="s">
        <v>3163</v>
      </c>
    </row>
    <row r="550" spans="2:8" x14ac:dyDescent="0.25">
      <c r="B550" t="s">
        <v>3393</v>
      </c>
      <c r="C550">
        <v>2019</v>
      </c>
      <c r="D550" t="s">
        <v>3457</v>
      </c>
      <c r="E550" t="s">
        <v>2972</v>
      </c>
      <c r="F550" t="s">
        <v>2973</v>
      </c>
      <c r="G550" t="s">
        <v>2867</v>
      </c>
      <c r="H550" t="s">
        <v>3790</v>
      </c>
    </row>
    <row r="551" spans="2:8" x14ac:dyDescent="0.25">
      <c r="B551" t="s">
        <v>3393</v>
      </c>
      <c r="C551">
        <v>2019</v>
      </c>
      <c r="D551" t="s">
        <v>3457</v>
      </c>
      <c r="E551" t="s">
        <v>2974</v>
      </c>
      <c r="F551" t="s">
        <v>2412</v>
      </c>
      <c r="G551" t="s">
        <v>2408</v>
      </c>
      <c r="H551" t="s">
        <v>3461</v>
      </c>
    </row>
    <row r="552" spans="2:8" x14ac:dyDescent="0.25">
      <c r="B552" t="s">
        <v>3393</v>
      </c>
      <c r="C552">
        <v>2019</v>
      </c>
      <c r="D552" t="s">
        <v>3457</v>
      </c>
      <c r="E552" t="s">
        <v>2974</v>
      </c>
      <c r="F552" t="s">
        <v>2412</v>
      </c>
      <c r="G552" t="s">
        <v>2409</v>
      </c>
      <c r="H552" t="s">
        <v>3462</v>
      </c>
    </row>
    <row r="553" spans="2:8" x14ac:dyDescent="0.25">
      <c r="B553" t="s">
        <v>3393</v>
      </c>
      <c r="C553">
        <v>2019</v>
      </c>
      <c r="D553" t="s">
        <v>3457</v>
      </c>
      <c r="E553" t="s">
        <v>2974</v>
      </c>
      <c r="F553" t="s">
        <v>2412</v>
      </c>
      <c r="G553" t="s">
        <v>2410</v>
      </c>
      <c r="H553" t="s">
        <v>3463</v>
      </c>
    </row>
    <row r="554" spans="2:8" x14ac:dyDescent="0.25">
      <c r="B554" t="s">
        <v>3393</v>
      </c>
      <c r="C554">
        <v>2019</v>
      </c>
      <c r="D554" t="s">
        <v>3457</v>
      </c>
      <c r="E554" t="s">
        <v>2975</v>
      </c>
      <c r="F554" t="s">
        <v>2506</v>
      </c>
      <c r="G554" t="s">
        <v>2408</v>
      </c>
      <c r="H554" t="s">
        <v>3495</v>
      </c>
    </row>
    <row r="555" spans="2:8" x14ac:dyDescent="0.25">
      <c r="B555" t="s">
        <v>3393</v>
      </c>
      <c r="C555">
        <v>2019</v>
      </c>
      <c r="D555" t="s">
        <v>3457</v>
      </c>
      <c r="E555" t="s">
        <v>2975</v>
      </c>
      <c r="F555" t="s">
        <v>2506</v>
      </c>
      <c r="G555" t="s">
        <v>2409</v>
      </c>
      <c r="H555" t="s">
        <v>3496</v>
      </c>
    </row>
    <row r="556" spans="2:8" x14ac:dyDescent="0.25">
      <c r="B556" t="s">
        <v>3393</v>
      </c>
      <c r="C556">
        <v>2019</v>
      </c>
      <c r="D556" t="s">
        <v>3457</v>
      </c>
      <c r="E556" t="s">
        <v>2975</v>
      </c>
      <c r="F556" t="s">
        <v>2506</v>
      </c>
      <c r="G556" t="s">
        <v>2410</v>
      </c>
      <c r="H556" t="s">
        <v>3497</v>
      </c>
    </row>
    <row r="557" spans="2:8" x14ac:dyDescent="0.25">
      <c r="B557" t="s">
        <v>3393</v>
      </c>
      <c r="C557">
        <v>2020</v>
      </c>
      <c r="D557" t="s">
        <v>3457</v>
      </c>
      <c r="E557" t="s">
        <v>2406</v>
      </c>
      <c r="F557" t="s">
        <v>2407</v>
      </c>
      <c r="G557" t="s">
        <v>2408</v>
      </c>
      <c r="H557" t="s">
        <v>3791</v>
      </c>
    </row>
    <row r="558" spans="2:8" x14ac:dyDescent="0.25">
      <c r="B558" t="s">
        <v>3393</v>
      </c>
      <c r="C558">
        <v>2020</v>
      </c>
      <c r="D558" t="s">
        <v>3457</v>
      </c>
      <c r="E558" t="s">
        <v>2406</v>
      </c>
      <c r="F558" t="s">
        <v>2407</v>
      </c>
      <c r="G558" t="s">
        <v>2409</v>
      </c>
      <c r="H558" t="s">
        <v>3792</v>
      </c>
    </row>
    <row r="559" spans="2:8" x14ac:dyDescent="0.25">
      <c r="B559" t="s">
        <v>3393</v>
      </c>
      <c r="C559">
        <v>2020</v>
      </c>
      <c r="D559" t="s">
        <v>3457</v>
      </c>
      <c r="E559" t="s">
        <v>2406</v>
      </c>
      <c r="F559" t="s">
        <v>2407</v>
      </c>
      <c r="G559" t="s">
        <v>2410</v>
      </c>
      <c r="H559" t="s">
        <v>3793</v>
      </c>
    </row>
    <row r="560" spans="2:8" x14ac:dyDescent="0.25">
      <c r="B560" t="s">
        <v>3393</v>
      </c>
      <c r="C560">
        <v>2020</v>
      </c>
      <c r="D560" t="s">
        <v>3457</v>
      </c>
      <c r="E560" t="s">
        <v>2411</v>
      </c>
      <c r="F560" t="s">
        <v>2412</v>
      </c>
      <c r="G560" t="s">
        <v>2408</v>
      </c>
      <c r="H560" t="s">
        <v>3794</v>
      </c>
    </row>
    <row r="561" spans="2:8" x14ac:dyDescent="0.25">
      <c r="B561" t="s">
        <v>3393</v>
      </c>
      <c r="C561">
        <v>2020</v>
      </c>
      <c r="D561" t="s">
        <v>3457</v>
      </c>
      <c r="E561" t="s">
        <v>2411</v>
      </c>
      <c r="F561" t="s">
        <v>2412</v>
      </c>
      <c r="G561" t="s">
        <v>2409</v>
      </c>
      <c r="H561" t="s">
        <v>3795</v>
      </c>
    </row>
    <row r="562" spans="2:8" x14ac:dyDescent="0.25">
      <c r="B562" t="s">
        <v>3393</v>
      </c>
      <c r="C562">
        <v>2020</v>
      </c>
      <c r="D562" t="s">
        <v>3457</v>
      </c>
      <c r="E562" t="s">
        <v>2411</v>
      </c>
      <c r="F562" t="s">
        <v>2412</v>
      </c>
      <c r="G562" t="s">
        <v>2410</v>
      </c>
      <c r="H562" t="s">
        <v>3796</v>
      </c>
    </row>
    <row r="563" spans="2:8" x14ac:dyDescent="0.25">
      <c r="B563" t="s">
        <v>3393</v>
      </c>
      <c r="C563">
        <v>2020</v>
      </c>
      <c r="D563" t="s">
        <v>3457</v>
      </c>
      <c r="E563" t="s">
        <v>2413</v>
      </c>
      <c r="F563" t="s">
        <v>2414</v>
      </c>
      <c r="G563" t="s">
        <v>2415</v>
      </c>
      <c r="H563" t="s">
        <v>3797</v>
      </c>
    </row>
    <row r="564" spans="2:8" x14ac:dyDescent="0.25">
      <c r="B564" t="s">
        <v>3393</v>
      </c>
      <c r="C564">
        <v>2020</v>
      </c>
      <c r="D564" t="s">
        <v>3457</v>
      </c>
      <c r="E564" t="s">
        <v>2413</v>
      </c>
      <c r="F564" t="s">
        <v>2414</v>
      </c>
      <c r="G564" t="s">
        <v>2416</v>
      </c>
      <c r="H564" t="s">
        <v>3774</v>
      </c>
    </row>
    <row r="565" spans="2:8" x14ac:dyDescent="0.25">
      <c r="B565" t="s">
        <v>3393</v>
      </c>
      <c r="C565">
        <v>2020</v>
      </c>
      <c r="D565" t="s">
        <v>3457</v>
      </c>
      <c r="E565" t="s">
        <v>2413</v>
      </c>
      <c r="F565" t="s">
        <v>2414</v>
      </c>
      <c r="G565" t="s">
        <v>2417</v>
      </c>
      <c r="H565" t="s">
        <v>3798</v>
      </c>
    </row>
    <row r="566" spans="2:8" x14ac:dyDescent="0.25">
      <c r="B566" t="s">
        <v>3393</v>
      </c>
      <c r="C566">
        <v>2020</v>
      </c>
      <c r="D566" t="s">
        <v>3457</v>
      </c>
      <c r="E566" t="s">
        <v>2413</v>
      </c>
      <c r="F566" t="s">
        <v>2414</v>
      </c>
      <c r="G566" t="s">
        <v>2418</v>
      </c>
      <c r="H566" t="s">
        <v>3799</v>
      </c>
    </row>
    <row r="567" spans="2:8" x14ac:dyDescent="0.25">
      <c r="B567" t="s">
        <v>3393</v>
      </c>
      <c r="C567">
        <v>2020</v>
      </c>
      <c r="D567" t="s">
        <v>3457</v>
      </c>
      <c r="E567" t="s">
        <v>2413</v>
      </c>
      <c r="F567" t="s">
        <v>2414</v>
      </c>
      <c r="G567" t="s">
        <v>182</v>
      </c>
      <c r="H567" t="s">
        <v>3800</v>
      </c>
    </row>
    <row r="568" spans="2:8" x14ac:dyDescent="0.25">
      <c r="B568" t="s">
        <v>3393</v>
      </c>
      <c r="C568">
        <v>2020</v>
      </c>
      <c r="D568" t="s">
        <v>3457</v>
      </c>
      <c r="E568" t="s">
        <v>2419</v>
      </c>
      <c r="F568" t="s">
        <v>2420</v>
      </c>
      <c r="G568" t="s">
        <v>2415</v>
      </c>
      <c r="H568" t="s">
        <v>3801</v>
      </c>
    </row>
    <row r="569" spans="2:8" x14ac:dyDescent="0.25">
      <c r="B569" t="s">
        <v>3393</v>
      </c>
      <c r="C569">
        <v>2020</v>
      </c>
      <c r="D569" t="s">
        <v>3457</v>
      </c>
      <c r="E569" t="s">
        <v>2419</v>
      </c>
      <c r="F569" t="s">
        <v>2420</v>
      </c>
      <c r="G569" t="s">
        <v>2416</v>
      </c>
      <c r="H569" t="s">
        <v>3802</v>
      </c>
    </row>
    <row r="570" spans="2:8" x14ac:dyDescent="0.25">
      <c r="B570" t="s">
        <v>3393</v>
      </c>
      <c r="C570">
        <v>2020</v>
      </c>
      <c r="D570" t="s">
        <v>3457</v>
      </c>
      <c r="E570" t="s">
        <v>2419</v>
      </c>
      <c r="F570" t="s">
        <v>2420</v>
      </c>
      <c r="G570" t="s">
        <v>2417</v>
      </c>
      <c r="H570" t="s">
        <v>3803</v>
      </c>
    </row>
    <row r="571" spans="2:8" x14ac:dyDescent="0.25">
      <c r="B571" t="s">
        <v>3393</v>
      </c>
      <c r="C571">
        <v>2020</v>
      </c>
      <c r="D571" t="s">
        <v>3457</v>
      </c>
      <c r="E571" t="s">
        <v>2419</v>
      </c>
      <c r="F571" t="s">
        <v>2420</v>
      </c>
      <c r="G571" t="s">
        <v>2418</v>
      </c>
      <c r="H571" t="s">
        <v>3804</v>
      </c>
    </row>
    <row r="572" spans="2:8" x14ac:dyDescent="0.25">
      <c r="B572" t="s">
        <v>3393</v>
      </c>
      <c r="C572">
        <v>2020</v>
      </c>
      <c r="D572" t="s">
        <v>3457</v>
      </c>
      <c r="E572" t="s">
        <v>2419</v>
      </c>
      <c r="F572" t="s">
        <v>2420</v>
      </c>
      <c r="G572" t="s">
        <v>182</v>
      </c>
      <c r="H572" t="s">
        <v>3794</v>
      </c>
    </row>
    <row r="573" spans="2:8" x14ac:dyDescent="0.25">
      <c r="B573" t="s">
        <v>3393</v>
      </c>
      <c r="C573">
        <v>2020</v>
      </c>
      <c r="D573" t="s">
        <v>3457</v>
      </c>
      <c r="E573" t="s">
        <v>3805</v>
      </c>
      <c r="F573" t="s">
        <v>3806</v>
      </c>
      <c r="G573" t="s">
        <v>3807</v>
      </c>
      <c r="H573" t="s">
        <v>3764</v>
      </c>
    </row>
    <row r="574" spans="2:8" x14ac:dyDescent="0.25">
      <c r="B574" t="s">
        <v>3393</v>
      </c>
      <c r="C574">
        <v>2020</v>
      </c>
      <c r="D574" t="s">
        <v>3457</v>
      </c>
      <c r="E574" t="s">
        <v>3805</v>
      </c>
      <c r="F574" t="s">
        <v>3806</v>
      </c>
      <c r="G574" t="s">
        <v>3808</v>
      </c>
      <c r="H574" t="s">
        <v>3764</v>
      </c>
    </row>
    <row r="575" spans="2:8" x14ac:dyDescent="0.25">
      <c r="B575" t="s">
        <v>3393</v>
      </c>
      <c r="C575">
        <v>2020</v>
      </c>
      <c r="D575" t="s">
        <v>3457</v>
      </c>
      <c r="E575" t="s">
        <v>3805</v>
      </c>
      <c r="F575" t="s">
        <v>3806</v>
      </c>
      <c r="G575" t="s">
        <v>3809</v>
      </c>
      <c r="H575" t="s">
        <v>3764</v>
      </c>
    </row>
    <row r="576" spans="2:8" x14ac:dyDescent="0.25">
      <c r="B576" t="s">
        <v>3393</v>
      </c>
      <c r="C576">
        <v>2020</v>
      </c>
      <c r="D576" t="s">
        <v>3457</v>
      </c>
      <c r="E576" t="s">
        <v>3805</v>
      </c>
      <c r="F576" t="s">
        <v>3806</v>
      </c>
      <c r="G576" t="s">
        <v>3810</v>
      </c>
      <c r="H576" t="s">
        <v>3764</v>
      </c>
    </row>
    <row r="577" spans="2:8" x14ac:dyDescent="0.25">
      <c r="B577" t="s">
        <v>3393</v>
      </c>
      <c r="C577">
        <v>2020</v>
      </c>
      <c r="D577" t="s">
        <v>3457</v>
      </c>
      <c r="E577" t="s">
        <v>3805</v>
      </c>
      <c r="F577" t="s">
        <v>3806</v>
      </c>
      <c r="G577" t="s">
        <v>3811</v>
      </c>
      <c r="H577" t="s">
        <v>3764</v>
      </c>
    </row>
    <row r="578" spans="2:8" x14ac:dyDescent="0.25">
      <c r="B578" t="s">
        <v>3393</v>
      </c>
      <c r="C578">
        <v>2020</v>
      </c>
      <c r="D578" t="s">
        <v>3457</v>
      </c>
      <c r="E578" t="s">
        <v>3805</v>
      </c>
      <c r="F578" t="s">
        <v>3806</v>
      </c>
      <c r="G578" t="s">
        <v>3812</v>
      </c>
      <c r="H578" t="s">
        <v>3764</v>
      </c>
    </row>
    <row r="579" spans="2:8" x14ac:dyDescent="0.25">
      <c r="B579" t="s">
        <v>3393</v>
      </c>
      <c r="C579">
        <v>2020</v>
      </c>
      <c r="D579" t="s">
        <v>3457</v>
      </c>
      <c r="E579" t="s">
        <v>3805</v>
      </c>
      <c r="F579" t="s">
        <v>3806</v>
      </c>
      <c r="G579" t="s">
        <v>3813</v>
      </c>
      <c r="H579" t="s">
        <v>3764</v>
      </c>
    </row>
    <row r="580" spans="2:8" x14ac:dyDescent="0.25">
      <c r="B580" t="s">
        <v>3393</v>
      </c>
      <c r="C580">
        <v>2020</v>
      </c>
      <c r="D580" t="s">
        <v>3457</v>
      </c>
      <c r="E580" t="s">
        <v>3805</v>
      </c>
      <c r="F580" t="s">
        <v>3806</v>
      </c>
      <c r="G580" t="s">
        <v>3814</v>
      </c>
      <c r="H580" t="s">
        <v>3764</v>
      </c>
    </row>
    <row r="581" spans="2:8" x14ac:dyDescent="0.25">
      <c r="B581" t="s">
        <v>3393</v>
      </c>
      <c r="C581">
        <v>2020</v>
      </c>
      <c r="D581" t="s">
        <v>3457</v>
      </c>
      <c r="E581" t="s">
        <v>3805</v>
      </c>
      <c r="F581" t="s">
        <v>3806</v>
      </c>
      <c r="G581" t="s">
        <v>3815</v>
      </c>
      <c r="H581" t="s">
        <v>3764</v>
      </c>
    </row>
    <row r="582" spans="2:8" x14ac:dyDescent="0.25">
      <c r="B582" t="s">
        <v>3393</v>
      </c>
      <c r="C582">
        <v>2020</v>
      </c>
      <c r="D582" t="s">
        <v>3457</v>
      </c>
      <c r="E582" t="s">
        <v>3805</v>
      </c>
      <c r="F582" t="s">
        <v>3806</v>
      </c>
      <c r="G582" t="s">
        <v>3816</v>
      </c>
      <c r="H582" t="s">
        <v>3764</v>
      </c>
    </row>
    <row r="583" spans="2:8" x14ac:dyDescent="0.25">
      <c r="B583" t="s">
        <v>3393</v>
      </c>
      <c r="C583">
        <v>2020</v>
      </c>
      <c r="D583" t="s">
        <v>3457</v>
      </c>
      <c r="E583" t="s">
        <v>3805</v>
      </c>
      <c r="F583" t="s">
        <v>3806</v>
      </c>
      <c r="G583" t="s">
        <v>3817</v>
      </c>
      <c r="H583" t="s">
        <v>3764</v>
      </c>
    </row>
    <row r="584" spans="2:8" x14ac:dyDescent="0.25">
      <c r="B584" t="s">
        <v>3393</v>
      </c>
      <c r="C584">
        <v>2020</v>
      </c>
      <c r="D584" t="s">
        <v>3457</v>
      </c>
      <c r="E584" t="s">
        <v>3805</v>
      </c>
      <c r="F584" t="s">
        <v>3806</v>
      </c>
      <c r="G584" t="s">
        <v>3818</v>
      </c>
      <c r="H584" t="s">
        <v>3764</v>
      </c>
    </row>
    <row r="585" spans="2:8" x14ac:dyDescent="0.25">
      <c r="B585" t="s">
        <v>3393</v>
      </c>
      <c r="C585">
        <v>2020</v>
      </c>
      <c r="D585" t="s">
        <v>3457</v>
      </c>
      <c r="E585" t="s">
        <v>3805</v>
      </c>
      <c r="F585" t="s">
        <v>3806</v>
      </c>
      <c r="G585" t="s">
        <v>3819</v>
      </c>
      <c r="H585" t="s">
        <v>3764</v>
      </c>
    </row>
    <row r="586" spans="2:8" x14ac:dyDescent="0.25">
      <c r="B586" t="s">
        <v>3393</v>
      </c>
      <c r="C586">
        <v>2020</v>
      </c>
      <c r="D586" t="s">
        <v>3457</v>
      </c>
      <c r="E586" t="s">
        <v>3805</v>
      </c>
      <c r="F586" t="s">
        <v>3806</v>
      </c>
      <c r="G586" t="s">
        <v>3820</v>
      </c>
      <c r="H586" t="s">
        <v>3764</v>
      </c>
    </row>
    <row r="587" spans="2:8" x14ac:dyDescent="0.25">
      <c r="B587" t="s">
        <v>3393</v>
      </c>
      <c r="C587">
        <v>2020</v>
      </c>
      <c r="D587" t="s">
        <v>3457</v>
      </c>
      <c r="E587" t="s">
        <v>3805</v>
      </c>
      <c r="F587" t="s">
        <v>3806</v>
      </c>
      <c r="G587" t="s">
        <v>3821</v>
      </c>
      <c r="H587" t="s">
        <v>3764</v>
      </c>
    </row>
    <row r="588" spans="2:8" x14ac:dyDescent="0.25">
      <c r="B588" t="s">
        <v>3393</v>
      </c>
      <c r="C588">
        <v>2020</v>
      </c>
      <c r="D588" t="s">
        <v>3457</v>
      </c>
      <c r="E588" t="s">
        <v>3805</v>
      </c>
      <c r="F588" t="s">
        <v>3806</v>
      </c>
      <c r="G588" t="s">
        <v>3822</v>
      </c>
      <c r="H588" t="s">
        <v>3764</v>
      </c>
    </row>
    <row r="589" spans="2:8" x14ac:dyDescent="0.25">
      <c r="B589" t="s">
        <v>3393</v>
      </c>
      <c r="C589">
        <v>2020</v>
      </c>
      <c r="D589" t="s">
        <v>3457</v>
      </c>
      <c r="E589" t="s">
        <v>3805</v>
      </c>
      <c r="F589" t="s">
        <v>3806</v>
      </c>
      <c r="G589" t="s">
        <v>3823</v>
      </c>
      <c r="H589" t="s">
        <v>3764</v>
      </c>
    </row>
    <row r="590" spans="2:8" x14ac:dyDescent="0.25">
      <c r="B590" t="s">
        <v>3393</v>
      </c>
      <c r="C590">
        <v>2020</v>
      </c>
      <c r="D590" t="s">
        <v>3457</v>
      </c>
      <c r="E590" t="s">
        <v>3805</v>
      </c>
      <c r="F590" t="s">
        <v>3806</v>
      </c>
      <c r="G590" t="s">
        <v>3824</v>
      </c>
      <c r="H590" t="s">
        <v>3764</v>
      </c>
    </row>
    <row r="591" spans="2:8" x14ac:dyDescent="0.25">
      <c r="B591" t="s">
        <v>3393</v>
      </c>
      <c r="C591">
        <v>2020</v>
      </c>
      <c r="D591" t="s">
        <v>3457</v>
      </c>
      <c r="E591" t="s">
        <v>3805</v>
      </c>
      <c r="F591" t="s">
        <v>3806</v>
      </c>
      <c r="G591" t="s">
        <v>3825</v>
      </c>
      <c r="H591" t="s">
        <v>3764</v>
      </c>
    </row>
    <row r="592" spans="2:8" x14ac:dyDescent="0.25">
      <c r="B592" t="s">
        <v>3393</v>
      </c>
      <c r="C592">
        <v>2020</v>
      </c>
      <c r="D592" t="s">
        <v>3457</v>
      </c>
      <c r="E592" t="s">
        <v>3805</v>
      </c>
      <c r="F592" t="s">
        <v>3806</v>
      </c>
      <c r="G592" t="s">
        <v>3826</v>
      </c>
      <c r="H592" t="s">
        <v>3764</v>
      </c>
    </row>
    <row r="593" spans="2:8" x14ac:dyDescent="0.25">
      <c r="B593" t="s">
        <v>3393</v>
      </c>
      <c r="C593">
        <v>2020</v>
      </c>
      <c r="D593" t="s">
        <v>3457</v>
      </c>
      <c r="E593" t="s">
        <v>3805</v>
      </c>
      <c r="F593" t="s">
        <v>3806</v>
      </c>
      <c r="G593" t="s">
        <v>3827</v>
      </c>
      <c r="H593" t="s">
        <v>3764</v>
      </c>
    </row>
    <row r="594" spans="2:8" x14ac:dyDescent="0.25">
      <c r="B594" t="s">
        <v>3393</v>
      </c>
      <c r="C594">
        <v>2020</v>
      </c>
      <c r="D594" t="s">
        <v>3457</v>
      </c>
      <c r="E594" t="s">
        <v>3805</v>
      </c>
      <c r="F594" t="s">
        <v>3806</v>
      </c>
      <c r="G594" t="s">
        <v>3828</v>
      </c>
      <c r="H594" t="s">
        <v>3764</v>
      </c>
    </row>
    <row r="595" spans="2:8" x14ac:dyDescent="0.25">
      <c r="B595" t="s">
        <v>3393</v>
      </c>
      <c r="C595">
        <v>2020</v>
      </c>
      <c r="D595" t="s">
        <v>3457</v>
      </c>
      <c r="E595" t="s">
        <v>3805</v>
      </c>
      <c r="F595" t="s">
        <v>3806</v>
      </c>
      <c r="G595" t="s">
        <v>3829</v>
      </c>
      <c r="H595" t="s">
        <v>3764</v>
      </c>
    </row>
    <row r="596" spans="2:8" x14ac:dyDescent="0.25">
      <c r="B596" t="s">
        <v>3393</v>
      </c>
      <c r="C596">
        <v>2020</v>
      </c>
      <c r="D596" t="s">
        <v>3457</v>
      </c>
      <c r="E596" t="s">
        <v>3805</v>
      </c>
      <c r="F596" t="s">
        <v>3806</v>
      </c>
      <c r="G596" t="s">
        <v>3830</v>
      </c>
      <c r="H596" t="s">
        <v>3764</v>
      </c>
    </row>
    <row r="597" spans="2:8" x14ac:dyDescent="0.25">
      <c r="B597" t="s">
        <v>3393</v>
      </c>
      <c r="C597">
        <v>2020</v>
      </c>
      <c r="D597" t="s">
        <v>3457</v>
      </c>
      <c r="E597" t="s">
        <v>3805</v>
      </c>
      <c r="F597" t="s">
        <v>3806</v>
      </c>
      <c r="G597" t="s">
        <v>3831</v>
      </c>
      <c r="H597" t="s">
        <v>3764</v>
      </c>
    </row>
    <row r="598" spans="2:8" x14ac:dyDescent="0.25">
      <c r="B598" t="s">
        <v>3393</v>
      </c>
      <c r="C598">
        <v>2020</v>
      </c>
      <c r="D598" t="s">
        <v>3457</v>
      </c>
      <c r="E598" t="s">
        <v>3832</v>
      </c>
      <c r="F598" t="s">
        <v>3833</v>
      </c>
      <c r="G598" t="s">
        <v>3807</v>
      </c>
      <c r="H598" t="s">
        <v>3764</v>
      </c>
    </row>
    <row r="599" spans="2:8" x14ac:dyDescent="0.25">
      <c r="B599" t="s">
        <v>3393</v>
      </c>
      <c r="C599">
        <v>2020</v>
      </c>
      <c r="D599" t="s">
        <v>3457</v>
      </c>
      <c r="E599" t="s">
        <v>3832</v>
      </c>
      <c r="F599" t="s">
        <v>3833</v>
      </c>
      <c r="G599" t="s">
        <v>3808</v>
      </c>
      <c r="H599" t="s">
        <v>3764</v>
      </c>
    </row>
    <row r="600" spans="2:8" x14ac:dyDescent="0.25">
      <c r="B600" t="s">
        <v>3393</v>
      </c>
      <c r="C600">
        <v>2020</v>
      </c>
      <c r="D600" t="s">
        <v>3457</v>
      </c>
      <c r="E600" t="s">
        <v>3832</v>
      </c>
      <c r="F600" t="s">
        <v>3833</v>
      </c>
      <c r="G600" t="s">
        <v>3809</v>
      </c>
      <c r="H600" t="s">
        <v>3764</v>
      </c>
    </row>
    <row r="601" spans="2:8" x14ac:dyDescent="0.25">
      <c r="B601" t="s">
        <v>3393</v>
      </c>
      <c r="C601">
        <v>2020</v>
      </c>
      <c r="D601" t="s">
        <v>3457</v>
      </c>
      <c r="E601" t="s">
        <v>3832</v>
      </c>
      <c r="F601" t="s">
        <v>3833</v>
      </c>
      <c r="G601" t="s">
        <v>3810</v>
      </c>
      <c r="H601" t="s">
        <v>3764</v>
      </c>
    </row>
    <row r="602" spans="2:8" x14ac:dyDescent="0.25">
      <c r="B602" t="s">
        <v>3393</v>
      </c>
      <c r="C602">
        <v>2020</v>
      </c>
      <c r="D602" t="s">
        <v>3457</v>
      </c>
      <c r="E602" t="s">
        <v>3832</v>
      </c>
      <c r="F602" t="s">
        <v>3833</v>
      </c>
      <c r="G602" t="s">
        <v>3811</v>
      </c>
      <c r="H602" t="s">
        <v>3764</v>
      </c>
    </row>
    <row r="603" spans="2:8" x14ac:dyDescent="0.25">
      <c r="B603" t="s">
        <v>3393</v>
      </c>
      <c r="C603">
        <v>2020</v>
      </c>
      <c r="D603" t="s">
        <v>3457</v>
      </c>
      <c r="E603" t="s">
        <v>3832</v>
      </c>
      <c r="F603" t="s">
        <v>3833</v>
      </c>
      <c r="G603" t="s">
        <v>3812</v>
      </c>
      <c r="H603" t="s">
        <v>3764</v>
      </c>
    </row>
    <row r="604" spans="2:8" x14ac:dyDescent="0.25">
      <c r="B604" t="s">
        <v>3393</v>
      </c>
      <c r="C604">
        <v>2020</v>
      </c>
      <c r="D604" t="s">
        <v>3457</v>
      </c>
      <c r="E604" t="s">
        <v>3832</v>
      </c>
      <c r="F604" t="s">
        <v>3833</v>
      </c>
      <c r="G604" t="s">
        <v>3813</v>
      </c>
      <c r="H604" t="s">
        <v>3764</v>
      </c>
    </row>
    <row r="605" spans="2:8" x14ac:dyDescent="0.25">
      <c r="B605" t="s">
        <v>3393</v>
      </c>
      <c r="C605">
        <v>2020</v>
      </c>
      <c r="D605" t="s">
        <v>3457</v>
      </c>
      <c r="E605" t="s">
        <v>3832</v>
      </c>
      <c r="F605" t="s">
        <v>3833</v>
      </c>
      <c r="G605" t="s">
        <v>3814</v>
      </c>
      <c r="H605" t="s">
        <v>3764</v>
      </c>
    </row>
    <row r="606" spans="2:8" x14ac:dyDescent="0.25">
      <c r="B606" t="s">
        <v>3393</v>
      </c>
      <c r="C606">
        <v>2020</v>
      </c>
      <c r="D606" t="s">
        <v>3457</v>
      </c>
      <c r="E606" t="s">
        <v>3832</v>
      </c>
      <c r="F606" t="s">
        <v>3833</v>
      </c>
      <c r="G606" t="s">
        <v>3815</v>
      </c>
      <c r="H606" t="s">
        <v>3764</v>
      </c>
    </row>
    <row r="607" spans="2:8" x14ac:dyDescent="0.25">
      <c r="B607" t="s">
        <v>3393</v>
      </c>
      <c r="C607">
        <v>2020</v>
      </c>
      <c r="D607" t="s">
        <v>3457</v>
      </c>
      <c r="E607" t="s">
        <v>3832</v>
      </c>
      <c r="F607" t="s">
        <v>3833</v>
      </c>
      <c r="G607" t="s">
        <v>3816</v>
      </c>
      <c r="H607" t="s">
        <v>3764</v>
      </c>
    </row>
    <row r="608" spans="2:8" x14ac:dyDescent="0.25">
      <c r="B608" t="s">
        <v>3393</v>
      </c>
      <c r="C608">
        <v>2020</v>
      </c>
      <c r="D608" t="s">
        <v>3457</v>
      </c>
      <c r="E608" t="s">
        <v>3832</v>
      </c>
      <c r="F608" t="s">
        <v>3833</v>
      </c>
      <c r="G608" t="s">
        <v>3817</v>
      </c>
      <c r="H608" t="s">
        <v>3764</v>
      </c>
    </row>
    <row r="609" spans="2:8" x14ac:dyDescent="0.25">
      <c r="B609" t="s">
        <v>3393</v>
      </c>
      <c r="C609">
        <v>2020</v>
      </c>
      <c r="D609" t="s">
        <v>3457</v>
      </c>
      <c r="E609" t="s">
        <v>3832</v>
      </c>
      <c r="F609" t="s">
        <v>3833</v>
      </c>
      <c r="G609" t="s">
        <v>3818</v>
      </c>
      <c r="H609" t="s">
        <v>3764</v>
      </c>
    </row>
    <row r="610" spans="2:8" x14ac:dyDescent="0.25">
      <c r="B610" t="s">
        <v>3393</v>
      </c>
      <c r="C610">
        <v>2020</v>
      </c>
      <c r="D610" t="s">
        <v>3457</v>
      </c>
      <c r="E610" t="s">
        <v>3832</v>
      </c>
      <c r="F610" t="s">
        <v>3833</v>
      </c>
      <c r="G610" t="s">
        <v>3819</v>
      </c>
      <c r="H610" t="s">
        <v>3764</v>
      </c>
    </row>
    <row r="611" spans="2:8" x14ac:dyDescent="0.25">
      <c r="B611" t="s">
        <v>3393</v>
      </c>
      <c r="C611">
        <v>2020</v>
      </c>
      <c r="D611" t="s">
        <v>3457</v>
      </c>
      <c r="E611" t="s">
        <v>3832</v>
      </c>
      <c r="F611" t="s">
        <v>3833</v>
      </c>
      <c r="G611" t="s">
        <v>3820</v>
      </c>
      <c r="H611" t="s">
        <v>3764</v>
      </c>
    </row>
    <row r="612" spans="2:8" x14ac:dyDescent="0.25">
      <c r="B612" t="s">
        <v>3393</v>
      </c>
      <c r="C612">
        <v>2020</v>
      </c>
      <c r="D612" t="s">
        <v>3457</v>
      </c>
      <c r="E612" t="s">
        <v>3832</v>
      </c>
      <c r="F612" t="s">
        <v>3833</v>
      </c>
      <c r="G612" t="s">
        <v>3821</v>
      </c>
      <c r="H612" t="s">
        <v>3764</v>
      </c>
    </row>
    <row r="613" spans="2:8" x14ac:dyDescent="0.25">
      <c r="B613" t="s">
        <v>3393</v>
      </c>
      <c r="C613">
        <v>2020</v>
      </c>
      <c r="D613" t="s">
        <v>3457</v>
      </c>
      <c r="E613" t="s">
        <v>3832</v>
      </c>
      <c r="F613" t="s">
        <v>3833</v>
      </c>
      <c r="G613" t="s">
        <v>3822</v>
      </c>
      <c r="H613" t="s">
        <v>3764</v>
      </c>
    </row>
    <row r="614" spans="2:8" x14ac:dyDescent="0.25">
      <c r="B614" t="s">
        <v>3393</v>
      </c>
      <c r="C614">
        <v>2020</v>
      </c>
      <c r="D614" t="s">
        <v>3457</v>
      </c>
      <c r="E614" t="s">
        <v>3832</v>
      </c>
      <c r="F614" t="s">
        <v>3833</v>
      </c>
      <c r="G614" t="s">
        <v>3823</v>
      </c>
      <c r="H614" t="s">
        <v>3764</v>
      </c>
    </row>
    <row r="615" spans="2:8" x14ac:dyDescent="0.25">
      <c r="B615" t="s">
        <v>3393</v>
      </c>
      <c r="C615">
        <v>2020</v>
      </c>
      <c r="D615" t="s">
        <v>3457</v>
      </c>
      <c r="E615" t="s">
        <v>3832</v>
      </c>
      <c r="F615" t="s">
        <v>3833</v>
      </c>
      <c r="G615" t="s">
        <v>3824</v>
      </c>
      <c r="H615" t="s">
        <v>3764</v>
      </c>
    </row>
    <row r="616" spans="2:8" x14ac:dyDescent="0.25">
      <c r="B616" t="s">
        <v>3393</v>
      </c>
      <c r="C616">
        <v>2020</v>
      </c>
      <c r="D616" t="s">
        <v>3457</v>
      </c>
      <c r="E616" t="s">
        <v>3832</v>
      </c>
      <c r="F616" t="s">
        <v>3833</v>
      </c>
      <c r="G616" t="s">
        <v>3825</v>
      </c>
      <c r="H616" t="s">
        <v>3764</v>
      </c>
    </row>
    <row r="617" spans="2:8" x14ac:dyDescent="0.25">
      <c r="B617" t="s">
        <v>3393</v>
      </c>
      <c r="C617">
        <v>2020</v>
      </c>
      <c r="D617" t="s">
        <v>3457</v>
      </c>
      <c r="E617" t="s">
        <v>3832</v>
      </c>
      <c r="F617" t="s">
        <v>3833</v>
      </c>
      <c r="G617" t="s">
        <v>3826</v>
      </c>
      <c r="H617" t="s">
        <v>3764</v>
      </c>
    </row>
    <row r="618" spans="2:8" x14ac:dyDescent="0.25">
      <c r="B618" t="s">
        <v>3393</v>
      </c>
      <c r="C618">
        <v>2020</v>
      </c>
      <c r="D618" t="s">
        <v>3457</v>
      </c>
      <c r="E618" t="s">
        <v>3832</v>
      </c>
      <c r="F618" t="s">
        <v>3833</v>
      </c>
      <c r="G618" t="s">
        <v>3834</v>
      </c>
      <c r="H618" t="s">
        <v>3764</v>
      </c>
    </row>
    <row r="619" spans="2:8" x14ac:dyDescent="0.25">
      <c r="B619" t="s">
        <v>3393</v>
      </c>
      <c r="C619">
        <v>2020</v>
      </c>
      <c r="D619" t="s">
        <v>3457</v>
      </c>
      <c r="E619" t="s">
        <v>3832</v>
      </c>
      <c r="F619" t="s">
        <v>3833</v>
      </c>
      <c r="G619" t="s">
        <v>3835</v>
      </c>
      <c r="H619" t="s">
        <v>3764</v>
      </c>
    </row>
    <row r="620" spans="2:8" x14ac:dyDescent="0.25">
      <c r="B620" t="s">
        <v>3393</v>
      </c>
      <c r="C620">
        <v>2020</v>
      </c>
      <c r="D620" t="s">
        <v>3457</v>
      </c>
      <c r="E620" t="s">
        <v>3832</v>
      </c>
      <c r="F620" t="s">
        <v>3833</v>
      </c>
      <c r="G620" t="s">
        <v>3836</v>
      </c>
      <c r="H620" t="s">
        <v>3764</v>
      </c>
    </row>
    <row r="621" spans="2:8" x14ac:dyDescent="0.25">
      <c r="B621" t="s">
        <v>3393</v>
      </c>
      <c r="C621">
        <v>2020</v>
      </c>
      <c r="D621" t="s">
        <v>3457</v>
      </c>
      <c r="E621" t="s">
        <v>3832</v>
      </c>
      <c r="F621" t="s">
        <v>3833</v>
      </c>
      <c r="G621" t="s">
        <v>3837</v>
      </c>
      <c r="H621" t="s">
        <v>3764</v>
      </c>
    </row>
    <row r="622" spans="2:8" x14ac:dyDescent="0.25">
      <c r="B622" t="s">
        <v>3393</v>
      </c>
      <c r="C622">
        <v>2020</v>
      </c>
      <c r="D622" t="s">
        <v>3457</v>
      </c>
      <c r="E622" t="s">
        <v>3832</v>
      </c>
      <c r="F622" t="s">
        <v>3833</v>
      </c>
      <c r="G622" t="s">
        <v>3838</v>
      </c>
      <c r="H622" t="s">
        <v>3764</v>
      </c>
    </row>
    <row r="623" spans="2:8" x14ac:dyDescent="0.25">
      <c r="B623" t="s">
        <v>3393</v>
      </c>
      <c r="C623">
        <v>2020</v>
      </c>
      <c r="D623" t="s">
        <v>3457</v>
      </c>
      <c r="E623" t="s">
        <v>3839</v>
      </c>
      <c r="F623" t="s">
        <v>3840</v>
      </c>
      <c r="G623" t="s">
        <v>3841</v>
      </c>
      <c r="H623" t="s">
        <v>3842</v>
      </c>
    </row>
    <row r="624" spans="2:8" x14ac:dyDescent="0.25">
      <c r="B624" t="s">
        <v>3393</v>
      </c>
      <c r="C624">
        <v>2020</v>
      </c>
      <c r="D624" t="s">
        <v>3457</v>
      </c>
      <c r="E624" t="s">
        <v>3839</v>
      </c>
      <c r="F624" t="s">
        <v>3840</v>
      </c>
      <c r="G624" t="s">
        <v>2423</v>
      </c>
      <c r="H624" t="s">
        <v>3843</v>
      </c>
    </row>
    <row r="625" spans="2:8" x14ac:dyDescent="0.25">
      <c r="B625" t="s">
        <v>3393</v>
      </c>
      <c r="C625">
        <v>2020</v>
      </c>
      <c r="D625" t="s">
        <v>3457</v>
      </c>
      <c r="E625" t="s">
        <v>3839</v>
      </c>
      <c r="F625" t="s">
        <v>3840</v>
      </c>
      <c r="G625" t="s">
        <v>2424</v>
      </c>
      <c r="H625" t="s">
        <v>3844</v>
      </c>
    </row>
    <row r="626" spans="2:8" x14ac:dyDescent="0.25">
      <c r="B626" t="s">
        <v>3393</v>
      </c>
      <c r="C626">
        <v>2020</v>
      </c>
      <c r="D626" t="s">
        <v>3457</v>
      </c>
      <c r="E626" t="s">
        <v>2421</v>
      </c>
      <c r="F626" t="s">
        <v>2422</v>
      </c>
      <c r="G626" t="s">
        <v>2423</v>
      </c>
      <c r="H626" t="s">
        <v>3845</v>
      </c>
    </row>
    <row r="627" spans="2:8" x14ac:dyDescent="0.25">
      <c r="B627" t="s">
        <v>3393</v>
      </c>
      <c r="C627">
        <v>2020</v>
      </c>
      <c r="D627" t="s">
        <v>3457</v>
      </c>
      <c r="E627" t="s">
        <v>2421</v>
      </c>
      <c r="F627" t="s">
        <v>2422</v>
      </c>
      <c r="G627" t="s">
        <v>2424</v>
      </c>
      <c r="H627" t="s">
        <v>3846</v>
      </c>
    </row>
    <row r="628" spans="2:8" x14ac:dyDescent="0.25">
      <c r="B628" t="s">
        <v>3393</v>
      </c>
      <c r="C628">
        <v>2020</v>
      </c>
      <c r="D628" t="s">
        <v>3457</v>
      </c>
      <c r="E628" t="s">
        <v>2425</v>
      </c>
      <c r="F628" t="s">
        <v>2426</v>
      </c>
      <c r="G628" t="s">
        <v>2427</v>
      </c>
      <c r="H628" t="s">
        <v>3150</v>
      </c>
    </row>
    <row r="629" spans="2:8" x14ac:dyDescent="0.25">
      <c r="B629" t="s">
        <v>3393</v>
      </c>
      <c r="C629">
        <v>2020</v>
      </c>
      <c r="D629" t="s">
        <v>3457</v>
      </c>
      <c r="E629" t="s">
        <v>2429</v>
      </c>
      <c r="F629" t="s">
        <v>2430</v>
      </c>
      <c r="G629" t="s">
        <v>2427</v>
      </c>
      <c r="H629" t="s">
        <v>2428</v>
      </c>
    </row>
    <row r="630" spans="2:8" x14ac:dyDescent="0.25">
      <c r="B630" t="s">
        <v>3393</v>
      </c>
      <c r="C630">
        <v>2020</v>
      </c>
      <c r="D630" t="s">
        <v>3457</v>
      </c>
      <c r="E630" t="s">
        <v>2432</v>
      </c>
      <c r="F630" t="s">
        <v>2433</v>
      </c>
      <c r="G630" t="s">
        <v>2427</v>
      </c>
      <c r="H630" t="s">
        <v>3150</v>
      </c>
    </row>
    <row r="631" spans="2:8" x14ac:dyDescent="0.25">
      <c r="B631" t="s">
        <v>3393</v>
      </c>
      <c r="C631">
        <v>2020</v>
      </c>
      <c r="D631" t="s">
        <v>3457</v>
      </c>
      <c r="E631" t="s">
        <v>2435</v>
      </c>
      <c r="F631" t="s">
        <v>2436</v>
      </c>
      <c r="G631" t="s">
        <v>2427</v>
      </c>
      <c r="H631" t="s">
        <v>2431</v>
      </c>
    </row>
    <row r="632" spans="2:8" x14ac:dyDescent="0.25">
      <c r="B632" t="s">
        <v>3393</v>
      </c>
      <c r="C632">
        <v>2020</v>
      </c>
      <c r="D632" t="s">
        <v>3457</v>
      </c>
      <c r="E632" t="s">
        <v>2438</v>
      </c>
      <c r="F632" t="s">
        <v>2439</v>
      </c>
      <c r="G632" t="s">
        <v>2440</v>
      </c>
      <c r="H632" t="s">
        <v>3151</v>
      </c>
    </row>
    <row r="633" spans="2:8" x14ac:dyDescent="0.25">
      <c r="B633" t="s">
        <v>3393</v>
      </c>
      <c r="C633">
        <v>2020</v>
      </c>
      <c r="D633" t="s">
        <v>3457</v>
      </c>
      <c r="E633" t="s">
        <v>2442</v>
      </c>
      <c r="F633" t="s">
        <v>2443</v>
      </c>
      <c r="G633" t="s">
        <v>3118</v>
      </c>
      <c r="H633" t="s">
        <v>3152</v>
      </c>
    </row>
    <row r="634" spans="2:8" x14ac:dyDescent="0.25">
      <c r="B634" t="s">
        <v>3393</v>
      </c>
      <c r="C634">
        <v>2020</v>
      </c>
      <c r="D634" t="s">
        <v>3457</v>
      </c>
      <c r="E634" t="s">
        <v>2446</v>
      </c>
      <c r="F634" t="s">
        <v>2447</v>
      </c>
      <c r="G634" t="s">
        <v>2448</v>
      </c>
      <c r="H634" t="s">
        <v>3153</v>
      </c>
    </row>
    <row r="635" spans="2:8" x14ac:dyDescent="0.25">
      <c r="B635" t="s">
        <v>3393</v>
      </c>
      <c r="C635">
        <v>2020</v>
      </c>
      <c r="D635" t="s">
        <v>3457</v>
      </c>
      <c r="E635" t="s">
        <v>2450</v>
      </c>
      <c r="F635" t="s">
        <v>2451</v>
      </c>
      <c r="G635" t="s">
        <v>2452</v>
      </c>
      <c r="H635" t="s">
        <v>3847</v>
      </c>
    </row>
    <row r="636" spans="2:8" x14ac:dyDescent="0.25">
      <c r="B636" t="s">
        <v>3393</v>
      </c>
      <c r="C636">
        <v>2020</v>
      </c>
      <c r="D636" t="s">
        <v>3457</v>
      </c>
      <c r="E636" t="s">
        <v>2453</v>
      </c>
      <c r="F636" t="s">
        <v>2454</v>
      </c>
      <c r="G636" t="s">
        <v>2455</v>
      </c>
      <c r="H636" t="s">
        <v>3848</v>
      </c>
    </row>
    <row r="637" spans="2:8" x14ac:dyDescent="0.25">
      <c r="B637" t="s">
        <v>3393</v>
      </c>
      <c r="C637">
        <v>2020</v>
      </c>
      <c r="D637" t="s">
        <v>3457</v>
      </c>
      <c r="E637" t="s">
        <v>2453</v>
      </c>
      <c r="F637" t="s">
        <v>2454</v>
      </c>
      <c r="G637" t="s">
        <v>2456</v>
      </c>
      <c r="H637" t="s">
        <v>3849</v>
      </c>
    </row>
    <row r="638" spans="2:8" x14ac:dyDescent="0.25">
      <c r="B638" t="s">
        <v>3393</v>
      </c>
      <c r="C638">
        <v>2020</v>
      </c>
      <c r="D638" t="s">
        <v>3457</v>
      </c>
      <c r="E638" t="s">
        <v>2457</v>
      </c>
      <c r="F638" t="s">
        <v>2458</v>
      </c>
      <c r="G638" t="s">
        <v>2459</v>
      </c>
      <c r="H638" t="s">
        <v>3850</v>
      </c>
    </row>
    <row r="639" spans="2:8" x14ac:dyDescent="0.25">
      <c r="B639" t="s">
        <v>3393</v>
      </c>
      <c r="C639">
        <v>2020</v>
      </c>
      <c r="D639" t="s">
        <v>3457</v>
      </c>
      <c r="E639" t="s">
        <v>2457</v>
      </c>
      <c r="F639" t="s">
        <v>2458</v>
      </c>
      <c r="G639" t="s">
        <v>2460</v>
      </c>
      <c r="H639" t="s">
        <v>3851</v>
      </c>
    </row>
    <row r="640" spans="2:8" x14ac:dyDescent="0.25">
      <c r="B640" t="s">
        <v>3393</v>
      </c>
      <c r="C640">
        <v>2020</v>
      </c>
      <c r="D640" t="s">
        <v>3457</v>
      </c>
      <c r="E640" t="s">
        <v>2457</v>
      </c>
      <c r="F640" t="s">
        <v>2458</v>
      </c>
      <c r="G640" t="s">
        <v>2461</v>
      </c>
      <c r="H640" t="s">
        <v>3852</v>
      </c>
    </row>
    <row r="641" spans="2:8" x14ac:dyDescent="0.25">
      <c r="B641" t="s">
        <v>3393</v>
      </c>
      <c r="C641">
        <v>2020</v>
      </c>
      <c r="D641" t="s">
        <v>3457</v>
      </c>
      <c r="E641" t="s">
        <v>2457</v>
      </c>
      <c r="F641" t="s">
        <v>2458</v>
      </c>
      <c r="G641" t="s">
        <v>2462</v>
      </c>
      <c r="H641" t="s">
        <v>3853</v>
      </c>
    </row>
    <row r="642" spans="2:8" x14ac:dyDescent="0.25">
      <c r="B642" t="s">
        <v>3393</v>
      </c>
      <c r="C642">
        <v>2020</v>
      </c>
      <c r="D642" t="s">
        <v>3457</v>
      </c>
      <c r="E642" t="s">
        <v>2463</v>
      </c>
      <c r="F642" t="s">
        <v>2464</v>
      </c>
      <c r="G642" t="s">
        <v>2465</v>
      </c>
      <c r="H642" t="s">
        <v>3854</v>
      </c>
    </row>
    <row r="643" spans="2:8" x14ac:dyDescent="0.25">
      <c r="B643" t="s">
        <v>3393</v>
      </c>
      <c r="C643">
        <v>2020</v>
      </c>
      <c r="D643" t="s">
        <v>3457</v>
      </c>
      <c r="E643" t="s">
        <v>2466</v>
      </c>
      <c r="F643" t="s">
        <v>2454</v>
      </c>
      <c r="G643" t="s">
        <v>2455</v>
      </c>
      <c r="H643" t="s">
        <v>3855</v>
      </c>
    </row>
    <row r="644" spans="2:8" x14ac:dyDescent="0.25">
      <c r="B644" t="s">
        <v>3393</v>
      </c>
      <c r="C644">
        <v>2020</v>
      </c>
      <c r="D644" t="s">
        <v>3457</v>
      </c>
      <c r="E644" t="s">
        <v>2466</v>
      </c>
      <c r="F644" t="s">
        <v>2454</v>
      </c>
      <c r="G644" t="s">
        <v>2456</v>
      </c>
      <c r="H644" t="s">
        <v>3382</v>
      </c>
    </row>
    <row r="645" spans="2:8" x14ac:dyDescent="0.25">
      <c r="B645" t="s">
        <v>3393</v>
      </c>
      <c r="C645">
        <v>2020</v>
      </c>
      <c r="D645" t="s">
        <v>3457</v>
      </c>
      <c r="E645" t="s">
        <v>2467</v>
      </c>
      <c r="F645" t="s">
        <v>2458</v>
      </c>
      <c r="G645" t="s">
        <v>2459</v>
      </c>
      <c r="H645" t="s">
        <v>3856</v>
      </c>
    </row>
    <row r="646" spans="2:8" x14ac:dyDescent="0.25">
      <c r="B646" t="s">
        <v>3393</v>
      </c>
      <c r="C646">
        <v>2020</v>
      </c>
      <c r="D646" t="s">
        <v>3457</v>
      </c>
      <c r="E646" t="s">
        <v>2467</v>
      </c>
      <c r="F646" t="s">
        <v>2458</v>
      </c>
      <c r="G646" t="s">
        <v>2460</v>
      </c>
      <c r="H646" t="s">
        <v>2552</v>
      </c>
    </row>
    <row r="647" spans="2:8" x14ac:dyDescent="0.25">
      <c r="B647" t="s">
        <v>3393</v>
      </c>
      <c r="C647">
        <v>2020</v>
      </c>
      <c r="D647" t="s">
        <v>3457</v>
      </c>
      <c r="E647" t="s">
        <v>2467</v>
      </c>
      <c r="F647" t="s">
        <v>2458</v>
      </c>
      <c r="G647" t="s">
        <v>2462</v>
      </c>
      <c r="H647" t="s">
        <v>3857</v>
      </c>
    </row>
    <row r="648" spans="2:8" x14ac:dyDescent="0.25">
      <c r="B648" t="s">
        <v>3393</v>
      </c>
      <c r="C648">
        <v>2020</v>
      </c>
      <c r="D648" t="s">
        <v>3457</v>
      </c>
      <c r="E648" t="s">
        <v>2468</v>
      </c>
      <c r="F648" t="s">
        <v>2464</v>
      </c>
      <c r="G648" t="s">
        <v>2465</v>
      </c>
      <c r="H648" t="s">
        <v>3858</v>
      </c>
    </row>
    <row r="649" spans="2:8" x14ac:dyDescent="0.25">
      <c r="B649" t="s">
        <v>3393</v>
      </c>
      <c r="C649">
        <v>2020</v>
      </c>
      <c r="D649" t="s">
        <v>3457</v>
      </c>
      <c r="E649" t="s">
        <v>2469</v>
      </c>
      <c r="F649" t="s">
        <v>2470</v>
      </c>
      <c r="G649" t="s">
        <v>2465</v>
      </c>
      <c r="H649" t="s">
        <v>3859</v>
      </c>
    </row>
    <row r="650" spans="2:8" x14ac:dyDescent="0.25">
      <c r="B650" t="s">
        <v>3393</v>
      </c>
      <c r="C650">
        <v>2020</v>
      </c>
      <c r="D650" t="s">
        <v>3457</v>
      </c>
      <c r="E650" t="s">
        <v>2471</v>
      </c>
      <c r="F650" t="s">
        <v>2472</v>
      </c>
      <c r="G650" t="s">
        <v>2473</v>
      </c>
      <c r="H650" t="s">
        <v>3860</v>
      </c>
    </row>
    <row r="651" spans="2:8" x14ac:dyDescent="0.25">
      <c r="B651" t="s">
        <v>3393</v>
      </c>
      <c r="C651">
        <v>2020</v>
      </c>
      <c r="D651" t="s">
        <v>3457</v>
      </c>
      <c r="E651" t="s">
        <v>2474</v>
      </c>
      <c r="F651" t="s">
        <v>2475</v>
      </c>
      <c r="G651" t="s">
        <v>1173</v>
      </c>
      <c r="H651" t="s">
        <v>3116</v>
      </c>
    </row>
    <row r="652" spans="2:8" x14ac:dyDescent="0.25">
      <c r="B652" t="s">
        <v>3393</v>
      </c>
      <c r="C652">
        <v>2020</v>
      </c>
      <c r="D652" t="s">
        <v>3457</v>
      </c>
      <c r="E652" t="s">
        <v>2474</v>
      </c>
      <c r="F652" t="s">
        <v>2475</v>
      </c>
      <c r="G652" t="s">
        <v>1172</v>
      </c>
      <c r="H652" t="s">
        <v>3426</v>
      </c>
    </row>
    <row r="653" spans="2:8" x14ac:dyDescent="0.25">
      <c r="B653" t="s">
        <v>3393</v>
      </c>
      <c r="C653">
        <v>2020</v>
      </c>
      <c r="D653" t="s">
        <v>3457</v>
      </c>
      <c r="E653" t="s">
        <v>2474</v>
      </c>
      <c r="F653" t="s">
        <v>2475</v>
      </c>
      <c r="G653" t="s">
        <v>1171</v>
      </c>
      <c r="H653" t="s">
        <v>3106</v>
      </c>
    </row>
    <row r="654" spans="2:8" x14ac:dyDescent="0.25">
      <c r="B654" t="s">
        <v>3393</v>
      </c>
      <c r="C654">
        <v>2020</v>
      </c>
      <c r="D654" t="s">
        <v>3457</v>
      </c>
      <c r="E654" t="s">
        <v>2476</v>
      </c>
      <c r="F654" t="s">
        <v>2477</v>
      </c>
      <c r="G654" t="s">
        <v>2478</v>
      </c>
      <c r="H654" t="s">
        <v>3293</v>
      </c>
    </row>
    <row r="655" spans="2:8" x14ac:dyDescent="0.25">
      <c r="B655" t="s">
        <v>3393</v>
      </c>
      <c r="C655">
        <v>2020</v>
      </c>
      <c r="D655" t="s">
        <v>3457</v>
      </c>
      <c r="E655" t="s">
        <v>2476</v>
      </c>
      <c r="F655" t="s">
        <v>2477</v>
      </c>
      <c r="G655" t="s">
        <v>2479</v>
      </c>
      <c r="H655" t="s">
        <v>3437</v>
      </c>
    </row>
    <row r="656" spans="2:8" x14ac:dyDescent="0.25">
      <c r="B656" t="s">
        <v>3393</v>
      </c>
      <c r="C656">
        <v>2020</v>
      </c>
      <c r="D656" t="s">
        <v>3457</v>
      </c>
      <c r="E656" t="s">
        <v>2476</v>
      </c>
      <c r="F656" t="s">
        <v>2477</v>
      </c>
      <c r="G656" t="s">
        <v>2480</v>
      </c>
      <c r="H656" t="s">
        <v>3861</v>
      </c>
    </row>
    <row r="657" spans="2:8" x14ac:dyDescent="0.25">
      <c r="B657" t="s">
        <v>3393</v>
      </c>
      <c r="C657">
        <v>2020</v>
      </c>
      <c r="D657" t="s">
        <v>3457</v>
      </c>
      <c r="E657" t="s">
        <v>2481</v>
      </c>
      <c r="F657" t="s">
        <v>2482</v>
      </c>
      <c r="G657" t="s">
        <v>2483</v>
      </c>
      <c r="H657" t="s">
        <v>3862</v>
      </c>
    </row>
    <row r="658" spans="2:8" x14ac:dyDescent="0.25">
      <c r="B658" t="s">
        <v>3393</v>
      </c>
      <c r="C658">
        <v>2020</v>
      </c>
      <c r="D658" t="s">
        <v>3457</v>
      </c>
      <c r="E658" t="s">
        <v>2484</v>
      </c>
      <c r="F658" t="s">
        <v>2485</v>
      </c>
      <c r="G658" t="s">
        <v>2486</v>
      </c>
      <c r="H658" t="s">
        <v>3438</v>
      </c>
    </row>
    <row r="659" spans="2:8" x14ac:dyDescent="0.25">
      <c r="B659" t="s">
        <v>3393</v>
      </c>
      <c r="C659">
        <v>2020</v>
      </c>
      <c r="D659" t="s">
        <v>3457</v>
      </c>
      <c r="E659" t="s">
        <v>2487</v>
      </c>
      <c r="F659" t="s">
        <v>2488</v>
      </c>
      <c r="G659" t="s">
        <v>2489</v>
      </c>
      <c r="H659" t="s">
        <v>3237</v>
      </c>
    </row>
    <row r="660" spans="2:8" x14ac:dyDescent="0.25">
      <c r="B660" t="s">
        <v>3393</v>
      </c>
      <c r="C660">
        <v>2020</v>
      </c>
      <c r="D660" t="s">
        <v>3457</v>
      </c>
      <c r="E660" t="s">
        <v>2487</v>
      </c>
      <c r="F660" t="s">
        <v>2488</v>
      </c>
      <c r="G660" t="s">
        <v>2490</v>
      </c>
      <c r="H660" t="s">
        <v>3863</v>
      </c>
    </row>
    <row r="661" spans="2:8" x14ac:dyDescent="0.25">
      <c r="B661" t="s">
        <v>3393</v>
      </c>
      <c r="C661">
        <v>2020</v>
      </c>
      <c r="D661" t="s">
        <v>3457</v>
      </c>
      <c r="E661" t="s">
        <v>2491</v>
      </c>
      <c r="F661" t="s">
        <v>2492</v>
      </c>
      <c r="G661" t="s">
        <v>2493</v>
      </c>
      <c r="H661" t="s">
        <v>2428</v>
      </c>
    </row>
    <row r="662" spans="2:8" x14ac:dyDescent="0.25">
      <c r="B662" t="s">
        <v>3393</v>
      </c>
      <c r="C662">
        <v>2020</v>
      </c>
      <c r="D662" t="s">
        <v>3457</v>
      </c>
      <c r="E662" t="s">
        <v>2491</v>
      </c>
      <c r="F662" t="s">
        <v>2492</v>
      </c>
      <c r="G662" t="s">
        <v>2494</v>
      </c>
      <c r="H662" t="s">
        <v>3864</v>
      </c>
    </row>
    <row r="663" spans="2:8" x14ac:dyDescent="0.25">
      <c r="B663" t="s">
        <v>3393</v>
      </c>
      <c r="C663">
        <v>2020</v>
      </c>
      <c r="D663" t="s">
        <v>3457</v>
      </c>
      <c r="E663" t="s">
        <v>2495</v>
      </c>
      <c r="F663" t="s">
        <v>2496</v>
      </c>
      <c r="G663" t="s">
        <v>1116</v>
      </c>
      <c r="H663" t="s">
        <v>3865</v>
      </c>
    </row>
    <row r="664" spans="2:8" x14ac:dyDescent="0.25">
      <c r="B664" t="s">
        <v>3393</v>
      </c>
      <c r="C664">
        <v>2020</v>
      </c>
      <c r="D664" t="s">
        <v>3457</v>
      </c>
      <c r="E664" t="s">
        <v>2497</v>
      </c>
      <c r="F664" t="s">
        <v>2498</v>
      </c>
      <c r="G664" t="s">
        <v>1176</v>
      </c>
      <c r="H664" t="s">
        <v>3866</v>
      </c>
    </row>
    <row r="665" spans="2:8" x14ac:dyDescent="0.25">
      <c r="B665" t="s">
        <v>3393</v>
      </c>
      <c r="C665">
        <v>2020</v>
      </c>
      <c r="D665" t="s">
        <v>3457</v>
      </c>
      <c r="E665" t="s">
        <v>2499</v>
      </c>
      <c r="F665" t="s">
        <v>2500</v>
      </c>
      <c r="G665" t="s">
        <v>2501</v>
      </c>
      <c r="H665" t="s">
        <v>3494</v>
      </c>
    </row>
    <row r="666" spans="2:8" x14ac:dyDescent="0.25">
      <c r="B666" t="s">
        <v>3393</v>
      </c>
      <c r="C666">
        <v>2020</v>
      </c>
      <c r="D666" t="s">
        <v>3457</v>
      </c>
      <c r="E666" t="s">
        <v>2502</v>
      </c>
      <c r="F666" t="s">
        <v>2503</v>
      </c>
      <c r="G666" t="s">
        <v>2504</v>
      </c>
      <c r="H666" t="s">
        <v>3867</v>
      </c>
    </row>
    <row r="667" spans="2:8" x14ac:dyDescent="0.25">
      <c r="B667" t="s">
        <v>3393</v>
      </c>
      <c r="C667">
        <v>2020</v>
      </c>
      <c r="D667" t="s">
        <v>3457</v>
      </c>
      <c r="E667" t="s">
        <v>2505</v>
      </c>
      <c r="F667" t="s">
        <v>2506</v>
      </c>
      <c r="G667" t="s">
        <v>2408</v>
      </c>
      <c r="H667" t="s">
        <v>3868</v>
      </c>
    </row>
    <row r="668" spans="2:8" x14ac:dyDescent="0.25">
      <c r="B668" t="s">
        <v>3393</v>
      </c>
      <c r="C668">
        <v>2020</v>
      </c>
      <c r="D668" t="s">
        <v>3457</v>
      </c>
      <c r="E668" t="s">
        <v>2505</v>
      </c>
      <c r="F668" t="s">
        <v>2506</v>
      </c>
      <c r="G668" t="s">
        <v>2409</v>
      </c>
      <c r="H668" t="s">
        <v>3869</v>
      </c>
    </row>
    <row r="669" spans="2:8" x14ac:dyDescent="0.25">
      <c r="B669" t="s">
        <v>3393</v>
      </c>
      <c r="C669">
        <v>2020</v>
      </c>
      <c r="D669" t="s">
        <v>3457</v>
      </c>
      <c r="E669" t="s">
        <v>2505</v>
      </c>
      <c r="F669" t="s">
        <v>2506</v>
      </c>
      <c r="G669" t="s">
        <v>2410</v>
      </c>
      <c r="H669" t="s">
        <v>3870</v>
      </c>
    </row>
    <row r="670" spans="2:8" x14ac:dyDescent="0.25">
      <c r="B670" t="s">
        <v>3393</v>
      </c>
      <c r="C670">
        <v>2020</v>
      </c>
      <c r="D670" t="s">
        <v>3457</v>
      </c>
      <c r="E670" t="s">
        <v>2507</v>
      </c>
      <c r="F670" t="s">
        <v>2407</v>
      </c>
      <c r="G670" t="s">
        <v>2408</v>
      </c>
      <c r="H670" t="s">
        <v>3791</v>
      </c>
    </row>
    <row r="671" spans="2:8" x14ac:dyDescent="0.25">
      <c r="B671" t="s">
        <v>3393</v>
      </c>
      <c r="C671">
        <v>2020</v>
      </c>
      <c r="D671" t="s">
        <v>3457</v>
      </c>
      <c r="E671" t="s">
        <v>2507</v>
      </c>
      <c r="F671" t="s">
        <v>2407</v>
      </c>
      <c r="G671" t="s">
        <v>2409</v>
      </c>
      <c r="H671" t="s">
        <v>3871</v>
      </c>
    </row>
    <row r="672" spans="2:8" x14ac:dyDescent="0.25">
      <c r="B672" t="s">
        <v>3393</v>
      </c>
      <c r="C672">
        <v>2020</v>
      </c>
      <c r="D672" t="s">
        <v>3457</v>
      </c>
      <c r="E672" t="s">
        <v>2507</v>
      </c>
      <c r="F672" t="s">
        <v>2407</v>
      </c>
      <c r="G672" t="s">
        <v>2410</v>
      </c>
      <c r="H672" t="s">
        <v>3793</v>
      </c>
    </row>
    <row r="673" spans="2:8" x14ac:dyDescent="0.25">
      <c r="B673" t="s">
        <v>3393</v>
      </c>
      <c r="C673">
        <v>2020</v>
      </c>
      <c r="D673" t="s">
        <v>3457</v>
      </c>
      <c r="E673" t="s">
        <v>2508</v>
      </c>
      <c r="F673" t="s">
        <v>2509</v>
      </c>
      <c r="G673" t="s">
        <v>2510</v>
      </c>
      <c r="H673" t="s">
        <v>3154</v>
      </c>
    </row>
    <row r="674" spans="2:8" x14ac:dyDescent="0.25">
      <c r="B674" t="s">
        <v>3393</v>
      </c>
      <c r="C674">
        <v>2020</v>
      </c>
      <c r="D674" t="s">
        <v>3457</v>
      </c>
      <c r="E674" t="s">
        <v>2508</v>
      </c>
      <c r="F674" t="s">
        <v>2509</v>
      </c>
      <c r="G674" t="s">
        <v>2512</v>
      </c>
      <c r="H674" t="s">
        <v>3155</v>
      </c>
    </row>
    <row r="675" spans="2:8" x14ac:dyDescent="0.25">
      <c r="B675" t="s">
        <v>3393</v>
      </c>
      <c r="C675">
        <v>2020</v>
      </c>
      <c r="D675" t="s">
        <v>3457</v>
      </c>
      <c r="E675" t="s">
        <v>2508</v>
      </c>
      <c r="F675" t="s">
        <v>2509</v>
      </c>
      <c r="G675" t="s">
        <v>2514</v>
      </c>
      <c r="H675" t="s">
        <v>3156</v>
      </c>
    </row>
    <row r="676" spans="2:8" x14ac:dyDescent="0.25">
      <c r="B676" t="s">
        <v>3393</v>
      </c>
      <c r="C676">
        <v>2020</v>
      </c>
      <c r="D676" t="s">
        <v>3457</v>
      </c>
      <c r="E676" t="s">
        <v>2516</v>
      </c>
      <c r="F676" t="s">
        <v>2517</v>
      </c>
      <c r="G676" t="s">
        <v>2518</v>
      </c>
      <c r="H676" t="s">
        <v>3872</v>
      </c>
    </row>
    <row r="677" spans="2:8" x14ac:dyDescent="0.25">
      <c r="B677" t="s">
        <v>3393</v>
      </c>
      <c r="C677">
        <v>2020</v>
      </c>
      <c r="D677" t="s">
        <v>3457</v>
      </c>
      <c r="E677" t="s">
        <v>2516</v>
      </c>
      <c r="F677" t="s">
        <v>2517</v>
      </c>
      <c r="G677" t="s">
        <v>2519</v>
      </c>
      <c r="H677" t="s">
        <v>3873</v>
      </c>
    </row>
    <row r="678" spans="2:8" x14ac:dyDescent="0.25">
      <c r="B678" t="s">
        <v>3393</v>
      </c>
      <c r="C678">
        <v>2020</v>
      </c>
      <c r="D678" t="s">
        <v>3457</v>
      </c>
      <c r="E678" t="s">
        <v>2520</v>
      </c>
      <c r="F678" t="s">
        <v>2521</v>
      </c>
      <c r="G678" t="s">
        <v>2518</v>
      </c>
      <c r="H678" t="s">
        <v>3874</v>
      </c>
    </row>
    <row r="679" spans="2:8" x14ac:dyDescent="0.25">
      <c r="B679" t="s">
        <v>3393</v>
      </c>
      <c r="C679">
        <v>2020</v>
      </c>
      <c r="D679" t="s">
        <v>3457</v>
      </c>
      <c r="E679" t="s">
        <v>2520</v>
      </c>
      <c r="F679" t="s">
        <v>2521</v>
      </c>
      <c r="G679" t="s">
        <v>2519</v>
      </c>
      <c r="H679" t="s">
        <v>3875</v>
      </c>
    </row>
    <row r="680" spans="2:8" x14ac:dyDescent="0.25">
      <c r="B680" t="s">
        <v>3393</v>
      </c>
      <c r="C680">
        <v>2020</v>
      </c>
      <c r="D680" t="s">
        <v>3457</v>
      </c>
      <c r="E680" t="s">
        <v>2522</v>
      </c>
      <c r="F680" t="s">
        <v>2523</v>
      </c>
      <c r="G680" t="s">
        <v>2524</v>
      </c>
      <c r="H680" t="s">
        <v>3876</v>
      </c>
    </row>
    <row r="681" spans="2:8" x14ac:dyDescent="0.25">
      <c r="B681" t="s">
        <v>3393</v>
      </c>
      <c r="C681">
        <v>2020</v>
      </c>
      <c r="D681" t="s">
        <v>3457</v>
      </c>
      <c r="E681" t="s">
        <v>2522</v>
      </c>
      <c r="F681" t="s">
        <v>2523</v>
      </c>
      <c r="G681" t="s">
        <v>2525</v>
      </c>
      <c r="H681" t="s">
        <v>2748</v>
      </c>
    </row>
    <row r="682" spans="2:8" x14ac:dyDescent="0.25">
      <c r="B682" t="s">
        <v>3393</v>
      </c>
      <c r="C682">
        <v>2020</v>
      </c>
      <c r="D682" t="s">
        <v>3457</v>
      </c>
      <c r="E682" t="s">
        <v>2522</v>
      </c>
      <c r="F682" t="s">
        <v>2523</v>
      </c>
      <c r="G682" t="s">
        <v>2527</v>
      </c>
      <c r="H682" t="s">
        <v>2526</v>
      </c>
    </row>
    <row r="683" spans="2:8" x14ac:dyDescent="0.25">
      <c r="B683" t="s">
        <v>3393</v>
      </c>
      <c r="C683">
        <v>2020</v>
      </c>
      <c r="D683" t="s">
        <v>3457</v>
      </c>
      <c r="E683" t="s">
        <v>2522</v>
      </c>
      <c r="F683" t="s">
        <v>2523</v>
      </c>
      <c r="G683" t="s">
        <v>182</v>
      </c>
      <c r="H683" t="s">
        <v>3502</v>
      </c>
    </row>
    <row r="684" spans="2:8" x14ac:dyDescent="0.25">
      <c r="B684" t="s">
        <v>3393</v>
      </c>
      <c r="C684">
        <v>2020</v>
      </c>
      <c r="D684" t="s">
        <v>3457</v>
      </c>
      <c r="E684" t="s">
        <v>2528</v>
      </c>
      <c r="F684" t="s">
        <v>2529</v>
      </c>
      <c r="G684" t="s">
        <v>2510</v>
      </c>
      <c r="H684" t="s">
        <v>3877</v>
      </c>
    </row>
    <row r="685" spans="2:8" x14ac:dyDescent="0.25">
      <c r="B685" t="s">
        <v>3393</v>
      </c>
      <c r="C685">
        <v>2020</v>
      </c>
      <c r="D685" t="s">
        <v>3457</v>
      </c>
      <c r="E685" t="s">
        <v>2528</v>
      </c>
      <c r="F685" t="s">
        <v>2529</v>
      </c>
      <c r="G685" t="s">
        <v>2512</v>
      </c>
      <c r="H685" t="s">
        <v>3878</v>
      </c>
    </row>
    <row r="686" spans="2:8" x14ac:dyDescent="0.25">
      <c r="B686" t="s">
        <v>3393</v>
      </c>
      <c r="C686">
        <v>2020</v>
      </c>
      <c r="D686" t="s">
        <v>3457</v>
      </c>
      <c r="E686" t="s">
        <v>2528</v>
      </c>
      <c r="F686" t="s">
        <v>2529</v>
      </c>
      <c r="G686" t="s">
        <v>2514</v>
      </c>
      <c r="H686" t="s">
        <v>3879</v>
      </c>
    </row>
    <row r="687" spans="2:8" x14ac:dyDescent="0.25">
      <c r="B687" t="s">
        <v>3393</v>
      </c>
      <c r="C687">
        <v>2020</v>
      </c>
      <c r="D687" t="s">
        <v>3457</v>
      </c>
      <c r="E687" t="s">
        <v>2530</v>
      </c>
      <c r="F687" t="s">
        <v>2531</v>
      </c>
      <c r="G687" t="s">
        <v>2408</v>
      </c>
      <c r="H687" t="s">
        <v>3880</v>
      </c>
    </row>
    <row r="688" spans="2:8" x14ac:dyDescent="0.25">
      <c r="B688" t="s">
        <v>3393</v>
      </c>
      <c r="C688">
        <v>2020</v>
      </c>
      <c r="D688" t="s">
        <v>3457</v>
      </c>
      <c r="E688" t="s">
        <v>2530</v>
      </c>
      <c r="F688" t="s">
        <v>2531</v>
      </c>
      <c r="G688" t="s">
        <v>2409</v>
      </c>
      <c r="H688" t="s">
        <v>2009</v>
      </c>
    </row>
    <row r="689" spans="2:8" x14ac:dyDescent="0.25">
      <c r="B689" t="s">
        <v>3393</v>
      </c>
      <c r="C689">
        <v>2020</v>
      </c>
      <c r="D689" t="s">
        <v>3457</v>
      </c>
      <c r="E689" t="s">
        <v>2530</v>
      </c>
      <c r="F689" t="s">
        <v>2531</v>
      </c>
      <c r="G689" t="s">
        <v>2410</v>
      </c>
      <c r="H689" t="s">
        <v>3881</v>
      </c>
    </row>
    <row r="690" spans="2:8" x14ac:dyDescent="0.25">
      <c r="B690" t="s">
        <v>3393</v>
      </c>
      <c r="C690">
        <v>2020</v>
      </c>
      <c r="D690" t="s">
        <v>3457</v>
      </c>
      <c r="E690" t="s">
        <v>2532</v>
      </c>
      <c r="F690" t="s">
        <v>2533</v>
      </c>
      <c r="G690" t="s">
        <v>2408</v>
      </c>
      <c r="H690" t="s">
        <v>3882</v>
      </c>
    </row>
    <row r="691" spans="2:8" x14ac:dyDescent="0.25">
      <c r="B691" t="s">
        <v>3393</v>
      </c>
      <c r="C691">
        <v>2020</v>
      </c>
      <c r="D691" t="s">
        <v>3457</v>
      </c>
      <c r="E691" t="s">
        <v>2532</v>
      </c>
      <c r="F691" t="s">
        <v>2533</v>
      </c>
      <c r="G691" t="s">
        <v>2409</v>
      </c>
      <c r="H691" t="s">
        <v>2035</v>
      </c>
    </row>
    <row r="692" spans="2:8" x14ac:dyDescent="0.25">
      <c r="B692" t="s">
        <v>3393</v>
      </c>
      <c r="C692">
        <v>2020</v>
      </c>
      <c r="D692" t="s">
        <v>3457</v>
      </c>
      <c r="E692" t="s">
        <v>2532</v>
      </c>
      <c r="F692" t="s">
        <v>2533</v>
      </c>
      <c r="G692" t="s">
        <v>2410</v>
      </c>
      <c r="H692" t="s">
        <v>3883</v>
      </c>
    </row>
    <row r="693" spans="2:8" x14ac:dyDescent="0.25">
      <c r="B693" t="s">
        <v>3393</v>
      </c>
      <c r="C693">
        <v>2020</v>
      </c>
      <c r="D693" t="s">
        <v>3457</v>
      </c>
      <c r="E693" t="s">
        <v>2534</v>
      </c>
      <c r="F693" t="s">
        <v>2535</v>
      </c>
      <c r="G693" t="s">
        <v>626</v>
      </c>
      <c r="H693" t="s">
        <v>1993</v>
      </c>
    </row>
    <row r="694" spans="2:8" x14ac:dyDescent="0.25">
      <c r="B694" t="s">
        <v>3393</v>
      </c>
      <c r="C694">
        <v>2020</v>
      </c>
      <c r="D694" t="s">
        <v>3457</v>
      </c>
      <c r="E694" t="s">
        <v>2534</v>
      </c>
      <c r="F694" t="s">
        <v>2535</v>
      </c>
      <c r="G694" t="s">
        <v>628</v>
      </c>
      <c r="H694" t="s">
        <v>3326</v>
      </c>
    </row>
    <row r="695" spans="2:8" x14ac:dyDescent="0.25">
      <c r="B695" t="s">
        <v>3393</v>
      </c>
      <c r="C695">
        <v>2020</v>
      </c>
      <c r="D695" t="s">
        <v>3457</v>
      </c>
      <c r="E695" t="s">
        <v>2534</v>
      </c>
      <c r="F695" t="s">
        <v>2535</v>
      </c>
      <c r="G695" t="s">
        <v>627</v>
      </c>
      <c r="H695" t="s">
        <v>3884</v>
      </c>
    </row>
    <row r="696" spans="2:8" x14ac:dyDescent="0.25">
      <c r="B696" t="s">
        <v>3393</v>
      </c>
      <c r="C696">
        <v>2020</v>
      </c>
      <c r="D696" t="s">
        <v>3457</v>
      </c>
      <c r="E696" t="s">
        <v>2534</v>
      </c>
      <c r="F696" t="s">
        <v>2535</v>
      </c>
      <c r="G696" t="s">
        <v>2536</v>
      </c>
      <c r="H696" t="s">
        <v>3885</v>
      </c>
    </row>
    <row r="697" spans="2:8" x14ac:dyDescent="0.25">
      <c r="B697" t="s">
        <v>3393</v>
      </c>
      <c r="C697">
        <v>2020</v>
      </c>
      <c r="D697" t="s">
        <v>3457</v>
      </c>
      <c r="E697" t="s">
        <v>2534</v>
      </c>
      <c r="F697" t="s">
        <v>2535</v>
      </c>
      <c r="G697" t="s">
        <v>2537</v>
      </c>
      <c r="H697" t="s">
        <v>2538</v>
      </c>
    </row>
    <row r="698" spans="2:8" x14ac:dyDescent="0.25">
      <c r="B698" t="s">
        <v>3393</v>
      </c>
      <c r="C698">
        <v>2020</v>
      </c>
      <c r="D698" t="s">
        <v>3457</v>
      </c>
      <c r="E698" t="s">
        <v>2534</v>
      </c>
      <c r="F698" t="s">
        <v>2535</v>
      </c>
      <c r="G698" t="s">
        <v>2539</v>
      </c>
      <c r="H698" t="s">
        <v>3295</v>
      </c>
    </row>
    <row r="699" spans="2:8" x14ac:dyDescent="0.25">
      <c r="B699" t="s">
        <v>3393</v>
      </c>
      <c r="C699">
        <v>2020</v>
      </c>
      <c r="D699" t="s">
        <v>3457</v>
      </c>
      <c r="E699" t="s">
        <v>2534</v>
      </c>
      <c r="F699" t="s">
        <v>2535</v>
      </c>
      <c r="G699" t="s">
        <v>629</v>
      </c>
      <c r="H699" t="s">
        <v>3886</v>
      </c>
    </row>
    <row r="700" spans="2:8" x14ac:dyDescent="0.25">
      <c r="B700" t="s">
        <v>3393</v>
      </c>
      <c r="C700">
        <v>2020</v>
      </c>
      <c r="D700" t="s">
        <v>3457</v>
      </c>
      <c r="E700" t="s">
        <v>2534</v>
      </c>
      <c r="F700" t="s">
        <v>2535</v>
      </c>
      <c r="G700" t="s">
        <v>2540</v>
      </c>
      <c r="H700" t="s">
        <v>3303</v>
      </c>
    </row>
    <row r="701" spans="2:8" x14ac:dyDescent="0.25">
      <c r="B701" t="s">
        <v>3393</v>
      </c>
      <c r="C701">
        <v>2020</v>
      </c>
      <c r="D701" t="s">
        <v>3457</v>
      </c>
      <c r="E701" t="s">
        <v>2534</v>
      </c>
      <c r="F701" t="s">
        <v>2535</v>
      </c>
      <c r="G701" t="s">
        <v>2541</v>
      </c>
      <c r="H701" t="s">
        <v>3887</v>
      </c>
    </row>
    <row r="702" spans="2:8" x14ac:dyDescent="0.25">
      <c r="B702" t="s">
        <v>3393</v>
      </c>
      <c r="C702">
        <v>2020</v>
      </c>
      <c r="D702" t="s">
        <v>3457</v>
      </c>
      <c r="E702" t="s">
        <v>2534</v>
      </c>
      <c r="F702" t="s">
        <v>2535</v>
      </c>
      <c r="G702" t="s">
        <v>2542</v>
      </c>
      <c r="H702" t="s">
        <v>3888</v>
      </c>
    </row>
    <row r="703" spans="2:8" x14ac:dyDescent="0.25">
      <c r="B703" t="s">
        <v>3393</v>
      </c>
      <c r="C703">
        <v>2020</v>
      </c>
      <c r="D703" t="s">
        <v>3457</v>
      </c>
      <c r="E703" t="s">
        <v>2543</v>
      </c>
      <c r="F703" t="s">
        <v>2544</v>
      </c>
      <c r="G703" t="s">
        <v>2545</v>
      </c>
      <c r="H703" t="s">
        <v>2069</v>
      </c>
    </row>
    <row r="704" spans="2:8" x14ac:dyDescent="0.25">
      <c r="B704" t="s">
        <v>3393</v>
      </c>
      <c r="C704">
        <v>2020</v>
      </c>
      <c r="D704" t="s">
        <v>3457</v>
      </c>
      <c r="E704" t="s">
        <v>2543</v>
      </c>
      <c r="F704" t="s">
        <v>2544</v>
      </c>
      <c r="G704" t="s">
        <v>714</v>
      </c>
      <c r="H704" t="s">
        <v>3889</v>
      </c>
    </row>
    <row r="705" spans="2:8" x14ac:dyDescent="0.25">
      <c r="B705" t="s">
        <v>3393</v>
      </c>
      <c r="C705">
        <v>2020</v>
      </c>
      <c r="D705" t="s">
        <v>3457</v>
      </c>
      <c r="E705" t="s">
        <v>2546</v>
      </c>
      <c r="F705" t="s">
        <v>2547</v>
      </c>
      <c r="G705" t="s">
        <v>2548</v>
      </c>
      <c r="H705" t="s">
        <v>3890</v>
      </c>
    </row>
    <row r="706" spans="2:8" x14ac:dyDescent="0.25">
      <c r="B706" t="s">
        <v>3393</v>
      </c>
      <c r="C706">
        <v>2020</v>
      </c>
      <c r="D706" t="s">
        <v>3457</v>
      </c>
      <c r="E706" t="s">
        <v>2546</v>
      </c>
      <c r="F706" t="s">
        <v>2547</v>
      </c>
      <c r="G706" t="s">
        <v>2549</v>
      </c>
      <c r="H706" t="s">
        <v>3891</v>
      </c>
    </row>
    <row r="707" spans="2:8" x14ac:dyDescent="0.25">
      <c r="B707" t="s">
        <v>3393</v>
      </c>
      <c r="C707">
        <v>2020</v>
      </c>
      <c r="D707" t="s">
        <v>3457</v>
      </c>
      <c r="E707" t="s">
        <v>2546</v>
      </c>
      <c r="F707" t="s">
        <v>2547</v>
      </c>
      <c r="G707" t="s">
        <v>3124</v>
      </c>
      <c r="H707" t="s">
        <v>3892</v>
      </c>
    </row>
    <row r="708" spans="2:8" x14ac:dyDescent="0.25">
      <c r="B708" t="s">
        <v>3393</v>
      </c>
      <c r="C708">
        <v>2020</v>
      </c>
      <c r="D708" t="s">
        <v>3457</v>
      </c>
      <c r="E708" t="s">
        <v>2550</v>
      </c>
      <c r="F708" t="s">
        <v>2551</v>
      </c>
      <c r="G708" t="s">
        <v>858</v>
      </c>
      <c r="H708" t="s">
        <v>3893</v>
      </c>
    </row>
    <row r="709" spans="2:8" x14ac:dyDescent="0.25">
      <c r="B709" t="s">
        <v>3393</v>
      </c>
      <c r="C709">
        <v>2020</v>
      </c>
      <c r="D709" t="s">
        <v>3457</v>
      </c>
      <c r="E709" t="s">
        <v>2550</v>
      </c>
      <c r="F709" t="s">
        <v>2551</v>
      </c>
      <c r="G709" t="s">
        <v>859</v>
      </c>
      <c r="H709" t="s">
        <v>3894</v>
      </c>
    </row>
    <row r="710" spans="2:8" x14ac:dyDescent="0.25">
      <c r="B710" t="s">
        <v>3393</v>
      </c>
      <c r="C710">
        <v>2020</v>
      </c>
      <c r="D710" t="s">
        <v>3457</v>
      </c>
      <c r="E710" t="s">
        <v>2550</v>
      </c>
      <c r="F710" t="s">
        <v>2551</v>
      </c>
      <c r="G710" t="s">
        <v>857</v>
      </c>
      <c r="H710" t="s">
        <v>3753</v>
      </c>
    </row>
    <row r="711" spans="2:8" x14ac:dyDescent="0.25">
      <c r="B711" t="s">
        <v>3393</v>
      </c>
      <c r="C711">
        <v>2020</v>
      </c>
      <c r="D711" t="s">
        <v>3457</v>
      </c>
      <c r="E711" t="s">
        <v>2550</v>
      </c>
      <c r="F711" t="s">
        <v>2551</v>
      </c>
      <c r="G711" t="s">
        <v>862</v>
      </c>
      <c r="H711" t="s">
        <v>3895</v>
      </c>
    </row>
    <row r="712" spans="2:8" x14ac:dyDescent="0.25">
      <c r="B712" t="s">
        <v>3393</v>
      </c>
      <c r="C712">
        <v>2020</v>
      </c>
      <c r="D712" t="s">
        <v>3457</v>
      </c>
      <c r="E712" t="s">
        <v>2550</v>
      </c>
      <c r="F712" t="s">
        <v>2551</v>
      </c>
      <c r="G712" t="s">
        <v>872</v>
      </c>
      <c r="H712" t="s">
        <v>2029</v>
      </c>
    </row>
    <row r="713" spans="2:8" x14ac:dyDescent="0.25">
      <c r="B713" t="s">
        <v>3393</v>
      </c>
      <c r="C713">
        <v>2020</v>
      </c>
      <c r="D713" t="s">
        <v>3457</v>
      </c>
      <c r="E713" t="s">
        <v>2550</v>
      </c>
      <c r="F713" t="s">
        <v>2551</v>
      </c>
      <c r="G713" t="s">
        <v>864</v>
      </c>
      <c r="H713" t="s">
        <v>3896</v>
      </c>
    </row>
    <row r="714" spans="2:8" x14ac:dyDescent="0.25">
      <c r="B714" t="s">
        <v>3393</v>
      </c>
      <c r="C714">
        <v>2020</v>
      </c>
      <c r="D714" t="s">
        <v>3457</v>
      </c>
      <c r="E714" t="s">
        <v>2550</v>
      </c>
      <c r="F714" t="s">
        <v>2551</v>
      </c>
      <c r="G714" t="s">
        <v>866</v>
      </c>
      <c r="H714" t="s">
        <v>3748</v>
      </c>
    </row>
    <row r="715" spans="2:8" x14ac:dyDescent="0.25">
      <c r="B715" t="s">
        <v>3393</v>
      </c>
      <c r="C715">
        <v>2020</v>
      </c>
      <c r="D715" t="s">
        <v>3457</v>
      </c>
      <c r="E715" t="s">
        <v>2550</v>
      </c>
      <c r="F715" t="s">
        <v>2551</v>
      </c>
      <c r="G715" t="s">
        <v>860</v>
      </c>
      <c r="H715" t="s">
        <v>3897</v>
      </c>
    </row>
    <row r="716" spans="2:8" x14ac:dyDescent="0.25">
      <c r="B716" t="s">
        <v>3393</v>
      </c>
      <c r="C716">
        <v>2020</v>
      </c>
      <c r="D716" t="s">
        <v>3457</v>
      </c>
      <c r="E716" t="s">
        <v>2550</v>
      </c>
      <c r="F716" t="s">
        <v>2551</v>
      </c>
      <c r="G716" t="s">
        <v>850</v>
      </c>
      <c r="H716" t="s">
        <v>3898</v>
      </c>
    </row>
    <row r="717" spans="2:8" x14ac:dyDescent="0.25">
      <c r="B717" t="s">
        <v>3393</v>
      </c>
      <c r="C717">
        <v>2020</v>
      </c>
      <c r="D717" t="s">
        <v>3457</v>
      </c>
      <c r="E717" t="s">
        <v>2550</v>
      </c>
      <c r="F717" t="s">
        <v>2551</v>
      </c>
      <c r="G717" t="s">
        <v>849</v>
      </c>
      <c r="H717" t="s">
        <v>3899</v>
      </c>
    </row>
    <row r="718" spans="2:8" x14ac:dyDescent="0.25">
      <c r="B718" t="s">
        <v>3393</v>
      </c>
      <c r="C718">
        <v>2020</v>
      </c>
      <c r="D718" t="s">
        <v>3457</v>
      </c>
      <c r="E718" t="s">
        <v>2550</v>
      </c>
      <c r="F718" t="s">
        <v>2551</v>
      </c>
      <c r="G718" t="s">
        <v>852</v>
      </c>
      <c r="H718" t="s">
        <v>3900</v>
      </c>
    </row>
    <row r="719" spans="2:8" x14ac:dyDescent="0.25">
      <c r="B719" t="s">
        <v>3393</v>
      </c>
      <c r="C719">
        <v>2020</v>
      </c>
      <c r="D719" t="s">
        <v>3457</v>
      </c>
      <c r="E719" t="s">
        <v>2550</v>
      </c>
      <c r="F719" t="s">
        <v>2551</v>
      </c>
      <c r="G719" t="s">
        <v>851</v>
      </c>
      <c r="H719" t="s">
        <v>3392</v>
      </c>
    </row>
    <row r="720" spans="2:8" x14ac:dyDescent="0.25">
      <c r="B720" t="s">
        <v>3393</v>
      </c>
      <c r="C720">
        <v>2020</v>
      </c>
      <c r="D720" t="s">
        <v>3457</v>
      </c>
      <c r="E720" t="s">
        <v>2550</v>
      </c>
      <c r="F720" t="s">
        <v>2551</v>
      </c>
      <c r="G720" t="s">
        <v>855</v>
      </c>
      <c r="H720" t="s">
        <v>3784</v>
      </c>
    </row>
    <row r="721" spans="2:8" x14ac:dyDescent="0.25">
      <c r="B721" t="s">
        <v>3393</v>
      </c>
      <c r="C721">
        <v>2020</v>
      </c>
      <c r="D721" t="s">
        <v>3457</v>
      </c>
      <c r="E721" t="s">
        <v>2550</v>
      </c>
      <c r="F721" t="s">
        <v>2551</v>
      </c>
      <c r="G721" t="s">
        <v>856</v>
      </c>
      <c r="H721" t="s">
        <v>2117</v>
      </c>
    </row>
    <row r="722" spans="2:8" x14ac:dyDescent="0.25">
      <c r="B722" t="s">
        <v>3393</v>
      </c>
      <c r="C722">
        <v>2020</v>
      </c>
      <c r="D722" t="s">
        <v>3457</v>
      </c>
      <c r="E722" t="s">
        <v>2550</v>
      </c>
      <c r="F722" t="s">
        <v>2551</v>
      </c>
      <c r="G722" t="s">
        <v>865</v>
      </c>
      <c r="H722" t="s">
        <v>3901</v>
      </c>
    </row>
    <row r="723" spans="2:8" x14ac:dyDescent="0.25">
      <c r="B723" t="s">
        <v>3393</v>
      </c>
      <c r="C723">
        <v>2020</v>
      </c>
      <c r="D723" t="s">
        <v>3457</v>
      </c>
      <c r="E723" t="s">
        <v>2550</v>
      </c>
      <c r="F723" t="s">
        <v>2551</v>
      </c>
      <c r="G723" t="s">
        <v>861</v>
      </c>
      <c r="H723" t="s">
        <v>2067</v>
      </c>
    </row>
    <row r="724" spans="2:8" x14ac:dyDescent="0.25">
      <c r="B724" t="s">
        <v>3393</v>
      </c>
      <c r="C724">
        <v>2020</v>
      </c>
      <c r="D724" t="s">
        <v>3457</v>
      </c>
      <c r="E724" t="s">
        <v>2550</v>
      </c>
      <c r="F724" t="s">
        <v>2551</v>
      </c>
      <c r="G724" t="s">
        <v>871</v>
      </c>
      <c r="H724" t="s">
        <v>3902</v>
      </c>
    </row>
    <row r="725" spans="2:8" x14ac:dyDescent="0.25">
      <c r="B725" t="s">
        <v>3393</v>
      </c>
      <c r="C725">
        <v>2020</v>
      </c>
      <c r="D725" t="s">
        <v>3457</v>
      </c>
      <c r="E725" t="s">
        <v>2550</v>
      </c>
      <c r="F725" t="s">
        <v>2551</v>
      </c>
      <c r="G725" t="s">
        <v>848</v>
      </c>
      <c r="H725" t="s">
        <v>3903</v>
      </c>
    </row>
    <row r="726" spans="2:8" x14ac:dyDescent="0.25">
      <c r="B726" t="s">
        <v>3393</v>
      </c>
      <c r="C726">
        <v>2020</v>
      </c>
      <c r="D726" t="s">
        <v>3457</v>
      </c>
      <c r="E726" t="s">
        <v>2550</v>
      </c>
      <c r="F726" t="s">
        <v>2551</v>
      </c>
      <c r="G726" t="s">
        <v>853</v>
      </c>
      <c r="H726" t="s">
        <v>3904</v>
      </c>
    </row>
    <row r="727" spans="2:8" x14ac:dyDescent="0.25">
      <c r="B727" t="s">
        <v>3393</v>
      </c>
      <c r="C727">
        <v>2020</v>
      </c>
      <c r="D727" t="s">
        <v>3457</v>
      </c>
      <c r="E727" t="s">
        <v>2550</v>
      </c>
      <c r="F727" t="s">
        <v>2551</v>
      </c>
      <c r="G727" t="s">
        <v>854</v>
      </c>
      <c r="H727" t="s">
        <v>3905</v>
      </c>
    </row>
    <row r="728" spans="2:8" x14ac:dyDescent="0.25">
      <c r="B728" t="s">
        <v>3393</v>
      </c>
      <c r="C728">
        <v>2020</v>
      </c>
      <c r="D728" t="s">
        <v>3457</v>
      </c>
      <c r="E728" t="s">
        <v>2550</v>
      </c>
      <c r="F728" t="s">
        <v>2551</v>
      </c>
      <c r="G728" t="s">
        <v>863</v>
      </c>
      <c r="H728" t="s">
        <v>3277</v>
      </c>
    </row>
    <row r="729" spans="2:8" x14ac:dyDescent="0.25">
      <c r="B729" t="s">
        <v>3393</v>
      </c>
      <c r="C729">
        <v>2020</v>
      </c>
      <c r="D729" t="s">
        <v>3457</v>
      </c>
      <c r="E729" t="s">
        <v>2550</v>
      </c>
      <c r="F729" t="s">
        <v>2551</v>
      </c>
      <c r="G729" t="s">
        <v>868</v>
      </c>
      <c r="H729" t="s">
        <v>2021</v>
      </c>
    </row>
    <row r="730" spans="2:8" x14ac:dyDescent="0.25">
      <c r="B730" t="s">
        <v>3393</v>
      </c>
      <c r="C730">
        <v>2020</v>
      </c>
      <c r="D730" t="s">
        <v>3457</v>
      </c>
      <c r="E730" t="s">
        <v>2550</v>
      </c>
      <c r="F730" t="s">
        <v>2551</v>
      </c>
      <c r="G730" t="s">
        <v>869</v>
      </c>
      <c r="H730" t="s">
        <v>1993</v>
      </c>
    </row>
    <row r="731" spans="2:8" x14ac:dyDescent="0.25">
      <c r="B731" t="s">
        <v>3393</v>
      </c>
      <c r="C731">
        <v>2020</v>
      </c>
      <c r="D731" t="s">
        <v>3457</v>
      </c>
      <c r="E731" t="s">
        <v>2550</v>
      </c>
      <c r="F731" t="s">
        <v>2551</v>
      </c>
      <c r="G731" t="s">
        <v>870</v>
      </c>
      <c r="H731" t="s">
        <v>3906</v>
      </c>
    </row>
    <row r="732" spans="2:8" x14ac:dyDescent="0.25">
      <c r="B732" t="s">
        <v>3393</v>
      </c>
      <c r="C732">
        <v>2020</v>
      </c>
      <c r="D732" t="s">
        <v>3457</v>
      </c>
      <c r="E732" t="s">
        <v>2553</v>
      </c>
      <c r="F732" t="s">
        <v>2554</v>
      </c>
      <c r="G732" t="s">
        <v>1150</v>
      </c>
      <c r="H732" t="s">
        <v>3907</v>
      </c>
    </row>
    <row r="733" spans="2:8" x14ac:dyDescent="0.25">
      <c r="B733" t="s">
        <v>3393</v>
      </c>
      <c r="C733">
        <v>2020</v>
      </c>
      <c r="D733" t="s">
        <v>3457</v>
      </c>
      <c r="E733" t="s">
        <v>2553</v>
      </c>
      <c r="F733" t="s">
        <v>2554</v>
      </c>
      <c r="G733" t="s">
        <v>1148</v>
      </c>
      <c r="H733" t="s">
        <v>3133</v>
      </c>
    </row>
    <row r="734" spans="2:8" x14ac:dyDescent="0.25">
      <c r="B734" t="s">
        <v>3393</v>
      </c>
      <c r="C734">
        <v>2020</v>
      </c>
      <c r="D734" t="s">
        <v>3457</v>
      </c>
      <c r="E734" t="s">
        <v>2553</v>
      </c>
      <c r="F734" t="s">
        <v>2554</v>
      </c>
      <c r="G734" t="s">
        <v>1149</v>
      </c>
      <c r="H734" t="s">
        <v>2574</v>
      </c>
    </row>
    <row r="735" spans="2:8" x14ac:dyDescent="0.25">
      <c r="B735" t="s">
        <v>3393</v>
      </c>
      <c r="C735">
        <v>2020</v>
      </c>
      <c r="D735" t="s">
        <v>3457</v>
      </c>
      <c r="E735" t="s">
        <v>2555</v>
      </c>
      <c r="F735" t="s">
        <v>2556</v>
      </c>
      <c r="G735" t="s">
        <v>2557</v>
      </c>
      <c r="H735" t="s">
        <v>3908</v>
      </c>
    </row>
    <row r="736" spans="2:8" x14ac:dyDescent="0.25">
      <c r="B736" t="s">
        <v>3393</v>
      </c>
      <c r="C736">
        <v>2020</v>
      </c>
      <c r="D736" t="s">
        <v>3457</v>
      </c>
      <c r="E736" t="s">
        <v>2555</v>
      </c>
      <c r="F736" t="s">
        <v>2556</v>
      </c>
      <c r="G736" t="s">
        <v>2558</v>
      </c>
      <c r="H736" t="s">
        <v>3909</v>
      </c>
    </row>
    <row r="737" spans="2:8" x14ac:dyDescent="0.25">
      <c r="B737" t="s">
        <v>3393</v>
      </c>
      <c r="C737">
        <v>2020</v>
      </c>
      <c r="D737" t="s">
        <v>3457</v>
      </c>
      <c r="E737" t="s">
        <v>2555</v>
      </c>
      <c r="F737" t="s">
        <v>2556</v>
      </c>
      <c r="G737" t="s">
        <v>2559</v>
      </c>
      <c r="H737" t="s">
        <v>3910</v>
      </c>
    </row>
    <row r="738" spans="2:8" x14ac:dyDescent="0.25">
      <c r="B738" t="s">
        <v>3393</v>
      </c>
      <c r="C738">
        <v>2020</v>
      </c>
      <c r="D738" t="s">
        <v>3457</v>
      </c>
      <c r="E738" t="s">
        <v>2560</v>
      </c>
      <c r="F738" t="s">
        <v>2561</v>
      </c>
      <c r="G738" t="s">
        <v>2992</v>
      </c>
      <c r="H738" t="s">
        <v>3136</v>
      </c>
    </row>
    <row r="739" spans="2:8" x14ac:dyDescent="0.25">
      <c r="B739" t="s">
        <v>3393</v>
      </c>
      <c r="C739">
        <v>2020</v>
      </c>
      <c r="D739" t="s">
        <v>3457</v>
      </c>
      <c r="E739" t="s">
        <v>2560</v>
      </c>
      <c r="F739" t="s">
        <v>2561</v>
      </c>
      <c r="G739" t="s">
        <v>2563</v>
      </c>
      <c r="H739" t="s">
        <v>3764</v>
      </c>
    </row>
    <row r="740" spans="2:8" x14ac:dyDescent="0.25">
      <c r="B740" t="s">
        <v>3393</v>
      </c>
      <c r="C740">
        <v>2020</v>
      </c>
      <c r="D740" t="s">
        <v>3457</v>
      </c>
      <c r="E740" t="s">
        <v>2560</v>
      </c>
      <c r="F740" t="s">
        <v>2561</v>
      </c>
      <c r="G740" t="s">
        <v>2565</v>
      </c>
      <c r="H740" t="s">
        <v>3911</v>
      </c>
    </row>
    <row r="741" spans="2:8" x14ac:dyDescent="0.25">
      <c r="B741" t="s">
        <v>3393</v>
      </c>
      <c r="C741">
        <v>2020</v>
      </c>
      <c r="D741" t="s">
        <v>3457</v>
      </c>
      <c r="E741" t="s">
        <v>2560</v>
      </c>
      <c r="F741" t="s">
        <v>2561</v>
      </c>
      <c r="G741" t="s">
        <v>2566</v>
      </c>
      <c r="H741" t="s">
        <v>3157</v>
      </c>
    </row>
    <row r="742" spans="2:8" x14ac:dyDescent="0.25">
      <c r="B742" t="s">
        <v>3393</v>
      </c>
      <c r="C742">
        <v>2020</v>
      </c>
      <c r="D742" t="s">
        <v>3457</v>
      </c>
      <c r="E742" t="s">
        <v>2560</v>
      </c>
      <c r="F742" t="s">
        <v>2561</v>
      </c>
      <c r="G742" t="s">
        <v>2568</v>
      </c>
      <c r="H742" t="s">
        <v>3764</v>
      </c>
    </row>
    <row r="743" spans="2:8" x14ac:dyDescent="0.25">
      <c r="B743" t="s">
        <v>3393</v>
      </c>
      <c r="C743">
        <v>2020</v>
      </c>
      <c r="D743" t="s">
        <v>3457</v>
      </c>
      <c r="E743" t="s">
        <v>2560</v>
      </c>
      <c r="F743" t="s">
        <v>2561</v>
      </c>
      <c r="G743" t="s">
        <v>2569</v>
      </c>
      <c r="H743" t="s">
        <v>3158</v>
      </c>
    </row>
    <row r="744" spans="2:8" x14ac:dyDescent="0.25">
      <c r="B744" t="s">
        <v>3393</v>
      </c>
      <c r="C744">
        <v>2020</v>
      </c>
      <c r="D744" t="s">
        <v>3457</v>
      </c>
      <c r="E744" t="s">
        <v>2571</v>
      </c>
      <c r="F744" t="s">
        <v>2572</v>
      </c>
      <c r="G744" t="s">
        <v>2562</v>
      </c>
      <c r="H744" t="s">
        <v>3764</v>
      </c>
    </row>
    <row r="745" spans="2:8" x14ac:dyDescent="0.25">
      <c r="B745" t="s">
        <v>3393</v>
      </c>
      <c r="C745">
        <v>2020</v>
      </c>
      <c r="D745" t="s">
        <v>3457</v>
      </c>
      <c r="E745" t="s">
        <v>2571</v>
      </c>
      <c r="F745" t="s">
        <v>2572</v>
      </c>
      <c r="G745" t="s">
        <v>2563</v>
      </c>
      <c r="H745" t="s">
        <v>3764</v>
      </c>
    </row>
    <row r="746" spans="2:8" x14ac:dyDescent="0.25">
      <c r="B746" t="s">
        <v>3393</v>
      </c>
      <c r="C746">
        <v>2020</v>
      </c>
      <c r="D746" t="s">
        <v>3457</v>
      </c>
      <c r="E746" t="s">
        <v>2571</v>
      </c>
      <c r="F746" t="s">
        <v>2572</v>
      </c>
      <c r="G746" t="s">
        <v>2565</v>
      </c>
      <c r="H746" t="s">
        <v>3911</v>
      </c>
    </row>
    <row r="747" spans="2:8" x14ac:dyDescent="0.25">
      <c r="B747" t="s">
        <v>3393</v>
      </c>
      <c r="C747">
        <v>2020</v>
      </c>
      <c r="D747" t="s">
        <v>3457</v>
      </c>
      <c r="E747" t="s">
        <v>2571</v>
      </c>
      <c r="F747" t="s">
        <v>2572</v>
      </c>
      <c r="G747" t="s">
        <v>2566</v>
      </c>
      <c r="H747" t="s">
        <v>3764</v>
      </c>
    </row>
    <row r="748" spans="2:8" x14ac:dyDescent="0.25">
      <c r="B748" t="s">
        <v>3393</v>
      </c>
      <c r="C748">
        <v>2020</v>
      </c>
      <c r="D748" t="s">
        <v>3457</v>
      </c>
      <c r="E748" t="s">
        <v>2571</v>
      </c>
      <c r="F748" t="s">
        <v>2572</v>
      </c>
      <c r="G748" t="s">
        <v>2568</v>
      </c>
      <c r="H748" t="s">
        <v>3133</v>
      </c>
    </row>
    <row r="749" spans="2:8" x14ac:dyDescent="0.25">
      <c r="B749" t="s">
        <v>3393</v>
      </c>
      <c r="C749">
        <v>2020</v>
      </c>
      <c r="D749" t="s">
        <v>3457</v>
      </c>
      <c r="E749" t="s">
        <v>2571</v>
      </c>
      <c r="F749" t="s">
        <v>2572</v>
      </c>
      <c r="G749" t="s">
        <v>3550</v>
      </c>
      <c r="H749" t="s">
        <v>3764</v>
      </c>
    </row>
    <row r="750" spans="2:8" x14ac:dyDescent="0.25">
      <c r="B750" t="s">
        <v>3393</v>
      </c>
      <c r="C750">
        <v>2020</v>
      </c>
      <c r="D750" t="s">
        <v>3457</v>
      </c>
      <c r="E750" t="s">
        <v>2571</v>
      </c>
      <c r="F750" t="s">
        <v>2572</v>
      </c>
      <c r="G750" t="s">
        <v>2569</v>
      </c>
      <c r="H750" t="s">
        <v>3133</v>
      </c>
    </row>
    <row r="751" spans="2:8" x14ac:dyDescent="0.25">
      <c r="B751" t="s">
        <v>3393</v>
      </c>
      <c r="C751">
        <v>2020</v>
      </c>
      <c r="D751" t="s">
        <v>3457</v>
      </c>
      <c r="E751" t="s">
        <v>2576</v>
      </c>
      <c r="F751" t="s">
        <v>2577</v>
      </c>
      <c r="G751" t="s">
        <v>2578</v>
      </c>
      <c r="H751" t="s">
        <v>3912</v>
      </c>
    </row>
    <row r="752" spans="2:8" x14ac:dyDescent="0.25">
      <c r="B752" t="s">
        <v>3393</v>
      </c>
      <c r="C752">
        <v>2020</v>
      </c>
      <c r="D752" t="s">
        <v>3457</v>
      </c>
      <c r="E752" t="s">
        <v>2576</v>
      </c>
      <c r="F752" t="s">
        <v>2577</v>
      </c>
      <c r="G752" t="s">
        <v>2579</v>
      </c>
      <c r="H752" t="s">
        <v>3764</v>
      </c>
    </row>
    <row r="753" spans="2:8" x14ac:dyDescent="0.25">
      <c r="B753" t="s">
        <v>3393</v>
      </c>
      <c r="C753">
        <v>2020</v>
      </c>
      <c r="D753" t="s">
        <v>3457</v>
      </c>
      <c r="E753" t="s">
        <v>2576</v>
      </c>
      <c r="F753" t="s">
        <v>2577</v>
      </c>
      <c r="G753" t="s">
        <v>2581</v>
      </c>
      <c r="H753" t="s">
        <v>3913</v>
      </c>
    </row>
    <row r="754" spans="2:8" x14ac:dyDescent="0.25">
      <c r="B754" t="s">
        <v>3393</v>
      </c>
      <c r="C754">
        <v>2020</v>
      </c>
      <c r="D754" t="s">
        <v>3457</v>
      </c>
      <c r="E754" t="s">
        <v>2576</v>
      </c>
      <c r="F754" t="s">
        <v>2577</v>
      </c>
      <c r="G754" t="s">
        <v>2582</v>
      </c>
      <c r="H754" t="s">
        <v>3764</v>
      </c>
    </row>
    <row r="755" spans="2:8" x14ac:dyDescent="0.25">
      <c r="B755" t="s">
        <v>3393</v>
      </c>
      <c r="C755">
        <v>2020</v>
      </c>
      <c r="D755" t="s">
        <v>3457</v>
      </c>
      <c r="E755" t="s">
        <v>2576</v>
      </c>
      <c r="F755" t="s">
        <v>2577</v>
      </c>
      <c r="G755" t="s">
        <v>2584</v>
      </c>
      <c r="H755" t="s">
        <v>3764</v>
      </c>
    </row>
    <row r="756" spans="2:8" x14ac:dyDescent="0.25">
      <c r="B756" t="s">
        <v>3393</v>
      </c>
      <c r="C756">
        <v>2020</v>
      </c>
      <c r="D756" t="s">
        <v>3457</v>
      </c>
      <c r="E756" t="s">
        <v>2576</v>
      </c>
      <c r="F756" t="s">
        <v>2577</v>
      </c>
      <c r="G756" t="s">
        <v>2585</v>
      </c>
      <c r="H756" t="s">
        <v>3159</v>
      </c>
    </row>
    <row r="757" spans="2:8" x14ac:dyDescent="0.25">
      <c r="B757" t="s">
        <v>3393</v>
      </c>
      <c r="C757">
        <v>2020</v>
      </c>
      <c r="D757" t="s">
        <v>3457</v>
      </c>
      <c r="E757" t="s">
        <v>2587</v>
      </c>
      <c r="F757" t="s">
        <v>2588</v>
      </c>
      <c r="G757" t="s">
        <v>1115</v>
      </c>
      <c r="H757" t="s">
        <v>3914</v>
      </c>
    </row>
    <row r="758" spans="2:8" x14ac:dyDescent="0.25">
      <c r="B758" t="s">
        <v>3393</v>
      </c>
      <c r="C758">
        <v>2020</v>
      </c>
      <c r="D758" t="s">
        <v>3457</v>
      </c>
      <c r="E758" t="s">
        <v>2589</v>
      </c>
      <c r="F758" t="s">
        <v>2590</v>
      </c>
      <c r="G758" t="s">
        <v>1100</v>
      </c>
      <c r="H758" t="s">
        <v>3052</v>
      </c>
    </row>
    <row r="759" spans="2:8" x14ac:dyDescent="0.25">
      <c r="B759" t="s">
        <v>3393</v>
      </c>
      <c r="C759">
        <v>2020</v>
      </c>
      <c r="D759" t="s">
        <v>3457</v>
      </c>
      <c r="E759" t="s">
        <v>2589</v>
      </c>
      <c r="F759" t="s">
        <v>2590</v>
      </c>
      <c r="G759" t="s">
        <v>2591</v>
      </c>
      <c r="H759" t="s">
        <v>3915</v>
      </c>
    </row>
    <row r="760" spans="2:8" x14ac:dyDescent="0.25">
      <c r="B760" t="s">
        <v>3393</v>
      </c>
      <c r="C760">
        <v>2020</v>
      </c>
      <c r="D760" t="s">
        <v>3457</v>
      </c>
      <c r="E760" t="s">
        <v>2589</v>
      </c>
      <c r="F760" t="s">
        <v>2590</v>
      </c>
      <c r="G760" t="s">
        <v>2592</v>
      </c>
      <c r="H760" t="s">
        <v>3344</v>
      </c>
    </row>
    <row r="761" spans="2:8" x14ac:dyDescent="0.25">
      <c r="B761" t="s">
        <v>3393</v>
      </c>
      <c r="C761">
        <v>2020</v>
      </c>
      <c r="D761" t="s">
        <v>3457</v>
      </c>
      <c r="E761" t="s">
        <v>2589</v>
      </c>
      <c r="F761" t="s">
        <v>2590</v>
      </c>
      <c r="G761" t="s">
        <v>1053</v>
      </c>
      <c r="H761" t="s">
        <v>2145</v>
      </c>
    </row>
    <row r="762" spans="2:8" x14ac:dyDescent="0.25">
      <c r="B762" t="s">
        <v>3393</v>
      </c>
      <c r="C762">
        <v>2020</v>
      </c>
      <c r="D762" t="s">
        <v>3457</v>
      </c>
      <c r="E762" t="s">
        <v>2589</v>
      </c>
      <c r="F762" t="s">
        <v>2590</v>
      </c>
      <c r="G762" t="s">
        <v>1103</v>
      </c>
      <c r="H762" t="s">
        <v>3916</v>
      </c>
    </row>
    <row r="763" spans="2:8" x14ac:dyDescent="0.25">
      <c r="B763" t="s">
        <v>3393</v>
      </c>
      <c r="C763">
        <v>2020</v>
      </c>
      <c r="D763" t="s">
        <v>3457</v>
      </c>
      <c r="E763" t="s">
        <v>2589</v>
      </c>
      <c r="F763" t="s">
        <v>2590</v>
      </c>
      <c r="G763" t="s">
        <v>182</v>
      </c>
      <c r="H763" t="s">
        <v>3314</v>
      </c>
    </row>
    <row r="764" spans="2:8" x14ac:dyDescent="0.25">
      <c r="B764" t="s">
        <v>3393</v>
      </c>
      <c r="C764">
        <v>2020</v>
      </c>
      <c r="D764" t="s">
        <v>3457</v>
      </c>
      <c r="E764" t="s">
        <v>2593</v>
      </c>
      <c r="F764" t="s">
        <v>2594</v>
      </c>
      <c r="G764" t="s">
        <v>2595</v>
      </c>
      <c r="H764" t="s">
        <v>3764</v>
      </c>
    </row>
    <row r="765" spans="2:8" x14ac:dyDescent="0.25">
      <c r="B765" t="s">
        <v>3393</v>
      </c>
      <c r="C765">
        <v>2020</v>
      </c>
      <c r="D765" t="s">
        <v>3457</v>
      </c>
      <c r="E765" t="s">
        <v>2593</v>
      </c>
      <c r="F765" t="s">
        <v>2594</v>
      </c>
      <c r="G765" t="s">
        <v>3134</v>
      </c>
      <c r="H765" t="s">
        <v>3764</v>
      </c>
    </row>
    <row r="766" spans="2:8" x14ac:dyDescent="0.25">
      <c r="B766" t="s">
        <v>3393</v>
      </c>
      <c r="C766">
        <v>2020</v>
      </c>
      <c r="D766" t="s">
        <v>3457</v>
      </c>
      <c r="E766" t="s">
        <v>2593</v>
      </c>
      <c r="F766" t="s">
        <v>2594</v>
      </c>
      <c r="G766" t="s">
        <v>3135</v>
      </c>
      <c r="H766" t="s">
        <v>3764</v>
      </c>
    </row>
    <row r="767" spans="2:8" x14ac:dyDescent="0.25">
      <c r="B767" t="s">
        <v>3393</v>
      </c>
      <c r="C767">
        <v>2020</v>
      </c>
      <c r="D767" t="s">
        <v>3457</v>
      </c>
      <c r="E767" t="s">
        <v>2593</v>
      </c>
      <c r="F767" t="s">
        <v>2594</v>
      </c>
      <c r="G767" t="s">
        <v>2596</v>
      </c>
      <c r="H767" t="s">
        <v>3917</v>
      </c>
    </row>
    <row r="768" spans="2:8" x14ac:dyDescent="0.25">
      <c r="B768" t="s">
        <v>3393</v>
      </c>
      <c r="C768">
        <v>2020</v>
      </c>
      <c r="D768" t="s">
        <v>3457</v>
      </c>
      <c r="E768" t="s">
        <v>2593</v>
      </c>
      <c r="F768" t="s">
        <v>2594</v>
      </c>
      <c r="G768" t="s">
        <v>2597</v>
      </c>
      <c r="H768" t="s">
        <v>3764</v>
      </c>
    </row>
    <row r="769" spans="2:8" x14ac:dyDescent="0.25">
      <c r="B769" t="s">
        <v>3393</v>
      </c>
      <c r="C769">
        <v>2020</v>
      </c>
      <c r="D769" t="s">
        <v>3457</v>
      </c>
      <c r="E769" t="s">
        <v>2593</v>
      </c>
      <c r="F769" t="s">
        <v>2594</v>
      </c>
      <c r="G769" t="s">
        <v>2598</v>
      </c>
      <c r="H769" t="s">
        <v>3918</v>
      </c>
    </row>
    <row r="770" spans="2:8" x14ac:dyDescent="0.25">
      <c r="B770" t="s">
        <v>3393</v>
      </c>
      <c r="C770">
        <v>2020</v>
      </c>
      <c r="D770" t="s">
        <v>3457</v>
      </c>
      <c r="E770" t="s">
        <v>2593</v>
      </c>
      <c r="F770" t="s">
        <v>2594</v>
      </c>
      <c r="G770" t="s">
        <v>2599</v>
      </c>
      <c r="H770" t="s">
        <v>3919</v>
      </c>
    </row>
    <row r="771" spans="2:8" x14ac:dyDescent="0.25">
      <c r="B771" t="s">
        <v>3393</v>
      </c>
      <c r="C771">
        <v>2020</v>
      </c>
      <c r="D771" t="s">
        <v>3457</v>
      </c>
      <c r="E771" t="s">
        <v>3137</v>
      </c>
      <c r="F771" t="s">
        <v>3138</v>
      </c>
      <c r="G771" t="s">
        <v>3139</v>
      </c>
      <c r="H771" t="s">
        <v>3764</v>
      </c>
    </row>
    <row r="772" spans="2:8" x14ac:dyDescent="0.25">
      <c r="B772" t="s">
        <v>3393</v>
      </c>
      <c r="C772">
        <v>2020</v>
      </c>
      <c r="D772" t="s">
        <v>3457</v>
      </c>
      <c r="E772" t="s">
        <v>2600</v>
      </c>
      <c r="F772" t="s">
        <v>2601</v>
      </c>
      <c r="G772" t="s">
        <v>996</v>
      </c>
      <c r="H772" t="s">
        <v>3920</v>
      </c>
    </row>
    <row r="773" spans="2:8" x14ac:dyDescent="0.25">
      <c r="B773" t="s">
        <v>3393</v>
      </c>
      <c r="C773">
        <v>2020</v>
      </c>
      <c r="D773" t="s">
        <v>3457</v>
      </c>
      <c r="E773" t="s">
        <v>2600</v>
      </c>
      <c r="F773" t="s">
        <v>2601</v>
      </c>
      <c r="G773" t="s">
        <v>1005</v>
      </c>
      <c r="H773" t="s">
        <v>3921</v>
      </c>
    </row>
    <row r="774" spans="2:8" x14ac:dyDescent="0.25">
      <c r="B774" t="s">
        <v>3393</v>
      </c>
      <c r="C774">
        <v>2020</v>
      </c>
      <c r="D774" t="s">
        <v>3457</v>
      </c>
      <c r="E774" t="s">
        <v>2600</v>
      </c>
      <c r="F774" t="s">
        <v>2601</v>
      </c>
      <c r="G774" t="s">
        <v>994</v>
      </c>
      <c r="H774" t="s">
        <v>3922</v>
      </c>
    </row>
    <row r="775" spans="2:8" x14ac:dyDescent="0.25">
      <c r="B775" t="s">
        <v>3393</v>
      </c>
      <c r="C775">
        <v>2020</v>
      </c>
      <c r="D775" t="s">
        <v>3457</v>
      </c>
      <c r="E775" t="s">
        <v>2600</v>
      </c>
      <c r="F775" t="s">
        <v>2601</v>
      </c>
      <c r="G775" t="s">
        <v>995</v>
      </c>
      <c r="H775" t="s">
        <v>3923</v>
      </c>
    </row>
    <row r="776" spans="2:8" x14ac:dyDescent="0.25">
      <c r="B776" t="s">
        <v>3393</v>
      </c>
      <c r="C776">
        <v>2020</v>
      </c>
      <c r="D776" t="s">
        <v>3457</v>
      </c>
      <c r="E776" t="s">
        <v>2600</v>
      </c>
      <c r="F776" t="s">
        <v>2601</v>
      </c>
      <c r="G776" t="s">
        <v>990</v>
      </c>
      <c r="H776" t="s">
        <v>3924</v>
      </c>
    </row>
    <row r="777" spans="2:8" x14ac:dyDescent="0.25">
      <c r="B777" t="s">
        <v>3393</v>
      </c>
      <c r="C777">
        <v>2020</v>
      </c>
      <c r="D777" t="s">
        <v>3457</v>
      </c>
      <c r="E777" t="s">
        <v>2600</v>
      </c>
      <c r="F777" t="s">
        <v>2601</v>
      </c>
      <c r="G777" t="s">
        <v>1001</v>
      </c>
      <c r="H777" t="s">
        <v>1993</v>
      </c>
    </row>
    <row r="778" spans="2:8" x14ac:dyDescent="0.25">
      <c r="B778" t="s">
        <v>3393</v>
      </c>
      <c r="C778">
        <v>2020</v>
      </c>
      <c r="D778" t="s">
        <v>3457</v>
      </c>
      <c r="E778" t="s">
        <v>2600</v>
      </c>
      <c r="F778" t="s">
        <v>2601</v>
      </c>
      <c r="G778" t="s">
        <v>2602</v>
      </c>
      <c r="H778" t="s">
        <v>3925</v>
      </c>
    </row>
    <row r="779" spans="2:8" x14ac:dyDescent="0.25">
      <c r="B779" t="s">
        <v>3393</v>
      </c>
      <c r="C779">
        <v>2020</v>
      </c>
      <c r="D779" t="s">
        <v>3457</v>
      </c>
      <c r="E779" t="s">
        <v>2600</v>
      </c>
      <c r="F779" t="s">
        <v>2601</v>
      </c>
      <c r="G779" t="s">
        <v>989</v>
      </c>
      <c r="H779" t="s">
        <v>3926</v>
      </c>
    </row>
    <row r="780" spans="2:8" x14ac:dyDescent="0.25">
      <c r="B780" t="s">
        <v>3393</v>
      </c>
      <c r="C780">
        <v>2020</v>
      </c>
      <c r="D780" t="s">
        <v>3457</v>
      </c>
      <c r="E780" t="s">
        <v>2600</v>
      </c>
      <c r="F780" t="s">
        <v>2601</v>
      </c>
      <c r="G780" t="s">
        <v>987</v>
      </c>
      <c r="H780" t="s">
        <v>3927</v>
      </c>
    </row>
    <row r="781" spans="2:8" x14ac:dyDescent="0.25">
      <c r="B781" t="s">
        <v>3393</v>
      </c>
      <c r="C781">
        <v>2020</v>
      </c>
      <c r="D781" t="s">
        <v>3457</v>
      </c>
      <c r="E781" t="s">
        <v>2600</v>
      </c>
      <c r="F781" t="s">
        <v>2601</v>
      </c>
      <c r="G781" t="s">
        <v>993</v>
      </c>
      <c r="H781" t="s">
        <v>3928</v>
      </c>
    </row>
    <row r="782" spans="2:8" x14ac:dyDescent="0.25">
      <c r="B782" t="s">
        <v>3393</v>
      </c>
      <c r="C782">
        <v>2020</v>
      </c>
      <c r="D782" t="s">
        <v>3457</v>
      </c>
      <c r="E782" t="s">
        <v>2600</v>
      </c>
      <c r="F782" t="s">
        <v>2601</v>
      </c>
      <c r="G782" t="s">
        <v>992</v>
      </c>
      <c r="H782" t="s">
        <v>3929</v>
      </c>
    </row>
    <row r="783" spans="2:8" x14ac:dyDescent="0.25">
      <c r="B783" t="s">
        <v>3393</v>
      </c>
      <c r="C783">
        <v>2020</v>
      </c>
      <c r="D783" t="s">
        <v>3457</v>
      </c>
      <c r="E783" t="s">
        <v>2600</v>
      </c>
      <c r="F783" t="s">
        <v>2601</v>
      </c>
      <c r="G783" t="s">
        <v>1000</v>
      </c>
      <c r="H783" t="s">
        <v>2101</v>
      </c>
    </row>
    <row r="784" spans="2:8" x14ac:dyDescent="0.25">
      <c r="B784" t="s">
        <v>3393</v>
      </c>
      <c r="C784">
        <v>2020</v>
      </c>
      <c r="D784" t="s">
        <v>3457</v>
      </c>
      <c r="E784" t="s">
        <v>2600</v>
      </c>
      <c r="F784" t="s">
        <v>2601</v>
      </c>
      <c r="G784" t="s">
        <v>1004</v>
      </c>
      <c r="H784" t="s">
        <v>3930</v>
      </c>
    </row>
    <row r="785" spans="2:8" x14ac:dyDescent="0.25">
      <c r="B785" t="s">
        <v>3393</v>
      </c>
      <c r="C785">
        <v>2020</v>
      </c>
      <c r="D785" t="s">
        <v>3457</v>
      </c>
      <c r="E785" t="s">
        <v>2600</v>
      </c>
      <c r="F785" t="s">
        <v>2601</v>
      </c>
      <c r="G785" t="s">
        <v>1003</v>
      </c>
      <c r="H785" t="s">
        <v>3465</v>
      </c>
    </row>
    <row r="786" spans="2:8" x14ac:dyDescent="0.25">
      <c r="B786" t="s">
        <v>3393</v>
      </c>
      <c r="C786">
        <v>2020</v>
      </c>
      <c r="D786" t="s">
        <v>3457</v>
      </c>
      <c r="E786" t="s">
        <v>2600</v>
      </c>
      <c r="F786" t="s">
        <v>2601</v>
      </c>
      <c r="G786" t="s">
        <v>997</v>
      </c>
      <c r="H786" t="s">
        <v>3931</v>
      </c>
    </row>
    <row r="787" spans="2:8" x14ac:dyDescent="0.25">
      <c r="B787" t="s">
        <v>3393</v>
      </c>
      <c r="C787">
        <v>2020</v>
      </c>
      <c r="D787" t="s">
        <v>3457</v>
      </c>
      <c r="E787" t="s">
        <v>2600</v>
      </c>
      <c r="F787" t="s">
        <v>2601</v>
      </c>
      <c r="G787" t="s">
        <v>986</v>
      </c>
      <c r="H787" t="s">
        <v>3932</v>
      </c>
    </row>
    <row r="788" spans="2:8" x14ac:dyDescent="0.25">
      <c r="B788" t="s">
        <v>3393</v>
      </c>
      <c r="C788">
        <v>2020</v>
      </c>
      <c r="D788" t="s">
        <v>3457</v>
      </c>
      <c r="E788" t="s">
        <v>2600</v>
      </c>
      <c r="F788" t="s">
        <v>2601</v>
      </c>
      <c r="G788" t="s">
        <v>991</v>
      </c>
      <c r="H788" t="s">
        <v>3933</v>
      </c>
    </row>
    <row r="789" spans="2:8" x14ac:dyDescent="0.25">
      <c r="B789" t="s">
        <v>3393</v>
      </c>
      <c r="C789">
        <v>2020</v>
      </c>
      <c r="D789" t="s">
        <v>3457</v>
      </c>
      <c r="E789" t="s">
        <v>2600</v>
      </c>
      <c r="F789" t="s">
        <v>2601</v>
      </c>
      <c r="G789" t="s">
        <v>999</v>
      </c>
      <c r="H789" t="s">
        <v>2101</v>
      </c>
    </row>
    <row r="790" spans="2:8" x14ac:dyDescent="0.25">
      <c r="B790" t="s">
        <v>3393</v>
      </c>
      <c r="C790">
        <v>2020</v>
      </c>
      <c r="D790" t="s">
        <v>3457</v>
      </c>
      <c r="E790" t="s">
        <v>2600</v>
      </c>
      <c r="F790" t="s">
        <v>2601</v>
      </c>
      <c r="G790" t="s">
        <v>998</v>
      </c>
      <c r="H790" t="s">
        <v>3934</v>
      </c>
    </row>
    <row r="791" spans="2:8" x14ac:dyDescent="0.25">
      <c r="B791" t="s">
        <v>3393</v>
      </c>
      <c r="C791">
        <v>2020</v>
      </c>
      <c r="D791" t="s">
        <v>3457</v>
      </c>
      <c r="E791" t="s">
        <v>2600</v>
      </c>
      <c r="F791" t="s">
        <v>2601</v>
      </c>
      <c r="G791" t="s">
        <v>1002</v>
      </c>
      <c r="H791" t="s">
        <v>3935</v>
      </c>
    </row>
    <row r="792" spans="2:8" x14ac:dyDescent="0.25">
      <c r="B792" t="s">
        <v>3393</v>
      </c>
      <c r="C792">
        <v>2020</v>
      </c>
      <c r="D792" t="s">
        <v>3457</v>
      </c>
      <c r="E792" t="s">
        <v>2600</v>
      </c>
      <c r="F792" t="s">
        <v>2601</v>
      </c>
      <c r="G792" t="s">
        <v>1006</v>
      </c>
      <c r="H792" t="s">
        <v>3936</v>
      </c>
    </row>
    <row r="793" spans="2:8" x14ac:dyDescent="0.25">
      <c r="B793" t="s">
        <v>3393</v>
      </c>
      <c r="C793">
        <v>2020</v>
      </c>
      <c r="D793" t="s">
        <v>3457</v>
      </c>
      <c r="E793" t="s">
        <v>2604</v>
      </c>
      <c r="F793" t="s">
        <v>2605</v>
      </c>
      <c r="G793" t="s">
        <v>1010</v>
      </c>
      <c r="H793" t="s">
        <v>3937</v>
      </c>
    </row>
    <row r="794" spans="2:8" x14ac:dyDescent="0.25">
      <c r="B794" t="s">
        <v>3393</v>
      </c>
      <c r="C794">
        <v>2020</v>
      </c>
      <c r="D794" t="s">
        <v>3457</v>
      </c>
      <c r="E794" t="s">
        <v>2604</v>
      </c>
      <c r="F794" t="s">
        <v>2605</v>
      </c>
      <c r="G794" t="s">
        <v>1011</v>
      </c>
      <c r="H794" t="s">
        <v>3938</v>
      </c>
    </row>
    <row r="795" spans="2:8" x14ac:dyDescent="0.25">
      <c r="B795" t="s">
        <v>3393</v>
      </c>
      <c r="C795">
        <v>2020</v>
      </c>
      <c r="D795" t="s">
        <v>3457</v>
      </c>
      <c r="E795" t="s">
        <v>2604</v>
      </c>
      <c r="F795" t="s">
        <v>2605</v>
      </c>
      <c r="G795" t="s">
        <v>1017</v>
      </c>
      <c r="H795" t="s">
        <v>3939</v>
      </c>
    </row>
    <row r="796" spans="2:8" x14ac:dyDescent="0.25">
      <c r="B796" t="s">
        <v>3393</v>
      </c>
      <c r="C796">
        <v>2020</v>
      </c>
      <c r="D796" t="s">
        <v>3457</v>
      </c>
      <c r="E796" t="s">
        <v>2604</v>
      </c>
      <c r="F796" t="s">
        <v>2605</v>
      </c>
      <c r="G796" t="s">
        <v>1029</v>
      </c>
      <c r="H796" t="s">
        <v>3940</v>
      </c>
    </row>
    <row r="797" spans="2:8" x14ac:dyDescent="0.25">
      <c r="B797" t="s">
        <v>3393</v>
      </c>
      <c r="C797">
        <v>2020</v>
      </c>
      <c r="D797" t="s">
        <v>3457</v>
      </c>
      <c r="E797" t="s">
        <v>2604</v>
      </c>
      <c r="F797" t="s">
        <v>2605</v>
      </c>
      <c r="G797" t="s">
        <v>1013</v>
      </c>
      <c r="H797" t="s">
        <v>3941</v>
      </c>
    </row>
    <row r="798" spans="2:8" x14ac:dyDescent="0.25">
      <c r="B798" t="s">
        <v>3393</v>
      </c>
      <c r="C798">
        <v>2020</v>
      </c>
      <c r="D798" t="s">
        <v>3457</v>
      </c>
      <c r="E798" t="s">
        <v>2604</v>
      </c>
      <c r="F798" t="s">
        <v>2605</v>
      </c>
      <c r="G798" t="s">
        <v>1028</v>
      </c>
      <c r="H798" t="s">
        <v>3942</v>
      </c>
    </row>
    <row r="799" spans="2:8" x14ac:dyDescent="0.25">
      <c r="B799" t="s">
        <v>3393</v>
      </c>
      <c r="C799">
        <v>2020</v>
      </c>
      <c r="D799" t="s">
        <v>3457</v>
      </c>
      <c r="E799" t="s">
        <v>2604</v>
      </c>
      <c r="F799" t="s">
        <v>2605</v>
      </c>
      <c r="G799" t="s">
        <v>1020</v>
      </c>
      <c r="H799" t="s">
        <v>3943</v>
      </c>
    </row>
    <row r="800" spans="2:8" x14ac:dyDescent="0.25">
      <c r="B800" t="s">
        <v>3393</v>
      </c>
      <c r="C800">
        <v>2020</v>
      </c>
      <c r="D800" t="s">
        <v>3457</v>
      </c>
      <c r="E800" t="s">
        <v>2604</v>
      </c>
      <c r="F800" t="s">
        <v>2605</v>
      </c>
      <c r="G800" t="s">
        <v>1016</v>
      </c>
      <c r="H800" t="s">
        <v>3325</v>
      </c>
    </row>
    <row r="801" spans="2:8" x14ac:dyDescent="0.25">
      <c r="B801" t="s">
        <v>3393</v>
      </c>
      <c r="C801">
        <v>2020</v>
      </c>
      <c r="D801" t="s">
        <v>3457</v>
      </c>
      <c r="E801" t="s">
        <v>2604</v>
      </c>
      <c r="F801" t="s">
        <v>2605</v>
      </c>
      <c r="G801" t="s">
        <v>1030</v>
      </c>
      <c r="H801" t="s">
        <v>3623</v>
      </c>
    </row>
    <row r="802" spans="2:8" x14ac:dyDescent="0.25">
      <c r="B802" t="s">
        <v>3393</v>
      </c>
      <c r="C802">
        <v>2020</v>
      </c>
      <c r="D802" t="s">
        <v>3457</v>
      </c>
      <c r="E802" t="s">
        <v>2604</v>
      </c>
      <c r="F802" t="s">
        <v>2605</v>
      </c>
      <c r="G802" t="s">
        <v>1021</v>
      </c>
      <c r="H802" t="s">
        <v>3944</v>
      </c>
    </row>
    <row r="803" spans="2:8" x14ac:dyDescent="0.25">
      <c r="B803" t="s">
        <v>3393</v>
      </c>
      <c r="C803">
        <v>2020</v>
      </c>
      <c r="D803" t="s">
        <v>3457</v>
      </c>
      <c r="E803" t="s">
        <v>2604</v>
      </c>
      <c r="F803" t="s">
        <v>2605</v>
      </c>
      <c r="G803" t="s">
        <v>1009</v>
      </c>
      <c r="H803" t="s">
        <v>3945</v>
      </c>
    </row>
    <row r="804" spans="2:8" x14ac:dyDescent="0.25">
      <c r="B804" t="s">
        <v>3393</v>
      </c>
      <c r="C804">
        <v>2020</v>
      </c>
      <c r="D804" t="s">
        <v>3457</v>
      </c>
      <c r="E804" t="s">
        <v>2604</v>
      </c>
      <c r="F804" t="s">
        <v>2605</v>
      </c>
      <c r="G804" t="s">
        <v>1019</v>
      </c>
      <c r="H804" t="s">
        <v>3339</v>
      </c>
    </row>
    <row r="805" spans="2:8" x14ac:dyDescent="0.25">
      <c r="B805" t="s">
        <v>3393</v>
      </c>
      <c r="C805">
        <v>2020</v>
      </c>
      <c r="D805" t="s">
        <v>3457</v>
      </c>
      <c r="E805" t="s">
        <v>2604</v>
      </c>
      <c r="F805" t="s">
        <v>2605</v>
      </c>
      <c r="G805" t="s">
        <v>1025</v>
      </c>
      <c r="H805" t="s">
        <v>3946</v>
      </c>
    </row>
    <row r="806" spans="2:8" x14ac:dyDescent="0.25">
      <c r="B806" t="s">
        <v>3393</v>
      </c>
      <c r="C806">
        <v>2020</v>
      </c>
      <c r="D806" t="s">
        <v>3457</v>
      </c>
      <c r="E806" t="s">
        <v>2604</v>
      </c>
      <c r="F806" t="s">
        <v>2605</v>
      </c>
      <c r="G806" t="s">
        <v>1024</v>
      </c>
      <c r="H806" t="s">
        <v>3947</v>
      </c>
    </row>
    <row r="807" spans="2:8" x14ac:dyDescent="0.25">
      <c r="B807" t="s">
        <v>3393</v>
      </c>
      <c r="C807">
        <v>2020</v>
      </c>
      <c r="D807" t="s">
        <v>3457</v>
      </c>
      <c r="E807" t="s">
        <v>2604</v>
      </c>
      <c r="F807" t="s">
        <v>2605</v>
      </c>
      <c r="G807" t="s">
        <v>1026</v>
      </c>
      <c r="H807" t="s">
        <v>1993</v>
      </c>
    </row>
    <row r="808" spans="2:8" x14ac:dyDescent="0.25">
      <c r="B808" t="s">
        <v>3393</v>
      </c>
      <c r="C808">
        <v>2020</v>
      </c>
      <c r="D808" t="s">
        <v>3457</v>
      </c>
      <c r="E808" t="s">
        <v>2604</v>
      </c>
      <c r="F808" t="s">
        <v>2605</v>
      </c>
      <c r="G808" t="s">
        <v>1023</v>
      </c>
      <c r="H808" t="s">
        <v>3948</v>
      </c>
    </row>
    <row r="809" spans="2:8" x14ac:dyDescent="0.25">
      <c r="B809" t="s">
        <v>3393</v>
      </c>
      <c r="C809">
        <v>2020</v>
      </c>
      <c r="D809" t="s">
        <v>3457</v>
      </c>
      <c r="E809" t="s">
        <v>2604</v>
      </c>
      <c r="F809" t="s">
        <v>2605</v>
      </c>
      <c r="G809" t="s">
        <v>1027</v>
      </c>
      <c r="H809" t="s">
        <v>3949</v>
      </c>
    </row>
    <row r="810" spans="2:8" x14ac:dyDescent="0.25">
      <c r="B810" t="s">
        <v>3393</v>
      </c>
      <c r="C810">
        <v>2020</v>
      </c>
      <c r="D810" t="s">
        <v>3457</v>
      </c>
      <c r="E810" t="s">
        <v>2604</v>
      </c>
      <c r="F810" t="s">
        <v>2605</v>
      </c>
      <c r="G810" t="s">
        <v>1022</v>
      </c>
      <c r="H810" t="s">
        <v>3950</v>
      </c>
    </row>
    <row r="811" spans="2:8" x14ac:dyDescent="0.25">
      <c r="B811" t="s">
        <v>3393</v>
      </c>
      <c r="C811">
        <v>2020</v>
      </c>
      <c r="D811" t="s">
        <v>3457</v>
      </c>
      <c r="E811" t="s">
        <v>2604</v>
      </c>
      <c r="F811" t="s">
        <v>2605</v>
      </c>
      <c r="G811" t="s">
        <v>1018</v>
      </c>
      <c r="H811" t="s">
        <v>3951</v>
      </c>
    </row>
    <row r="812" spans="2:8" x14ac:dyDescent="0.25">
      <c r="B812" t="s">
        <v>3393</v>
      </c>
      <c r="C812">
        <v>2020</v>
      </c>
      <c r="D812" t="s">
        <v>3457</v>
      </c>
      <c r="E812" t="s">
        <v>2604</v>
      </c>
      <c r="F812" t="s">
        <v>2605</v>
      </c>
      <c r="G812" t="s">
        <v>1014</v>
      </c>
      <c r="H812" t="s">
        <v>3952</v>
      </c>
    </row>
    <row r="813" spans="2:8" x14ac:dyDescent="0.25">
      <c r="B813" t="s">
        <v>3393</v>
      </c>
      <c r="C813">
        <v>2020</v>
      </c>
      <c r="D813" t="s">
        <v>3457</v>
      </c>
      <c r="E813" t="s">
        <v>2604</v>
      </c>
      <c r="F813" t="s">
        <v>2605</v>
      </c>
      <c r="G813" t="s">
        <v>792</v>
      </c>
      <c r="H813" t="s">
        <v>3324</v>
      </c>
    </row>
    <row r="814" spans="2:8" x14ac:dyDescent="0.25">
      <c r="B814" t="s">
        <v>3393</v>
      </c>
      <c r="C814">
        <v>2020</v>
      </c>
      <c r="D814" t="s">
        <v>3457</v>
      </c>
      <c r="E814" t="s">
        <v>2604</v>
      </c>
      <c r="F814" t="s">
        <v>2605</v>
      </c>
      <c r="G814" t="s">
        <v>1012</v>
      </c>
      <c r="H814" t="s">
        <v>3953</v>
      </c>
    </row>
    <row r="815" spans="2:8" x14ac:dyDescent="0.25">
      <c r="B815" t="s">
        <v>3393</v>
      </c>
      <c r="C815">
        <v>2020</v>
      </c>
      <c r="D815" t="s">
        <v>3457</v>
      </c>
      <c r="E815" t="s">
        <v>2604</v>
      </c>
      <c r="F815" t="s">
        <v>2605</v>
      </c>
      <c r="G815" t="s">
        <v>1015</v>
      </c>
      <c r="H815" t="s">
        <v>3954</v>
      </c>
    </row>
    <row r="816" spans="2:8" x14ac:dyDescent="0.25">
      <c r="B816" t="s">
        <v>3393</v>
      </c>
      <c r="C816">
        <v>2020</v>
      </c>
      <c r="D816" t="s">
        <v>3457</v>
      </c>
      <c r="E816" t="s">
        <v>2604</v>
      </c>
      <c r="F816" t="s">
        <v>2605</v>
      </c>
      <c r="G816" t="s">
        <v>1031</v>
      </c>
      <c r="H816" t="s">
        <v>3955</v>
      </c>
    </row>
    <row r="817" spans="2:8" x14ac:dyDescent="0.25">
      <c r="B817" t="s">
        <v>3393</v>
      </c>
      <c r="C817">
        <v>2020</v>
      </c>
      <c r="D817" t="s">
        <v>3457</v>
      </c>
      <c r="E817" t="s">
        <v>2604</v>
      </c>
      <c r="F817" t="s">
        <v>2605</v>
      </c>
      <c r="G817" t="s">
        <v>798</v>
      </c>
      <c r="H817" t="s">
        <v>3956</v>
      </c>
    </row>
    <row r="818" spans="2:8" x14ac:dyDescent="0.25">
      <c r="B818" t="s">
        <v>3393</v>
      </c>
      <c r="C818">
        <v>2020</v>
      </c>
      <c r="D818" t="s">
        <v>3457</v>
      </c>
      <c r="E818" t="s">
        <v>2606</v>
      </c>
      <c r="F818" t="s">
        <v>2607</v>
      </c>
      <c r="G818" t="s">
        <v>2608</v>
      </c>
      <c r="H818" t="s">
        <v>3957</v>
      </c>
    </row>
    <row r="819" spans="2:8" x14ac:dyDescent="0.25">
      <c r="B819" t="s">
        <v>3393</v>
      </c>
      <c r="C819">
        <v>2020</v>
      </c>
      <c r="D819" t="s">
        <v>3457</v>
      </c>
      <c r="E819" t="s">
        <v>2609</v>
      </c>
      <c r="F819" t="s">
        <v>2610</v>
      </c>
      <c r="G819" t="s">
        <v>2611</v>
      </c>
      <c r="H819" t="s">
        <v>3343</v>
      </c>
    </row>
    <row r="820" spans="2:8" x14ac:dyDescent="0.25">
      <c r="B820" t="s">
        <v>3393</v>
      </c>
      <c r="C820">
        <v>2020</v>
      </c>
      <c r="D820" t="s">
        <v>3457</v>
      </c>
      <c r="E820" t="s">
        <v>2609</v>
      </c>
      <c r="F820" t="s">
        <v>2610</v>
      </c>
      <c r="G820" t="s">
        <v>2612</v>
      </c>
      <c r="H820" t="s">
        <v>1993</v>
      </c>
    </row>
    <row r="821" spans="2:8" x14ac:dyDescent="0.25">
      <c r="B821" t="s">
        <v>3393</v>
      </c>
      <c r="C821">
        <v>2020</v>
      </c>
      <c r="D821" t="s">
        <v>3457</v>
      </c>
      <c r="E821" t="s">
        <v>2609</v>
      </c>
      <c r="F821" t="s">
        <v>2610</v>
      </c>
      <c r="G821" t="s">
        <v>2613</v>
      </c>
      <c r="H821" t="s">
        <v>3958</v>
      </c>
    </row>
    <row r="822" spans="2:8" x14ac:dyDescent="0.25">
      <c r="B822" t="s">
        <v>3393</v>
      </c>
      <c r="C822">
        <v>2020</v>
      </c>
      <c r="D822" t="s">
        <v>3457</v>
      </c>
      <c r="E822" t="s">
        <v>2609</v>
      </c>
      <c r="F822" t="s">
        <v>2610</v>
      </c>
      <c r="G822" t="s">
        <v>2614</v>
      </c>
      <c r="H822" t="s">
        <v>3957</v>
      </c>
    </row>
    <row r="823" spans="2:8" x14ac:dyDescent="0.25">
      <c r="B823" t="s">
        <v>3393</v>
      </c>
      <c r="C823">
        <v>2020</v>
      </c>
      <c r="D823" t="s">
        <v>3457</v>
      </c>
      <c r="E823" t="s">
        <v>2615</v>
      </c>
      <c r="F823" t="s">
        <v>2616</v>
      </c>
      <c r="G823" t="s">
        <v>2617</v>
      </c>
      <c r="H823" t="s">
        <v>3764</v>
      </c>
    </row>
    <row r="824" spans="2:8" x14ac:dyDescent="0.25">
      <c r="B824" t="s">
        <v>3393</v>
      </c>
      <c r="C824">
        <v>2020</v>
      </c>
      <c r="D824" t="s">
        <v>3457</v>
      </c>
      <c r="E824" t="s">
        <v>2615</v>
      </c>
      <c r="F824" t="s">
        <v>2616</v>
      </c>
      <c r="G824" t="s">
        <v>2618</v>
      </c>
      <c r="H824" t="s">
        <v>1995</v>
      </c>
    </row>
    <row r="825" spans="2:8" x14ac:dyDescent="0.25">
      <c r="B825" t="s">
        <v>3393</v>
      </c>
      <c r="C825">
        <v>2020</v>
      </c>
      <c r="D825" t="s">
        <v>3457</v>
      </c>
      <c r="E825" t="s">
        <v>2615</v>
      </c>
      <c r="F825" t="s">
        <v>2616</v>
      </c>
      <c r="G825" t="s">
        <v>2619</v>
      </c>
      <c r="H825" t="s">
        <v>3764</v>
      </c>
    </row>
    <row r="826" spans="2:8" x14ac:dyDescent="0.25">
      <c r="B826" t="s">
        <v>3393</v>
      </c>
      <c r="C826">
        <v>2020</v>
      </c>
      <c r="D826" t="s">
        <v>3457</v>
      </c>
      <c r="E826" t="s">
        <v>2615</v>
      </c>
      <c r="F826" t="s">
        <v>2616</v>
      </c>
      <c r="G826" t="s">
        <v>2620</v>
      </c>
      <c r="H826" t="s">
        <v>3764</v>
      </c>
    </row>
    <row r="827" spans="2:8" x14ac:dyDescent="0.25">
      <c r="B827" t="s">
        <v>3393</v>
      </c>
      <c r="C827">
        <v>2020</v>
      </c>
      <c r="D827" t="s">
        <v>3457</v>
      </c>
      <c r="E827" t="s">
        <v>2615</v>
      </c>
      <c r="F827" t="s">
        <v>2616</v>
      </c>
      <c r="G827" t="s">
        <v>2621</v>
      </c>
      <c r="H827" t="s">
        <v>3764</v>
      </c>
    </row>
    <row r="828" spans="2:8" x14ac:dyDescent="0.25">
      <c r="B828" t="s">
        <v>3393</v>
      </c>
      <c r="C828">
        <v>2020</v>
      </c>
      <c r="D828" t="s">
        <v>3457</v>
      </c>
      <c r="E828" t="s">
        <v>2615</v>
      </c>
      <c r="F828" t="s">
        <v>2616</v>
      </c>
      <c r="G828" t="s">
        <v>2622</v>
      </c>
      <c r="H828" t="s">
        <v>2071</v>
      </c>
    </row>
    <row r="829" spans="2:8" x14ac:dyDescent="0.25">
      <c r="B829" t="s">
        <v>3393</v>
      </c>
      <c r="C829">
        <v>2020</v>
      </c>
      <c r="D829" t="s">
        <v>3457</v>
      </c>
      <c r="E829" t="s">
        <v>2615</v>
      </c>
      <c r="F829" t="s">
        <v>2616</v>
      </c>
      <c r="G829" t="s">
        <v>2624</v>
      </c>
      <c r="H829" t="s">
        <v>3764</v>
      </c>
    </row>
    <row r="830" spans="2:8" x14ac:dyDescent="0.25">
      <c r="B830" t="s">
        <v>3393</v>
      </c>
      <c r="C830">
        <v>2020</v>
      </c>
      <c r="D830" t="s">
        <v>3457</v>
      </c>
      <c r="E830" t="s">
        <v>2615</v>
      </c>
      <c r="F830" t="s">
        <v>2616</v>
      </c>
      <c r="G830" t="s">
        <v>2625</v>
      </c>
      <c r="H830" t="s">
        <v>3613</v>
      </c>
    </row>
    <row r="831" spans="2:8" x14ac:dyDescent="0.25">
      <c r="B831" t="s">
        <v>3393</v>
      </c>
      <c r="C831">
        <v>2020</v>
      </c>
      <c r="D831" t="s">
        <v>3457</v>
      </c>
      <c r="E831" t="s">
        <v>2615</v>
      </c>
      <c r="F831" t="s">
        <v>2616</v>
      </c>
      <c r="G831" t="s">
        <v>2626</v>
      </c>
      <c r="H831" t="s">
        <v>2518</v>
      </c>
    </row>
    <row r="832" spans="2:8" x14ac:dyDescent="0.25">
      <c r="B832" t="s">
        <v>3393</v>
      </c>
      <c r="C832">
        <v>2020</v>
      </c>
      <c r="D832" t="s">
        <v>3457</v>
      </c>
      <c r="E832" t="s">
        <v>2615</v>
      </c>
      <c r="F832" t="s">
        <v>2616</v>
      </c>
      <c r="G832" t="s">
        <v>2627</v>
      </c>
      <c r="H832" t="s">
        <v>1993</v>
      </c>
    </row>
    <row r="833" spans="2:8" x14ac:dyDescent="0.25">
      <c r="B833" t="s">
        <v>3393</v>
      </c>
      <c r="C833">
        <v>2020</v>
      </c>
      <c r="D833" t="s">
        <v>3457</v>
      </c>
      <c r="E833" t="s">
        <v>2615</v>
      </c>
      <c r="F833" t="s">
        <v>2616</v>
      </c>
      <c r="G833" t="s">
        <v>2628</v>
      </c>
      <c r="H833" t="s">
        <v>1993</v>
      </c>
    </row>
    <row r="834" spans="2:8" x14ac:dyDescent="0.25">
      <c r="B834" t="s">
        <v>3393</v>
      </c>
      <c r="C834">
        <v>2020</v>
      </c>
      <c r="D834" t="s">
        <v>3457</v>
      </c>
      <c r="E834" t="s">
        <v>2615</v>
      </c>
      <c r="F834" t="s">
        <v>2616</v>
      </c>
      <c r="G834" t="s">
        <v>2629</v>
      </c>
      <c r="H834" t="s">
        <v>3764</v>
      </c>
    </row>
    <row r="835" spans="2:8" x14ac:dyDescent="0.25">
      <c r="B835" t="s">
        <v>3393</v>
      </c>
      <c r="C835">
        <v>2020</v>
      </c>
      <c r="D835" t="s">
        <v>3457</v>
      </c>
      <c r="E835" t="s">
        <v>2615</v>
      </c>
      <c r="F835" t="s">
        <v>2616</v>
      </c>
      <c r="G835" t="s">
        <v>2630</v>
      </c>
      <c r="H835" t="s">
        <v>3764</v>
      </c>
    </row>
    <row r="836" spans="2:8" x14ac:dyDescent="0.25">
      <c r="B836" t="s">
        <v>3393</v>
      </c>
      <c r="C836">
        <v>2020</v>
      </c>
      <c r="D836" t="s">
        <v>3457</v>
      </c>
      <c r="E836" t="s">
        <v>2615</v>
      </c>
      <c r="F836" t="s">
        <v>2616</v>
      </c>
      <c r="G836" t="s">
        <v>2631</v>
      </c>
      <c r="H836" t="s">
        <v>3764</v>
      </c>
    </row>
    <row r="837" spans="2:8" x14ac:dyDescent="0.25">
      <c r="B837" t="s">
        <v>3393</v>
      </c>
      <c r="C837">
        <v>2020</v>
      </c>
      <c r="D837" t="s">
        <v>3457</v>
      </c>
      <c r="E837" t="s">
        <v>2615</v>
      </c>
      <c r="F837" t="s">
        <v>2616</v>
      </c>
      <c r="G837" t="s">
        <v>2632</v>
      </c>
      <c r="H837" t="s">
        <v>3764</v>
      </c>
    </row>
    <row r="838" spans="2:8" x14ac:dyDescent="0.25">
      <c r="B838" t="s">
        <v>3393</v>
      </c>
      <c r="C838">
        <v>2020</v>
      </c>
      <c r="D838" t="s">
        <v>3457</v>
      </c>
      <c r="E838" t="s">
        <v>2615</v>
      </c>
      <c r="F838" t="s">
        <v>2616</v>
      </c>
      <c r="G838" t="s">
        <v>2633</v>
      </c>
      <c r="H838" t="s">
        <v>3613</v>
      </c>
    </row>
    <row r="839" spans="2:8" x14ac:dyDescent="0.25">
      <c r="B839" t="s">
        <v>3393</v>
      </c>
      <c r="C839">
        <v>2020</v>
      </c>
      <c r="D839" t="s">
        <v>3457</v>
      </c>
      <c r="E839" t="s">
        <v>2615</v>
      </c>
      <c r="F839" t="s">
        <v>2616</v>
      </c>
      <c r="G839" t="s">
        <v>2634</v>
      </c>
      <c r="H839" t="s">
        <v>3764</v>
      </c>
    </row>
    <row r="840" spans="2:8" x14ac:dyDescent="0.25">
      <c r="B840" t="s">
        <v>3393</v>
      </c>
      <c r="C840">
        <v>2020</v>
      </c>
      <c r="D840" t="s">
        <v>3457</v>
      </c>
      <c r="E840" t="s">
        <v>2615</v>
      </c>
      <c r="F840" t="s">
        <v>2616</v>
      </c>
      <c r="G840" t="s">
        <v>2635</v>
      </c>
      <c r="H840" t="s">
        <v>3764</v>
      </c>
    </row>
    <row r="841" spans="2:8" x14ac:dyDescent="0.25">
      <c r="B841" t="s">
        <v>3393</v>
      </c>
      <c r="C841">
        <v>2020</v>
      </c>
      <c r="D841" t="s">
        <v>3457</v>
      </c>
      <c r="E841" t="s">
        <v>2615</v>
      </c>
      <c r="F841" t="s">
        <v>2616</v>
      </c>
      <c r="G841" t="s">
        <v>2636</v>
      </c>
      <c r="H841" t="s">
        <v>3930</v>
      </c>
    </row>
    <row r="842" spans="2:8" x14ac:dyDescent="0.25">
      <c r="B842" t="s">
        <v>3393</v>
      </c>
      <c r="C842">
        <v>2020</v>
      </c>
      <c r="D842" t="s">
        <v>3457</v>
      </c>
      <c r="E842" t="s">
        <v>2615</v>
      </c>
      <c r="F842" t="s">
        <v>2616</v>
      </c>
      <c r="G842" t="s">
        <v>2637</v>
      </c>
      <c r="H842" t="s">
        <v>3613</v>
      </c>
    </row>
    <row r="843" spans="2:8" x14ac:dyDescent="0.25">
      <c r="B843" t="s">
        <v>3393</v>
      </c>
      <c r="C843">
        <v>2020</v>
      </c>
      <c r="D843" t="s">
        <v>3457</v>
      </c>
      <c r="E843" t="s">
        <v>2615</v>
      </c>
      <c r="F843" t="s">
        <v>2616</v>
      </c>
      <c r="G843" t="s">
        <v>2638</v>
      </c>
      <c r="H843" t="s">
        <v>3764</v>
      </c>
    </row>
    <row r="844" spans="2:8" x14ac:dyDescent="0.25">
      <c r="B844" t="s">
        <v>3393</v>
      </c>
      <c r="C844">
        <v>2020</v>
      </c>
      <c r="D844" t="s">
        <v>3457</v>
      </c>
      <c r="E844" t="s">
        <v>2615</v>
      </c>
      <c r="F844" t="s">
        <v>2616</v>
      </c>
      <c r="G844" t="s">
        <v>2639</v>
      </c>
      <c r="H844" t="s">
        <v>3764</v>
      </c>
    </row>
    <row r="845" spans="2:8" x14ac:dyDescent="0.25">
      <c r="B845" t="s">
        <v>3393</v>
      </c>
      <c r="C845">
        <v>2020</v>
      </c>
      <c r="D845" t="s">
        <v>3457</v>
      </c>
      <c r="E845" t="s">
        <v>2615</v>
      </c>
      <c r="F845" t="s">
        <v>2616</v>
      </c>
      <c r="G845" t="s">
        <v>2640</v>
      </c>
      <c r="H845" t="s">
        <v>1993</v>
      </c>
    </row>
    <row r="846" spans="2:8" x14ac:dyDescent="0.25">
      <c r="B846" t="s">
        <v>3393</v>
      </c>
      <c r="C846">
        <v>2020</v>
      </c>
      <c r="D846" t="s">
        <v>3457</v>
      </c>
      <c r="E846" t="s">
        <v>2615</v>
      </c>
      <c r="F846" t="s">
        <v>2616</v>
      </c>
      <c r="G846" t="s">
        <v>2641</v>
      </c>
      <c r="H846" t="s">
        <v>3613</v>
      </c>
    </row>
    <row r="847" spans="2:8" x14ac:dyDescent="0.25">
      <c r="B847" t="s">
        <v>3393</v>
      </c>
      <c r="C847">
        <v>2020</v>
      </c>
      <c r="D847" t="s">
        <v>3457</v>
      </c>
      <c r="E847" t="s">
        <v>2615</v>
      </c>
      <c r="F847" t="s">
        <v>2616</v>
      </c>
      <c r="G847" t="s">
        <v>2642</v>
      </c>
      <c r="H847" t="s">
        <v>3764</v>
      </c>
    </row>
    <row r="848" spans="2:8" x14ac:dyDescent="0.25">
      <c r="B848" t="s">
        <v>3393</v>
      </c>
      <c r="C848">
        <v>2020</v>
      </c>
      <c r="D848" t="s">
        <v>3457</v>
      </c>
      <c r="E848" t="s">
        <v>2615</v>
      </c>
      <c r="F848" t="s">
        <v>2616</v>
      </c>
      <c r="G848" t="s">
        <v>2644</v>
      </c>
      <c r="H848" t="s">
        <v>3959</v>
      </c>
    </row>
    <row r="849" spans="2:8" x14ac:dyDescent="0.25">
      <c r="B849" t="s">
        <v>3393</v>
      </c>
      <c r="C849">
        <v>2020</v>
      </c>
      <c r="D849" t="s">
        <v>3457</v>
      </c>
      <c r="E849" t="s">
        <v>2615</v>
      </c>
      <c r="F849" t="s">
        <v>2616</v>
      </c>
      <c r="G849" t="s">
        <v>2645</v>
      </c>
      <c r="H849" t="s">
        <v>3764</v>
      </c>
    </row>
    <row r="850" spans="2:8" x14ac:dyDescent="0.25">
      <c r="B850" t="s">
        <v>3393</v>
      </c>
      <c r="C850">
        <v>2020</v>
      </c>
      <c r="D850" t="s">
        <v>3457</v>
      </c>
      <c r="E850" t="s">
        <v>2615</v>
      </c>
      <c r="F850" t="s">
        <v>2616</v>
      </c>
      <c r="G850" t="s">
        <v>2646</v>
      </c>
      <c r="H850" t="s">
        <v>3764</v>
      </c>
    </row>
    <row r="851" spans="2:8" x14ac:dyDescent="0.25">
      <c r="B851" t="s">
        <v>3393</v>
      </c>
      <c r="C851">
        <v>2020</v>
      </c>
      <c r="D851" t="s">
        <v>3457</v>
      </c>
      <c r="E851" t="s">
        <v>2615</v>
      </c>
      <c r="F851" t="s">
        <v>2616</v>
      </c>
      <c r="G851" t="s">
        <v>2647</v>
      </c>
      <c r="H851" t="s">
        <v>2518</v>
      </c>
    </row>
    <row r="852" spans="2:8" x14ac:dyDescent="0.25">
      <c r="B852" t="s">
        <v>3393</v>
      </c>
      <c r="C852">
        <v>2020</v>
      </c>
      <c r="D852" t="s">
        <v>3457</v>
      </c>
      <c r="E852" t="s">
        <v>2615</v>
      </c>
      <c r="F852" t="s">
        <v>2616</v>
      </c>
      <c r="G852" t="s">
        <v>2648</v>
      </c>
      <c r="H852" t="s">
        <v>3960</v>
      </c>
    </row>
    <row r="853" spans="2:8" x14ac:dyDescent="0.25">
      <c r="B853" t="s">
        <v>3393</v>
      </c>
      <c r="C853">
        <v>2020</v>
      </c>
      <c r="D853" t="s">
        <v>3457</v>
      </c>
      <c r="E853" t="s">
        <v>2615</v>
      </c>
      <c r="F853" t="s">
        <v>2616</v>
      </c>
      <c r="G853" t="s">
        <v>2649</v>
      </c>
      <c r="H853" t="s">
        <v>3961</v>
      </c>
    </row>
    <row r="854" spans="2:8" x14ac:dyDescent="0.25">
      <c r="B854" t="s">
        <v>3393</v>
      </c>
      <c r="C854">
        <v>2020</v>
      </c>
      <c r="D854" t="s">
        <v>3457</v>
      </c>
      <c r="E854" t="s">
        <v>2615</v>
      </c>
      <c r="F854" t="s">
        <v>2616</v>
      </c>
      <c r="G854" t="s">
        <v>2650</v>
      </c>
      <c r="H854" t="s">
        <v>3613</v>
      </c>
    </row>
    <row r="855" spans="2:8" x14ac:dyDescent="0.25">
      <c r="B855" t="s">
        <v>3393</v>
      </c>
      <c r="C855">
        <v>2020</v>
      </c>
      <c r="D855" t="s">
        <v>3457</v>
      </c>
      <c r="E855" t="s">
        <v>2615</v>
      </c>
      <c r="F855" t="s">
        <v>2616</v>
      </c>
      <c r="G855" t="s">
        <v>2651</v>
      </c>
      <c r="H855" t="s">
        <v>3764</v>
      </c>
    </row>
    <row r="856" spans="2:8" x14ac:dyDescent="0.25">
      <c r="B856" t="s">
        <v>3393</v>
      </c>
      <c r="C856">
        <v>2020</v>
      </c>
      <c r="D856" t="s">
        <v>3457</v>
      </c>
      <c r="E856" t="s">
        <v>2615</v>
      </c>
      <c r="F856" t="s">
        <v>2616</v>
      </c>
      <c r="G856" t="s">
        <v>2652</v>
      </c>
      <c r="H856" t="s">
        <v>3929</v>
      </c>
    </row>
    <row r="857" spans="2:8" x14ac:dyDescent="0.25">
      <c r="B857" t="s">
        <v>3393</v>
      </c>
      <c r="C857">
        <v>2020</v>
      </c>
      <c r="D857" t="s">
        <v>3457</v>
      </c>
      <c r="E857" t="s">
        <v>2615</v>
      </c>
      <c r="F857" t="s">
        <v>2616</v>
      </c>
      <c r="G857" t="s">
        <v>2653</v>
      </c>
      <c r="H857" t="s">
        <v>1993</v>
      </c>
    </row>
    <row r="858" spans="2:8" x14ac:dyDescent="0.25">
      <c r="B858" t="s">
        <v>3393</v>
      </c>
      <c r="C858">
        <v>2020</v>
      </c>
      <c r="D858" t="s">
        <v>3457</v>
      </c>
      <c r="E858" t="s">
        <v>2615</v>
      </c>
      <c r="F858" t="s">
        <v>2616</v>
      </c>
      <c r="G858" t="s">
        <v>2654</v>
      </c>
      <c r="H858" t="s">
        <v>3764</v>
      </c>
    </row>
    <row r="859" spans="2:8" x14ac:dyDescent="0.25">
      <c r="B859" t="s">
        <v>3393</v>
      </c>
      <c r="C859">
        <v>2020</v>
      </c>
      <c r="D859" t="s">
        <v>3457</v>
      </c>
      <c r="E859" t="s">
        <v>2615</v>
      </c>
      <c r="F859" t="s">
        <v>2616</v>
      </c>
      <c r="G859" t="s">
        <v>2655</v>
      </c>
      <c r="H859" t="s">
        <v>3764</v>
      </c>
    </row>
    <row r="860" spans="2:8" x14ac:dyDescent="0.25">
      <c r="B860" t="s">
        <v>3393</v>
      </c>
      <c r="C860">
        <v>2020</v>
      </c>
      <c r="D860" t="s">
        <v>3457</v>
      </c>
      <c r="E860" t="s">
        <v>2615</v>
      </c>
      <c r="F860" t="s">
        <v>2616</v>
      </c>
      <c r="G860" t="s">
        <v>2656</v>
      </c>
      <c r="H860" t="s">
        <v>3962</v>
      </c>
    </row>
    <row r="861" spans="2:8" x14ac:dyDescent="0.25">
      <c r="B861" t="s">
        <v>3393</v>
      </c>
      <c r="C861">
        <v>2020</v>
      </c>
      <c r="D861" t="s">
        <v>3457</v>
      </c>
      <c r="E861" t="s">
        <v>2615</v>
      </c>
      <c r="F861" t="s">
        <v>2616</v>
      </c>
      <c r="G861" t="s">
        <v>2657</v>
      </c>
      <c r="H861" t="s">
        <v>3963</v>
      </c>
    </row>
    <row r="862" spans="2:8" x14ac:dyDescent="0.25">
      <c r="B862" t="s">
        <v>3393</v>
      </c>
      <c r="C862">
        <v>2020</v>
      </c>
      <c r="D862" t="s">
        <v>3457</v>
      </c>
      <c r="E862" t="s">
        <v>2615</v>
      </c>
      <c r="F862" t="s">
        <v>2616</v>
      </c>
      <c r="G862" t="s">
        <v>2658</v>
      </c>
      <c r="H862" t="s">
        <v>3764</v>
      </c>
    </row>
    <row r="863" spans="2:8" x14ac:dyDescent="0.25">
      <c r="B863" t="s">
        <v>3393</v>
      </c>
      <c r="C863">
        <v>2020</v>
      </c>
      <c r="D863" t="s">
        <v>3457</v>
      </c>
      <c r="E863" t="s">
        <v>2615</v>
      </c>
      <c r="F863" t="s">
        <v>2616</v>
      </c>
      <c r="G863" t="s">
        <v>2659</v>
      </c>
      <c r="H863" t="s">
        <v>3764</v>
      </c>
    </row>
    <row r="864" spans="2:8" x14ac:dyDescent="0.25">
      <c r="B864" t="s">
        <v>3393</v>
      </c>
      <c r="C864">
        <v>2020</v>
      </c>
      <c r="D864" t="s">
        <v>3457</v>
      </c>
      <c r="E864" t="s">
        <v>2615</v>
      </c>
      <c r="F864" t="s">
        <v>2616</v>
      </c>
      <c r="G864" t="s">
        <v>2660</v>
      </c>
      <c r="H864" t="s">
        <v>3764</v>
      </c>
    </row>
    <row r="865" spans="2:8" x14ac:dyDescent="0.25">
      <c r="B865" t="s">
        <v>3393</v>
      </c>
      <c r="C865">
        <v>2020</v>
      </c>
      <c r="D865" t="s">
        <v>3457</v>
      </c>
      <c r="E865" t="s">
        <v>2615</v>
      </c>
      <c r="F865" t="s">
        <v>2616</v>
      </c>
      <c r="G865" t="s">
        <v>2662</v>
      </c>
      <c r="H865" t="s">
        <v>3930</v>
      </c>
    </row>
    <row r="866" spans="2:8" x14ac:dyDescent="0.25">
      <c r="B866" t="s">
        <v>3393</v>
      </c>
      <c r="C866">
        <v>2020</v>
      </c>
      <c r="D866" t="s">
        <v>3457</v>
      </c>
      <c r="E866" t="s">
        <v>2615</v>
      </c>
      <c r="F866" t="s">
        <v>2616</v>
      </c>
      <c r="G866" t="s">
        <v>2663</v>
      </c>
      <c r="H866" t="s">
        <v>3764</v>
      </c>
    </row>
    <row r="867" spans="2:8" x14ac:dyDescent="0.25">
      <c r="B867" t="s">
        <v>3393</v>
      </c>
      <c r="C867">
        <v>2020</v>
      </c>
      <c r="D867" t="s">
        <v>3457</v>
      </c>
      <c r="E867" t="s">
        <v>2603</v>
      </c>
      <c r="F867" t="s">
        <v>2664</v>
      </c>
      <c r="G867" t="s">
        <v>2665</v>
      </c>
      <c r="H867" t="s">
        <v>2015</v>
      </c>
    </row>
    <row r="868" spans="2:8" x14ac:dyDescent="0.25">
      <c r="B868" t="s">
        <v>3393</v>
      </c>
      <c r="C868">
        <v>2020</v>
      </c>
      <c r="D868" t="s">
        <v>3457</v>
      </c>
      <c r="E868" t="s">
        <v>2603</v>
      </c>
      <c r="F868" t="s">
        <v>2664</v>
      </c>
      <c r="G868" t="s">
        <v>3140</v>
      </c>
      <c r="H868" t="s">
        <v>2015</v>
      </c>
    </row>
    <row r="869" spans="2:8" x14ac:dyDescent="0.25">
      <c r="B869" t="s">
        <v>3393</v>
      </c>
      <c r="C869">
        <v>2020</v>
      </c>
      <c r="D869" t="s">
        <v>3457</v>
      </c>
      <c r="E869" t="s">
        <v>2603</v>
      </c>
      <c r="F869" t="s">
        <v>2664</v>
      </c>
      <c r="G869" t="s">
        <v>3141</v>
      </c>
      <c r="H869" t="s">
        <v>2145</v>
      </c>
    </row>
    <row r="870" spans="2:8" x14ac:dyDescent="0.25">
      <c r="B870" t="s">
        <v>3393</v>
      </c>
      <c r="C870">
        <v>2020</v>
      </c>
      <c r="D870" t="s">
        <v>3457</v>
      </c>
      <c r="E870" t="s">
        <v>2603</v>
      </c>
      <c r="F870" t="s">
        <v>2664</v>
      </c>
      <c r="G870" t="s">
        <v>3142</v>
      </c>
      <c r="H870" t="s">
        <v>2011</v>
      </c>
    </row>
    <row r="871" spans="2:8" x14ac:dyDescent="0.25">
      <c r="B871" t="s">
        <v>3393</v>
      </c>
      <c r="C871">
        <v>2020</v>
      </c>
      <c r="D871" t="s">
        <v>3457</v>
      </c>
      <c r="E871" t="s">
        <v>2603</v>
      </c>
      <c r="F871" t="s">
        <v>2664</v>
      </c>
      <c r="G871" t="s">
        <v>3143</v>
      </c>
      <c r="H871" t="s">
        <v>3964</v>
      </c>
    </row>
    <row r="872" spans="2:8" x14ac:dyDescent="0.25">
      <c r="B872" t="s">
        <v>3393</v>
      </c>
      <c r="C872">
        <v>2020</v>
      </c>
      <c r="D872" t="s">
        <v>3457</v>
      </c>
      <c r="E872" t="s">
        <v>2603</v>
      </c>
      <c r="F872" t="s">
        <v>2664</v>
      </c>
      <c r="G872" t="s">
        <v>2666</v>
      </c>
      <c r="H872" t="s">
        <v>2145</v>
      </c>
    </row>
    <row r="873" spans="2:8" x14ac:dyDescent="0.25">
      <c r="B873" t="s">
        <v>3393</v>
      </c>
      <c r="C873">
        <v>2020</v>
      </c>
      <c r="D873" t="s">
        <v>3457</v>
      </c>
      <c r="E873" t="s">
        <v>2603</v>
      </c>
      <c r="F873" t="s">
        <v>2664</v>
      </c>
      <c r="G873" t="s">
        <v>2667</v>
      </c>
      <c r="H873" t="s">
        <v>2011</v>
      </c>
    </row>
    <row r="874" spans="2:8" x14ac:dyDescent="0.25">
      <c r="B874" t="s">
        <v>3393</v>
      </c>
      <c r="C874">
        <v>2020</v>
      </c>
      <c r="D874" t="s">
        <v>3457</v>
      </c>
      <c r="E874" t="s">
        <v>2603</v>
      </c>
      <c r="F874" t="s">
        <v>2664</v>
      </c>
      <c r="G874" t="s">
        <v>2668</v>
      </c>
      <c r="H874" t="s">
        <v>3964</v>
      </c>
    </row>
    <row r="875" spans="2:8" x14ac:dyDescent="0.25">
      <c r="B875" t="s">
        <v>3393</v>
      </c>
      <c r="C875">
        <v>2020</v>
      </c>
      <c r="D875" t="s">
        <v>3457</v>
      </c>
      <c r="E875" t="s">
        <v>2603</v>
      </c>
      <c r="F875" t="s">
        <v>2664</v>
      </c>
      <c r="G875" t="s">
        <v>2669</v>
      </c>
      <c r="H875" t="s">
        <v>3965</v>
      </c>
    </row>
    <row r="876" spans="2:8" x14ac:dyDescent="0.25">
      <c r="B876" t="s">
        <v>3393</v>
      </c>
      <c r="C876">
        <v>2020</v>
      </c>
      <c r="D876" t="s">
        <v>3457</v>
      </c>
      <c r="E876" t="s">
        <v>2603</v>
      </c>
      <c r="F876" t="s">
        <v>2664</v>
      </c>
      <c r="G876" t="s">
        <v>2670</v>
      </c>
      <c r="H876" t="s">
        <v>3966</v>
      </c>
    </row>
    <row r="877" spans="2:8" x14ac:dyDescent="0.25">
      <c r="B877" t="s">
        <v>3393</v>
      </c>
      <c r="C877">
        <v>2020</v>
      </c>
      <c r="D877" t="s">
        <v>3457</v>
      </c>
      <c r="E877" t="s">
        <v>2603</v>
      </c>
      <c r="F877" t="s">
        <v>2664</v>
      </c>
      <c r="G877" t="s">
        <v>3144</v>
      </c>
      <c r="H877" t="s">
        <v>3966</v>
      </c>
    </row>
    <row r="878" spans="2:8" x14ac:dyDescent="0.25">
      <c r="B878" t="s">
        <v>3393</v>
      </c>
      <c r="C878">
        <v>2020</v>
      </c>
      <c r="D878" t="s">
        <v>3457</v>
      </c>
      <c r="E878" t="s">
        <v>2603</v>
      </c>
      <c r="F878" t="s">
        <v>2664</v>
      </c>
      <c r="G878" t="s">
        <v>3145</v>
      </c>
      <c r="H878" t="s">
        <v>3967</v>
      </c>
    </row>
    <row r="879" spans="2:8" x14ac:dyDescent="0.25">
      <c r="B879" t="s">
        <v>3393</v>
      </c>
      <c r="C879">
        <v>2020</v>
      </c>
      <c r="D879" t="s">
        <v>3457</v>
      </c>
      <c r="E879" t="s">
        <v>2603</v>
      </c>
      <c r="F879" t="s">
        <v>2664</v>
      </c>
      <c r="G879" t="s">
        <v>3146</v>
      </c>
      <c r="H879" t="s">
        <v>3968</v>
      </c>
    </row>
    <row r="880" spans="2:8" x14ac:dyDescent="0.25">
      <c r="B880" t="s">
        <v>3393</v>
      </c>
      <c r="C880">
        <v>2020</v>
      </c>
      <c r="D880" t="s">
        <v>3457</v>
      </c>
      <c r="E880" t="s">
        <v>2603</v>
      </c>
      <c r="F880" t="s">
        <v>2664</v>
      </c>
      <c r="G880" t="s">
        <v>3147</v>
      </c>
      <c r="H880" t="s">
        <v>3969</v>
      </c>
    </row>
    <row r="881" spans="2:8" x14ac:dyDescent="0.25">
      <c r="B881" t="s">
        <v>3393</v>
      </c>
      <c r="C881">
        <v>2020</v>
      </c>
      <c r="D881" t="s">
        <v>3457</v>
      </c>
      <c r="E881" t="s">
        <v>2603</v>
      </c>
      <c r="F881" t="s">
        <v>2664</v>
      </c>
      <c r="G881" t="s">
        <v>2671</v>
      </c>
      <c r="H881" t="s">
        <v>3970</v>
      </c>
    </row>
    <row r="882" spans="2:8" x14ac:dyDescent="0.25">
      <c r="B882" t="s">
        <v>3393</v>
      </c>
      <c r="C882">
        <v>2020</v>
      </c>
      <c r="D882" t="s">
        <v>3457</v>
      </c>
      <c r="E882" t="s">
        <v>2603</v>
      </c>
      <c r="F882" t="s">
        <v>2664</v>
      </c>
      <c r="G882" t="s">
        <v>2672</v>
      </c>
      <c r="H882" t="s">
        <v>3968</v>
      </c>
    </row>
    <row r="883" spans="2:8" x14ac:dyDescent="0.25">
      <c r="B883" t="s">
        <v>3393</v>
      </c>
      <c r="C883">
        <v>2020</v>
      </c>
      <c r="D883" t="s">
        <v>3457</v>
      </c>
      <c r="E883" t="s">
        <v>2603</v>
      </c>
      <c r="F883" t="s">
        <v>2664</v>
      </c>
      <c r="G883" t="s">
        <v>2673</v>
      </c>
      <c r="H883" t="s">
        <v>3969</v>
      </c>
    </row>
    <row r="884" spans="2:8" x14ac:dyDescent="0.25">
      <c r="B884" t="s">
        <v>3393</v>
      </c>
      <c r="C884">
        <v>2020</v>
      </c>
      <c r="D884" t="s">
        <v>3457</v>
      </c>
      <c r="E884" t="s">
        <v>2603</v>
      </c>
      <c r="F884" t="s">
        <v>2664</v>
      </c>
      <c r="G884" t="s">
        <v>2674</v>
      </c>
      <c r="H884" t="s">
        <v>3971</v>
      </c>
    </row>
    <row r="885" spans="2:8" x14ac:dyDescent="0.25">
      <c r="B885" t="s">
        <v>3393</v>
      </c>
      <c r="C885">
        <v>2020</v>
      </c>
      <c r="D885" t="s">
        <v>3457</v>
      </c>
      <c r="E885" t="s">
        <v>2675</v>
      </c>
      <c r="F885" t="s">
        <v>2676</v>
      </c>
      <c r="G885" t="s">
        <v>2677</v>
      </c>
      <c r="H885" t="s">
        <v>2678</v>
      </c>
    </row>
    <row r="886" spans="2:8" x14ac:dyDescent="0.25">
      <c r="B886" t="s">
        <v>3393</v>
      </c>
      <c r="C886">
        <v>2020</v>
      </c>
      <c r="D886" t="s">
        <v>3457</v>
      </c>
      <c r="E886" t="s">
        <v>2675</v>
      </c>
      <c r="F886" t="s">
        <v>2676</v>
      </c>
      <c r="G886" t="s">
        <v>2679</v>
      </c>
      <c r="H886" t="s">
        <v>1993</v>
      </c>
    </row>
    <row r="887" spans="2:8" x14ac:dyDescent="0.25">
      <c r="B887" t="s">
        <v>3393</v>
      </c>
      <c r="C887">
        <v>2020</v>
      </c>
      <c r="D887" t="s">
        <v>3457</v>
      </c>
      <c r="E887" t="s">
        <v>2675</v>
      </c>
      <c r="F887" t="s">
        <v>2676</v>
      </c>
      <c r="G887" t="s">
        <v>2680</v>
      </c>
      <c r="H887" t="s">
        <v>3764</v>
      </c>
    </row>
    <row r="888" spans="2:8" x14ac:dyDescent="0.25">
      <c r="B888" t="s">
        <v>3393</v>
      </c>
      <c r="C888">
        <v>2020</v>
      </c>
      <c r="D888" t="s">
        <v>3457</v>
      </c>
      <c r="E888" t="s">
        <v>2675</v>
      </c>
      <c r="F888" t="s">
        <v>2676</v>
      </c>
      <c r="G888" t="s">
        <v>2681</v>
      </c>
      <c r="H888" t="s">
        <v>3764</v>
      </c>
    </row>
    <row r="889" spans="2:8" x14ac:dyDescent="0.25">
      <c r="B889" t="s">
        <v>3393</v>
      </c>
      <c r="C889">
        <v>2020</v>
      </c>
      <c r="D889" t="s">
        <v>3457</v>
      </c>
      <c r="E889" t="s">
        <v>2675</v>
      </c>
      <c r="F889" t="s">
        <v>2676</v>
      </c>
      <c r="G889" t="s">
        <v>2682</v>
      </c>
      <c r="H889" t="s">
        <v>2678</v>
      </c>
    </row>
    <row r="890" spans="2:8" x14ac:dyDescent="0.25">
      <c r="B890" t="s">
        <v>3393</v>
      </c>
      <c r="C890">
        <v>2020</v>
      </c>
      <c r="D890" t="s">
        <v>3457</v>
      </c>
      <c r="E890" t="s">
        <v>2675</v>
      </c>
      <c r="F890" t="s">
        <v>2676</v>
      </c>
      <c r="G890" t="s">
        <v>2683</v>
      </c>
      <c r="H890" t="s">
        <v>1993</v>
      </c>
    </row>
    <row r="891" spans="2:8" x14ac:dyDescent="0.25">
      <c r="B891" t="s">
        <v>3393</v>
      </c>
      <c r="C891">
        <v>2020</v>
      </c>
      <c r="D891" t="s">
        <v>3457</v>
      </c>
      <c r="E891" t="s">
        <v>2675</v>
      </c>
      <c r="F891" t="s">
        <v>2676</v>
      </c>
      <c r="G891" t="s">
        <v>2684</v>
      </c>
      <c r="H891" t="s">
        <v>3764</v>
      </c>
    </row>
    <row r="892" spans="2:8" x14ac:dyDescent="0.25">
      <c r="B892" t="s">
        <v>3393</v>
      </c>
      <c r="C892">
        <v>2020</v>
      </c>
      <c r="D892" t="s">
        <v>3457</v>
      </c>
      <c r="E892" t="s">
        <v>2675</v>
      </c>
      <c r="F892" t="s">
        <v>2676</v>
      </c>
      <c r="G892" t="s">
        <v>2685</v>
      </c>
      <c r="H892" t="s">
        <v>3764</v>
      </c>
    </row>
    <row r="893" spans="2:8" x14ac:dyDescent="0.25">
      <c r="B893" t="s">
        <v>3393</v>
      </c>
      <c r="C893">
        <v>2020</v>
      </c>
      <c r="D893" t="s">
        <v>3457</v>
      </c>
      <c r="E893" t="s">
        <v>2675</v>
      </c>
      <c r="F893" t="s">
        <v>2676</v>
      </c>
      <c r="G893" t="s">
        <v>2686</v>
      </c>
      <c r="H893" t="s">
        <v>2518</v>
      </c>
    </row>
    <row r="894" spans="2:8" x14ac:dyDescent="0.25">
      <c r="B894" t="s">
        <v>3393</v>
      </c>
      <c r="C894">
        <v>2020</v>
      </c>
      <c r="D894" t="s">
        <v>3457</v>
      </c>
      <c r="E894" t="s">
        <v>2675</v>
      </c>
      <c r="F894" t="s">
        <v>2676</v>
      </c>
      <c r="G894" t="s">
        <v>2687</v>
      </c>
      <c r="H894" t="s">
        <v>3972</v>
      </c>
    </row>
    <row r="895" spans="2:8" x14ac:dyDescent="0.25">
      <c r="B895" t="s">
        <v>3393</v>
      </c>
      <c r="C895">
        <v>2020</v>
      </c>
      <c r="D895" t="s">
        <v>3457</v>
      </c>
      <c r="E895" t="s">
        <v>2675</v>
      </c>
      <c r="F895" t="s">
        <v>2676</v>
      </c>
      <c r="G895" t="s">
        <v>2688</v>
      </c>
      <c r="H895" t="s">
        <v>3764</v>
      </c>
    </row>
    <row r="896" spans="2:8" x14ac:dyDescent="0.25">
      <c r="B896" t="s">
        <v>3393</v>
      </c>
      <c r="C896">
        <v>2020</v>
      </c>
      <c r="D896" t="s">
        <v>3457</v>
      </c>
      <c r="E896" t="s">
        <v>2675</v>
      </c>
      <c r="F896" t="s">
        <v>2676</v>
      </c>
      <c r="G896" t="s">
        <v>2689</v>
      </c>
      <c r="H896" t="s">
        <v>3764</v>
      </c>
    </row>
    <row r="897" spans="2:8" x14ac:dyDescent="0.25">
      <c r="B897" t="s">
        <v>3393</v>
      </c>
      <c r="C897">
        <v>2020</v>
      </c>
      <c r="D897" t="s">
        <v>3457</v>
      </c>
      <c r="E897" t="s">
        <v>2675</v>
      </c>
      <c r="F897" t="s">
        <v>2676</v>
      </c>
      <c r="G897" t="s">
        <v>2690</v>
      </c>
      <c r="H897" t="s">
        <v>2518</v>
      </c>
    </row>
    <row r="898" spans="2:8" x14ac:dyDescent="0.25">
      <c r="B898" t="s">
        <v>3393</v>
      </c>
      <c r="C898">
        <v>2020</v>
      </c>
      <c r="D898" t="s">
        <v>3457</v>
      </c>
      <c r="E898" t="s">
        <v>2675</v>
      </c>
      <c r="F898" t="s">
        <v>2676</v>
      </c>
      <c r="G898" t="s">
        <v>2691</v>
      </c>
      <c r="H898" t="s">
        <v>3764</v>
      </c>
    </row>
    <row r="899" spans="2:8" x14ac:dyDescent="0.25">
      <c r="B899" t="s">
        <v>3393</v>
      </c>
      <c r="C899">
        <v>2020</v>
      </c>
      <c r="D899" t="s">
        <v>3457</v>
      </c>
      <c r="E899" t="s">
        <v>2675</v>
      </c>
      <c r="F899" t="s">
        <v>2676</v>
      </c>
      <c r="G899" t="s">
        <v>2692</v>
      </c>
      <c r="H899" t="s">
        <v>3973</v>
      </c>
    </row>
    <row r="900" spans="2:8" x14ac:dyDescent="0.25">
      <c r="B900" t="s">
        <v>3393</v>
      </c>
      <c r="C900">
        <v>2020</v>
      </c>
      <c r="D900" t="s">
        <v>3457</v>
      </c>
      <c r="E900" t="s">
        <v>2675</v>
      </c>
      <c r="F900" t="s">
        <v>2676</v>
      </c>
      <c r="G900" t="s">
        <v>2693</v>
      </c>
      <c r="H900" t="s">
        <v>3613</v>
      </c>
    </row>
    <row r="901" spans="2:8" x14ac:dyDescent="0.25">
      <c r="B901" t="s">
        <v>3393</v>
      </c>
      <c r="C901">
        <v>2020</v>
      </c>
      <c r="D901" t="s">
        <v>3457</v>
      </c>
      <c r="E901" t="s">
        <v>2675</v>
      </c>
      <c r="F901" t="s">
        <v>2676</v>
      </c>
      <c r="G901" t="s">
        <v>2694</v>
      </c>
      <c r="H901" t="s">
        <v>3764</v>
      </c>
    </row>
    <row r="902" spans="2:8" x14ac:dyDescent="0.25">
      <c r="B902" t="s">
        <v>3393</v>
      </c>
      <c r="C902">
        <v>2020</v>
      </c>
      <c r="D902" t="s">
        <v>3457</v>
      </c>
      <c r="E902" t="s">
        <v>2675</v>
      </c>
      <c r="F902" t="s">
        <v>2676</v>
      </c>
      <c r="G902" t="s">
        <v>2695</v>
      </c>
      <c r="H902" t="s">
        <v>1993</v>
      </c>
    </row>
    <row r="903" spans="2:8" x14ac:dyDescent="0.25">
      <c r="B903" t="s">
        <v>3393</v>
      </c>
      <c r="C903">
        <v>2020</v>
      </c>
      <c r="D903" t="s">
        <v>3457</v>
      </c>
      <c r="E903" t="s">
        <v>2675</v>
      </c>
      <c r="F903" t="s">
        <v>2676</v>
      </c>
      <c r="G903" t="s">
        <v>2696</v>
      </c>
      <c r="H903" t="s">
        <v>3764</v>
      </c>
    </row>
    <row r="904" spans="2:8" x14ac:dyDescent="0.25">
      <c r="B904" t="s">
        <v>3393</v>
      </c>
      <c r="C904">
        <v>2020</v>
      </c>
      <c r="D904" t="s">
        <v>3457</v>
      </c>
      <c r="E904" t="s">
        <v>2675</v>
      </c>
      <c r="F904" t="s">
        <v>2676</v>
      </c>
      <c r="G904" t="s">
        <v>2697</v>
      </c>
      <c r="H904" t="s">
        <v>3613</v>
      </c>
    </row>
    <row r="905" spans="2:8" x14ac:dyDescent="0.25">
      <c r="B905" t="s">
        <v>3393</v>
      </c>
      <c r="C905">
        <v>2020</v>
      </c>
      <c r="D905" t="s">
        <v>3457</v>
      </c>
      <c r="E905" t="s">
        <v>2675</v>
      </c>
      <c r="F905" t="s">
        <v>2676</v>
      </c>
      <c r="G905" t="s">
        <v>2698</v>
      </c>
      <c r="H905" t="s">
        <v>2518</v>
      </c>
    </row>
    <row r="906" spans="2:8" x14ac:dyDescent="0.25">
      <c r="B906" t="s">
        <v>3393</v>
      </c>
      <c r="C906">
        <v>2020</v>
      </c>
      <c r="D906" t="s">
        <v>3457</v>
      </c>
      <c r="E906" t="s">
        <v>2675</v>
      </c>
      <c r="F906" t="s">
        <v>2676</v>
      </c>
      <c r="G906" t="s">
        <v>2699</v>
      </c>
      <c r="H906" t="s">
        <v>3974</v>
      </c>
    </row>
    <row r="907" spans="2:8" x14ac:dyDescent="0.25">
      <c r="B907" t="s">
        <v>3393</v>
      </c>
      <c r="C907">
        <v>2020</v>
      </c>
      <c r="D907" t="s">
        <v>3457</v>
      </c>
      <c r="E907" t="s">
        <v>2675</v>
      </c>
      <c r="F907" t="s">
        <v>2676</v>
      </c>
      <c r="G907" t="s">
        <v>2700</v>
      </c>
      <c r="H907" t="s">
        <v>3764</v>
      </c>
    </row>
    <row r="908" spans="2:8" x14ac:dyDescent="0.25">
      <c r="B908" t="s">
        <v>3393</v>
      </c>
      <c r="C908">
        <v>2020</v>
      </c>
      <c r="D908" t="s">
        <v>3457</v>
      </c>
      <c r="E908" t="s">
        <v>2675</v>
      </c>
      <c r="F908" t="s">
        <v>2676</v>
      </c>
      <c r="G908" t="s">
        <v>2701</v>
      </c>
      <c r="H908" t="s">
        <v>3764</v>
      </c>
    </row>
    <row r="909" spans="2:8" x14ac:dyDescent="0.25">
      <c r="B909" t="s">
        <v>3393</v>
      </c>
      <c r="C909">
        <v>2020</v>
      </c>
      <c r="D909" t="s">
        <v>3457</v>
      </c>
      <c r="E909" t="s">
        <v>2675</v>
      </c>
      <c r="F909" t="s">
        <v>2676</v>
      </c>
      <c r="G909" t="s">
        <v>2702</v>
      </c>
      <c r="H909" t="s">
        <v>3764</v>
      </c>
    </row>
    <row r="910" spans="2:8" x14ac:dyDescent="0.25">
      <c r="B910" t="s">
        <v>3393</v>
      </c>
      <c r="C910">
        <v>2020</v>
      </c>
      <c r="D910" t="s">
        <v>3457</v>
      </c>
      <c r="E910" t="s">
        <v>2675</v>
      </c>
      <c r="F910" t="s">
        <v>2676</v>
      </c>
      <c r="G910" t="s">
        <v>2703</v>
      </c>
      <c r="H910" t="s">
        <v>3764</v>
      </c>
    </row>
    <row r="911" spans="2:8" x14ac:dyDescent="0.25">
      <c r="B911" t="s">
        <v>3393</v>
      </c>
      <c r="C911">
        <v>2020</v>
      </c>
      <c r="D911" t="s">
        <v>3457</v>
      </c>
      <c r="E911" t="s">
        <v>2675</v>
      </c>
      <c r="F911" t="s">
        <v>2676</v>
      </c>
      <c r="G911" t="s">
        <v>2704</v>
      </c>
      <c r="H911" t="s">
        <v>3325</v>
      </c>
    </row>
    <row r="912" spans="2:8" x14ac:dyDescent="0.25">
      <c r="B912" t="s">
        <v>3393</v>
      </c>
      <c r="C912">
        <v>2020</v>
      </c>
      <c r="D912" t="s">
        <v>3457</v>
      </c>
      <c r="E912" t="s">
        <v>2675</v>
      </c>
      <c r="F912" t="s">
        <v>2676</v>
      </c>
      <c r="G912" t="s">
        <v>2705</v>
      </c>
      <c r="H912" t="s">
        <v>3764</v>
      </c>
    </row>
    <row r="913" spans="2:8" x14ac:dyDescent="0.25">
      <c r="B913" t="s">
        <v>3393</v>
      </c>
      <c r="C913">
        <v>2020</v>
      </c>
      <c r="D913" t="s">
        <v>3457</v>
      </c>
      <c r="E913" t="s">
        <v>2675</v>
      </c>
      <c r="F913" t="s">
        <v>2676</v>
      </c>
      <c r="G913" t="s">
        <v>2706</v>
      </c>
      <c r="H913" t="s">
        <v>3764</v>
      </c>
    </row>
    <row r="914" spans="2:8" x14ac:dyDescent="0.25">
      <c r="B914" t="s">
        <v>3393</v>
      </c>
      <c r="C914">
        <v>2020</v>
      </c>
      <c r="D914" t="s">
        <v>3457</v>
      </c>
      <c r="E914" t="s">
        <v>2675</v>
      </c>
      <c r="F914" t="s">
        <v>2676</v>
      </c>
      <c r="G914" t="s">
        <v>2707</v>
      </c>
      <c r="H914" t="s">
        <v>3764</v>
      </c>
    </row>
    <row r="915" spans="2:8" x14ac:dyDescent="0.25">
      <c r="B915" t="s">
        <v>3393</v>
      </c>
      <c r="C915">
        <v>2020</v>
      </c>
      <c r="D915" t="s">
        <v>3457</v>
      </c>
      <c r="E915" t="s">
        <v>2675</v>
      </c>
      <c r="F915" t="s">
        <v>2676</v>
      </c>
      <c r="G915" t="s">
        <v>2708</v>
      </c>
      <c r="H915" t="s">
        <v>3764</v>
      </c>
    </row>
    <row r="916" spans="2:8" x14ac:dyDescent="0.25">
      <c r="B916" t="s">
        <v>3393</v>
      </c>
      <c r="C916">
        <v>2020</v>
      </c>
      <c r="D916" t="s">
        <v>3457</v>
      </c>
      <c r="E916" t="s">
        <v>2675</v>
      </c>
      <c r="F916" t="s">
        <v>2676</v>
      </c>
      <c r="G916" t="s">
        <v>2709</v>
      </c>
      <c r="H916" t="s">
        <v>3764</v>
      </c>
    </row>
    <row r="917" spans="2:8" x14ac:dyDescent="0.25">
      <c r="B917" t="s">
        <v>3393</v>
      </c>
      <c r="C917">
        <v>2020</v>
      </c>
      <c r="D917" t="s">
        <v>3457</v>
      </c>
      <c r="E917" t="s">
        <v>2675</v>
      </c>
      <c r="F917" t="s">
        <v>2676</v>
      </c>
      <c r="G917" t="s">
        <v>2710</v>
      </c>
      <c r="H917" t="s">
        <v>2711</v>
      </c>
    </row>
    <row r="918" spans="2:8" x14ac:dyDescent="0.25">
      <c r="B918" t="s">
        <v>3393</v>
      </c>
      <c r="C918">
        <v>2020</v>
      </c>
      <c r="D918" t="s">
        <v>3457</v>
      </c>
      <c r="E918" t="s">
        <v>2675</v>
      </c>
      <c r="F918" t="s">
        <v>2676</v>
      </c>
      <c r="G918" t="s">
        <v>2712</v>
      </c>
      <c r="H918" t="s">
        <v>3339</v>
      </c>
    </row>
    <row r="919" spans="2:8" x14ac:dyDescent="0.25">
      <c r="B919" t="s">
        <v>3393</v>
      </c>
      <c r="C919">
        <v>2020</v>
      </c>
      <c r="D919" t="s">
        <v>3457</v>
      </c>
      <c r="E919" t="s">
        <v>2675</v>
      </c>
      <c r="F919" t="s">
        <v>2676</v>
      </c>
      <c r="G919" t="s">
        <v>2713</v>
      </c>
      <c r="H919" t="s">
        <v>1993</v>
      </c>
    </row>
    <row r="920" spans="2:8" x14ac:dyDescent="0.25">
      <c r="B920" t="s">
        <v>3393</v>
      </c>
      <c r="C920">
        <v>2020</v>
      </c>
      <c r="D920" t="s">
        <v>3457</v>
      </c>
      <c r="E920" t="s">
        <v>2675</v>
      </c>
      <c r="F920" t="s">
        <v>2676</v>
      </c>
      <c r="G920" t="s">
        <v>2714</v>
      </c>
      <c r="H920" t="s">
        <v>3336</v>
      </c>
    </row>
    <row r="921" spans="2:8" x14ac:dyDescent="0.25">
      <c r="B921" t="s">
        <v>3393</v>
      </c>
      <c r="C921">
        <v>2020</v>
      </c>
      <c r="D921" t="s">
        <v>3457</v>
      </c>
      <c r="E921" t="s">
        <v>2675</v>
      </c>
      <c r="F921" t="s">
        <v>2676</v>
      </c>
      <c r="G921" t="s">
        <v>2715</v>
      </c>
      <c r="H921" t="s">
        <v>3764</v>
      </c>
    </row>
    <row r="922" spans="2:8" x14ac:dyDescent="0.25">
      <c r="B922" t="s">
        <v>3393</v>
      </c>
      <c r="C922">
        <v>2020</v>
      </c>
      <c r="D922" t="s">
        <v>3457</v>
      </c>
      <c r="E922" t="s">
        <v>2675</v>
      </c>
      <c r="F922" t="s">
        <v>2676</v>
      </c>
      <c r="G922" t="s">
        <v>2716</v>
      </c>
      <c r="H922" t="s">
        <v>3764</v>
      </c>
    </row>
    <row r="923" spans="2:8" x14ac:dyDescent="0.25">
      <c r="B923" t="s">
        <v>3393</v>
      </c>
      <c r="C923">
        <v>2020</v>
      </c>
      <c r="D923" t="s">
        <v>3457</v>
      </c>
      <c r="E923" t="s">
        <v>2675</v>
      </c>
      <c r="F923" t="s">
        <v>2676</v>
      </c>
      <c r="G923" t="s">
        <v>2717</v>
      </c>
      <c r="H923" t="s">
        <v>1993</v>
      </c>
    </row>
    <row r="924" spans="2:8" x14ac:dyDescent="0.25">
      <c r="B924" t="s">
        <v>3393</v>
      </c>
      <c r="C924">
        <v>2020</v>
      </c>
      <c r="D924" t="s">
        <v>3457</v>
      </c>
      <c r="E924" t="s">
        <v>2675</v>
      </c>
      <c r="F924" t="s">
        <v>2676</v>
      </c>
      <c r="G924" t="s">
        <v>2718</v>
      </c>
      <c r="H924" t="s">
        <v>3613</v>
      </c>
    </row>
    <row r="925" spans="2:8" x14ac:dyDescent="0.25">
      <c r="B925" t="s">
        <v>3393</v>
      </c>
      <c r="C925">
        <v>2020</v>
      </c>
      <c r="D925" t="s">
        <v>3457</v>
      </c>
      <c r="E925" t="s">
        <v>2675</v>
      </c>
      <c r="F925" t="s">
        <v>2676</v>
      </c>
      <c r="G925" t="s">
        <v>2719</v>
      </c>
      <c r="H925" t="s">
        <v>3764</v>
      </c>
    </row>
    <row r="926" spans="2:8" x14ac:dyDescent="0.25">
      <c r="B926" t="s">
        <v>3393</v>
      </c>
      <c r="C926">
        <v>2020</v>
      </c>
      <c r="D926" t="s">
        <v>3457</v>
      </c>
      <c r="E926" t="s">
        <v>2675</v>
      </c>
      <c r="F926" t="s">
        <v>2676</v>
      </c>
      <c r="G926" t="s">
        <v>2720</v>
      </c>
      <c r="H926" t="s">
        <v>3947</v>
      </c>
    </row>
    <row r="927" spans="2:8" x14ac:dyDescent="0.25">
      <c r="B927" t="s">
        <v>3393</v>
      </c>
      <c r="C927">
        <v>2020</v>
      </c>
      <c r="D927" t="s">
        <v>3457</v>
      </c>
      <c r="E927" t="s">
        <v>2675</v>
      </c>
      <c r="F927" t="s">
        <v>2676</v>
      </c>
      <c r="G927" t="s">
        <v>2721</v>
      </c>
      <c r="H927" t="s">
        <v>3764</v>
      </c>
    </row>
    <row r="928" spans="2:8" x14ac:dyDescent="0.25">
      <c r="B928" t="s">
        <v>3393</v>
      </c>
      <c r="C928">
        <v>2020</v>
      </c>
      <c r="D928" t="s">
        <v>3457</v>
      </c>
      <c r="E928" t="s">
        <v>2675</v>
      </c>
      <c r="F928" t="s">
        <v>2676</v>
      </c>
      <c r="G928" t="s">
        <v>2722</v>
      </c>
      <c r="H928" t="s">
        <v>3764</v>
      </c>
    </row>
    <row r="929" spans="2:8" x14ac:dyDescent="0.25">
      <c r="B929" t="s">
        <v>3393</v>
      </c>
      <c r="C929">
        <v>2020</v>
      </c>
      <c r="D929" t="s">
        <v>3457</v>
      </c>
      <c r="E929" t="s">
        <v>2675</v>
      </c>
      <c r="F929" t="s">
        <v>2676</v>
      </c>
      <c r="G929" t="s">
        <v>2723</v>
      </c>
      <c r="H929" t="s">
        <v>2518</v>
      </c>
    </row>
    <row r="930" spans="2:8" x14ac:dyDescent="0.25">
      <c r="B930" t="s">
        <v>3393</v>
      </c>
      <c r="C930">
        <v>2020</v>
      </c>
      <c r="D930" t="s">
        <v>3457</v>
      </c>
      <c r="E930" t="s">
        <v>2675</v>
      </c>
      <c r="F930" t="s">
        <v>2676</v>
      </c>
      <c r="G930" t="s">
        <v>2724</v>
      </c>
      <c r="H930" t="s">
        <v>3764</v>
      </c>
    </row>
    <row r="931" spans="2:8" x14ac:dyDescent="0.25">
      <c r="B931" t="s">
        <v>3393</v>
      </c>
      <c r="C931">
        <v>2020</v>
      </c>
      <c r="D931" t="s">
        <v>3457</v>
      </c>
      <c r="E931" t="s">
        <v>2675</v>
      </c>
      <c r="F931" t="s">
        <v>2676</v>
      </c>
      <c r="G931" t="s">
        <v>2725</v>
      </c>
      <c r="H931" t="s">
        <v>1993</v>
      </c>
    </row>
    <row r="932" spans="2:8" x14ac:dyDescent="0.25">
      <c r="B932" t="s">
        <v>3393</v>
      </c>
      <c r="C932">
        <v>2020</v>
      </c>
      <c r="D932" t="s">
        <v>3457</v>
      </c>
      <c r="E932" t="s">
        <v>2675</v>
      </c>
      <c r="F932" t="s">
        <v>2676</v>
      </c>
      <c r="G932" t="s">
        <v>2726</v>
      </c>
      <c r="H932" t="s">
        <v>3613</v>
      </c>
    </row>
    <row r="933" spans="2:8" x14ac:dyDescent="0.25">
      <c r="B933" t="s">
        <v>3393</v>
      </c>
      <c r="C933">
        <v>2020</v>
      </c>
      <c r="D933" t="s">
        <v>3457</v>
      </c>
      <c r="E933" t="s">
        <v>2675</v>
      </c>
      <c r="F933" t="s">
        <v>2676</v>
      </c>
      <c r="G933" t="s">
        <v>2727</v>
      </c>
      <c r="H933" t="s">
        <v>2518</v>
      </c>
    </row>
    <row r="934" spans="2:8" x14ac:dyDescent="0.25">
      <c r="B934" t="s">
        <v>3393</v>
      </c>
      <c r="C934">
        <v>2020</v>
      </c>
      <c r="D934" t="s">
        <v>3457</v>
      </c>
      <c r="E934" t="s">
        <v>2675</v>
      </c>
      <c r="F934" t="s">
        <v>2676</v>
      </c>
      <c r="G934" t="s">
        <v>2728</v>
      </c>
      <c r="H934" t="s">
        <v>3764</v>
      </c>
    </row>
    <row r="935" spans="2:8" x14ac:dyDescent="0.25">
      <c r="B935" t="s">
        <v>3393</v>
      </c>
      <c r="C935">
        <v>2020</v>
      </c>
      <c r="D935" t="s">
        <v>3457</v>
      </c>
      <c r="E935" t="s">
        <v>2675</v>
      </c>
      <c r="F935" t="s">
        <v>2676</v>
      </c>
      <c r="G935" t="s">
        <v>2729</v>
      </c>
      <c r="H935" t="s">
        <v>3764</v>
      </c>
    </row>
    <row r="936" spans="2:8" x14ac:dyDescent="0.25">
      <c r="B936" t="s">
        <v>3393</v>
      </c>
      <c r="C936">
        <v>2020</v>
      </c>
      <c r="D936" t="s">
        <v>3457</v>
      </c>
      <c r="E936" t="s">
        <v>2675</v>
      </c>
      <c r="F936" t="s">
        <v>2676</v>
      </c>
      <c r="G936" t="s">
        <v>2730</v>
      </c>
      <c r="H936" t="s">
        <v>3613</v>
      </c>
    </row>
    <row r="937" spans="2:8" x14ac:dyDescent="0.25">
      <c r="B937" t="s">
        <v>3393</v>
      </c>
      <c r="C937">
        <v>2020</v>
      </c>
      <c r="D937" t="s">
        <v>3457</v>
      </c>
      <c r="E937" t="s">
        <v>2675</v>
      </c>
      <c r="F937" t="s">
        <v>2676</v>
      </c>
      <c r="G937" t="s">
        <v>2731</v>
      </c>
      <c r="H937" t="s">
        <v>2518</v>
      </c>
    </row>
    <row r="938" spans="2:8" x14ac:dyDescent="0.25">
      <c r="B938" t="s">
        <v>3393</v>
      </c>
      <c r="C938">
        <v>2020</v>
      </c>
      <c r="D938" t="s">
        <v>3457</v>
      </c>
      <c r="E938" t="s">
        <v>2675</v>
      </c>
      <c r="F938" t="s">
        <v>2676</v>
      </c>
      <c r="G938" t="s">
        <v>2732</v>
      </c>
      <c r="H938" t="s">
        <v>3949</v>
      </c>
    </row>
    <row r="939" spans="2:8" x14ac:dyDescent="0.25">
      <c r="B939" t="s">
        <v>3393</v>
      </c>
      <c r="C939">
        <v>2020</v>
      </c>
      <c r="D939" t="s">
        <v>3457</v>
      </c>
      <c r="E939" t="s">
        <v>2675</v>
      </c>
      <c r="F939" t="s">
        <v>2676</v>
      </c>
      <c r="G939" t="s">
        <v>2733</v>
      </c>
      <c r="H939" t="s">
        <v>3764</v>
      </c>
    </row>
    <row r="940" spans="2:8" x14ac:dyDescent="0.25">
      <c r="B940" t="s">
        <v>3393</v>
      </c>
      <c r="C940">
        <v>2020</v>
      </c>
      <c r="D940" t="s">
        <v>3457</v>
      </c>
      <c r="E940" t="s">
        <v>2675</v>
      </c>
      <c r="F940" t="s">
        <v>2676</v>
      </c>
      <c r="G940" t="s">
        <v>2734</v>
      </c>
      <c r="H940" t="s">
        <v>3613</v>
      </c>
    </row>
    <row r="941" spans="2:8" x14ac:dyDescent="0.25">
      <c r="B941" t="s">
        <v>3393</v>
      </c>
      <c r="C941">
        <v>2020</v>
      </c>
      <c r="D941" t="s">
        <v>3457</v>
      </c>
      <c r="E941" t="s">
        <v>2675</v>
      </c>
      <c r="F941" t="s">
        <v>2676</v>
      </c>
      <c r="G941" t="s">
        <v>2735</v>
      </c>
      <c r="H941" t="s">
        <v>3764</v>
      </c>
    </row>
    <row r="942" spans="2:8" x14ac:dyDescent="0.25">
      <c r="B942" t="s">
        <v>3393</v>
      </c>
      <c r="C942">
        <v>2020</v>
      </c>
      <c r="D942" t="s">
        <v>3457</v>
      </c>
      <c r="E942" t="s">
        <v>2675</v>
      </c>
      <c r="F942" t="s">
        <v>2676</v>
      </c>
      <c r="G942" t="s">
        <v>2736</v>
      </c>
      <c r="H942" t="s">
        <v>1993</v>
      </c>
    </row>
    <row r="943" spans="2:8" x14ac:dyDescent="0.25">
      <c r="B943" t="s">
        <v>3393</v>
      </c>
      <c r="C943">
        <v>2020</v>
      </c>
      <c r="D943" t="s">
        <v>3457</v>
      </c>
      <c r="E943" t="s">
        <v>2675</v>
      </c>
      <c r="F943" t="s">
        <v>2676</v>
      </c>
      <c r="G943" t="s">
        <v>2737</v>
      </c>
      <c r="H943" t="s">
        <v>3952</v>
      </c>
    </row>
    <row r="944" spans="2:8" x14ac:dyDescent="0.25">
      <c r="B944" t="s">
        <v>3393</v>
      </c>
      <c r="C944">
        <v>2020</v>
      </c>
      <c r="D944" t="s">
        <v>3457</v>
      </c>
      <c r="E944" t="s">
        <v>2675</v>
      </c>
      <c r="F944" t="s">
        <v>2676</v>
      </c>
      <c r="G944" t="s">
        <v>2738</v>
      </c>
      <c r="H944" t="s">
        <v>3613</v>
      </c>
    </row>
    <row r="945" spans="2:8" x14ac:dyDescent="0.25">
      <c r="B945" t="s">
        <v>3393</v>
      </c>
      <c r="C945">
        <v>2020</v>
      </c>
      <c r="D945" t="s">
        <v>3457</v>
      </c>
      <c r="E945" t="s">
        <v>2675</v>
      </c>
      <c r="F945" t="s">
        <v>2676</v>
      </c>
      <c r="G945" t="s">
        <v>2739</v>
      </c>
      <c r="H945" t="s">
        <v>3764</v>
      </c>
    </row>
    <row r="946" spans="2:8" x14ac:dyDescent="0.25">
      <c r="B946" t="s">
        <v>3393</v>
      </c>
      <c r="C946">
        <v>2020</v>
      </c>
      <c r="D946" t="s">
        <v>3457</v>
      </c>
      <c r="E946" t="s">
        <v>2675</v>
      </c>
      <c r="F946" t="s">
        <v>2676</v>
      </c>
      <c r="G946" t="s">
        <v>2740</v>
      </c>
      <c r="H946" t="s">
        <v>3975</v>
      </c>
    </row>
    <row r="947" spans="2:8" x14ac:dyDescent="0.25">
      <c r="B947" t="s">
        <v>3393</v>
      </c>
      <c r="C947">
        <v>2020</v>
      </c>
      <c r="D947" t="s">
        <v>3457</v>
      </c>
      <c r="E947" t="s">
        <v>2675</v>
      </c>
      <c r="F947" t="s">
        <v>2676</v>
      </c>
      <c r="G947" t="s">
        <v>2741</v>
      </c>
      <c r="H947" t="s">
        <v>3976</v>
      </c>
    </row>
    <row r="948" spans="2:8" x14ac:dyDescent="0.25">
      <c r="B948" t="s">
        <v>3393</v>
      </c>
      <c r="C948">
        <v>2020</v>
      </c>
      <c r="D948" t="s">
        <v>3457</v>
      </c>
      <c r="E948" t="s">
        <v>2675</v>
      </c>
      <c r="F948" t="s">
        <v>2676</v>
      </c>
      <c r="G948" t="s">
        <v>2742</v>
      </c>
      <c r="H948" t="s">
        <v>3977</v>
      </c>
    </row>
    <row r="949" spans="2:8" x14ac:dyDescent="0.25">
      <c r="B949" t="s">
        <v>3393</v>
      </c>
      <c r="C949">
        <v>2020</v>
      </c>
      <c r="D949" t="s">
        <v>3457</v>
      </c>
      <c r="E949" t="s">
        <v>2675</v>
      </c>
      <c r="F949" t="s">
        <v>2676</v>
      </c>
      <c r="G949" t="s">
        <v>2743</v>
      </c>
      <c r="H949" t="s">
        <v>3764</v>
      </c>
    </row>
    <row r="950" spans="2:8" x14ac:dyDescent="0.25">
      <c r="B950" t="s">
        <v>3393</v>
      </c>
      <c r="C950">
        <v>2020</v>
      </c>
      <c r="D950" t="s">
        <v>3457</v>
      </c>
      <c r="E950" t="s">
        <v>2675</v>
      </c>
      <c r="F950" t="s">
        <v>2676</v>
      </c>
      <c r="G950" t="s">
        <v>2745</v>
      </c>
      <c r="H950" t="s">
        <v>3764</v>
      </c>
    </row>
    <row r="951" spans="2:8" x14ac:dyDescent="0.25">
      <c r="B951" t="s">
        <v>3393</v>
      </c>
      <c r="C951">
        <v>2020</v>
      </c>
      <c r="D951" t="s">
        <v>3457</v>
      </c>
      <c r="E951" t="s">
        <v>2675</v>
      </c>
      <c r="F951" t="s">
        <v>2676</v>
      </c>
      <c r="G951" t="s">
        <v>2746</v>
      </c>
      <c r="H951" t="s">
        <v>1993</v>
      </c>
    </row>
    <row r="952" spans="2:8" x14ac:dyDescent="0.25">
      <c r="B952" t="s">
        <v>3393</v>
      </c>
      <c r="C952">
        <v>2020</v>
      </c>
      <c r="D952" t="s">
        <v>3457</v>
      </c>
      <c r="E952" t="s">
        <v>2675</v>
      </c>
      <c r="F952" t="s">
        <v>2676</v>
      </c>
      <c r="G952" t="s">
        <v>2747</v>
      </c>
      <c r="H952" t="s">
        <v>2748</v>
      </c>
    </row>
    <row r="953" spans="2:8" x14ac:dyDescent="0.25">
      <c r="B953" t="s">
        <v>3393</v>
      </c>
      <c r="C953">
        <v>2020</v>
      </c>
      <c r="D953" t="s">
        <v>3457</v>
      </c>
      <c r="E953" t="s">
        <v>2675</v>
      </c>
      <c r="F953" t="s">
        <v>2676</v>
      </c>
      <c r="G953" t="s">
        <v>2749</v>
      </c>
      <c r="H953" t="s">
        <v>3764</v>
      </c>
    </row>
    <row r="954" spans="2:8" x14ac:dyDescent="0.25">
      <c r="B954" t="s">
        <v>3393</v>
      </c>
      <c r="C954">
        <v>2020</v>
      </c>
      <c r="D954" t="s">
        <v>3457</v>
      </c>
      <c r="E954" t="s">
        <v>2675</v>
      </c>
      <c r="F954" t="s">
        <v>2676</v>
      </c>
      <c r="G954" t="s">
        <v>2750</v>
      </c>
      <c r="H954" t="s">
        <v>1993</v>
      </c>
    </row>
    <row r="955" spans="2:8" x14ac:dyDescent="0.25">
      <c r="B955" t="s">
        <v>3393</v>
      </c>
      <c r="C955">
        <v>2020</v>
      </c>
      <c r="D955" t="s">
        <v>3457</v>
      </c>
      <c r="E955" t="s">
        <v>2675</v>
      </c>
      <c r="F955" t="s">
        <v>2676</v>
      </c>
      <c r="G955" t="s">
        <v>2751</v>
      </c>
      <c r="H955" t="s">
        <v>3764</v>
      </c>
    </row>
    <row r="956" spans="2:8" x14ac:dyDescent="0.25">
      <c r="B956" t="s">
        <v>3393</v>
      </c>
      <c r="C956">
        <v>2020</v>
      </c>
      <c r="D956" t="s">
        <v>3457</v>
      </c>
      <c r="E956" t="s">
        <v>2675</v>
      </c>
      <c r="F956" t="s">
        <v>2676</v>
      </c>
      <c r="G956" t="s">
        <v>2752</v>
      </c>
      <c r="H956" t="s">
        <v>3764</v>
      </c>
    </row>
    <row r="957" spans="2:8" x14ac:dyDescent="0.25">
      <c r="B957" t="s">
        <v>3393</v>
      </c>
      <c r="C957">
        <v>2020</v>
      </c>
      <c r="D957" t="s">
        <v>3457</v>
      </c>
      <c r="E957" t="s">
        <v>2675</v>
      </c>
      <c r="F957" t="s">
        <v>2676</v>
      </c>
      <c r="G957" t="s">
        <v>2753</v>
      </c>
      <c r="H957" t="s">
        <v>3764</v>
      </c>
    </row>
    <row r="958" spans="2:8" x14ac:dyDescent="0.25">
      <c r="B958" t="s">
        <v>3393</v>
      </c>
      <c r="C958">
        <v>2020</v>
      </c>
      <c r="D958" t="s">
        <v>3457</v>
      </c>
      <c r="E958" t="s">
        <v>2675</v>
      </c>
      <c r="F958" t="s">
        <v>2676</v>
      </c>
      <c r="G958" t="s">
        <v>2754</v>
      </c>
      <c r="H958" t="s">
        <v>3764</v>
      </c>
    </row>
    <row r="959" spans="2:8" x14ac:dyDescent="0.25">
      <c r="B959" t="s">
        <v>3393</v>
      </c>
      <c r="C959">
        <v>2020</v>
      </c>
      <c r="D959" t="s">
        <v>3457</v>
      </c>
      <c r="E959" t="s">
        <v>2675</v>
      </c>
      <c r="F959" t="s">
        <v>2676</v>
      </c>
      <c r="G959" t="s">
        <v>2755</v>
      </c>
      <c r="H959" t="s">
        <v>3764</v>
      </c>
    </row>
    <row r="960" spans="2:8" x14ac:dyDescent="0.25">
      <c r="B960" t="s">
        <v>3393</v>
      </c>
      <c r="C960">
        <v>2020</v>
      </c>
      <c r="D960" t="s">
        <v>3457</v>
      </c>
      <c r="E960" t="s">
        <v>2675</v>
      </c>
      <c r="F960" t="s">
        <v>2676</v>
      </c>
      <c r="G960" t="s">
        <v>2756</v>
      </c>
      <c r="H960" t="s">
        <v>3613</v>
      </c>
    </row>
    <row r="961" spans="2:8" x14ac:dyDescent="0.25">
      <c r="B961" t="s">
        <v>3393</v>
      </c>
      <c r="C961">
        <v>2020</v>
      </c>
      <c r="D961" t="s">
        <v>3457</v>
      </c>
      <c r="E961" t="s">
        <v>2757</v>
      </c>
      <c r="F961" t="s">
        <v>2758</v>
      </c>
      <c r="G961" t="s">
        <v>1034</v>
      </c>
      <c r="H961" t="s">
        <v>3328</v>
      </c>
    </row>
    <row r="962" spans="2:8" x14ac:dyDescent="0.25">
      <c r="B962" t="s">
        <v>3393</v>
      </c>
      <c r="C962">
        <v>2020</v>
      </c>
      <c r="D962" t="s">
        <v>3457</v>
      </c>
      <c r="E962" t="s">
        <v>2757</v>
      </c>
      <c r="F962" t="s">
        <v>2758</v>
      </c>
      <c r="G962" t="s">
        <v>1032</v>
      </c>
      <c r="H962" t="s">
        <v>3978</v>
      </c>
    </row>
    <row r="963" spans="2:8" x14ac:dyDescent="0.25">
      <c r="B963" t="s">
        <v>3393</v>
      </c>
      <c r="C963">
        <v>2020</v>
      </c>
      <c r="D963" t="s">
        <v>3457</v>
      </c>
      <c r="E963" t="s">
        <v>2757</v>
      </c>
      <c r="F963" t="s">
        <v>2758</v>
      </c>
      <c r="G963" t="s">
        <v>2759</v>
      </c>
      <c r="H963" t="s">
        <v>3161</v>
      </c>
    </row>
    <row r="964" spans="2:8" x14ac:dyDescent="0.25">
      <c r="B964" t="s">
        <v>3393</v>
      </c>
      <c r="C964">
        <v>2020</v>
      </c>
      <c r="D964" t="s">
        <v>3457</v>
      </c>
      <c r="E964" t="s">
        <v>2760</v>
      </c>
      <c r="F964" t="s">
        <v>2761</v>
      </c>
      <c r="G964" t="s">
        <v>2762</v>
      </c>
      <c r="H964" t="s">
        <v>3764</v>
      </c>
    </row>
    <row r="965" spans="2:8" x14ac:dyDescent="0.25">
      <c r="B965" t="s">
        <v>3393</v>
      </c>
      <c r="C965">
        <v>2020</v>
      </c>
      <c r="D965" t="s">
        <v>3457</v>
      </c>
      <c r="E965" t="s">
        <v>2760</v>
      </c>
      <c r="F965" t="s">
        <v>2761</v>
      </c>
      <c r="G965" t="s">
        <v>2763</v>
      </c>
      <c r="H965" t="s">
        <v>3764</v>
      </c>
    </row>
    <row r="966" spans="2:8" x14ac:dyDescent="0.25">
      <c r="B966" t="s">
        <v>3393</v>
      </c>
      <c r="C966">
        <v>2020</v>
      </c>
      <c r="D966" t="s">
        <v>3457</v>
      </c>
      <c r="E966" t="s">
        <v>2760</v>
      </c>
      <c r="F966" t="s">
        <v>2761</v>
      </c>
      <c r="G966" t="s">
        <v>2764</v>
      </c>
      <c r="H966" t="s">
        <v>3764</v>
      </c>
    </row>
    <row r="967" spans="2:8" x14ac:dyDescent="0.25">
      <c r="B967" t="s">
        <v>3393</v>
      </c>
      <c r="C967">
        <v>2020</v>
      </c>
      <c r="D967" t="s">
        <v>3457</v>
      </c>
      <c r="E967" t="s">
        <v>2760</v>
      </c>
      <c r="F967" t="s">
        <v>2761</v>
      </c>
      <c r="G967" t="s">
        <v>2765</v>
      </c>
      <c r="H967" t="s">
        <v>3764</v>
      </c>
    </row>
    <row r="968" spans="2:8" x14ac:dyDescent="0.25">
      <c r="B968" t="s">
        <v>3393</v>
      </c>
      <c r="C968">
        <v>2020</v>
      </c>
      <c r="D968" t="s">
        <v>3457</v>
      </c>
      <c r="E968" t="s">
        <v>2760</v>
      </c>
      <c r="F968" t="s">
        <v>2761</v>
      </c>
      <c r="G968" t="s">
        <v>2766</v>
      </c>
      <c r="H968" t="s">
        <v>3764</v>
      </c>
    </row>
    <row r="969" spans="2:8" x14ac:dyDescent="0.25">
      <c r="B969" t="s">
        <v>3393</v>
      </c>
      <c r="C969">
        <v>2020</v>
      </c>
      <c r="D969" t="s">
        <v>3457</v>
      </c>
      <c r="E969" t="s">
        <v>2760</v>
      </c>
      <c r="F969" t="s">
        <v>2761</v>
      </c>
      <c r="G969" t="s">
        <v>2767</v>
      </c>
      <c r="H969" t="s">
        <v>3436</v>
      </c>
    </row>
    <row r="970" spans="2:8" x14ac:dyDescent="0.25">
      <c r="B970" t="s">
        <v>3393</v>
      </c>
      <c r="C970">
        <v>2020</v>
      </c>
      <c r="D970" t="s">
        <v>3457</v>
      </c>
      <c r="E970" t="s">
        <v>2760</v>
      </c>
      <c r="F970" t="s">
        <v>2761</v>
      </c>
      <c r="G970" t="s">
        <v>2768</v>
      </c>
      <c r="H970" t="s">
        <v>1995</v>
      </c>
    </row>
    <row r="971" spans="2:8" x14ac:dyDescent="0.25">
      <c r="B971" t="s">
        <v>3393</v>
      </c>
      <c r="C971">
        <v>2020</v>
      </c>
      <c r="D971" t="s">
        <v>3457</v>
      </c>
      <c r="E971" t="s">
        <v>2760</v>
      </c>
      <c r="F971" t="s">
        <v>2761</v>
      </c>
      <c r="G971" t="s">
        <v>2769</v>
      </c>
      <c r="H971" t="s">
        <v>3562</v>
      </c>
    </row>
    <row r="972" spans="2:8" x14ac:dyDescent="0.25">
      <c r="B972" t="s">
        <v>3393</v>
      </c>
      <c r="C972">
        <v>2020</v>
      </c>
      <c r="D972" t="s">
        <v>3457</v>
      </c>
      <c r="E972" t="s">
        <v>2760</v>
      </c>
      <c r="F972" t="s">
        <v>2761</v>
      </c>
      <c r="G972" t="s">
        <v>2770</v>
      </c>
      <c r="H972" t="s">
        <v>3359</v>
      </c>
    </row>
    <row r="973" spans="2:8" x14ac:dyDescent="0.25">
      <c r="B973" t="s">
        <v>3393</v>
      </c>
      <c r="C973">
        <v>2020</v>
      </c>
      <c r="D973" t="s">
        <v>3457</v>
      </c>
      <c r="E973" t="s">
        <v>2760</v>
      </c>
      <c r="F973" t="s">
        <v>2761</v>
      </c>
      <c r="G973" t="s">
        <v>2771</v>
      </c>
      <c r="H973" t="s">
        <v>3764</v>
      </c>
    </row>
    <row r="974" spans="2:8" x14ac:dyDescent="0.25">
      <c r="B974" t="s">
        <v>3393</v>
      </c>
      <c r="C974">
        <v>2020</v>
      </c>
      <c r="D974" t="s">
        <v>3457</v>
      </c>
      <c r="E974" t="s">
        <v>2760</v>
      </c>
      <c r="F974" t="s">
        <v>2761</v>
      </c>
      <c r="G974" t="s">
        <v>2772</v>
      </c>
      <c r="H974" t="s">
        <v>3979</v>
      </c>
    </row>
    <row r="975" spans="2:8" x14ac:dyDescent="0.25">
      <c r="B975" t="s">
        <v>3393</v>
      </c>
      <c r="C975">
        <v>2020</v>
      </c>
      <c r="D975" t="s">
        <v>3457</v>
      </c>
      <c r="E975" t="s">
        <v>2760</v>
      </c>
      <c r="F975" t="s">
        <v>2761</v>
      </c>
      <c r="G975" t="s">
        <v>2773</v>
      </c>
      <c r="H975" t="s">
        <v>3980</v>
      </c>
    </row>
    <row r="976" spans="2:8" x14ac:dyDescent="0.25">
      <c r="B976" t="s">
        <v>3393</v>
      </c>
      <c r="C976">
        <v>2020</v>
      </c>
      <c r="D976" t="s">
        <v>3457</v>
      </c>
      <c r="E976" t="s">
        <v>2760</v>
      </c>
      <c r="F976" t="s">
        <v>2761</v>
      </c>
      <c r="G976" t="s">
        <v>2774</v>
      </c>
      <c r="H976" t="s">
        <v>3981</v>
      </c>
    </row>
    <row r="977" spans="2:8" x14ac:dyDescent="0.25">
      <c r="B977" t="s">
        <v>3393</v>
      </c>
      <c r="C977">
        <v>2020</v>
      </c>
      <c r="D977" t="s">
        <v>3457</v>
      </c>
      <c r="E977" t="s">
        <v>2760</v>
      </c>
      <c r="F977" t="s">
        <v>2761</v>
      </c>
      <c r="G977" t="s">
        <v>2775</v>
      </c>
      <c r="H977" t="s">
        <v>3982</v>
      </c>
    </row>
    <row r="978" spans="2:8" x14ac:dyDescent="0.25">
      <c r="B978" t="s">
        <v>3393</v>
      </c>
      <c r="C978">
        <v>2020</v>
      </c>
      <c r="D978" t="s">
        <v>3457</v>
      </c>
      <c r="E978" t="s">
        <v>2760</v>
      </c>
      <c r="F978" t="s">
        <v>2761</v>
      </c>
      <c r="G978" t="s">
        <v>2776</v>
      </c>
      <c r="H978" t="s">
        <v>3983</v>
      </c>
    </row>
    <row r="979" spans="2:8" x14ac:dyDescent="0.25">
      <c r="B979" t="s">
        <v>3393</v>
      </c>
      <c r="C979">
        <v>2020</v>
      </c>
      <c r="D979" t="s">
        <v>3457</v>
      </c>
      <c r="E979" t="s">
        <v>2760</v>
      </c>
      <c r="F979" t="s">
        <v>2761</v>
      </c>
      <c r="G979" t="s">
        <v>2777</v>
      </c>
      <c r="H979" t="s">
        <v>3764</v>
      </c>
    </row>
    <row r="980" spans="2:8" x14ac:dyDescent="0.25">
      <c r="B980" t="s">
        <v>3393</v>
      </c>
      <c r="C980">
        <v>2020</v>
      </c>
      <c r="D980" t="s">
        <v>3457</v>
      </c>
      <c r="E980" t="s">
        <v>2760</v>
      </c>
      <c r="F980" t="s">
        <v>2761</v>
      </c>
      <c r="G980" t="s">
        <v>2778</v>
      </c>
      <c r="H980" t="s">
        <v>3984</v>
      </c>
    </row>
    <row r="981" spans="2:8" x14ac:dyDescent="0.25">
      <c r="B981" t="s">
        <v>3393</v>
      </c>
      <c r="C981">
        <v>2020</v>
      </c>
      <c r="D981" t="s">
        <v>3457</v>
      </c>
      <c r="E981" t="s">
        <v>2760</v>
      </c>
      <c r="F981" t="s">
        <v>2761</v>
      </c>
      <c r="G981" t="s">
        <v>2779</v>
      </c>
      <c r="H981" t="s">
        <v>3985</v>
      </c>
    </row>
    <row r="982" spans="2:8" x14ac:dyDescent="0.25">
      <c r="B982" t="s">
        <v>3393</v>
      </c>
      <c r="C982">
        <v>2020</v>
      </c>
      <c r="D982" t="s">
        <v>3457</v>
      </c>
      <c r="E982" t="s">
        <v>2760</v>
      </c>
      <c r="F982" t="s">
        <v>2761</v>
      </c>
      <c r="G982" t="s">
        <v>2780</v>
      </c>
      <c r="H982" t="s">
        <v>3986</v>
      </c>
    </row>
    <row r="983" spans="2:8" x14ac:dyDescent="0.25">
      <c r="B983" t="s">
        <v>3393</v>
      </c>
      <c r="C983">
        <v>2020</v>
      </c>
      <c r="D983" t="s">
        <v>3457</v>
      </c>
      <c r="E983" t="s">
        <v>2760</v>
      </c>
      <c r="F983" t="s">
        <v>2761</v>
      </c>
      <c r="G983" t="s">
        <v>2781</v>
      </c>
      <c r="H983" t="s">
        <v>3764</v>
      </c>
    </row>
    <row r="984" spans="2:8" x14ac:dyDescent="0.25">
      <c r="B984" t="s">
        <v>3393</v>
      </c>
      <c r="C984">
        <v>2020</v>
      </c>
      <c r="D984" t="s">
        <v>3457</v>
      </c>
      <c r="E984" t="s">
        <v>2760</v>
      </c>
      <c r="F984" t="s">
        <v>2761</v>
      </c>
      <c r="G984" t="s">
        <v>2782</v>
      </c>
      <c r="H984" t="s">
        <v>3987</v>
      </c>
    </row>
    <row r="985" spans="2:8" x14ac:dyDescent="0.25">
      <c r="B985" t="s">
        <v>3393</v>
      </c>
      <c r="C985">
        <v>2020</v>
      </c>
      <c r="D985" t="s">
        <v>3457</v>
      </c>
      <c r="E985" t="s">
        <v>2760</v>
      </c>
      <c r="F985" t="s">
        <v>2761</v>
      </c>
      <c r="G985" t="s">
        <v>2783</v>
      </c>
      <c r="H985" t="s">
        <v>3988</v>
      </c>
    </row>
    <row r="986" spans="2:8" x14ac:dyDescent="0.25">
      <c r="B986" t="s">
        <v>3393</v>
      </c>
      <c r="C986">
        <v>2020</v>
      </c>
      <c r="D986" t="s">
        <v>3457</v>
      </c>
      <c r="E986" t="s">
        <v>2760</v>
      </c>
      <c r="F986" t="s">
        <v>2761</v>
      </c>
      <c r="G986" t="s">
        <v>2784</v>
      </c>
      <c r="H986" t="s">
        <v>3989</v>
      </c>
    </row>
    <row r="987" spans="2:8" x14ac:dyDescent="0.25">
      <c r="B987" t="s">
        <v>3393</v>
      </c>
      <c r="C987">
        <v>2020</v>
      </c>
      <c r="D987" t="s">
        <v>3457</v>
      </c>
      <c r="E987" t="s">
        <v>2760</v>
      </c>
      <c r="F987" t="s">
        <v>2761</v>
      </c>
      <c r="G987" t="s">
        <v>2785</v>
      </c>
      <c r="H987" t="s">
        <v>3990</v>
      </c>
    </row>
    <row r="988" spans="2:8" x14ac:dyDescent="0.25">
      <c r="B988" t="s">
        <v>3393</v>
      </c>
      <c r="C988">
        <v>2020</v>
      </c>
      <c r="D988" t="s">
        <v>3457</v>
      </c>
      <c r="E988" t="s">
        <v>2760</v>
      </c>
      <c r="F988" t="s">
        <v>2761</v>
      </c>
      <c r="G988" t="s">
        <v>2786</v>
      </c>
      <c r="H988" t="s">
        <v>3991</v>
      </c>
    </row>
    <row r="989" spans="2:8" x14ac:dyDescent="0.25">
      <c r="B989" t="s">
        <v>3393</v>
      </c>
      <c r="C989">
        <v>2020</v>
      </c>
      <c r="D989" t="s">
        <v>3457</v>
      </c>
      <c r="E989" t="s">
        <v>2760</v>
      </c>
      <c r="F989" t="s">
        <v>2761</v>
      </c>
      <c r="G989" t="s">
        <v>2787</v>
      </c>
      <c r="H989" t="s">
        <v>3764</v>
      </c>
    </row>
    <row r="990" spans="2:8" x14ac:dyDescent="0.25">
      <c r="B990" t="s">
        <v>3393</v>
      </c>
      <c r="C990">
        <v>2020</v>
      </c>
      <c r="D990" t="s">
        <v>3457</v>
      </c>
      <c r="E990" t="s">
        <v>2760</v>
      </c>
      <c r="F990" t="s">
        <v>2761</v>
      </c>
      <c r="G990" t="s">
        <v>2788</v>
      </c>
      <c r="H990" t="s">
        <v>3764</v>
      </c>
    </row>
    <row r="991" spans="2:8" x14ac:dyDescent="0.25">
      <c r="B991" t="s">
        <v>3393</v>
      </c>
      <c r="C991">
        <v>2020</v>
      </c>
      <c r="D991" t="s">
        <v>3457</v>
      </c>
      <c r="E991" t="s">
        <v>2760</v>
      </c>
      <c r="F991" t="s">
        <v>2761</v>
      </c>
      <c r="G991" t="s">
        <v>2789</v>
      </c>
      <c r="H991" t="s">
        <v>3992</v>
      </c>
    </row>
    <row r="992" spans="2:8" x14ac:dyDescent="0.25">
      <c r="B992" t="s">
        <v>3393</v>
      </c>
      <c r="C992">
        <v>2020</v>
      </c>
      <c r="D992" t="s">
        <v>3457</v>
      </c>
      <c r="E992" t="s">
        <v>2760</v>
      </c>
      <c r="F992" t="s">
        <v>2761</v>
      </c>
      <c r="G992" t="s">
        <v>2790</v>
      </c>
      <c r="H992" t="s">
        <v>3764</v>
      </c>
    </row>
    <row r="993" spans="2:8" x14ac:dyDescent="0.25">
      <c r="B993" t="s">
        <v>3393</v>
      </c>
      <c r="C993">
        <v>2020</v>
      </c>
      <c r="D993" t="s">
        <v>3457</v>
      </c>
      <c r="E993" t="s">
        <v>2760</v>
      </c>
      <c r="F993" t="s">
        <v>2761</v>
      </c>
      <c r="G993" t="s">
        <v>2791</v>
      </c>
      <c r="H993" t="s">
        <v>3993</v>
      </c>
    </row>
    <row r="994" spans="2:8" x14ac:dyDescent="0.25">
      <c r="B994" t="s">
        <v>3393</v>
      </c>
      <c r="C994">
        <v>2020</v>
      </c>
      <c r="D994" t="s">
        <v>3457</v>
      </c>
      <c r="E994" t="s">
        <v>2760</v>
      </c>
      <c r="F994" t="s">
        <v>2761</v>
      </c>
      <c r="G994" t="s">
        <v>2792</v>
      </c>
      <c r="H994" t="s">
        <v>3994</v>
      </c>
    </row>
    <row r="995" spans="2:8" x14ac:dyDescent="0.25">
      <c r="B995" t="s">
        <v>3393</v>
      </c>
      <c r="C995">
        <v>2020</v>
      </c>
      <c r="D995" t="s">
        <v>3457</v>
      </c>
      <c r="E995" t="s">
        <v>2760</v>
      </c>
      <c r="F995" t="s">
        <v>2761</v>
      </c>
      <c r="G995" t="s">
        <v>2793</v>
      </c>
      <c r="H995" t="s">
        <v>3995</v>
      </c>
    </row>
    <row r="996" spans="2:8" x14ac:dyDescent="0.25">
      <c r="B996" t="s">
        <v>3393</v>
      </c>
      <c r="C996">
        <v>2020</v>
      </c>
      <c r="D996" t="s">
        <v>3457</v>
      </c>
      <c r="E996" t="s">
        <v>2760</v>
      </c>
      <c r="F996" t="s">
        <v>2761</v>
      </c>
      <c r="G996" t="s">
        <v>2794</v>
      </c>
      <c r="H996" t="s">
        <v>3996</v>
      </c>
    </row>
    <row r="997" spans="2:8" x14ac:dyDescent="0.25">
      <c r="B997" t="s">
        <v>3393</v>
      </c>
      <c r="C997">
        <v>2020</v>
      </c>
      <c r="D997" t="s">
        <v>3457</v>
      </c>
      <c r="E997" t="s">
        <v>2760</v>
      </c>
      <c r="F997" t="s">
        <v>2761</v>
      </c>
      <c r="G997" t="s">
        <v>2795</v>
      </c>
      <c r="H997" t="s">
        <v>3997</v>
      </c>
    </row>
    <row r="998" spans="2:8" x14ac:dyDescent="0.25">
      <c r="B998" t="s">
        <v>3393</v>
      </c>
      <c r="C998">
        <v>2020</v>
      </c>
      <c r="D998" t="s">
        <v>3457</v>
      </c>
      <c r="E998" t="s">
        <v>2760</v>
      </c>
      <c r="F998" t="s">
        <v>2761</v>
      </c>
      <c r="G998" t="s">
        <v>2796</v>
      </c>
      <c r="H998" t="s">
        <v>3764</v>
      </c>
    </row>
    <row r="999" spans="2:8" x14ac:dyDescent="0.25">
      <c r="B999" t="s">
        <v>3393</v>
      </c>
      <c r="C999">
        <v>2020</v>
      </c>
      <c r="D999" t="s">
        <v>3457</v>
      </c>
      <c r="E999" t="s">
        <v>2760</v>
      </c>
      <c r="F999" t="s">
        <v>2761</v>
      </c>
      <c r="G999" t="s">
        <v>2797</v>
      </c>
      <c r="H999" t="s">
        <v>3998</v>
      </c>
    </row>
    <row r="1000" spans="2:8" x14ac:dyDescent="0.25">
      <c r="B1000" t="s">
        <v>3393</v>
      </c>
      <c r="C1000">
        <v>2020</v>
      </c>
      <c r="D1000" t="s">
        <v>3457</v>
      </c>
      <c r="E1000" t="s">
        <v>2760</v>
      </c>
      <c r="F1000" t="s">
        <v>2761</v>
      </c>
      <c r="G1000" t="s">
        <v>2798</v>
      </c>
      <c r="H1000" t="s">
        <v>3999</v>
      </c>
    </row>
    <row r="1001" spans="2:8" x14ac:dyDescent="0.25">
      <c r="B1001" t="s">
        <v>3393</v>
      </c>
      <c r="C1001">
        <v>2020</v>
      </c>
      <c r="D1001" t="s">
        <v>3457</v>
      </c>
      <c r="E1001" t="s">
        <v>2760</v>
      </c>
      <c r="F1001" t="s">
        <v>2761</v>
      </c>
      <c r="G1001" t="s">
        <v>2799</v>
      </c>
      <c r="H1001" t="s">
        <v>3764</v>
      </c>
    </row>
    <row r="1002" spans="2:8" x14ac:dyDescent="0.25">
      <c r="B1002" t="s">
        <v>3393</v>
      </c>
      <c r="C1002">
        <v>2020</v>
      </c>
      <c r="D1002" t="s">
        <v>3457</v>
      </c>
      <c r="E1002" t="s">
        <v>2760</v>
      </c>
      <c r="F1002" t="s">
        <v>2761</v>
      </c>
      <c r="G1002" t="s">
        <v>2800</v>
      </c>
      <c r="H1002" t="s">
        <v>3764</v>
      </c>
    </row>
    <row r="1003" spans="2:8" x14ac:dyDescent="0.25">
      <c r="B1003" t="s">
        <v>3393</v>
      </c>
      <c r="C1003">
        <v>2020</v>
      </c>
      <c r="D1003" t="s">
        <v>3457</v>
      </c>
      <c r="E1003" t="s">
        <v>2760</v>
      </c>
      <c r="F1003" t="s">
        <v>2761</v>
      </c>
      <c r="G1003" t="s">
        <v>2801</v>
      </c>
      <c r="H1003" t="s">
        <v>3764</v>
      </c>
    </row>
    <row r="1004" spans="2:8" x14ac:dyDescent="0.25">
      <c r="B1004" t="s">
        <v>3393</v>
      </c>
      <c r="C1004">
        <v>2020</v>
      </c>
      <c r="D1004" t="s">
        <v>3457</v>
      </c>
      <c r="E1004" t="s">
        <v>2760</v>
      </c>
      <c r="F1004" t="s">
        <v>2761</v>
      </c>
      <c r="G1004" t="s">
        <v>2802</v>
      </c>
      <c r="H1004" t="s">
        <v>3764</v>
      </c>
    </row>
    <row r="1005" spans="2:8" x14ac:dyDescent="0.25">
      <c r="B1005" t="s">
        <v>3393</v>
      </c>
      <c r="C1005">
        <v>2020</v>
      </c>
      <c r="D1005" t="s">
        <v>3457</v>
      </c>
      <c r="E1005" t="s">
        <v>2760</v>
      </c>
      <c r="F1005" t="s">
        <v>2761</v>
      </c>
      <c r="G1005" t="s">
        <v>2803</v>
      </c>
      <c r="H1005" t="s">
        <v>4000</v>
      </c>
    </row>
    <row r="1006" spans="2:8" x14ac:dyDescent="0.25">
      <c r="B1006" t="s">
        <v>3393</v>
      </c>
      <c r="C1006">
        <v>2020</v>
      </c>
      <c r="D1006" t="s">
        <v>3457</v>
      </c>
      <c r="E1006" t="s">
        <v>2760</v>
      </c>
      <c r="F1006" t="s">
        <v>2761</v>
      </c>
      <c r="G1006" t="s">
        <v>2804</v>
      </c>
      <c r="H1006" t="s">
        <v>1993</v>
      </c>
    </row>
    <row r="1007" spans="2:8" x14ac:dyDescent="0.25">
      <c r="B1007" t="s">
        <v>3393</v>
      </c>
      <c r="C1007">
        <v>2020</v>
      </c>
      <c r="D1007" t="s">
        <v>3457</v>
      </c>
      <c r="E1007" t="s">
        <v>2760</v>
      </c>
      <c r="F1007" t="s">
        <v>2761</v>
      </c>
      <c r="G1007" t="s">
        <v>2805</v>
      </c>
      <c r="H1007" t="s">
        <v>4001</v>
      </c>
    </row>
    <row r="1008" spans="2:8" x14ac:dyDescent="0.25">
      <c r="B1008" t="s">
        <v>3393</v>
      </c>
      <c r="C1008">
        <v>2020</v>
      </c>
      <c r="D1008" t="s">
        <v>3457</v>
      </c>
      <c r="E1008" t="s">
        <v>2760</v>
      </c>
      <c r="F1008" t="s">
        <v>2761</v>
      </c>
      <c r="G1008" t="s">
        <v>2806</v>
      </c>
      <c r="H1008" t="s">
        <v>4001</v>
      </c>
    </row>
    <row r="1009" spans="2:8" x14ac:dyDescent="0.25">
      <c r="B1009" t="s">
        <v>3393</v>
      </c>
      <c r="C1009">
        <v>2020</v>
      </c>
      <c r="D1009" t="s">
        <v>3457</v>
      </c>
      <c r="E1009" t="s">
        <v>2760</v>
      </c>
      <c r="F1009" t="s">
        <v>2761</v>
      </c>
      <c r="G1009" t="s">
        <v>2807</v>
      </c>
      <c r="H1009" t="s">
        <v>3764</v>
      </c>
    </row>
    <row r="1010" spans="2:8" x14ac:dyDescent="0.25">
      <c r="B1010" t="s">
        <v>3393</v>
      </c>
      <c r="C1010">
        <v>2020</v>
      </c>
      <c r="D1010" t="s">
        <v>3457</v>
      </c>
      <c r="E1010" t="s">
        <v>2760</v>
      </c>
      <c r="F1010" t="s">
        <v>2761</v>
      </c>
      <c r="G1010" t="s">
        <v>2808</v>
      </c>
      <c r="H1010" t="s">
        <v>1993</v>
      </c>
    </row>
    <row r="1011" spans="2:8" x14ac:dyDescent="0.25">
      <c r="B1011" t="s">
        <v>3393</v>
      </c>
      <c r="C1011">
        <v>2020</v>
      </c>
      <c r="D1011" t="s">
        <v>3457</v>
      </c>
      <c r="E1011" t="s">
        <v>2760</v>
      </c>
      <c r="F1011" t="s">
        <v>2761</v>
      </c>
      <c r="G1011" t="s">
        <v>2809</v>
      </c>
      <c r="H1011" t="s">
        <v>4002</v>
      </c>
    </row>
    <row r="1012" spans="2:8" x14ac:dyDescent="0.25">
      <c r="B1012" t="s">
        <v>3393</v>
      </c>
      <c r="C1012">
        <v>2020</v>
      </c>
      <c r="D1012" t="s">
        <v>3457</v>
      </c>
      <c r="E1012" t="s">
        <v>2760</v>
      </c>
      <c r="F1012" t="s">
        <v>2761</v>
      </c>
      <c r="G1012" t="s">
        <v>2810</v>
      </c>
      <c r="H1012" t="s">
        <v>3764</v>
      </c>
    </row>
    <row r="1013" spans="2:8" x14ac:dyDescent="0.25">
      <c r="B1013" t="s">
        <v>3393</v>
      </c>
      <c r="C1013">
        <v>2020</v>
      </c>
      <c r="D1013" t="s">
        <v>3457</v>
      </c>
      <c r="E1013" t="s">
        <v>2760</v>
      </c>
      <c r="F1013" t="s">
        <v>2761</v>
      </c>
      <c r="G1013" t="s">
        <v>2811</v>
      </c>
      <c r="H1013" t="s">
        <v>4003</v>
      </c>
    </row>
    <row r="1014" spans="2:8" x14ac:dyDescent="0.25">
      <c r="B1014" t="s">
        <v>3393</v>
      </c>
      <c r="C1014">
        <v>2020</v>
      </c>
      <c r="D1014" t="s">
        <v>3457</v>
      </c>
      <c r="E1014" t="s">
        <v>2760</v>
      </c>
      <c r="F1014" t="s">
        <v>2761</v>
      </c>
      <c r="G1014" t="s">
        <v>2812</v>
      </c>
      <c r="H1014" t="s">
        <v>3311</v>
      </c>
    </row>
    <row r="1015" spans="2:8" x14ac:dyDescent="0.25">
      <c r="B1015" t="s">
        <v>3393</v>
      </c>
      <c r="C1015">
        <v>2020</v>
      </c>
      <c r="D1015" t="s">
        <v>3457</v>
      </c>
      <c r="E1015" t="s">
        <v>2760</v>
      </c>
      <c r="F1015" t="s">
        <v>2761</v>
      </c>
      <c r="G1015" t="s">
        <v>2813</v>
      </c>
      <c r="H1015" t="s">
        <v>3764</v>
      </c>
    </row>
    <row r="1016" spans="2:8" x14ac:dyDescent="0.25">
      <c r="B1016" t="s">
        <v>3393</v>
      </c>
      <c r="C1016">
        <v>2020</v>
      </c>
      <c r="D1016" t="s">
        <v>3457</v>
      </c>
      <c r="E1016" t="s">
        <v>2760</v>
      </c>
      <c r="F1016" t="s">
        <v>2761</v>
      </c>
      <c r="G1016" t="s">
        <v>2814</v>
      </c>
      <c r="H1016" t="s">
        <v>3764</v>
      </c>
    </row>
    <row r="1017" spans="2:8" x14ac:dyDescent="0.25">
      <c r="B1017" t="s">
        <v>3393</v>
      </c>
      <c r="C1017">
        <v>2020</v>
      </c>
      <c r="D1017" t="s">
        <v>3457</v>
      </c>
      <c r="E1017" t="s">
        <v>2760</v>
      </c>
      <c r="F1017" t="s">
        <v>2761</v>
      </c>
      <c r="G1017" t="s">
        <v>2815</v>
      </c>
      <c r="H1017" t="s">
        <v>4004</v>
      </c>
    </row>
    <row r="1018" spans="2:8" x14ac:dyDescent="0.25">
      <c r="B1018" t="s">
        <v>3393</v>
      </c>
      <c r="C1018">
        <v>2020</v>
      </c>
      <c r="D1018" t="s">
        <v>3457</v>
      </c>
      <c r="E1018" t="s">
        <v>2760</v>
      </c>
      <c r="F1018" t="s">
        <v>2761</v>
      </c>
      <c r="G1018" t="s">
        <v>2816</v>
      </c>
      <c r="H1018" t="s">
        <v>3764</v>
      </c>
    </row>
    <row r="1019" spans="2:8" x14ac:dyDescent="0.25">
      <c r="B1019" t="s">
        <v>3393</v>
      </c>
      <c r="C1019">
        <v>2020</v>
      </c>
      <c r="D1019" t="s">
        <v>3457</v>
      </c>
      <c r="E1019" t="s">
        <v>2760</v>
      </c>
      <c r="F1019" t="s">
        <v>2761</v>
      </c>
      <c r="G1019" t="s">
        <v>2817</v>
      </c>
      <c r="H1019" t="s">
        <v>3764</v>
      </c>
    </row>
    <row r="1020" spans="2:8" x14ac:dyDescent="0.25">
      <c r="B1020" t="s">
        <v>3393</v>
      </c>
      <c r="C1020">
        <v>2020</v>
      </c>
      <c r="D1020" t="s">
        <v>3457</v>
      </c>
      <c r="E1020" t="s">
        <v>2760</v>
      </c>
      <c r="F1020" t="s">
        <v>2761</v>
      </c>
      <c r="G1020" t="s">
        <v>2818</v>
      </c>
      <c r="H1020" t="s">
        <v>1993</v>
      </c>
    </row>
    <row r="1021" spans="2:8" x14ac:dyDescent="0.25">
      <c r="B1021" t="s">
        <v>3393</v>
      </c>
      <c r="C1021">
        <v>2020</v>
      </c>
      <c r="D1021" t="s">
        <v>3457</v>
      </c>
      <c r="E1021" t="s">
        <v>2760</v>
      </c>
      <c r="F1021" t="s">
        <v>2761</v>
      </c>
      <c r="G1021" t="s">
        <v>2819</v>
      </c>
      <c r="H1021" t="s">
        <v>4005</v>
      </c>
    </row>
    <row r="1022" spans="2:8" x14ac:dyDescent="0.25">
      <c r="B1022" t="s">
        <v>3393</v>
      </c>
      <c r="C1022">
        <v>2020</v>
      </c>
      <c r="D1022" t="s">
        <v>3457</v>
      </c>
      <c r="E1022" t="s">
        <v>2760</v>
      </c>
      <c r="F1022" t="s">
        <v>2761</v>
      </c>
      <c r="G1022" t="s">
        <v>2820</v>
      </c>
      <c r="H1022" t="s">
        <v>3764</v>
      </c>
    </row>
    <row r="1023" spans="2:8" x14ac:dyDescent="0.25">
      <c r="B1023" t="s">
        <v>3393</v>
      </c>
      <c r="C1023">
        <v>2020</v>
      </c>
      <c r="D1023" t="s">
        <v>3457</v>
      </c>
      <c r="E1023" t="s">
        <v>2760</v>
      </c>
      <c r="F1023" t="s">
        <v>2761</v>
      </c>
      <c r="G1023" t="s">
        <v>2821</v>
      </c>
      <c r="H1023" t="s">
        <v>3764</v>
      </c>
    </row>
    <row r="1024" spans="2:8" x14ac:dyDescent="0.25">
      <c r="B1024" t="s">
        <v>3393</v>
      </c>
      <c r="C1024">
        <v>2020</v>
      </c>
      <c r="D1024" t="s">
        <v>3457</v>
      </c>
      <c r="E1024" t="s">
        <v>2760</v>
      </c>
      <c r="F1024" t="s">
        <v>2761</v>
      </c>
      <c r="G1024" t="s">
        <v>2822</v>
      </c>
      <c r="H1024" t="s">
        <v>3764</v>
      </c>
    </row>
    <row r="1025" spans="2:8" x14ac:dyDescent="0.25">
      <c r="B1025" t="s">
        <v>3393</v>
      </c>
      <c r="C1025">
        <v>2020</v>
      </c>
      <c r="D1025" t="s">
        <v>3457</v>
      </c>
      <c r="E1025" t="s">
        <v>2760</v>
      </c>
      <c r="F1025" t="s">
        <v>2761</v>
      </c>
      <c r="G1025" t="s">
        <v>2823</v>
      </c>
      <c r="H1025" t="s">
        <v>1993</v>
      </c>
    </row>
    <row r="1026" spans="2:8" x14ac:dyDescent="0.25">
      <c r="B1026" t="s">
        <v>3393</v>
      </c>
      <c r="C1026">
        <v>2020</v>
      </c>
      <c r="D1026" t="s">
        <v>3457</v>
      </c>
      <c r="E1026" t="s">
        <v>2760</v>
      </c>
      <c r="F1026" t="s">
        <v>2761</v>
      </c>
      <c r="G1026" t="s">
        <v>2824</v>
      </c>
      <c r="H1026" t="s">
        <v>3764</v>
      </c>
    </row>
    <row r="1027" spans="2:8" x14ac:dyDescent="0.25">
      <c r="B1027" t="s">
        <v>3393</v>
      </c>
      <c r="C1027">
        <v>2020</v>
      </c>
      <c r="D1027" t="s">
        <v>3457</v>
      </c>
      <c r="E1027" t="s">
        <v>2760</v>
      </c>
      <c r="F1027" t="s">
        <v>2761</v>
      </c>
      <c r="G1027" t="s">
        <v>2825</v>
      </c>
      <c r="H1027" t="s">
        <v>3764</v>
      </c>
    </row>
    <row r="1028" spans="2:8" x14ac:dyDescent="0.25">
      <c r="B1028" t="s">
        <v>3393</v>
      </c>
      <c r="C1028">
        <v>2020</v>
      </c>
      <c r="D1028" t="s">
        <v>3457</v>
      </c>
      <c r="E1028" t="s">
        <v>2760</v>
      </c>
      <c r="F1028" t="s">
        <v>2761</v>
      </c>
      <c r="G1028" t="s">
        <v>2826</v>
      </c>
      <c r="H1028" t="s">
        <v>3764</v>
      </c>
    </row>
    <row r="1029" spans="2:8" x14ac:dyDescent="0.25">
      <c r="B1029" t="s">
        <v>3393</v>
      </c>
      <c r="C1029">
        <v>2020</v>
      </c>
      <c r="D1029" t="s">
        <v>3457</v>
      </c>
      <c r="E1029" t="s">
        <v>2760</v>
      </c>
      <c r="F1029" t="s">
        <v>2761</v>
      </c>
      <c r="G1029" t="s">
        <v>2827</v>
      </c>
      <c r="H1029" t="s">
        <v>4006</v>
      </c>
    </row>
    <row r="1030" spans="2:8" x14ac:dyDescent="0.25">
      <c r="B1030" t="s">
        <v>3393</v>
      </c>
      <c r="C1030">
        <v>2020</v>
      </c>
      <c r="D1030" t="s">
        <v>3457</v>
      </c>
      <c r="E1030" t="s">
        <v>2760</v>
      </c>
      <c r="F1030" t="s">
        <v>2761</v>
      </c>
      <c r="G1030" t="s">
        <v>2828</v>
      </c>
      <c r="H1030" t="s">
        <v>4007</v>
      </c>
    </row>
    <row r="1031" spans="2:8" x14ac:dyDescent="0.25">
      <c r="B1031" t="s">
        <v>3393</v>
      </c>
      <c r="C1031">
        <v>2020</v>
      </c>
      <c r="D1031" t="s">
        <v>3457</v>
      </c>
      <c r="E1031" t="s">
        <v>2760</v>
      </c>
      <c r="F1031" t="s">
        <v>2761</v>
      </c>
      <c r="G1031" t="s">
        <v>2829</v>
      </c>
      <c r="H1031" t="s">
        <v>3764</v>
      </c>
    </row>
    <row r="1032" spans="2:8" x14ac:dyDescent="0.25">
      <c r="B1032" t="s">
        <v>3393</v>
      </c>
      <c r="C1032">
        <v>2020</v>
      </c>
      <c r="D1032" t="s">
        <v>3457</v>
      </c>
      <c r="E1032" t="s">
        <v>2760</v>
      </c>
      <c r="F1032" t="s">
        <v>2761</v>
      </c>
      <c r="G1032" t="s">
        <v>2830</v>
      </c>
      <c r="H1032" t="s">
        <v>4008</v>
      </c>
    </row>
    <row r="1033" spans="2:8" x14ac:dyDescent="0.25">
      <c r="B1033" t="s">
        <v>3393</v>
      </c>
      <c r="C1033">
        <v>2020</v>
      </c>
      <c r="D1033" t="s">
        <v>3457</v>
      </c>
      <c r="E1033" t="s">
        <v>2760</v>
      </c>
      <c r="F1033" t="s">
        <v>2761</v>
      </c>
      <c r="G1033" t="s">
        <v>2831</v>
      </c>
      <c r="H1033" t="s">
        <v>3764</v>
      </c>
    </row>
    <row r="1034" spans="2:8" x14ac:dyDescent="0.25">
      <c r="B1034" t="s">
        <v>3393</v>
      </c>
      <c r="C1034">
        <v>2020</v>
      </c>
      <c r="D1034" t="s">
        <v>3457</v>
      </c>
      <c r="E1034" t="s">
        <v>2760</v>
      </c>
      <c r="F1034" t="s">
        <v>2761</v>
      </c>
      <c r="G1034" t="s">
        <v>2832</v>
      </c>
      <c r="H1034" t="s">
        <v>3764</v>
      </c>
    </row>
    <row r="1035" spans="2:8" x14ac:dyDescent="0.25">
      <c r="B1035" t="s">
        <v>3393</v>
      </c>
      <c r="C1035">
        <v>2020</v>
      </c>
      <c r="D1035" t="s">
        <v>3457</v>
      </c>
      <c r="E1035" t="s">
        <v>2760</v>
      </c>
      <c r="F1035" t="s">
        <v>2761</v>
      </c>
      <c r="G1035" t="s">
        <v>2833</v>
      </c>
      <c r="H1035" t="s">
        <v>3764</v>
      </c>
    </row>
    <row r="1036" spans="2:8" x14ac:dyDescent="0.25">
      <c r="B1036" t="s">
        <v>3393</v>
      </c>
      <c r="C1036">
        <v>2020</v>
      </c>
      <c r="D1036" t="s">
        <v>3457</v>
      </c>
      <c r="E1036" t="s">
        <v>2760</v>
      </c>
      <c r="F1036" t="s">
        <v>2761</v>
      </c>
      <c r="G1036" t="s">
        <v>2834</v>
      </c>
      <c r="H1036" t="s">
        <v>4009</v>
      </c>
    </row>
    <row r="1037" spans="2:8" x14ac:dyDescent="0.25">
      <c r="B1037" t="s">
        <v>3393</v>
      </c>
      <c r="C1037">
        <v>2020</v>
      </c>
      <c r="D1037" t="s">
        <v>3457</v>
      </c>
      <c r="E1037" t="s">
        <v>2760</v>
      </c>
      <c r="F1037" t="s">
        <v>2761</v>
      </c>
      <c r="G1037" t="s">
        <v>2835</v>
      </c>
      <c r="H1037" t="s">
        <v>4010</v>
      </c>
    </row>
    <row r="1038" spans="2:8" x14ac:dyDescent="0.25">
      <c r="B1038" t="s">
        <v>3393</v>
      </c>
      <c r="C1038">
        <v>2020</v>
      </c>
      <c r="D1038" t="s">
        <v>3457</v>
      </c>
      <c r="E1038" t="s">
        <v>2760</v>
      </c>
      <c r="F1038" t="s">
        <v>2761</v>
      </c>
      <c r="G1038" t="s">
        <v>2836</v>
      </c>
      <c r="H1038" t="s">
        <v>3764</v>
      </c>
    </row>
    <row r="1039" spans="2:8" x14ac:dyDescent="0.25">
      <c r="B1039" t="s">
        <v>3393</v>
      </c>
      <c r="C1039">
        <v>2020</v>
      </c>
      <c r="D1039" t="s">
        <v>3457</v>
      </c>
      <c r="E1039" t="s">
        <v>2760</v>
      </c>
      <c r="F1039" t="s">
        <v>2761</v>
      </c>
      <c r="G1039" t="s">
        <v>2837</v>
      </c>
      <c r="H1039" t="s">
        <v>4011</v>
      </c>
    </row>
    <row r="1040" spans="2:8" x14ac:dyDescent="0.25">
      <c r="B1040" t="s">
        <v>3393</v>
      </c>
      <c r="C1040">
        <v>2020</v>
      </c>
      <c r="D1040" t="s">
        <v>3457</v>
      </c>
      <c r="E1040" t="s">
        <v>2760</v>
      </c>
      <c r="F1040" t="s">
        <v>2761</v>
      </c>
      <c r="G1040" t="s">
        <v>2838</v>
      </c>
      <c r="H1040" t="s">
        <v>4012</v>
      </c>
    </row>
    <row r="1041" spans="2:8" x14ac:dyDescent="0.25">
      <c r="B1041" t="s">
        <v>3393</v>
      </c>
      <c r="C1041">
        <v>2020</v>
      </c>
      <c r="D1041" t="s">
        <v>3457</v>
      </c>
      <c r="E1041" t="s">
        <v>2760</v>
      </c>
      <c r="F1041" t="s">
        <v>2761</v>
      </c>
      <c r="G1041" t="s">
        <v>2839</v>
      </c>
      <c r="H1041" t="s">
        <v>3764</v>
      </c>
    </row>
    <row r="1042" spans="2:8" x14ac:dyDescent="0.25">
      <c r="B1042" t="s">
        <v>3393</v>
      </c>
      <c r="C1042">
        <v>2020</v>
      </c>
      <c r="D1042" t="s">
        <v>3457</v>
      </c>
      <c r="E1042" t="s">
        <v>2760</v>
      </c>
      <c r="F1042" t="s">
        <v>2761</v>
      </c>
      <c r="G1042" t="s">
        <v>2840</v>
      </c>
      <c r="H1042" t="s">
        <v>3764</v>
      </c>
    </row>
    <row r="1043" spans="2:8" x14ac:dyDescent="0.25">
      <c r="B1043" t="s">
        <v>3393</v>
      </c>
      <c r="C1043">
        <v>2020</v>
      </c>
      <c r="D1043" t="s">
        <v>3457</v>
      </c>
      <c r="E1043" t="s">
        <v>2760</v>
      </c>
      <c r="F1043" t="s">
        <v>2761</v>
      </c>
      <c r="G1043" t="s">
        <v>2841</v>
      </c>
      <c r="H1043" t="s">
        <v>4013</v>
      </c>
    </row>
    <row r="1044" spans="2:8" x14ac:dyDescent="0.25">
      <c r="B1044" t="s">
        <v>3393</v>
      </c>
      <c r="C1044">
        <v>2020</v>
      </c>
      <c r="D1044" t="s">
        <v>3457</v>
      </c>
      <c r="E1044" t="s">
        <v>2760</v>
      </c>
      <c r="F1044" t="s">
        <v>2761</v>
      </c>
      <c r="G1044" t="s">
        <v>2842</v>
      </c>
      <c r="H1044" t="s">
        <v>4014</v>
      </c>
    </row>
    <row r="1045" spans="2:8" x14ac:dyDescent="0.25">
      <c r="B1045" t="s">
        <v>3393</v>
      </c>
      <c r="C1045">
        <v>2020</v>
      </c>
      <c r="D1045" t="s">
        <v>3457</v>
      </c>
      <c r="E1045" t="s">
        <v>2760</v>
      </c>
      <c r="F1045" t="s">
        <v>2761</v>
      </c>
      <c r="G1045" t="s">
        <v>2843</v>
      </c>
      <c r="H1045" t="s">
        <v>4015</v>
      </c>
    </row>
    <row r="1046" spans="2:8" x14ac:dyDescent="0.25">
      <c r="B1046" t="s">
        <v>3393</v>
      </c>
      <c r="C1046">
        <v>2020</v>
      </c>
      <c r="D1046" t="s">
        <v>3457</v>
      </c>
      <c r="E1046" t="s">
        <v>2760</v>
      </c>
      <c r="F1046" t="s">
        <v>2761</v>
      </c>
      <c r="G1046" t="s">
        <v>2844</v>
      </c>
      <c r="H1046" t="s">
        <v>3764</v>
      </c>
    </row>
    <row r="1047" spans="2:8" x14ac:dyDescent="0.25">
      <c r="B1047" t="s">
        <v>3393</v>
      </c>
      <c r="C1047">
        <v>2020</v>
      </c>
      <c r="D1047" t="s">
        <v>3457</v>
      </c>
      <c r="E1047" t="s">
        <v>2760</v>
      </c>
      <c r="F1047" t="s">
        <v>2761</v>
      </c>
      <c r="G1047" t="s">
        <v>2845</v>
      </c>
      <c r="H1047" t="s">
        <v>3764</v>
      </c>
    </row>
    <row r="1048" spans="2:8" x14ac:dyDescent="0.25">
      <c r="B1048" t="s">
        <v>3393</v>
      </c>
      <c r="C1048">
        <v>2020</v>
      </c>
      <c r="D1048" t="s">
        <v>3457</v>
      </c>
      <c r="E1048" t="s">
        <v>2760</v>
      </c>
      <c r="F1048" t="s">
        <v>2761</v>
      </c>
      <c r="G1048" t="s">
        <v>2846</v>
      </c>
      <c r="H1048" t="s">
        <v>4016</v>
      </c>
    </row>
    <row r="1049" spans="2:8" x14ac:dyDescent="0.25">
      <c r="B1049" t="s">
        <v>3393</v>
      </c>
      <c r="C1049">
        <v>2020</v>
      </c>
      <c r="D1049" t="s">
        <v>3457</v>
      </c>
      <c r="E1049" t="s">
        <v>4017</v>
      </c>
      <c r="F1049" t="s">
        <v>4018</v>
      </c>
      <c r="G1049" t="s">
        <v>4019</v>
      </c>
      <c r="H1049" t="s">
        <v>3764</v>
      </c>
    </row>
    <row r="1050" spans="2:8" x14ac:dyDescent="0.25">
      <c r="B1050" t="s">
        <v>3393</v>
      </c>
      <c r="C1050">
        <v>2020</v>
      </c>
      <c r="D1050" t="s">
        <v>3457</v>
      </c>
      <c r="E1050" t="s">
        <v>4017</v>
      </c>
      <c r="F1050" t="s">
        <v>4018</v>
      </c>
      <c r="G1050" t="s">
        <v>4020</v>
      </c>
      <c r="H1050" t="s">
        <v>3764</v>
      </c>
    </row>
    <row r="1051" spans="2:8" x14ac:dyDescent="0.25">
      <c r="B1051" t="s">
        <v>3393</v>
      </c>
      <c r="C1051">
        <v>2020</v>
      </c>
      <c r="D1051" t="s">
        <v>3457</v>
      </c>
      <c r="E1051" t="s">
        <v>4017</v>
      </c>
      <c r="F1051" t="s">
        <v>4018</v>
      </c>
      <c r="G1051" t="s">
        <v>4021</v>
      </c>
      <c r="H1051" t="s">
        <v>3764</v>
      </c>
    </row>
    <row r="1052" spans="2:8" x14ac:dyDescent="0.25">
      <c r="B1052" t="s">
        <v>3393</v>
      </c>
      <c r="C1052">
        <v>2020</v>
      </c>
      <c r="D1052" t="s">
        <v>3457</v>
      </c>
      <c r="E1052" t="s">
        <v>4017</v>
      </c>
      <c r="F1052" t="s">
        <v>4018</v>
      </c>
      <c r="G1052" t="s">
        <v>4022</v>
      </c>
      <c r="H1052" t="s">
        <v>3764</v>
      </c>
    </row>
    <row r="1053" spans="2:8" x14ac:dyDescent="0.25">
      <c r="B1053" t="s">
        <v>3393</v>
      </c>
      <c r="C1053">
        <v>2020</v>
      </c>
      <c r="D1053" t="s">
        <v>3457</v>
      </c>
      <c r="E1053" t="s">
        <v>4017</v>
      </c>
      <c r="F1053" t="s">
        <v>4018</v>
      </c>
      <c r="G1053" t="s">
        <v>4023</v>
      </c>
      <c r="H1053" t="s">
        <v>3764</v>
      </c>
    </row>
    <row r="1054" spans="2:8" x14ac:dyDescent="0.25">
      <c r="B1054" t="s">
        <v>3393</v>
      </c>
      <c r="C1054">
        <v>2020</v>
      </c>
      <c r="D1054" t="s">
        <v>3457</v>
      </c>
      <c r="E1054" t="s">
        <v>4017</v>
      </c>
      <c r="F1054" t="s">
        <v>4018</v>
      </c>
      <c r="G1054" t="s">
        <v>4024</v>
      </c>
      <c r="H1054" t="s">
        <v>3764</v>
      </c>
    </row>
    <row r="1055" spans="2:8" x14ac:dyDescent="0.25">
      <c r="B1055" t="s">
        <v>3393</v>
      </c>
      <c r="C1055">
        <v>2020</v>
      </c>
      <c r="D1055" t="s">
        <v>3457</v>
      </c>
      <c r="E1055" t="s">
        <v>4017</v>
      </c>
      <c r="F1055" t="s">
        <v>4018</v>
      </c>
      <c r="G1055" t="s">
        <v>4025</v>
      </c>
      <c r="H1055" t="s">
        <v>3764</v>
      </c>
    </row>
    <row r="1056" spans="2:8" x14ac:dyDescent="0.25">
      <c r="B1056" t="s">
        <v>3393</v>
      </c>
      <c r="C1056">
        <v>2020</v>
      </c>
      <c r="D1056" t="s">
        <v>3457</v>
      </c>
      <c r="E1056" t="s">
        <v>4017</v>
      </c>
      <c r="F1056" t="s">
        <v>4018</v>
      </c>
      <c r="G1056" t="s">
        <v>4026</v>
      </c>
      <c r="H1056" t="s">
        <v>3764</v>
      </c>
    </row>
    <row r="1057" spans="2:8" x14ac:dyDescent="0.25">
      <c r="B1057" t="s">
        <v>3393</v>
      </c>
      <c r="C1057">
        <v>2020</v>
      </c>
      <c r="D1057" t="s">
        <v>3457</v>
      </c>
      <c r="E1057" t="s">
        <v>4017</v>
      </c>
      <c r="F1057" t="s">
        <v>4018</v>
      </c>
      <c r="G1057" t="s">
        <v>4027</v>
      </c>
      <c r="H1057" t="s">
        <v>3764</v>
      </c>
    </row>
    <row r="1058" spans="2:8" x14ac:dyDescent="0.25">
      <c r="B1058" t="s">
        <v>3393</v>
      </c>
      <c r="C1058">
        <v>2020</v>
      </c>
      <c r="D1058" t="s">
        <v>3457</v>
      </c>
      <c r="E1058" t="s">
        <v>4017</v>
      </c>
      <c r="F1058" t="s">
        <v>4018</v>
      </c>
      <c r="G1058" t="s">
        <v>4028</v>
      </c>
      <c r="H1058" t="s">
        <v>3764</v>
      </c>
    </row>
    <row r="1059" spans="2:8" x14ac:dyDescent="0.25">
      <c r="B1059" t="s">
        <v>3393</v>
      </c>
      <c r="C1059">
        <v>2020</v>
      </c>
      <c r="D1059" t="s">
        <v>3457</v>
      </c>
      <c r="E1059" t="s">
        <v>4017</v>
      </c>
      <c r="F1059" t="s">
        <v>4018</v>
      </c>
      <c r="G1059" t="s">
        <v>4029</v>
      </c>
      <c r="H1059" t="s">
        <v>3764</v>
      </c>
    </row>
    <row r="1060" spans="2:8" x14ac:dyDescent="0.25">
      <c r="B1060" t="s">
        <v>3393</v>
      </c>
      <c r="C1060">
        <v>2020</v>
      </c>
      <c r="D1060" t="s">
        <v>3457</v>
      </c>
      <c r="E1060" t="s">
        <v>4017</v>
      </c>
      <c r="F1060" t="s">
        <v>4018</v>
      </c>
      <c r="G1060" t="s">
        <v>4030</v>
      </c>
      <c r="H1060" t="s">
        <v>3764</v>
      </c>
    </row>
    <row r="1061" spans="2:8" x14ac:dyDescent="0.25">
      <c r="B1061" t="s">
        <v>3393</v>
      </c>
      <c r="C1061">
        <v>2020</v>
      </c>
      <c r="D1061" t="s">
        <v>3457</v>
      </c>
      <c r="E1061" t="s">
        <v>4017</v>
      </c>
      <c r="F1061" t="s">
        <v>4018</v>
      </c>
      <c r="G1061" t="s">
        <v>4031</v>
      </c>
      <c r="H1061" t="s">
        <v>3764</v>
      </c>
    </row>
    <row r="1062" spans="2:8" x14ac:dyDescent="0.25">
      <c r="B1062" t="s">
        <v>3393</v>
      </c>
      <c r="C1062">
        <v>2020</v>
      </c>
      <c r="D1062" t="s">
        <v>3457</v>
      </c>
      <c r="E1062" t="s">
        <v>4017</v>
      </c>
      <c r="F1062" t="s">
        <v>4018</v>
      </c>
      <c r="G1062" t="s">
        <v>4032</v>
      </c>
      <c r="H1062" t="s">
        <v>3764</v>
      </c>
    </row>
    <row r="1063" spans="2:8" x14ac:dyDescent="0.25">
      <c r="B1063" t="s">
        <v>3393</v>
      </c>
      <c r="C1063">
        <v>2020</v>
      </c>
      <c r="D1063" t="s">
        <v>3457</v>
      </c>
      <c r="E1063" t="s">
        <v>4017</v>
      </c>
      <c r="F1063" t="s">
        <v>4018</v>
      </c>
      <c r="G1063" t="s">
        <v>4033</v>
      </c>
      <c r="H1063" t="s">
        <v>3764</v>
      </c>
    </row>
    <row r="1064" spans="2:8" x14ac:dyDescent="0.25">
      <c r="B1064" t="s">
        <v>3393</v>
      </c>
      <c r="C1064">
        <v>2020</v>
      </c>
      <c r="D1064" t="s">
        <v>3457</v>
      </c>
      <c r="E1064" t="s">
        <v>4017</v>
      </c>
      <c r="F1064" t="s">
        <v>4018</v>
      </c>
      <c r="G1064" t="s">
        <v>4034</v>
      </c>
      <c r="H1064" t="s">
        <v>3764</v>
      </c>
    </row>
    <row r="1065" spans="2:8" x14ac:dyDescent="0.25">
      <c r="B1065" t="s">
        <v>3393</v>
      </c>
      <c r="C1065">
        <v>2020</v>
      </c>
      <c r="D1065" t="s">
        <v>3457</v>
      </c>
      <c r="E1065" t="s">
        <v>4017</v>
      </c>
      <c r="F1065" t="s">
        <v>4018</v>
      </c>
      <c r="G1065" t="s">
        <v>4035</v>
      </c>
      <c r="H1065" t="s">
        <v>3764</v>
      </c>
    </row>
    <row r="1066" spans="2:8" x14ac:dyDescent="0.25">
      <c r="B1066" t="s">
        <v>3393</v>
      </c>
      <c r="C1066">
        <v>2020</v>
      </c>
      <c r="D1066" t="s">
        <v>3457</v>
      </c>
      <c r="E1066" t="s">
        <v>4017</v>
      </c>
      <c r="F1066" t="s">
        <v>4018</v>
      </c>
      <c r="G1066" t="s">
        <v>4036</v>
      </c>
      <c r="H1066" t="s">
        <v>3764</v>
      </c>
    </row>
    <row r="1067" spans="2:8" x14ac:dyDescent="0.25">
      <c r="B1067" t="s">
        <v>3393</v>
      </c>
      <c r="C1067">
        <v>2020</v>
      </c>
      <c r="D1067" t="s">
        <v>3457</v>
      </c>
      <c r="E1067" t="s">
        <v>4017</v>
      </c>
      <c r="F1067" t="s">
        <v>4018</v>
      </c>
      <c r="G1067" t="s">
        <v>4037</v>
      </c>
      <c r="H1067" t="s">
        <v>3764</v>
      </c>
    </row>
    <row r="1068" spans="2:8" x14ac:dyDescent="0.25">
      <c r="B1068" t="s">
        <v>3393</v>
      </c>
      <c r="C1068">
        <v>2020</v>
      </c>
      <c r="D1068" t="s">
        <v>3457</v>
      </c>
      <c r="E1068" t="s">
        <v>4017</v>
      </c>
      <c r="F1068" t="s">
        <v>4018</v>
      </c>
      <c r="G1068" t="s">
        <v>4038</v>
      </c>
      <c r="H1068" t="s">
        <v>3764</v>
      </c>
    </row>
    <row r="1069" spans="2:8" x14ac:dyDescent="0.25">
      <c r="B1069" t="s">
        <v>3393</v>
      </c>
      <c r="C1069">
        <v>2020</v>
      </c>
      <c r="D1069" t="s">
        <v>3457</v>
      </c>
      <c r="E1069" t="s">
        <v>4017</v>
      </c>
      <c r="F1069" t="s">
        <v>4018</v>
      </c>
      <c r="G1069" t="s">
        <v>4039</v>
      </c>
      <c r="H1069" t="s">
        <v>3764</v>
      </c>
    </row>
    <row r="1070" spans="2:8" x14ac:dyDescent="0.25">
      <c r="B1070" t="s">
        <v>3393</v>
      </c>
      <c r="C1070">
        <v>2020</v>
      </c>
      <c r="D1070" t="s">
        <v>3457</v>
      </c>
      <c r="E1070" t="s">
        <v>4017</v>
      </c>
      <c r="F1070" t="s">
        <v>4018</v>
      </c>
      <c r="G1070" t="s">
        <v>4040</v>
      </c>
      <c r="H1070" t="s">
        <v>3764</v>
      </c>
    </row>
    <row r="1071" spans="2:8" x14ac:dyDescent="0.25">
      <c r="B1071" t="s">
        <v>3393</v>
      </c>
      <c r="C1071">
        <v>2020</v>
      </c>
      <c r="D1071" t="s">
        <v>3457</v>
      </c>
      <c r="E1071" t="s">
        <v>4017</v>
      </c>
      <c r="F1071" t="s">
        <v>4018</v>
      </c>
      <c r="G1071" t="s">
        <v>4041</v>
      </c>
      <c r="H1071" t="s">
        <v>3764</v>
      </c>
    </row>
    <row r="1072" spans="2:8" x14ac:dyDescent="0.25">
      <c r="B1072" t="s">
        <v>3393</v>
      </c>
      <c r="C1072">
        <v>2020</v>
      </c>
      <c r="D1072" t="s">
        <v>3457</v>
      </c>
      <c r="E1072" t="s">
        <v>4017</v>
      </c>
      <c r="F1072" t="s">
        <v>4018</v>
      </c>
      <c r="G1072" t="s">
        <v>4042</v>
      </c>
      <c r="H1072" t="s">
        <v>3764</v>
      </c>
    </row>
    <row r="1073" spans="2:8" x14ac:dyDescent="0.25">
      <c r="B1073" t="s">
        <v>3393</v>
      </c>
      <c r="C1073">
        <v>2020</v>
      </c>
      <c r="D1073" t="s">
        <v>3457</v>
      </c>
      <c r="E1073" t="s">
        <v>4017</v>
      </c>
      <c r="F1073" t="s">
        <v>4018</v>
      </c>
      <c r="G1073" t="s">
        <v>4043</v>
      </c>
      <c r="H1073" t="s">
        <v>3764</v>
      </c>
    </row>
    <row r="1074" spans="2:8" x14ac:dyDescent="0.25">
      <c r="B1074" t="s">
        <v>3393</v>
      </c>
      <c r="C1074">
        <v>2020</v>
      </c>
      <c r="D1074" t="s">
        <v>3457</v>
      </c>
      <c r="E1074" t="s">
        <v>4017</v>
      </c>
      <c r="F1074" t="s">
        <v>4018</v>
      </c>
      <c r="G1074" t="s">
        <v>4044</v>
      </c>
      <c r="H1074" t="s">
        <v>3764</v>
      </c>
    </row>
    <row r="1075" spans="2:8" x14ac:dyDescent="0.25">
      <c r="B1075" t="s">
        <v>3393</v>
      </c>
      <c r="C1075">
        <v>2020</v>
      </c>
      <c r="D1075" t="s">
        <v>3457</v>
      </c>
      <c r="E1075" t="s">
        <v>4017</v>
      </c>
      <c r="F1075" t="s">
        <v>4018</v>
      </c>
      <c r="G1075" t="s">
        <v>4045</v>
      </c>
      <c r="H1075" t="s">
        <v>3764</v>
      </c>
    </row>
    <row r="1076" spans="2:8" x14ac:dyDescent="0.25">
      <c r="B1076" t="s">
        <v>3393</v>
      </c>
      <c r="C1076">
        <v>2020</v>
      </c>
      <c r="D1076" t="s">
        <v>3457</v>
      </c>
      <c r="E1076" t="s">
        <v>4017</v>
      </c>
      <c r="F1076" t="s">
        <v>4018</v>
      </c>
      <c r="G1076" t="s">
        <v>4046</v>
      </c>
      <c r="H1076" t="s">
        <v>3764</v>
      </c>
    </row>
    <row r="1077" spans="2:8" x14ac:dyDescent="0.25">
      <c r="B1077" t="s">
        <v>3393</v>
      </c>
      <c r="C1077">
        <v>2020</v>
      </c>
      <c r="D1077" t="s">
        <v>3457</v>
      </c>
      <c r="E1077" t="s">
        <v>4017</v>
      </c>
      <c r="F1077" t="s">
        <v>4018</v>
      </c>
      <c r="G1077" t="s">
        <v>4047</v>
      </c>
      <c r="H1077" t="s">
        <v>3764</v>
      </c>
    </row>
    <row r="1078" spans="2:8" x14ac:dyDescent="0.25">
      <c r="B1078" t="s">
        <v>3393</v>
      </c>
      <c r="C1078">
        <v>2020</v>
      </c>
      <c r="D1078" t="s">
        <v>3457</v>
      </c>
      <c r="E1078" t="s">
        <v>4017</v>
      </c>
      <c r="F1078" t="s">
        <v>4018</v>
      </c>
      <c r="G1078" t="s">
        <v>4048</v>
      </c>
      <c r="H1078" t="s">
        <v>3764</v>
      </c>
    </row>
    <row r="1079" spans="2:8" x14ac:dyDescent="0.25">
      <c r="B1079" t="s">
        <v>3393</v>
      </c>
      <c r="C1079">
        <v>2020</v>
      </c>
      <c r="D1079" t="s">
        <v>3457</v>
      </c>
      <c r="E1079" t="s">
        <v>4017</v>
      </c>
      <c r="F1079" t="s">
        <v>4018</v>
      </c>
      <c r="G1079" t="s">
        <v>4049</v>
      </c>
      <c r="H1079" t="s">
        <v>3764</v>
      </c>
    </row>
    <row r="1080" spans="2:8" x14ac:dyDescent="0.25">
      <c r="B1080" t="s">
        <v>3393</v>
      </c>
      <c r="C1080">
        <v>2020</v>
      </c>
      <c r="D1080" t="s">
        <v>3457</v>
      </c>
      <c r="E1080" t="s">
        <v>4017</v>
      </c>
      <c r="F1080" t="s">
        <v>4018</v>
      </c>
      <c r="G1080" t="s">
        <v>4050</v>
      </c>
      <c r="H1080" t="s">
        <v>3764</v>
      </c>
    </row>
    <row r="1081" spans="2:8" x14ac:dyDescent="0.25">
      <c r="B1081" t="s">
        <v>3393</v>
      </c>
      <c r="C1081">
        <v>2020</v>
      </c>
      <c r="D1081" t="s">
        <v>3457</v>
      </c>
      <c r="E1081" t="s">
        <v>4017</v>
      </c>
      <c r="F1081" t="s">
        <v>4018</v>
      </c>
      <c r="G1081" t="s">
        <v>4051</v>
      </c>
      <c r="H1081" t="s">
        <v>3764</v>
      </c>
    </row>
    <row r="1082" spans="2:8" x14ac:dyDescent="0.25">
      <c r="B1082" t="s">
        <v>3393</v>
      </c>
      <c r="C1082">
        <v>2020</v>
      </c>
      <c r="D1082" t="s">
        <v>3457</v>
      </c>
      <c r="E1082" t="s">
        <v>4017</v>
      </c>
      <c r="F1082" t="s">
        <v>4018</v>
      </c>
      <c r="G1082" t="s">
        <v>4052</v>
      </c>
      <c r="H1082" t="s">
        <v>3764</v>
      </c>
    </row>
    <row r="1083" spans="2:8" x14ac:dyDescent="0.25">
      <c r="B1083" t="s">
        <v>3393</v>
      </c>
      <c r="C1083">
        <v>2020</v>
      </c>
      <c r="D1083" t="s">
        <v>3457</v>
      </c>
      <c r="E1083" t="s">
        <v>4017</v>
      </c>
      <c r="F1083" t="s">
        <v>4018</v>
      </c>
      <c r="G1083" t="s">
        <v>4053</v>
      </c>
      <c r="H1083" t="s">
        <v>3764</v>
      </c>
    </row>
    <row r="1084" spans="2:8" x14ac:dyDescent="0.25">
      <c r="B1084" t="s">
        <v>3393</v>
      </c>
      <c r="C1084">
        <v>2020</v>
      </c>
      <c r="D1084" t="s">
        <v>3457</v>
      </c>
      <c r="E1084" t="s">
        <v>4017</v>
      </c>
      <c r="F1084" t="s">
        <v>4018</v>
      </c>
      <c r="G1084" t="s">
        <v>4054</v>
      </c>
      <c r="H1084" t="s">
        <v>3764</v>
      </c>
    </row>
    <row r="1085" spans="2:8" x14ac:dyDescent="0.25">
      <c r="B1085" t="s">
        <v>3393</v>
      </c>
      <c r="C1085">
        <v>2020</v>
      </c>
      <c r="D1085" t="s">
        <v>3457</v>
      </c>
      <c r="E1085" t="s">
        <v>4017</v>
      </c>
      <c r="F1085" t="s">
        <v>4018</v>
      </c>
      <c r="G1085" t="s">
        <v>4055</v>
      </c>
      <c r="H1085" t="s">
        <v>3764</v>
      </c>
    </row>
    <row r="1086" spans="2:8" x14ac:dyDescent="0.25">
      <c r="B1086" t="s">
        <v>3393</v>
      </c>
      <c r="C1086">
        <v>2020</v>
      </c>
      <c r="D1086" t="s">
        <v>3457</v>
      </c>
      <c r="E1086" t="s">
        <v>4017</v>
      </c>
      <c r="F1086" t="s">
        <v>4018</v>
      </c>
      <c r="G1086" t="s">
        <v>4056</v>
      </c>
      <c r="H1086" t="s">
        <v>3764</v>
      </c>
    </row>
    <row r="1087" spans="2:8" x14ac:dyDescent="0.25">
      <c r="B1087" t="s">
        <v>3393</v>
      </c>
      <c r="C1087">
        <v>2020</v>
      </c>
      <c r="D1087" t="s">
        <v>3457</v>
      </c>
      <c r="E1087" t="s">
        <v>4017</v>
      </c>
      <c r="F1087" t="s">
        <v>4018</v>
      </c>
      <c r="G1087" t="s">
        <v>4057</v>
      </c>
      <c r="H1087" t="s">
        <v>3764</v>
      </c>
    </row>
    <row r="1088" spans="2:8" x14ac:dyDescent="0.25">
      <c r="B1088" t="s">
        <v>3393</v>
      </c>
      <c r="C1088">
        <v>2020</v>
      </c>
      <c r="D1088" t="s">
        <v>3457</v>
      </c>
      <c r="E1088" t="s">
        <v>4017</v>
      </c>
      <c r="F1088" t="s">
        <v>4018</v>
      </c>
      <c r="G1088" t="s">
        <v>4058</v>
      </c>
      <c r="H1088" t="s">
        <v>3764</v>
      </c>
    </row>
    <row r="1089" spans="2:8" x14ac:dyDescent="0.25">
      <c r="B1089" t="s">
        <v>3393</v>
      </c>
      <c r="C1089">
        <v>2020</v>
      </c>
      <c r="D1089" t="s">
        <v>3457</v>
      </c>
      <c r="E1089" t="s">
        <v>4017</v>
      </c>
      <c r="F1089" t="s">
        <v>4018</v>
      </c>
      <c r="G1089" t="s">
        <v>4059</v>
      </c>
      <c r="H1089" t="s">
        <v>3764</v>
      </c>
    </row>
    <row r="1090" spans="2:8" x14ac:dyDescent="0.25">
      <c r="B1090" t="s">
        <v>3393</v>
      </c>
      <c r="C1090">
        <v>2020</v>
      </c>
      <c r="D1090" t="s">
        <v>3457</v>
      </c>
      <c r="E1090" t="s">
        <v>4017</v>
      </c>
      <c r="F1090" t="s">
        <v>4018</v>
      </c>
      <c r="G1090" t="s">
        <v>4060</v>
      </c>
      <c r="H1090" t="s">
        <v>3764</v>
      </c>
    </row>
    <row r="1091" spans="2:8" x14ac:dyDescent="0.25">
      <c r="B1091" t="s">
        <v>3393</v>
      </c>
      <c r="C1091">
        <v>2020</v>
      </c>
      <c r="D1091" t="s">
        <v>3457</v>
      </c>
      <c r="E1091" t="s">
        <v>4017</v>
      </c>
      <c r="F1091" t="s">
        <v>4018</v>
      </c>
      <c r="G1091" t="s">
        <v>4061</v>
      </c>
      <c r="H1091" t="s">
        <v>3764</v>
      </c>
    </row>
    <row r="1092" spans="2:8" x14ac:dyDescent="0.25">
      <c r="B1092" t="s">
        <v>3393</v>
      </c>
      <c r="C1092">
        <v>2020</v>
      </c>
      <c r="D1092" t="s">
        <v>3457</v>
      </c>
      <c r="E1092" t="s">
        <v>4017</v>
      </c>
      <c r="F1092" t="s">
        <v>4018</v>
      </c>
      <c r="G1092" t="s">
        <v>4062</v>
      </c>
      <c r="H1092" t="s">
        <v>3764</v>
      </c>
    </row>
    <row r="1093" spans="2:8" x14ac:dyDescent="0.25">
      <c r="B1093" t="s">
        <v>3393</v>
      </c>
      <c r="C1093">
        <v>2020</v>
      </c>
      <c r="D1093" t="s">
        <v>3457</v>
      </c>
      <c r="E1093" t="s">
        <v>4017</v>
      </c>
      <c r="F1093" t="s">
        <v>4018</v>
      </c>
      <c r="G1093" t="s">
        <v>4063</v>
      </c>
      <c r="H1093" t="s">
        <v>3764</v>
      </c>
    </row>
    <row r="1094" spans="2:8" x14ac:dyDescent="0.25">
      <c r="B1094" t="s">
        <v>3393</v>
      </c>
      <c r="C1094">
        <v>2020</v>
      </c>
      <c r="D1094" t="s">
        <v>3457</v>
      </c>
      <c r="E1094" t="s">
        <v>4017</v>
      </c>
      <c r="F1094" t="s">
        <v>4018</v>
      </c>
      <c r="G1094" t="s">
        <v>4064</v>
      </c>
      <c r="H1094" t="s">
        <v>3764</v>
      </c>
    </row>
    <row r="1095" spans="2:8" x14ac:dyDescent="0.25">
      <c r="B1095" t="s">
        <v>3393</v>
      </c>
      <c r="C1095">
        <v>2020</v>
      </c>
      <c r="D1095" t="s">
        <v>3457</v>
      </c>
      <c r="E1095" t="s">
        <v>4017</v>
      </c>
      <c r="F1095" t="s">
        <v>4018</v>
      </c>
      <c r="G1095" t="s">
        <v>4065</v>
      </c>
      <c r="H1095" t="s">
        <v>3764</v>
      </c>
    </row>
    <row r="1096" spans="2:8" x14ac:dyDescent="0.25">
      <c r="B1096" t="s">
        <v>3393</v>
      </c>
      <c r="C1096">
        <v>2020</v>
      </c>
      <c r="D1096" t="s">
        <v>3457</v>
      </c>
      <c r="E1096" t="s">
        <v>4017</v>
      </c>
      <c r="F1096" t="s">
        <v>4018</v>
      </c>
      <c r="G1096" t="s">
        <v>4066</v>
      </c>
      <c r="H1096" t="s">
        <v>3764</v>
      </c>
    </row>
    <row r="1097" spans="2:8" x14ac:dyDescent="0.25">
      <c r="B1097" t="s">
        <v>3393</v>
      </c>
      <c r="C1097">
        <v>2020</v>
      </c>
      <c r="D1097" t="s">
        <v>3457</v>
      </c>
      <c r="E1097" t="s">
        <v>4017</v>
      </c>
      <c r="F1097" t="s">
        <v>4018</v>
      </c>
      <c r="G1097" t="s">
        <v>4067</v>
      </c>
      <c r="H1097" t="s">
        <v>3764</v>
      </c>
    </row>
    <row r="1098" spans="2:8" x14ac:dyDescent="0.25">
      <c r="B1098" t="s">
        <v>3393</v>
      </c>
      <c r="C1098">
        <v>2020</v>
      </c>
      <c r="D1098" t="s">
        <v>3457</v>
      </c>
      <c r="E1098" t="s">
        <v>4017</v>
      </c>
      <c r="F1098" t="s">
        <v>4018</v>
      </c>
      <c r="G1098" t="s">
        <v>4068</v>
      </c>
      <c r="H1098" t="s">
        <v>3764</v>
      </c>
    </row>
    <row r="1099" spans="2:8" x14ac:dyDescent="0.25">
      <c r="B1099" t="s">
        <v>3393</v>
      </c>
      <c r="C1099">
        <v>2020</v>
      </c>
      <c r="D1099" t="s">
        <v>3457</v>
      </c>
      <c r="E1099" t="s">
        <v>4017</v>
      </c>
      <c r="F1099" t="s">
        <v>4018</v>
      </c>
      <c r="G1099" t="s">
        <v>4069</v>
      </c>
      <c r="H1099" t="s">
        <v>3764</v>
      </c>
    </row>
    <row r="1100" spans="2:8" x14ac:dyDescent="0.25">
      <c r="B1100" t="s">
        <v>3393</v>
      </c>
      <c r="C1100">
        <v>2020</v>
      </c>
      <c r="D1100" t="s">
        <v>3457</v>
      </c>
      <c r="E1100" t="s">
        <v>4017</v>
      </c>
      <c r="F1100" t="s">
        <v>4018</v>
      </c>
      <c r="G1100" t="s">
        <v>4070</v>
      </c>
      <c r="H1100" t="s">
        <v>3764</v>
      </c>
    </row>
    <row r="1101" spans="2:8" x14ac:dyDescent="0.25">
      <c r="B1101" t="s">
        <v>3393</v>
      </c>
      <c r="C1101">
        <v>2020</v>
      </c>
      <c r="D1101" t="s">
        <v>3457</v>
      </c>
      <c r="E1101" t="s">
        <v>4017</v>
      </c>
      <c r="F1101" t="s">
        <v>4018</v>
      </c>
      <c r="G1101" t="s">
        <v>4071</v>
      </c>
      <c r="H1101" t="s">
        <v>3764</v>
      </c>
    </row>
    <row r="1102" spans="2:8" x14ac:dyDescent="0.25">
      <c r="B1102" t="s">
        <v>3393</v>
      </c>
      <c r="C1102">
        <v>2020</v>
      </c>
      <c r="D1102" t="s">
        <v>3457</v>
      </c>
      <c r="E1102" t="s">
        <v>4017</v>
      </c>
      <c r="F1102" t="s">
        <v>4018</v>
      </c>
      <c r="G1102" t="s">
        <v>4072</v>
      </c>
      <c r="H1102" t="s">
        <v>3764</v>
      </c>
    </row>
    <row r="1103" spans="2:8" x14ac:dyDescent="0.25">
      <c r="B1103" t="s">
        <v>3393</v>
      </c>
      <c r="C1103">
        <v>2020</v>
      </c>
      <c r="D1103" t="s">
        <v>3457</v>
      </c>
      <c r="E1103" t="s">
        <v>4017</v>
      </c>
      <c r="F1103" t="s">
        <v>4018</v>
      </c>
      <c r="G1103" t="s">
        <v>4073</v>
      </c>
      <c r="H1103" t="s">
        <v>3764</v>
      </c>
    </row>
    <row r="1104" spans="2:8" x14ac:dyDescent="0.25">
      <c r="B1104" t="s">
        <v>3393</v>
      </c>
      <c r="C1104">
        <v>2020</v>
      </c>
      <c r="D1104" t="s">
        <v>3457</v>
      </c>
      <c r="E1104" t="s">
        <v>4017</v>
      </c>
      <c r="F1104" t="s">
        <v>4018</v>
      </c>
      <c r="G1104" t="s">
        <v>4074</v>
      </c>
      <c r="H1104" t="s">
        <v>3764</v>
      </c>
    </row>
    <row r="1105" spans="2:8" x14ac:dyDescent="0.25">
      <c r="B1105" t="s">
        <v>3393</v>
      </c>
      <c r="C1105">
        <v>2020</v>
      </c>
      <c r="D1105" t="s">
        <v>3457</v>
      </c>
      <c r="E1105" t="s">
        <v>4017</v>
      </c>
      <c r="F1105" t="s">
        <v>4018</v>
      </c>
      <c r="G1105" t="s">
        <v>4075</v>
      </c>
      <c r="H1105" t="s">
        <v>3764</v>
      </c>
    </row>
    <row r="1106" spans="2:8" x14ac:dyDescent="0.25">
      <c r="B1106" t="s">
        <v>3393</v>
      </c>
      <c r="C1106">
        <v>2020</v>
      </c>
      <c r="D1106" t="s">
        <v>3457</v>
      </c>
      <c r="E1106" t="s">
        <v>4017</v>
      </c>
      <c r="F1106" t="s">
        <v>4018</v>
      </c>
      <c r="G1106" t="s">
        <v>4076</v>
      </c>
      <c r="H1106" t="s">
        <v>3764</v>
      </c>
    </row>
    <row r="1107" spans="2:8" x14ac:dyDescent="0.25">
      <c r="B1107" t="s">
        <v>3393</v>
      </c>
      <c r="C1107">
        <v>2020</v>
      </c>
      <c r="D1107" t="s">
        <v>3457</v>
      </c>
      <c r="E1107" t="s">
        <v>4017</v>
      </c>
      <c r="F1107" t="s">
        <v>4018</v>
      </c>
      <c r="G1107" t="s">
        <v>4077</v>
      </c>
      <c r="H1107" t="s">
        <v>3764</v>
      </c>
    </row>
    <row r="1108" spans="2:8" x14ac:dyDescent="0.25">
      <c r="B1108" t="s">
        <v>3393</v>
      </c>
      <c r="C1108">
        <v>2020</v>
      </c>
      <c r="D1108" t="s">
        <v>3457</v>
      </c>
      <c r="E1108" t="s">
        <v>4017</v>
      </c>
      <c r="F1108" t="s">
        <v>4018</v>
      </c>
      <c r="G1108" t="s">
        <v>4078</v>
      </c>
      <c r="H1108" t="s">
        <v>3764</v>
      </c>
    </row>
    <row r="1109" spans="2:8" x14ac:dyDescent="0.25">
      <c r="B1109" t="s">
        <v>3393</v>
      </c>
      <c r="C1109">
        <v>2020</v>
      </c>
      <c r="D1109" t="s">
        <v>3457</v>
      </c>
      <c r="E1109" t="s">
        <v>4017</v>
      </c>
      <c r="F1109" t="s">
        <v>4018</v>
      </c>
      <c r="G1109" t="s">
        <v>4079</v>
      </c>
      <c r="H1109" t="s">
        <v>3764</v>
      </c>
    </row>
    <row r="1110" spans="2:8" x14ac:dyDescent="0.25">
      <c r="B1110" t="s">
        <v>3393</v>
      </c>
      <c r="C1110">
        <v>2020</v>
      </c>
      <c r="D1110" t="s">
        <v>3457</v>
      </c>
      <c r="E1110" t="s">
        <v>4017</v>
      </c>
      <c r="F1110" t="s">
        <v>4018</v>
      </c>
      <c r="G1110" t="s">
        <v>4080</v>
      </c>
      <c r="H1110" t="s">
        <v>3764</v>
      </c>
    </row>
    <row r="1111" spans="2:8" x14ac:dyDescent="0.25">
      <c r="B1111" t="s">
        <v>3393</v>
      </c>
      <c r="C1111">
        <v>2020</v>
      </c>
      <c r="D1111" t="s">
        <v>3457</v>
      </c>
      <c r="E1111" t="s">
        <v>4017</v>
      </c>
      <c r="F1111" t="s">
        <v>4018</v>
      </c>
      <c r="G1111" t="s">
        <v>4081</v>
      </c>
      <c r="H1111" t="s">
        <v>3764</v>
      </c>
    </row>
    <row r="1112" spans="2:8" x14ac:dyDescent="0.25">
      <c r="B1112" t="s">
        <v>3393</v>
      </c>
      <c r="C1112">
        <v>2020</v>
      </c>
      <c r="D1112" t="s">
        <v>3457</v>
      </c>
      <c r="E1112" t="s">
        <v>4017</v>
      </c>
      <c r="F1112" t="s">
        <v>4018</v>
      </c>
      <c r="G1112" t="s">
        <v>4082</v>
      </c>
      <c r="H1112" t="s">
        <v>3764</v>
      </c>
    </row>
    <row r="1113" spans="2:8" x14ac:dyDescent="0.25">
      <c r="B1113" t="s">
        <v>3393</v>
      </c>
      <c r="C1113">
        <v>2020</v>
      </c>
      <c r="D1113" t="s">
        <v>3457</v>
      </c>
      <c r="E1113" t="s">
        <v>4017</v>
      </c>
      <c r="F1113" t="s">
        <v>4018</v>
      </c>
      <c r="G1113" t="s">
        <v>4083</v>
      </c>
      <c r="H1113" t="s">
        <v>3764</v>
      </c>
    </row>
    <row r="1114" spans="2:8" x14ac:dyDescent="0.25">
      <c r="B1114" t="s">
        <v>3393</v>
      </c>
      <c r="C1114">
        <v>2020</v>
      </c>
      <c r="D1114" t="s">
        <v>3457</v>
      </c>
      <c r="E1114" t="s">
        <v>4017</v>
      </c>
      <c r="F1114" t="s">
        <v>4018</v>
      </c>
      <c r="G1114" t="s">
        <v>4084</v>
      </c>
      <c r="H1114" t="s">
        <v>3764</v>
      </c>
    </row>
    <row r="1115" spans="2:8" x14ac:dyDescent="0.25">
      <c r="B1115" t="s">
        <v>3393</v>
      </c>
      <c r="C1115">
        <v>2020</v>
      </c>
      <c r="D1115" t="s">
        <v>3457</v>
      </c>
      <c r="E1115" t="s">
        <v>4017</v>
      </c>
      <c r="F1115" t="s">
        <v>4018</v>
      </c>
      <c r="G1115" t="s">
        <v>4085</v>
      </c>
      <c r="H1115" t="s">
        <v>3764</v>
      </c>
    </row>
    <row r="1116" spans="2:8" x14ac:dyDescent="0.25">
      <c r="B1116" t="s">
        <v>3393</v>
      </c>
      <c r="C1116">
        <v>2020</v>
      </c>
      <c r="D1116" t="s">
        <v>3457</v>
      </c>
      <c r="E1116" t="s">
        <v>4017</v>
      </c>
      <c r="F1116" t="s">
        <v>4018</v>
      </c>
      <c r="G1116" t="s">
        <v>4086</v>
      </c>
      <c r="H1116" t="s">
        <v>3764</v>
      </c>
    </row>
    <row r="1117" spans="2:8" x14ac:dyDescent="0.25">
      <c r="B1117" t="s">
        <v>3393</v>
      </c>
      <c r="C1117">
        <v>2020</v>
      </c>
      <c r="D1117" t="s">
        <v>3457</v>
      </c>
      <c r="E1117" t="s">
        <v>4017</v>
      </c>
      <c r="F1117" t="s">
        <v>4018</v>
      </c>
      <c r="G1117" t="s">
        <v>4087</v>
      </c>
      <c r="H1117" t="s">
        <v>3764</v>
      </c>
    </row>
    <row r="1118" spans="2:8" x14ac:dyDescent="0.25">
      <c r="B1118" t="s">
        <v>3393</v>
      </c>
      <c r="C1118">
        <v>2020</v>
      </c>
      <c r="D1118" t="s">
        <v>3457</v>
      </c>
      <c r="E1118" t="s">
        <v>4017</v>
      </c>
      <c r="F1118" t="s">
        <v>4018</v>
      </c>
      <c r="G1118" t="s">
        <v>4088</v>
      </c>
      <c r="H1118" t="s">
        <v>3764</v>
      </c>
    </row>
    <row r="1119" spans="2:8" x14ac:dyDescent="0.25">
      <c r="B1119" t="s">
        <v>3393</v>
      </c>
      <c r="C1119">
        <v>2020</v>
      </c>
      <c r="D1119" t="s">
        <v>3457</v>
      </c>
      <c r="E1119" t="s">
        <v>4017</v>
      </c>
      <c r="F1119" t="s">
        <v>4018</v>
      </c>
      <c r="G1119" t="s">
        <v>4089</v>
      </c>
      <c r="H1119" t="s">
        <v>3764</v>
      </c>
    </row>
    <row r="1120" spans="2:8" x14ac:dyDescent="0.25">
      <c r="B1120" t="s">
        <v>3393</v>
      </c>
      <c r="C1120">
        <v>2020</v>
      </c>
      <c r="D1120" t="s">
        <v>3457</v>
      </c>
      <c r="E1120" t="s">
        <v>4017</v>
      </c>
      <c r="F1120" t="s">
        <v>4018</v>
      </c>
      <c r="G1120" t="s">
        <v>4090</v>
      </c>
      <c r="H1120" t="s">
        <v>3764</v>
      </c>
    </row>
    <row r="1121" spans="2:8" x14ac:dyDescent="0.25">
      <c r="B1121" t="s">
        <v>3393</v>
      </c>
      <c r="C1121">
        <v>2020</v>
      </c>
      <c r="D1121" t="s">
        <v>3457</v>
      </c>
      <c r="E1121" t="s">
        <v>4017</v>
      </c>
      <c r="F1121" t="s">
        <v>4018</v>
      </c>
      <c r="G1121" t="s">
        <v>4091</v>
      </c>
      <c r="H1121" t="s">
        <v>3764</v>
      </c>
    </row>
    <row r="1122" spans="2:8" x14ac:dyDescent="0.25">
      <c r="B1122" t="s">
        <v>3393</v>
      </c>
      <c r="C1122">
        <v>2020</v>
      </c>
      <c r="D1122" t="s">
        <v>3457</v>
      </c>
      <c r="E1122" t="s">
        <v>4017</v>
      </c>
      <c r="F1122" t="s">
        <v>4018</v>
      </c>
      <c r="G1122" t="s">
        <v>4092</v>
      </c>
      <c r="H1122" t="s">
        <v>3764</v>
      </c>
    </row>
    <row r="1123" spans="2:8" x14ac:dyDescent="0.25">
      <c r="B1123" t="s">
        <v>3393</v>
      </c>
      <c r="C1123">
        <v>2020</v>
      </c>
      <c r="D1123" t="s">
        <v>3457</v>
      </c>
      <c r="E1123" t="s">
        <v>4017</v>
      </c>
      <c r="F1123" t="s">
        <v>4018</v>
      </c>
      <c r="G1123" t="s">
        <v>4093</v>
      </c>
      <c r="H1123" t="s">
        <v>3764</v>
      </c>
    </row>
    <row r="1124" spans="2:8" x14ac:dyDescent="0.25">
      <c r="B1124" t="s">
        <v>3393</v>
      </c>
      <c r="C1124">
        <v>2020</v>
      </c>
      <c r="D1124" t="s">
        <v>3457</v>
      </c>
      <c r="E1124" t="s">
        <v>4017</v>
      </c>
      <c r="F1124" t="s">
        <v>4018</v>
      </c>
      <c r="G1124" t="s">
        <v>4094</v>
      </c>
      <c r="H1124" t="s">
        <v>3764</v>
      </c>
    </row>
    <row r="1125" spans="2:8" x14ac:dyDescent="0.25">
      <c r="B1125" t="s">
        <v>3393</v>
      </c>
      <c r="C1125">
        <v>2020</v>
      </c>
      <c r="D1125" t="s">
        <v>3457</v>
      </c>
      <c r="E1125" t="s">
        <v>4017</v>
      </c>
      <c r="F1125" t="s">
        <v>4018</v>
      </c>
      <c r="G1125" t="s">
        <v>4095</v>
      </c>
      <c r="H1125" t="s">
        <v>3764</v>
      </c>
    </row>
    <row r="1126" spans="2:8" x14ac:dyDescent="0.25">
      <c r="B1126" t="s">
        <v>3393</v>
      </c>
      <c r="C1126">
        <v>2020</v>
      </c>
      <c r="D1126" t="s">
        <v>3457</v>
      </c>
      <c r="E1126" t="s">
        <v>4017</v>
      </c>
      <c r="F1126" t="s">
        <v>4018</v>
      </c>
      <c r="G1126" t="s">
        <v>4096</v>
      </c>
      <c r="H1126" t="s">
        <v>3764</v>
      </c>
    </row>
    <row r="1127" spans="2:8" x14ac:dyDescent="0.25">
      <c r="B1127" t="s">
        <v>3393</v>
      </c>
      <c r="C1127">
        <v>2020</v>
      </c>
      <c r="D1127" t="s">
        <v>3457</v>
      </c>
      <c r="E1127" t="s">
        <v>4017</v>
      </c>
      <c r="F1127" t="s">
        <v>4018</v>
      </c>
      <c r="G1127" t="s">
        <v>4097</v>
      </c>
      <c r="H1127" t="s">
        <v>3764</v>
      </c>
    </row>
    <row r="1128" spans="2:8" x14ac:dyDescent="0.25">
      <c r="B1128" t="s">
        <v>3393</v>
      </c>
      <c r="C1128">
        <v>2020</v>
      </c>
      <c r="D1128" t="s">
        <v>3457</v>
      </c>
      <c r="E1128" t="s">
        <v>4017</v>
      </c>
      <c r="F1128" t="s">
        <v>4018</v>
      </c>
      <c r="G1128" t="s">
        <v>4098</v>
      </c>
      <c r="H1128" t="s">
        <v>3764</v>
      </c>
    </row>
    <row r="1129" spans="2:8" x14ac:dyDescent="0.25">
      <c r="B1129" t="s">
        <v>3393</v>
      </c>
      <c r="C1129">
        <v>2020</v>
      </c>
      <c r="D1129" t="s">
        <v>3457</v>
      </c>
      <c r="E1129" t="s">
        <v>4017</v>
      </c>
      <c r="F1129" t="s">
        <v>4018</v>
      </c>
      <c r="G1129" t="s">
        <v>4099</v>
      </c>
      <c r="H1129" t="s">
        <v>3764</v>
      </c>
    </row>
    <row r="1130" spans="2:8" x14ac:dyDescent="0.25">
      <c r="B1130" t="s">
        <v>3393</v>
      </c>
      <c r="C1130">
        <v>2020</v>
      </c>
      <c r="D1130" t="s">
        <v>3457</v>
      </c>
      <c r="E1130" t="s">
        <v>4017</v>
      </c>
      <c r="F1130" t="s">
        <v>4018</v>
      </c>
      <c r="G1130" t="s">
        <v>4100</v>
      </c>
      <c r="H1130" t="s">
        <v>3764</v>
      </c>
    </row>
    <row r="1131" spans="2:8" x14ac:dyDescent="0.25">
      <c r="B1131" t="s">
        <v>3393</v>
      </c>
      <c r="C1131">
        <v>2020</v>
      </c>
      <c r="D1131" t="s">
        <v>3457</v>
      </c>
      <c r="E1131" t="s">
        <v>4017</v>
      </c>
      <c r="F1131" t="s">
        <v>4018</v>
      </c>
      <c r="G1131" t="s">
        <v>4101</v>
      </c>
      <c r="H1131" t="s">
        <v>3764</v>
      </c>
    </row>
    <row r="1132" spans="2:8" x14ac:dyDescent="0.25">
      <c r="B1132" t="s">
        <v>3393</v>
      </c>
      <c r="C1132">
        <v>2020</v>
      </c>
      <c r="D1132" t="s">
        <v>3457</v>
      </c>
      <c r="E1132" t="s">
        <v>4017</v>
      </c>
      <c r="F1132" t="s">
        <v>4018</v>
      </c>
      <c r="G1132" t="s">
        <v>4102</v>
      </c>
      <c r="H1132" t="s">
        <v>3764</v>
      </c>
    </row>
    <row r="1133" spans="2:8" x14ac:dyDescent="0.25">
      <c r="B1133" t="s">
        <v>3393</v>
      </c>
      <c r="C1133">
        <v>2020</v>
      </c>
      <c r="D1133" t="s">
        <v>3457</v>
      </c>
      <c r="E1133" t="s">
        <v>4017</v>
      </c>
      <c r="F1133" t="s">
        <v>4018</v>
      </c>
      <c r="G1133" t="s">
        <v>4103</v>
      </c>
      <c r="H1133" t="s">
        <v>3764</v>
      </c>
    </row>
    <row r="1134" spans="2:8" x14ac:dyDescent="0.25">
      <c r="B1134" t="s">
        <v>3393</v>
      </c>
      <c r="C1134">
        <v>2020</v>
      </c>
      <c r="D1134" t="s">
        <v>3457</v>
      </c>
      <c r="E1134" t="s">
        <v>2847</v>
      </c>
      <c r="F1134" t="s">
        <v>2848</v>
      </c>
      <c r="G1134" t="s">
        <v>2849</v>
      </c>
      <c r="H1134" t="s">
        <v>4013</v>
      </c>
    </row>
    <row r="1135" spans="2:8" x14ac:dyDescent="0.25">
      <c r="B1135" t="s">
        <v>3393</v>
      </c>
      <c r="C1135">
        <v>2020</v>
      </c>
      <c r="D1135" t="s">
        <v>3457</v>
      </c>
      <c r="E1135" t="s">
        <v>2847</v>
      </c>
      <c r="F1135" t="s">
        <v>2848</v>
      </c>
      <c r="G1135" t="s">
        <v>2850</v>
      </c>
      <c r="H1135" t="s">
        <v>4104</v>
      </c>
    </row>
    <row r="1136" spans="2:8" x14ac:dyDescent="0.25">
      <c r="B1136" t="s">
        <v>3393</v>
      </c>
      <c r="C1136">
        <v>2020</v>
      </c>
      <c r="D1136" t="s">
        <v>3457</v>
      </c>
      <c r="E1136" t="s">
        <v>2851</v>
      </c>
      <c r="F1136" t="s">
        <v>2852</v>
      </c>
      <c r="G1136" t="s">
        <v>2853</v>
      </c>
      <c r="H1136" t="s">
        <v>4105</v>
      </c>
    </row>
    <row r="1137" spans="2:8" x14ac:dyDescent="0.25">
      <c r="B1137" t="s">
        <v>3393</v>
      </c>
      <c r="C1137">
        <v>2020</v>
      </c>
      <c r="D1137" t="s">
        <v>3457</v>
      </c>
      <c r="E1137" t="s">
        <v>2854</v>
      </c>
      <c r="F1137" t="s">
        <v>2855</v>
      </c>
      <c r="G1137" t="s">
        <v>2856</v>
      </c>
      <c r="H1137" t="s">
        <v>4106</v>
      </c>
    </row>
    <row r="1138" spans="2:8" x14ac:dyDescent="0.25">
      <c r="B1138" t="s">
        <v>3393</v>
      </c>
      <c r="C1138">
        <v>2020</v>
      </c>
      <c r="D1138" t="s">
        <v>3457</v>
      </c>
      <c r="E1138" t="s">
        <v>2857</v>
      </c>
      <c r="F1138" t="s">
        <v>2858</v>
      </c>
      <c r="G1138" t="s">
        <v>2859</v>
      </c>
      <c r="H1138" t="s">
        <v>4012</v>
      </c>
    </row>
    <row r="1139" spans="2:8" x14ac:dyDescent="0.25">
      <c r="B1139" t="s">
        <v>3393</v>
      </c>
      <c r="C1139">
        <v>2020</v>
      </c>
      <c r="D1139" t="s">
        <v>3457</v>
      </c>
      <c r="E1139" t="s">
        <v>2860</v>
      </c>
      <c r="F1139" t="s">
        <v>2861</v>
      </c>
      <c r="G1139" t="s">
        <v>2862</v>
      </c>
      <c r="H1139" t="s">
        <v>1993</v>
      </c>
    </row>
    <row r="1140" spans="2:8" x14ac:dyDescent="0.25">
      <c r="B1140" t="s">
        <v>3393</v>
      </c>
      <c r="C1140">
        <v>2020</v>
      </c>
      <c r="D1140" t="s">
        <v>3457</v>
      </c>
      <c r="E1140" t="s">
        <v>2860</v>
      </c>
      <c r="F1140" t="s">
        <v>2861</v>
      </c>
      <c r="G1140" t="s">
        <v>2863</v>
      </c>
      <c r="H1140" t="s">
        <v>4107</v>
      </c>
    </row>
    <row r="1141" spans="2:8" x14ac:dyDescent="0.25">
      <c r="B1141" t="s">
        <v>3393</v>
      </c>
      <c r="C1141">
        <v>2020</v>
      </c>
      <c r="D1141" t="s">
        <v>3457</v>
      </c>
      <c r="E1141" t="s">
        <v>3286</v>
      </c>
      <c r="F1141" t="s">
        <v>3287</v>
      </c>
      <c r="G1141" t="s">
        <v>3288</v>
      </c>
      <c r="H1141" t="s">
        <v>1993</v>
      </c>
    </row>
    <row r="1142" spans="2:8" x14ac:dyDescent="0.25">
      <c r="B1142" t="s">
        <v>3393</v>
      </c>
      <c r="C1142">
        <v>2020</v>
      </c>
      <c r="D1142" t="s">
        <v>3457</v>
      </c>
      <c r="E1142" t="s">
        <v>3286</v>
      </c>
      <c r="F1142" t="s">
        <v>3287</v>
      </c>
      <c r="G1142" t="s">
        <v>3312</v>
      </c>
      <c r="H1142" t="s">
        <v>4108</v>
      </c>
    </row>
    <row r="1143" spans="2:8" x14ac:dyDescent="0.25">
      <c r="B1143" t="s">
        <v>3393</v>
      </c>
      <c r="C1143">
        <v>2020</v>
      </c>
      <c r="D1143" t="s">
        <v>3457</v>
      </c>
      <c r="E1143" t="s">
        <v>2864</v>
      </c>
      <c r="F1143" t="s">
        <v>2865</v>
      </c>
      <c r="G1143" t="s">
        <v>2866</v>
      </c>
      <c r="H1143" t="s">
        <v>4109</v>
      </c>
    </row>
    <row r="1144" spans="2:8" x14ac:dyDescent="0.25">
      <c r="B1144" t="s">
        <v>3393</v>
      </c>
      <c r="C1144">
        <v>2020</v>
      </c>
      <c r="D1144" t="s">
        <v>3457</v>
      </c>
      <c r="E1144" t="s">
        <v>2864</v>
      </c>
      <c r="F1144" t="s">
        <v>2865</v>
      </c>
      <c r="G1144" t="s">
        <v>2409</v>
      </c>
      <c r="H1144" t="s">
        <v>4110</v>
      </c>
    </row>
    <row r="1145" spans="2:8" x14ac:dyDescent="0.25">
      <c r="B1145" t="s">
        <v>3393</v>
      </c>
      <c r="C1145">
        <v>2020</v>
      </c>
      <c r="D1145" t="s">
        <v>3457</v>
      </c>
      <c r="E1145" t="s">
        <v>2864</v>
      </c>
      <c r="F1145" t="s">
        <v>2865</v>
      </c>
      <c r="G1145" t="s">
        <v>2867</v>
      </c>
      <c r="H1145" t="s">
        <v>4111</v>
      </c>
    </row>
    <row r="1146" spans="2:8" x14ac:dyDescent="0.25">
      <c r="B1146" t="s">
        <v>3393</v>
      </c>
      <c r="C1146">
        <v>2020</v>
      </c>
      <c r="D1146" t="s">
        <v>3457</v>
      </c>
      <c r="E1146" t="s">
        <v>2868</v>
      </c>
      <c r="F1146" t="s">
        <v>2869</v>
      </c>
      <c r="G1146" t="s">
        <v>2870</v>
      </c>
      <c r="H1146" t="s">
        <v>3727</v>
      </c>
    </row>
    <row r="1147" spans="2:8" x14ac:dyDescent="0.25">
      <c r="B1147" t="s">
        <v>3393</v>
      </c>
      <c r="C1147">
        <v>2020</v>
      </c>
      <c r="D1147" t="s">
        <v>3457</v>
      </c>
      <c r="E1147" t="s">
        <v>2871</v>
      </c>
      <c r="F1147" t="s">
        <v>2872</v>
      </c>
      <c r="G1147" t="s">
        <v>2873</v>
      </c>
      <c r="H1147" t="s">
        <v>4112</v>
      </c>
    </row>
    <row r="1148" spans="2:8" x14ac:dyDescent="0.25">
      <c r="B1148" t="s">
        <v>3393</v>
      </c>
      <c r="C1148">
        <v>2020</v>
      </c>
      <c r="D1148" t="s">
        <v>3457</v>
      </c>
      <c r="E1148" t="s">
        <v>2871</v>
      </c>
      <c r="F1148" t="s">
        <v>2872</v>
      </c>
      <c r="G1148" t="s">
        <v>2874</v>
      </c>
      <c r="H1148" t="s">
        <v>4113</v>
      </c>
    </row>
    <row r="1149" spans="2:8" x14ac:dyDescent="0.25">
      <c r="B1149" t="s">
        <v>3393</v>
      </c>
      <c r="C1149">
        <v>2020</v>
      </c>
      <c r="D1149" t="s">
        <v>3457</v>
      </c>
      <c r="E1149" t="s">
        <v>2871</v>
      </c>
      <c r="F1149" t="s">
        <v>2872</v>
      </c>
      <c r="G1149" t="s">
        <v>2875</v>
      </c>
      <c r="H1149" t="s">
        <v>3730</v>
      </c>
    </row>
    <row r="1150" spans="2:8" x14ac:dyDescent="0.25">
      <c r="B1150" t="s">
        <v>3393</v>
      </c>
      <c r="C1150">
        <v>2020</v>
      </c>
      <c r="D1150" t="s">
        <v>3457</v>
      </c>
      <c r="E1150" t="s">
        <v>2871</v>
      </c>
      <c r="F1150" t="s">
        <v>2872</v>
      </c>
      <c r="G1150" t="s">
        <v>2876</v>
      </c>
      <c r="H1150" t="s">
        <v>4114</v>
      </c>
    </row>
    <row r="1151" spans="2:8" x14ac:dyDescent="0.25">
      <c r="B1151" t="s">
        <v>3393</v>
      </c>
      <c r="C1151">
        <v>2020</v>
      </c>
      <c r="D1151" t="s">
        <v>3457</v>
      </c>
      <c r="E1151" t="s">
        <v>2871</v>
      </c>
      <c r="F1151" t="s">
        <v>2872</v>
      </c>
      <c r="G1151" t="s">
        <v>2877</v>
      </c>
      <c r="H1151" t="s">
        <v>4115</v>
      </c>
    </row>
    <row r="1152" spans="2:8" x14ac:dyDescent="0.25">
      <c r="B1152" t="s">
        <v>3393</v>
      </c>
      <c r="C1152">
        <v>2020</v>
      </c>
      <c r="D1152" t="s">
        <v>3457</v>
      </c>
      <c r="E1152" t="s">
        <v>2871</v>
      </c>
      <c r="F1152" t="s">
        <v>2872</v>
      </c>
      <c r="G1152" t="s">
        <v>608</v>
      </c>
      <c r="H1152" t="s">
        <v>4116</v>
      </c>
    </row>
    <row r="1153" spans="2:8" x14ac:dyDescent="0.25">
      <c r="B1153" t="s">
        <v>3393</v>
      </c>
      <c r="C1153">
        <v>2020</v>
      </c>
      <c r="D1153" t="s">
        <v>3457</v>
      </c>
      <c r="E1153" t="s">
        <v>2878</v>
      </c>
      <c r="F1153" t="s">
        <v>2879</v>
      </c>
      <c r="G1153" t="s">
        <v>2880</v>
      </c>
      <c r="H1153" t="s">
        <v>4117</v>
      </c>
    </row>
    <row r="1154" spans="2:8" x14ac:dyDescent="0.25">
      <c r="B1154" t="s">
        <v>3393</v>
      </c>
      <c r="C1154">
        <v>2020</v>
      </c>
      <c r="D1154" t="s">
        <v>3457</v>
      </c>
      <c r="E1154" t="s">
        <v>2878</v>
      </c>
      <c r="F1154" t="s">
        <v>2879</v>
      </c>
      <c r="G1154" t="s">
        <v>2881</v>
      </c>
      <c r="H1154" t="s">
        <v>4118</v>
      </c>
    </row>
    <row r="1155" spans="2:8" x14ac:dyDescent="0.25">
      <c r="B1155" t="s">
        <v>3393</v>
      </c>
      <c r="C1155">
        <v>2020</v>
      </c>
      <c r="D1155" t="s">
        <v>3457</v>
      </c>
      <c r="E1155" t="s">
        <v>2878</v>
      </c>
      <c r="F1155" t="s">
        <v>2879</v>
      </c>
      <c r="G1155" t="s">
        <v>2882</v>
      </c>
      <c r="H1155" t="s">
        <v>4119</v>
      </c>
    </row>
    <row r="1156" spans="2:8" x14ac:dyDescent="0.25">
      <c r="B1156" t="s">
        <v>3393</v>
      </c>
      <c r="C1156">
        <v>2020</v>
      </c>
      <c r="D1156" t="s">
        <v>3457</v>
      </c>
      <c r="E1156" t="s">
        <v>2878</v>
      </c>
      <c r="F1156" t="s">
        <v>2879</v>
      </c>
      <c r="G1156" t="s">
        <v>281</v>
      </c>
      <c r="H1156" t="s">
        <v>4120</v>
      </c>
    </row>
    <row r="1157" spans="2:8" x14ac:dyDescent="0.25">
      <c r="B1157" t="s">
        <v>3393</v>
      </c>
      <c r="C1157">
        <v>2020</v>
      </c>
      <c r="D1157" t="s">
        <v>3457</v>
      </c>
      <c r="E1157" t="s">
        <v>2878</v>
      </c>
      <c r="F1157" t="s">
        <v>2879</v>
      </c>
      <c r="G1157" t="s">
        <v>2883</v>
      </c>
      <c r="H1157" t="s">
        <v>3360</v>
      </c>
    </row>
    <row r="1158" spans="2:8" x14ac:dyDescent="0.25">
      <c r="B1158" t="s">
        <v>3393</v>
      </c>
      <c r="C1158">
        <v>2020</v>
      </c>
      <c r="D1158" t="s">
        <v>3457</v>
      </c>
      <c r="E1158" t="s">
        <v>2878</v>
      </c>
      <c r="F1158" t="s">
        <v>2879</v>
      </c>
      <c r="G1158" t="s">
        <v>2884</v>
      </c>
      <c r="H1158" t="s">
        <v>3559</v>
      </c>
    </row>
    <row r="1159" spans="2:8" x14ac:dyDescent="0.25">
      <c r="B1159" t="s">
        <v>3393</v>
      </c>
      <c r="C1159">
        <v>2020</v>
      </c>
      <c r="D1159" t="s">
        <v>3457</v>
      </c>
      <c r="E1159" t="s">
        <v>2878</v>
      </c>
      <c r="F1159" t="s">
        <v>2879</v>
      </c>
      <c r="G1159" t="s">
        <v>2885</v>
      </c>
      <c r="H1159" t="s">
        <v>4121</v>
      </c>
    </row>
    <row r="1160" spans="2:8" x14ac:dyDescent="0.25">
      <c r="B1160" t="s">
        <v>3393</v>
      </c>
      <c r="C1160">
        <v>2020</v>
      </c>
      <c r="D1160" t="s">
        <v>3457</v>
      </c>
      <c r="E1160" t="s">
        <v>2886</v>
      </c>
      <c r="F1160" t="s">
        <v>2887</v>
      </c>
      <c r="G1160" t="s">
        <v>2888</v>
      </c>
      <c r="H1160" t="s">
        <v>4122</v>
      </c>
    </row>
    <row r="1161" spans="2:8" x14ac:dyDescent="0.25">
      <c r="B1161" t="s">
        <v>3393</v>
      </c>
      <c r="C1161">
        <v>2020</v>
      </c>
      <c r="D1161" t="s">
        <v>3457</v>
      </c>
      <c r="E1161" t="s">
        <v>2886</v>
      </c>
      <c r="F1161" t="s">
        <v>2887</v>
      </c>
      <c r="G1161" t="s">
        <v>2873</v>
      </c>
      <c r="H1161" t="s">
        <v>4123</v>
      </c>
    </row>
    <row r="1162" spans="2:8" x14ac:dyDescent="0.25">
      <c r="B1162" t="s">
        <v>3393</v>
      </c>
      <c r="C1162">
        <v>2020</v>
      </c>
      <c r="D1162" t="s">
        <v>3457</v>
      </c>
      <c r="E1162" t="s">
        <v>2886</v>
      </c>
      <c r="F1162" t="s">
        <v>2887</v>
      </c>
      <c r="G1162" t="s">
        <v>2874</v>
      </c>
      <c r="H1162" t="s">
        <v>4124</v>
      </c>
    </row>
    <row r="1163" spans="2:8" x14ac:dyDescent="0.25">
      <c r="B1163" t="s">
        <v>3393</v>
      </c>
      <c r="C1163">
        <v>2020</v>
      </c>
      <c r="D1163" t="s">
        <v>3457</v>
      </c>
      <c r="E1163" t="s">
        <v>2886</v>
      </c>
      <c r="F1163" t="s">
        <v>2887</v>
      </c>
      <c r="G1163" t="s">
        <v>2875</v>
      </c>
      <c r="H1163" t="s">
        <v>4125</v>
      </c>
    </row>
    <row r="1164" spans="2:8" x14ac:dyDescent="0.25">
      <c r="B1164" t="s">
        <v>3393</v>
      </c>
      <c r="C1164">
        <v>2020</v>
      </c>
      <c r="D1164" t="s">
        <v>3457</v>
      </c>
      <c r="E1164" t="s">
        <v>2886</v>
      </c>
      <c r="F1164" t="s">
        <v>2887</v>
      </c>
      <c r="G1164" t="s">
        <v>2876</v>
      </c>
      <c r="H1164" t="s">
        <v>4126</v>
      </c>
    </row>
    <row r="1165" spans="2:8" x14ac:dyDescent="0.25">
      <c r="B1165" t="s">
        <v>3393</v>
      </c>
      <c r="C1165">
        <v>2020</v>
      </c>
      <c r="D1165" t="s">
        <v>3457</v>
      </c>
      <c r="E1165" t="s">
        <v>2886</v>
      </c>
      <c r="F1165" t="s">
        <v>2887</v>
      </c>
      <c r="G1165" t="s">
        <v>2889</v>
      </c>
      <c r="H1165" t="s">
        <v>4127</v>
      </c>
    </row>
    <row r="1166" spans="2:8" x14ac:dyDescent="0.25">
      <c r="B1166" t="s">
        <v>3393</v>
      </c>
      <c r="C1166">
        <v>2020</v>
      </c>
      <c r="D1166" t="s">
        <v>3457</v>
      </c>
      <c r="E1166" t="s">
        <v>2886</v>
      </c>
      <c r="F1166" t="s">
        <v>2887</v>
      </c>
      <c r="G1166" t="s">
        <v>611</v>
      </c>
      <c r="H1166" t="s">
        <v>4128</v>
      </c>
    </row>
    <row r="1167" spans="2:8" x14ac:dyDescent="0.25">
      <c r="B1167" t="s">
        <v>3393</v>
      </c>
      <c r="C1167">
        <v>2020</v>
      </c>
      <c r="D1167" t="s">
        <v>3457</v>
      </c>
      <c r="E1167" t="s">
        <v>2890</v>
      </c>
      <c r="F1167" t="s">
        <v>2891</v>
      </c>
      <c r="G1167" t="s">
        <v>2892</v>
      </c>
      <c r="H1167" t="s">
        <v>4129</v>
      </c>
    </row>
    <row r="1168" spans="2:8" x14ac:dyDescent="0.25">
      <c r="B1168" t="s">
        <v>3393</v>
      </c>
      <c r="C1168">
        <v>2020</v>
      </c>
      <c r="D1168" t="s">
        <v>3457</v>
      </c>
      <c r="E1168" t="s">
        <v>2890</v>
      </c>
      <c r="F1168" t="s">
        <v>2891</v>
      </c>
      <c r="G1168" t="s">
        <v>2893</v>
      </c>
      <c r="H1168" t="s">
        <v>3745</v>
      </c>
    </row>
    <row r="1169" spans="2:8" x14ac:dyDescent="0.25">
      <c r="B1169" t="s">
        <v>3393</v>
      </c>
      <c r="C1169">
        <v>2020</v>
      </c>
      <c r="D1169" t="s">
        <v>3457</v>
      </c>
      <c r="E1169" t="s">
        <v>2894</v>
      </c>
      <c r="F1169" t="s">
        <v>2895</v>
      </c>
      <c r="G1169" t="s">
        <v>2896</v>
      </c>
      <c r="H1169" t="s">
        <v>3015</v>
      </c>
    </row>
    <row r="1170" spans="2:8" x14ac:dyDescent="0.25">
      <c r="B1170" t="s">
        <v>3393</v>
      </c>
      <c r="C1170">
        <v>2020</v>
      </c>
      <c r="D1170" t="s">
        <v>3457</v>
      </c>
      <c r="E1170" t="s">
        <v>2894</v>
      </c>
      <c r="F1170" t="s">
        <v>2895</v>
      </c>
      <c r="G1170" t="s">
        <v>2897</v>
      </c>
      <c r="H1170" t="s">
        <v>3764</v>
      </c>
    </row>
    <row r="1171" spans="2:8" x14ac:dyDescent="0.25">
      <c r="B1171" t="s">
        <v>3393</v>
      </c>
      <c r="C1171">
        <v>2020</v>
      </c>
      <c r="D1171" t="s">
        <v>3457</v>
      </c>
      <c r="E1171" t="s">
        <v>2894</v>
      </c>
      <c r="F1171" t="s">
        <v>2895</v>
      </c>
      <c r="G1171" t="s">
        <v>2898</v>
      </c>
      <c r="H1171" t="s">
        <v>4130</v>
      </c>
    </row>
    <row r="1172" spans="2:8" x14ac:dyDescent="0.25">
      <c r="B1172" t="s">
        <v>3393</v>
      </c>
      <c r="C1172">
        <v>2020</v>
      </c>
      <c r="D1172" t="s">
        <v>3457</v>
      </c>
      <c r="E1172" t="s">
        <v>2894</v>
      </c>
      <c r="F1172" t="s">
        <v>2895</v>
      </c>
      <c r="G1172" t="s">
        <v>2899</v>
      </c>
      <c r="H1172" t="s">
        <v>4131</v>
      </c>
    </row>
    <row r="1173" spans="2:8" x14ac:dyDescent="0.25">
      <c r="B1173" t="s">
        <v>3393</v>
      </c>
      <c r="C1173">
        <v>2020</v>
      </c>
      <c r="D1173" t="s">
        <v>3457</v>
      </c>
      <c r="E1173" t="s">
        <v>2894</v>
      </c>
      <c r="F1173" t="s">
        <v>2895</v>
      </c>
      <c r="G1173" t="s">
        <v>2900</v>
      </c>
      <c r="H1173" t="s">
        <v>4132</v>
      </c>
    </row>
    <row r="1174" spans="2:8" x14ac:dyDescent="0.25">
      <c r="B1174" t="s">
        <v>3393</v>
      </c>
      <c r="C1174">
        <v>2020</v>
      </c>
      <c r="D1174" t="s">
        <v>3457</v>
      </c>
      <c r="E1174" t="s">
        <v>2894</v>
      </c>
      <c r="F1174" t="s">
        <v>2895</v>
      </c>
      <c r="G1174" t="s">
        <v>2901</v>
      </c>
      <c r="H1174" t="s">
        <v>3764</v>
      </c>
    </row>
    <row r="1175" spans="2:8" x14ac:dyDescent="0.25">
      <c r="B1175" t="s">
        <v>3393</v>
      </c>
      <c r="C1175">
        <v>2020</v>
      </c>
      <c r="D1175" t="s">
        <v>3457</v>
      </c>
      <c r="E1175" t="s">
        <v>2894</v>
      </c>
      <c r="F1175" t="s">
        <v>2895</v>
      </c>
      <c r="G1175" t="s">
        <v>2902</v>
      </c>
      <c r="H1175" t="s">
        <v>3764</v>
      </c>
    </row>
    <row r="1176" spans="2:8" x14ac:dyDescent="0.25">
      <c r="B1176" t="s">
        <v>3393</v>
      </c>
      <c r="C1176">
        <v>2020</v>
      </c>
      <c r="D1176" t="s">
        <v>3457</v>
      </c>
      <c r="E1176" t="s">
        <v>2894</v>
      </c>
      <c r="F1176" t="s">
        <v>2895</v>
      </c>
      <c r="G1176" t="s">
        <v>2903</v>
      </c>
      <c r="H1176" t="s">
        <v>3764</v>
      </c>
    </row>
    <row r="1177" spans="2:8" x14ac:dyDescent="0.25">
      <c r="B1177" t="s">
        <v>3393</v>
      </c>
      <c r="C1177">
        <v>2020</v>
      </c>
      <c r="D1177" t="s">
        <v>3457</v>
      </c>
      <c r="E1177" t="s">
        <v>2894</v>
      </c>
      <c r="F1177" t="s">
        <v>2895</v>
      </c>
      <c r="G1177" t="s">
        <v>2904</v>
      </c>
      <c r="H1177" t="s">
        <v>3764</v>
      </c>
    </row>
    <row r="1178" spans="2:8" x14ac:dyDescent="0.25">
      <c r="B1178" t="s">
        <v>3393</v>
      </c>
      <c r="C1178">
        <v>2020</v>
      </c>
      <c r="D1178" t="s">
        <v>3457</v>
      </c>
      <c r="E1178" t="s">
        <v>2894</v>
      </c>
      <c r="F1178" t="s">
        <v>2895</v>
      </c>
      <c r="G1178" t="s">
        <v>2905</v>
      </c>
      <c r="H1178" t="s">
        <v>3764</v>
      </c>
    </row>
    <row r="1179" spans="2:8" x14ac:dyDescent="0.25">
      <c r="B1179" t="s">
        <v>3393</v>
      </c>
      <c r="C1179">
        <v>2020</v>
      </c>
      <c r="D1179" t="s">
        <v>3457</v>
      </c>
      <c r="E1179" t="s">
        <v>2894</v>
      </c>
      <c r="F1179" t="s">
        <v>2895</v>
      </c>
      <c r="G1179" t="s">
        <v>2906</v>
      </c>
      <c r="H1179" t="s">
        <v>4133</v>
      </c>
    </row>
    <row r="1180" spans="2:8" x14ac:dyDescent="0.25">
      <c r="B1180" t="s">
        <v>3393</v>
      </c>
      <c r="C1180">
        <v>2020</v>
      </c>
      <c r="D1180" t="s">
        <v>3457</v>
      </c>
      <c r="E1180" t="s">
        <v>2894</v>
      </c>
      <c r="F1180" t="s">
        <v>2895</v>
      </c>
      <c r="G1180" t="s">
        <v>2907</v>
      </c>
      <c r="H1180" t="s">
        <v>3764</v>
      </c>
    </row>
    <row r="1181" spans="2:8" x14ac:dyDescent="0.25">
      <c r="B1181" t="s">
        <v>3393</v>
      </c>
      <c r="C1181">
        <v>2020</v>
      </c>
      <c r="D1181" t="s">
        <v>3457</v>
      </c>
      <c r="E1181" t="s">
        <v>2894</v>
      </c>
      <c r="F1181" t="s">
        <v>2895</v>
      </c>
      <c r="G1181" t="s">
        <v>2908</v>
      </c>
      <c r="H1181" t="s">
        <v>3764</v>
      </c>
    </row>
    <row r="1182" spans="2:8" x14ac:dyDescent="0.25">
      <c r="B1182" t="s">
        <v>3393</v>
      </c>
      <c r="C1182">
        <v>2020</v>
      </c>
      <c r="D1182" t="s">
        <v>3457</v>
      </c>
      <c r="E1182" t="s">
        <v>2894</v>
      </c>
      <c r="F1182" t="s">
        <v>2895</v>
      </c>
      <c r="G1182" t="s">
        <v>2909</v>
      </c>
      <c r="H1182" t="s">
        <v>3764</v>
      </c>
    </row>
    <row r="1183" spans="2:8" x14ac:dyDescent="0.25">
      <c r="B1183" t="s">
        <v>3393</v>
      </c>
      <c r="C1183">
        <v>2020</v>
      </c>
      <c r="D1183" t="s">
        <v>3457</v>
      </c>
      <c r="E1183" t="s">
        <v>2894</v>
      </c>
      <c r="F1183" t="s">
        <v>2895</v>
      </c>
      <c r="G1183" t="s">
        <v>2910</v>
      </c>
      <c r="H1183" t="s">
        <v>3764</v>
      </c>
    </row>
    <row r="1184" spans="2:8" x14ac:dyDescent="0.25">
      <c r="B1184" t="s">
        <v>3393</v>
      </c>
      <c r="C1184">
        <v>2020</v>
      </c>
      <c r="D1184" t="s">
        <v>3457</v>
      </c>
      <c r="E1184" t="s">
        <v>2911</v>
      </c>
      <c r="F1184" t="s">
        <v>2912</v>
      </c>
      <c r="G1184" t="s">
        <v>113</v>
      </c>
      <c r="H1184" t="s">
        <v>1993</v>
      </c>
    </row>
    <row r="1185" spans="2:8" x14ac:dyDescent="0.25">
      <c r="B1185" t="s">
        <v>3393</v>
      </c>
      <c r="C1185">
        <v>2020</v>
      </c>
      <c r="D1185" t="s">
        <v>3457</v>
      </c>
      <c r="E1185" t="s">
        <v>2911</v>
      </c>
      <c r="F1185" t="s">
        <v>2912</v>
      </c>
      <c r="G1185" t="s">
        <v>2913</v>
      </c>
      <c r="H1185" t="s">
        <v>3764</v>
      </c>
    </row>
    <row r="1186" spans="2:8" x14ac:dyDescent="0.25">
      <c r="B1186" t="s">
        <v>3393</v>
      </c>
      <c r="C1186">
        <v>2020</v>
      </c>
      <c r="D1186" t="s">
        <v>3457</v>
      </c>
      <c r="E1186" t="s">
        <v>2911</v>
      </c>
      <c r="F1186" t="s">
        <v>2912</v>
      </c>
      <c r="G1186" t="s">
        <v>890</v>
      </c>
      <c r="H1186" t="s">
        <v>4134</v>
      </c>
    </row>
    <row r="1187" spans="2:8" x14ac:dyDescent="0.25">
      <c r="B1187" t="s">
        <v>3393</v>
      </c>
      <c r="C1187">
        <v>2020</v>
      </c>
      <c r="D1187" t="s">
        <v>3457</v>
      </c>
      <c r="E1187" t="s">
        <v>2911</v>
      </c>
      <c r="F1187" t="s">
        <v>2912</v>
      </c>
      <c r="G1187" t="s">
        <v>892</v>
      </c>
      <c r="H1187" t="s">
        <v>4135</v>
      </c>
    </row>
    <row r="1188" spans="2:8" x14ac:dyDescent="0.25">
      <c r="B1188" t="s">
        <v>3393</v>
      </c>
      <c r="C1188">
        <v>2020</v>
      </c>
      <c r="D1188" t="s">
        <v>3457</v>
      </c>
      <c r="E1188" t="s">
        <v>2911</v>
      </c>
      <c r="F1188" t="s">
        <v>2912</v>
      </c>
      <c r="G1188" t="s">
        <v>891</v>
      </c>
      <c r="H1188" t="s">
        <v>4136</v>
      </c>
    </row>
    <row r="1189" spans="2:8" x14ac:dyDescent="0.25">
      <c r="B1189" t="s">
        <v>3393</v>
      </c>
      <c r="C1189">
        <v>2020</v>
      </c>
      <c r="D1189" t="s">
        <v>3457</v>
      </c>
      <c r="E1189" t="s">
        <v>2911</v>
      </c>
      <c r="F1189" t="s">
        <v>2912</v>
      </c>
      <c r="G1189" t="s">
        <v>115</v>
      </c>
      <c r="H1189" t="s">
        <v>4137</v>
      </c>
    </row>
    <row r="1190" spans="2:8" x14ac:dyDescent="0.25">
      <c r="B1190" t="s">
        <v>3393</v>
      </c>
      <c r="C1190">
        <v>2020</v>
      </c>
      <c r="D1190" t="s">
        <v>3457</v>
      </c>
      <c r="E1190" t="s">
        <v>2911</v>
      </c>
      <c r="F1190" t="s">
        <v>2912</v>
      </c>
      <c r="G1190" t="s">
        <v>888</v>
      </c>
      <c r="H1190" t="s">
        <v>1993</v>
      </c>
    </row>
    <row r="1191" spans="2:8" x14ac:dyDescent="0.25">
      <c r="B1191" t="s">
        <v>3393</v>
      </c>
      <c r="C1191">
        <v>2020</v>
      </c>
      <c r="D1191" t="s">
        <v>3457</v>
      </c>
      <c r="E1191" t="s">
        <v>2911</v>
      </c>
      <c r="F1191" t="s">
        <v>2912</v>
      </c>
      <c r="G1191" t="s">
        <v>182</v>
      </c>
      <c r="H1191" t="s">
        <v>4138</v>
      </c>
    </row>
    <row r="1192" spans="2:8" x14ac:dyDescent="0.25">
      <c r="B1192" t="s">
        <v>3393</v>
      </c>
      <c r="C1192">
        <v>2020</v>
      </c>
      <c r="D1192" t="s">
        <v>3457</v>
      </c>
      <c r="E1192" t="s">
        <v>2915</v>
      </c>
      <c r="F1192" t="s">
        <v>2916</v>
      </c>
      <c r="G1192" t="s">
        <v>113</v>
      </c>
      <c r="H1192" t="s">
        <v>1993</v>
      </c>
    </row>
    <row r="1193" spans="2:8" x14ac:dyDescent="0.25">
      <c r="B1193" t="s">
        <v>3393</v>
      </c>
      <c r="C1193">
        <v>2020</v>
      </c>
      <c r="D1193" t="s">
        <v>3457</v>
      </c>
      <c r="E1193" t="s">
        <v>2915</v>
      </c>
      <c r="F1193" t="s">
        <v>2916</v>
      </c>
      <c r="G1193" t="s">
        <v>2913</v>
      </c>
      <c r="H1193" t="s">
        <v>3764</v>
      </c>
    </row>
    <row r="1194" spans="2:8" x14ac:dyDescent="0.25">
      <c r="B1194" t="s">
        <v>3393</v>
      </c>
      <c r="C1194">
        <v>2020</v>
      </c>
      <c r="D1194" t="s">
        <v>3457</v>
      </c>
      <c r="E1194" t="s">
        <v>2915</v>
      </c>
      <c r="F1194" t="s">
        <v>2916</v>
      </c>
      <c r="G1194" t="s">
        <v>890</v>
      </c>
      <c r="H1194" t="s">
        <v>4139</v>
      </c>
    </row>
    <row r="1195" spans="2:8" x14ac:dyDescent="0.25">
      <c r="B1195" t="s">
        <v>3393</v>
      </c>
      <c r="C1195">
        <v>2020</v>
      </c>
      <c r="D1195" t="s">
        <v>3457</v>
      </c>
      <c r="E1195" t="s">
        <v>2915</v>
      </c>
      <c r="F1195" t="s">
        <v>2916</v>
      </c>
      <c r="G1195" t="s">
        <v>892</v>
      </c>
      <c r="H1195" t="s">
        <v>4140</v>
      </c>
    </row>
    <row r="1196" spans="2:8" x14ac:dyDescent="0.25">
      <c r="B1196" t="s">
        <v>3393</v>
      </c>
      <c r="C1196">
        <v>2020</v>
      </c>
      <c r="D1196" t="s">
        <v>3457</v>
      </c>
      <c r="E1196" t="s">
        <v>2915</v>
      </c>
      <c r="F1196" t="s">
        <v>2916</v>
      </c>
      <c r="G1196" t="s">
        <v>891</v>
      </c>
      <c r="H1196" t="s">
        <v>4141</v>
      </c>
    </row>
    <row r="1197" spans="2:8" x14ac:dyDescent="0.25">
      <c r="B1197" t="s">
        <v>3393</v>
      </c>
      <c r="C1197">
        <v>2020</v>
      </c>
      <c r="D1197" t="s">
        <v>3457</v>
      </c>
      <c r="E1197" t="s">
        <v>2915</v>
      </c>
      <c r="F1197" t="s">
        <v>2916</v>
      </c>
      <c r="G1197" t="s">
        <v>115</v>
      </c>
      <c r="H1197" t="s">
        <v>4142</v>
      </c>
    </row>
    <row r="1198" spans="2:8" x14ac:dyDescent="0.25">
      <c r="B1198" t="s">
        <v>3393</v>
      </c>
      <c r="C1198">
        <v>2020</v>
      </c>
      <c r="D1198" t="s">
        <v>3457</v>
      </c>
      <c r="E1198" t="s">
        <v>2915</v>
      </c>
      <c r="F1198" t="s">
        <v>2916</v>
      </c>
      <c r="G1198" t="s">
        <v>888</v>
      </c>
      <c r="H1198" t="s">
        <v>3355</v>
      </c>
    </row>
    <row r="1199" spans="2:8" x14ac:dyDescent="0.25">
      <c r="B1199" t="s">
        <v>3393</v>
      </c>
      <c r="C1199">
        <v>2020</v>
      </c>
      <c r="D1199" t="s">
        <v>3457</v>
      </c>
      <c r="E1199" t="s">
        <v>2915</v>
      </c>
      <c r="F1199" t="s">
        <v>2916</v>
      </c>
      <c r="G1199" t="s">
        <v>182</v>
      </c>
      <c r="H1199" t="s">
        <v>4143</v>
      </c>
    </row>
    <row r="1200" spans="2:8" x14ac:dyDescent="0.25">
      <c r="B1200" t="s">
        <v>3393</v>
      </c>
      <c r="C1200">
        <v>2020</v>
      </c>
      <c r="D1200" t="s">
        <v>3457</v>
      </c>
      <c r="E1200" t="s">
        <v>2917</v>
      </c>
      <c r="F1200" t="s">
        <v>2918</v>
      </c>
      <c r="G1200" t="s">
        <v>2919</v>
      </c>
      <c r="H1200" t="s">
        <v>3236</v>
      </c>
    </row>
    <row r="1201" spans="2:8" x14ac:dyDescent="0.25">
      <c r="B1201" t="s">
        <v>3393</v>
      </c>
      <c r="C1201">
        <v>2020</v>
      </c>
      <c r="D1201" t="s">
        <v>3457</v>
      </c>
      <c r="E1201" t="s">
        <v>2917</v>
      </c>
      <c r="F1201" t="s">
        <v>2918</v>
      </c>
      <c r="G1201" t="s">
        <v>2920</v>
      </c>
      <c r="H1201" t="s">
        <v>4144</v>
      </c>
    </row>
    <row r="1202" spans="2:8" x14ac:dyDescent="0.25">
      <c r="B1202" t="s">
        <v>3393</v>
      </c>
      <c r="C1202">
        <v>2020</v>
      </c>
      <c r="D1202" t="s">
        <v>3457</v>
      </c>
      <c r="E1202" t="s">
        <v>2917</v>
      </c>
      <c r="F1202" t="s">
        <v>2918</v>
      </c>
      <c r="G1202" t="s">
        <v>719</v>
      </c>
      <c r="H1202" t="s">
        <v>4145</v>
      </c>
    </row>
    <row r="1203" spans="2:8" x14ac:dyDescent="0.25">
      <c r="B1203" t="s">
        <v>3393</v>
      </c>
      <c r="C1203">
        <v>2020</v>
      </c>
      <c r="D1203" t="s">
        <v>3457</v>
      </c>
      <c r="E1203" t="s">
        <v>2917</v>
      </c>
      <c r="F1203" t="s">
        <v>2918</v>
      </c>
      <c r="G1203" t="s">
        <v>2921</v>
      </c>
      <c r="H1203" t="s">
        <v>3297</v>
      </c>
    </row>
    <row r="1204" spans="2:8" x14ac:dyDescent="0.25">
      <c r="B1204" t="s">
        <v>3393</v>
      </c>
      <c r="C1204">
        <v>2020</v>
      </c>
      <c r="D1204" t="s">
        <v>3457</v>
      </c>
      <c r="E1204" t="s">
        <v>2917</v>
      </c>
      <c r="F1204" t="s">
        <v>2918</v>
      </c>
      <c r="G1204" t="s">
        <v>2922</v>
      </c>
      <c r="H1204" t="s">
        <v>3362</v>
      </c>
    </row>
    <row r="1205" spans="2:8" x14ac:dyDescent="0.25">
      <c r="B1205" t="s">
        <v>3393</v>
      </c>
      <c r="C1205">
        <v>2020</v>
      </c>
      <c r="D1205" t="s">
        <v>3457</v>
      </c>
      <c r="E1205" t="s">
        <v>2917</v>
      </c>
      <c r="F1205" t="s">
        <v>2918</v>
      </c>
      <c r="G1205" t="s">
        <v>716</v>
      </c>
      <c r="H1205" t="s">
        <v>3387</v>
      </c>
    </row>
    <row r="1206" spans="2:8" x14ac:dyDescent="0.25">
      <c r="B1206" t="s">
        <v>3393</v>
      </c>
      <c r="C1206">
        <v>2020</v>
      </c>
      <c r="D1206" t="s">
        <v>3457</v>
      </c>
      <c r="E1206" t="s">
        <v>2917</v>
      </c>
      <c r="F1206" t="s">
        <v>2918</v>
      </c>
      <c r="G1206" t="s">
        <v>2923</v>
      </c>
      <c r="H1206" t="s">
        <v>3319</v>
      </c>
    </row>
    <row r="1207" spans="2:8" x14ac:dyDescent="0.25">
      <c r="B1207" t="s">
        <v>3393</v>
      </c>
      <c r="C1207">
        <v>2020</v>
      </c>
      <c r="D1207" t="s">
        <v>3457</v>
      </c>
      <c r="E1207" t="s">
        <v>2917</v>
      </c>
      <c r="F1207" t="s">
        <v>2918</v>
      </c>
      <c r="G1207" t="s">
        <v>2924</v>
      </c>
      <c r="H1207" t="s">
        <v>3782</v>
      </c>
    </row>
    <row r="1208" spans="2:8" x14ac:dyDescent="0.25">
      <c r="B1208" t="s">
        <v>3393</v>
      </c>
      <c r="C1208">
        <v>2020</v>
      </c>
      <c r="D1208" t="s">
        <v>3457</v>
      </c>
      <c r="E1208" t="s">
        <v>2917</v>
      </c>
      <c r="F1208" t="s">
        <v>2918</v>
      </c>
      <c r="G1208" t="s">
        <v>720</v>
      </c>
      <c r="H1208" t="s">
        <v>3612</v>
      </c>
    </row>
    <row r="1209" spans="2:8" x14ac:dyDescent="0.25">
      <c r="B1209" t="s">
        <v>3393</v>
      </c>
      <c r="C1209">
        <v>2020</v>
      </c>
      <c r="D1209" t="s">
        <v>3457</v>
      </c>
      <c r="E1209" t="s">
        <v>2925</v>
      </c>
      <c r="F1209" t="s">
        <v>2926</v>
      </c>
      <c r="G1209" t="s">
        <v>2866</v>
      </c>
      <c r="H1209" t="s">
        <v>4146</v>
      </c>
    </row>
    <row r="1210" spans="2:8" x14ac:dyDescent="0.25">
      <c r="B1210" t="s">
        <v>3393</v>
      </c>
      <c r="C1210">
        <v>2020</v>
      </c>
      <c r="D1210" t="s">
        <v>3457</v>
      </c>
      <c r="E1210" t="s">
        <v>2925</v>
      </c>
      <c r="F1210" t="s">
        <v>2926</v>
      </c>
      <c r="G1210" t="s">
        <v>2409</v>
      </c>
      <c r="H1210" t="s">
        <v>4147</v>
      </c>
    </row>
    <row r="1211" spans="2:8" x14ac:dyDescent="0.25">
      <c r="B1211" t="s">
        <v>3393</v>
      </c>
      <c r="C1211">
        <v>2020</v>
      </c>
      <c r="D1211" t="s">
        <v>3457</v>
      </c>
      <c r="E1211" t="s">
        <v>2925</v>
      </c>
      <c r="F1211" t="s">
        <v>2926</v>
      </c>
      <c r="G1211" t="s">
        <v>2867</v>
      </c>
      <c r="H1211" t="s">
        <v>4148</v>
      </c>
    </row>
    <row r="1212" spans="2:8" x14ac:dyDescent="0.25">
      <c r="B1212" t="s">
        <v>3393</v>
      </c>
      <c r="C1212">
        <v>2020</v>
      </c>
      <c r="D1212" t="s">
        <v>3457</v>
      </c>
      <c r="E1212" t="s">
        <v>2927</v>
      </c>
      <c r="F1212" t="s">
        <v>2928</v>
      </c>
      <c r="G1212" t="s">
        <v>724</v>
      </c>
      <c r="H1212" t="s">
        <v>4149</v>
      </c>
    </row>
    <row r="1213" spans="2:8" x14ac:dyDescent="0.25">
      <c r="B1213" t="s">
        <v>3393</v>
      </c>
      <c r="C1213">
        <v>2020</v>
      </c>
      <c r="D1213" t="s">
        <v>3457</v>
      </c>
      <c r="E1213" t="s">
        <v>2927</v>
      </c>
      <c r="F1213" t="s">
        <v>2928</v>
      </c>
      <c r="G1213" t="s">
        <v>2929</v>
      </c>
      <c r="H1213" t="s">
        <v>4150</v>
      </c>
    </row>
    <row r="1214" spans="2:8" x14ac:dyDescent="0.25">
      <c r="B1214" t="s">
        <v>3393</v>
      </c>
      <c r="C1214">
        <v>2020</v>
      </c>
      <c r="D1214" t="s">
        <v>3457</v>
      </c>
      <c r="E1214" t="s">
        <v>2927</v>
      </c>
      <c r="F1214" t="s">
        <v>2928</v>
      </c>
      <c r="G1214" t="s">
        <v>2930</v>
      </c>
      <c r="H1214" t="s">
        <v>4151</v>
      </c>
    </row>
    <row r="1215" spans="2:8" x14ac:dyDescent="0.25">
      <c r="B1215" t="s">
        <v>3393</v>
      </c>
      <c r="C1215">
        <v>2020</v>
      </c>
      <c r="D1215" t="s">
        <v>3457</v>
      </c>
      <c r="E1215" t="s">
        <v>2927</v>
      </c>
      <c r="F1215" t="s">
        <v>2928</v>
      </c>
      <c r="G1215" t="s">
        <v>727</v>
      </c>
      <c r="H1215" t="s">
        <v>2001</v>
      </c>
    </row>
    <row r="1216" spans="2:8" x14ac:dyDescent="0.25">
      <c r="B1216" t="s">
        <v>3393</v>
      </c>
      <c r="C1216">
        <v>2020</v>
      </c>
      <c r="D1216" t="s">
        <v>3457</v>
      </c>
      <c r="E1216" t="s">
        <v>2931</v>
      </c>
      <c r="F1216" t="s">
        <v>2544</v>
      </c>
      <c r="G1216" t="s">
        <v>2932</v>
      </c>
      <c r="H1216" t="s">
        <v>3764</v>
      </c>
    </row>
    <row r="1217" spans="2:8" x14ac:dyDescent="0.25">
      <c r="B1217" t="s">
        <v>3393</v>
      </c>
      <c r="C1217">
        <v>2020</v>
      </c>
      <c r="D1217" t="s">
        <v>3457</v>
      </c>
      <c r="E1217" t="s">
        <v>2931</v>
      </c>
      <c r="F1217" t="s">
        <v>2544</v>
      </c>
      <c r="G1217" t="s">
        <v>2545</v>
      </c>
      <c r="H1217" t="s">
        <v>2069</v>
      </c>
    </row>
    <row r="1218" spans="2:8" x14ac:dyDescent="0.25">
      <c r="B1218" t="s">
        <v>3393</v>
      </c>
      <c r="C1218">
        <v>2020</v>
      </c>
      <c r="D1218" t="s">
        <v>3457</v>
      </c>
      <c r="E1218" t="s">
        <v>2931</v>
      </c>
      <c r="F1218" t="s">
        <v>2544</v>
      </c>
      <c r="G1218" t="s">
        <v>2933</v>
      </c>
      <c r="H1218" t="s">
        <v>4152</v>
      </c>
    </row>
    <row r="1219" spans="2:8" x14ac:dyDescent="0.25">
      <c r="B1219" t="s">
        <v>3393</v>
      </c>
      <c r="C1219">
        <v>2020</v>
      </c>
      <c r="D1219" t="s">
        <v>3457</v>
      </c>
      <c r="E1219" t="s">
        <v>2931</v>
      </c>
      <c r="F1219" t="s">
        <v>2544</v>
      </c>
      <c r="G1219" t="s">
        <v>714</v>
      </c>
      <c r="H1219" t="s">
        <v>3889</v>
      </c>
    </row>
    <row r="1220" spans="2:8" x14ac:dyDescent="0.25">
      <c r="B1220" t="s">
        <v>3393</v>
      </c>
      <c r="C1220">
        <v>2020</v>
      </c>
      <c r="D1220" t="s">
        <v>3457</v>
      </c>
      <c r="E1220" t="s">
        <v>2931</v>
      </c>
      <c r="F1220" t="s">
        <v>2544</v>
      </c>
      <c r="G1220" t="s">
        <v>2934</v>
      </c>
      <c r="H1220" t="s">
        <v>1993</v>
      </c>
    </row>
    <row r="1221" spans="2:8" x14ac:dyDescent="0.25">
      <c r="B1221" t="s">
        <v>3393</v>
      </c>
      <c r="C1221">
        <v>2020</v>
      </c>
      <c r="D1221" t="s">
        <v>3457</v>
      </c>
      <c r="E1221" t="s">
        <v>2931</v>
      </c>
      <c r="F1221" t="s">
        <v>2544</v>
      </c>
      <c r="G1221" t="s">
        <v>2935</v>
      </c>
      <c r="H1221" t="s">
        <v>4153</v>
      </c>
    </row>
    <row r="1222" spans="2:8" x14ac:dyDescent="0.25">
      <c r="B1222" t="s">
        <v>3393</v>
      </c>
      <c r="C1222">
        <v>2020</v>
      </c>
      <c r="D1222" t="s">
        <v>3457</v>
      </c>
      <c r="E1222" t="s">
        <v>2936</v>
      </c>
      <c r="F1222" t="s">
        <v>2937</v>
      </c>
      <c r="G1222" t="s">
        <v>2938</v>
      </c>
      <c r="H1222" t="s">
        <v>4154</v>
      </c>
    </row>
    <row r="1223" spans="2:8" x14ac:dyDescent="0.25">
      <c r="B1223" t="s">
        <v>3393</v>
      </c>
      <c r="C1223">
        <v>2020</v>
      </c>
      <c r="D1223" t="s">
        <v>3457</v>
      </c>
      <c r="E1223" t="s">
        <v>2936</v>
      </c>
      <c r="F1223" t="s">
        <v>2937</v>
      </c>
      <c r="G1223" t="s">
        <v>2939</v>
      </c>
      <c r="H1223" t="s">
        <v>3041</v>
      </c>
    </row>
    <row r="1224" spans="2:8" x14ac:dyDescent="0.25">
      <c r="B1224" t="s">
        <v>3393</v>
      </c>
      <c r="C1224">
        <v>2020</v>
      </c>
      <c r="D1224" t="s">
        <v>3457</v>
      </c>
      <c r="E1224" t="s">
        <v>2941</v>
      </c>
      <c r="F1224" t="s">
        <v>2942</v>
      </c>
      <c r="G1224" t="s">
        <v>2943</v>
      </c>
      <c r="H1224" t="s">
        <v>4155</v>
      </c>
    </row>
    <row r="1225" spans="2:8" x14ac:dyDescent="0.25">
      <c r="B1225" t="s">
        <v>3393</v>
      </c>
      <c r="C1225">
        <v>2020</v>
      </c>
      <c r="D1225" t="s">
        <v>3457</v>
      </c>
      <c r="E1225" t="s">
        <v>2941</v>
      </c>
      <c r="F1225" t="s">
        <v>2942</v>
      </c>
      <c r="G1225" t="s">
        <v>2944</v>
      </c>
      <c r="H1225" t="s">
        <v>3891</v>
      </c>
    </row>
    <row r="1226" spans="2:8" x14ac:dyDescent="0.25">
      <c r="B1226" t="s">
        <v>3393</v>
      </c>
      <c r="C1226">
        <v>2020</v>
      </c>
      <c r="D1226" t="s">
        <v>3457</v>
      </c>
      <c r="E1226" t="s">
        <v>2945</v>
      </c>
      <c r="F1226" t="s">
        <v>2946</v>
      </c>
      <c r="G1226" t="s">
        <v>2245</v>
      </c>
      <c r="H1226" t="s">
        <v>2103</v>
      </c>
    </row>
    <row r="1227" spans="2:8" x14ac:dyDescent="0.25">
      <c r="B1227" t="s">
        <v>3393</v>
      </c>
      <c r="C1227">
        <v>2020</v>
      </c>
      <c r="D1227" t="s">
        <v>3457</v>
      </c>
      <c r="E1227" t="s">
        <v>2945</v>
      </c>
      <c r="F1227" t="s">
        <v>2946</v>
      </c>
      <c r="G1227" t="s">
        <v>2248</v>
      </c>
      <c r="H1227" t="s">
        <v>3408</v>
      </c>
    </row>
    <row r="1228" spans="2:8" x14ac:dyDescent="0.25">
      <c r="B1228" t="s">
        <v>3393</v>
      </c>
      <c r="C1228">
        <v>2020</v>
      </c>
      <c r="D1228" t="s">
        <v>3457</v>
      </c>
      <c r="E1228" t="s">
        <v>2945</v>
      </c>
      <c r="F1228" t="s">
        <v>2946</v>
      </c>
      <c r="G1228" t="s">
        <v>2250</v>
      </c>
      <c r="H1228" t="s">
        <v>3164</v>
      </c>
    </row>
    <row r="1229" spans="2:8" x14ac:dyDescent="0.25">
      <c r="B1229" t="s">
        <v>3393</v>
      </c>
      <c r="C1229">
        <v>2020</v>
      </c>
      <c r="D1229" t="s">
        <v>3457</v>
      </c>
      <c r="E1229" t="s">
        <v>2945</v>
      </c>
      <c r="F1229" t="s">
        <v>2946</v>
      </c>
      <c r="G1229" t="s">
        <v>2252</v>
      </c>
      <c r="H1229" t="s">
        <v>3409</v>
      </c>
    </row>
    <row r="1230" spans="2:8" x14ac:dyDescent="0.25">
      <c r="B1230" t="s">
        <v>3393</v>
      </c>
      <c r="C1230">
        <v>2020</v>
      </c>
      <c r="D1230" t="s">
        <v>3457</v>
      </c>
      <c r="E1230" t="s">
        <v>2945</v>
      </c>
      <c r="F1230" t="s">
        <v>2946</v>
      </c>
      <c r="G1230" t="s">
        <v>2254</v>
      </c>
      <c r="H1230" t="s">
        <v>2045</v>
      </c>
    </row>
    <row r="1231" spans="2:8" x14ac:dyDescent="0.25">
      <c r="B1231" t="s">
        <v>3393</v>
      </c>
      <c r="C1231">
        <v>2020</v>
      </c>
      <c r="D1231" t="s">
        <v>3457</v>
      </c>
      <c r="E1231" t="s">
        <v>2945</v>
      </c>
      <c r="F1231" t="s">
        <v>2946</v>
      </c>
      <c r="G1231" t="s">
        <v>2255</v>
      </c>
      <c r="H1231" t="s">
        <v>2003</v>
      </c>
    </row>
    <row r="1232" spans="2:8" x14ac:dyDescent="0.25">
      <c r="B1232" t="s">
        <v>3393</v>
      </c>
      <c r="C1232">
        <v>2020</v>
      </c>
      <c r="D1232" t="s">
        <v>3457</v>
      </c>
      <c r="E1232" t="s">
        <v>2945</v>
      </c>
      <c r="F1232" t="s">
        <v>2946</v>
      </c>
      <c r="G1232" t="s">
        <v>3115</v>
      </c>
      <c r="H1232" t="s">
        <v>3410</v>
      </c>
    </row>
    <row r="1233" spans="2:8" x14ac:dyDescent="0.25">
      <c r="B1233" t="s">
        <v>3393</v>
      </c>
      <c r="C1233">
        <v>2020</v>
      </c>
      <c r="D1233" t="s">
        <v>3457</v>
      </c>
      <c r="E1233" t="s">
        <v>2945</v>
      </c>
      <c r="F1233" t="s">
        <v>2946</v>
      </c>
      <c r="G1233" t="s">
        <v>2256</v>
      </c>
      <c r="H1233" t="s">
        <v>3410</v>
      </c>
    </row>
    <row r="1234" spans="2:8" x14ac:dyDescent="0.25">
      <c r="B1234" t="s">
        <v>3393</v>
      </c>
      <c r="C1234">
        <v>2020</v>
      </c>
      <c r="D1234" t="s">
        <v>3457</v>
      </c>
      <c r="E1234" t="s">
        <v>2947</v>
      </c>
      <c r="F1234" t="s">
        <v>2948</v>
      </c>
      <c r="G1234" t="s">
        <v>3149</v>
      </c>
      <c r="H1234" t="s">
        <v>2173</v>
      </c>
    </row>
    <row r="1235" spans="2:8" x14ac:dyDescent="0.25">
      <c r="B1235" t="s">
        <v>3393</v>
      </c>
      <c r="C1235">
        <v>2020</v>
      </c>
      <c r="D1235" t="s">
        <v>3457</v>
      </c>
      <c r="E1235" t="s">
        <v>2951</v>
      </c>
      <c r="F1235" t="s">
        <v>2952</v>
      </c>
      <c r="G1235" t="s">
        <v>2953</v>
      </c>
      <c r="H1235" t="s">
        <v>2009</v>
      </c>
    </row>
    <row r="1236" spans="2:8" x14ac:dyDescent="0.25">
      <c r="B1236" t="s">
        <v>3393</v>
      </c>
      <c r="C1236">
        <v>2020</v>
      </c>
      <c r="D1236" t="s">
        <v>3457</v>
      </c>
      <c r="E1236" t="s">
        <v>2951</v>
      </c>
      <c r="F1236" t="s">
        <v>2952</v>
      </c>
      <c r="G1236" t="s">
        <v>2954</v>
      </c>
      <c r="H1236" t="s">
        <v>4156</v>
      </c>
    </row>
    <row r="1237" spans="2:8" x14ac:dyDescent="0.25">
      <c r="B1237" t="s">
        <v>3393</v>
      </c>
      <c r="C1237">
        <v>2020</v>
      </c>
      <c r="D1237" t="s">
        <v>3457</v>
      </c>
      <c r="E1237" t="s">
        <v>2955</v>
      </c>
      <c r="F1237" t="s">
        <v>2956</v>
      </c>
      <c r="G1237" t="s">
        <v>2953</v>
      </c>
      <c r="H1237" t="s">
        <v>1993</v>
      </c>
    </row>
    <row r="1238" spans="2:8" x14ac:dyDescent="0.25">
      <c r="B1238" t="s">
        <v>3393</v>
      </c>
      <c r="C1238">
        <v>2020</v>
      </c>
      <c r="D1238" t="s">
        <v>3457</v>
      </c>
      <c r="E1238" t="s">
        <v>2955</v>
      </c>
      <c r="F1238" t="s">
        <v>2956</v>
      </c>
      <c r="G1238" t="s">
        <v>2954</v>
      </c>
      <c r="H1238" t="s">
        <v>3548</v>
      </c>
    </row>
    <row r="1239" spans="2:8" x14ac:dyDescent="0.25">
      <c r="B1239" t="s">
        <v>3393</v>
      </c>
      <c r="C1239">
        <v>2020</v>
      </c>
      <c r="D1239" t="s">
        <v>3457</v>
      </c>
      <c r="E1239" t="s">
        <v>2957</v>
      </c>
      <c r="F1239" t="s">
        <v>2958</v>
      </c>
      <c r="G1239" t="s">
        <v>2959</v>
      </c>
      <c r="H1239" t="s">
        <v>2039</v>
      </c>
    </row>
    <row r="1240" spans="2:8" x14ac:dyDescent="0.25">
      <c r="B1240" t="s">
        <v>3393</v>
      </c>
      <c r="C1240">
        <v>2020</v>
      </c>
      <c r="D1240" t="s">
        <v>3457</v>
      </c>
      <c r="E1240" t="s">
        <v>2957</v>
      </c>
      <c r="F1240" t="s">
        <v>2958</v>
      </c>
      <c r="G1240" t="s">
        <v>2960</v>
      </c>
      <c r="H1240" t="s">
        <v>4150</v>
      </c>
    </row>
    <row r="1241" spans="2:8" x14ac:dyDescent="0.25">
      <c r="B1241" t="s">
        <v>3393</v>
      </c>
      <c r="C1241">
        <v>2020</v>
      </c>
      <c r="D1241" t="s">
        <v>3457</v>
      </c>
      <c r="E1241" t="s">
        <v>2957</v>
      </c>
      <c r="F1241" t="s">
        <v>2958</v>
      </c>
      <c r="G1241" t="s">
        <v>2961</v>
      </c>
      <c r="H1241" t="s">
        <v>2021</v>
      </c>
    </row>
    <row r="1242" spans="2:8" x14ac:dyDescent="0.25">
      <c r="B1242" t="s">
        <v>3393</v>
      </c>
      <c r="C1242">
        <v>2020</v>
      </c>
      <c r="D1242" t="s">
        <v>3457</v>
      </c>
      <c r="E1242" t="s">
        <v>2957</v>
      </c>
      <c r="F1242" t="s">
        <v>2958</v>
      </c>
      <c r="G1242" t="s">
        <v>2962</v>
      </c>
      <c r="H1242" t="s">
        <v>2081</v>
      </c>
    </row>
    <row r="1243" spans="2:8" x14ac:dyDescent="0.25">
      <c r="B1243" t="s">
        <v>3393</v>
      </c>
      <c r="C1243">
        <v>2020</v>
      </c>
      <c r="D1243" t="s">
        <v>3457</v>
      </c>
      <c r="E1243" t="s">
        <v>2966</v>
      </c>
      <c r="F1243" t="s">
        <v>2967</v>
      </c>
      <c r="G1243" t="s">
        <v>2866</v>
      </c>
      <c r="H1243" t="s">
        <v>4157</v>
      </c>
    </row>
    <row r="1244" spans="2:8" x14ac:dyDescent="0.25">
      <c r="B1244" t="s">
        <v>3393</v>
      </c>
      <c r="C1244">
        <v>2020</v>
      </c>
      <c r="D1244" t="s">
        <v>3457</v>
      </c>
      <c r="E1244" t="s">
        <v>2966</v>
      </c>
      <c r="F1244" t="s">
        <v>2967</v>
      </c>
      <c r="G1244" t="s">
        <v>2409</v>
      </c>
      <c r="H1244" t="s">
        <v>4158</v>
      </c>
    </row>
    <row r="1245" spans="2:8" x14ac:dyDescent="0.25">
      <c r="B1245" t="s">
        <v>3393</v>
      </c>
      <c r="C1245">
        <v>2020</v>
      </c>
      <c r="D1245" t="s">
        <v>3457</v>
      </c>
      <c r="E1245" t="s">
        <v>2966</v>
      </c>
      <c r="F1245" t="s">
        <v>2967</v>
      </c>
      <c r="G1245" t="s">
        <v>2867</v>
      </c>
      <c r="H1245" t="s">
        <v>4159</v>
      </c>
    </row>
    <row r="1246" spans="2:8" x14ac:dyDescent="0.25">
      <c r="B1246" t="s">
        <v>3393</v>
      </c>
      <c r="C1246">
        <v>2020</v>
      </c>
      <c r="D1246" t="s">
        <v>3457</v>
      </c>
      <c r="E1246" t="s">
        <v>2968</v>
      </c>
      <c r="F1246" t="s">
        <v>2969</v>
      </c>
      <c r="G1246" t="s">
        <v>2970</v>
      </c>
      <c r="H1246" t="s">
        <v>3162</v>
      </c>
    </row>
    <row r="1247" spans="2:8" x14ac:dyDescent="0.25">
      <c r="B1247" t="s">
        <v>3393</v>
      </c>
      <c r="C1247">
        <v>2020</v>
      </c>
      <c r="D1247" t="s">
        <v>3457</v>
      </c>
      <c r="E1247" t="s">
        <v>2968</v>
      </c>
      <c r="F1247" t="s">
        <v>2969</v>
      </c>
      <c r="G1247" t="s">
        <v>2971</v>
      </c>
      <c r="H1247" t="s">
        <v>4160</v>
      </c>
    </row>
    <row r="1248" spans="2:8" x14ac:dyDescent="0.25">
      <c r="B1248" t="s">
        <v>3393</v>
      </c>
      <c r="C1248">
        <v>2020</v>
      </c>
      <c r="D1248" t="s">
        <v>3457</v>
      </c>
      <c r="E1248" t="s">
        <v>2972</v>
      </c>
      <c r="F1248" t="s">
        <v>2973</v>
      </c>
      <c r="G1248" t="s">
        <v>2866</v>
      </c>
      <c r="H1248" t="s">
        <v>4161</v>
      </c>
    </row>
    <row r="1249" spans="2:8" x14ac:dyDescent="0.25">
      <c r="B1249" t="s">
        <v>3393</v>
      </c>
      <c r="C1249">
        <v>2020</v>
      </c>
      <c r="D1249" t="s">
        <v>3457</v>
      </c>
      <c r="E1249" t="s">
        <v>2972</v>
      </c>
      <c r="F1249" t="s">
        <v>2973</v>
      </c>
      <c r="G1249" t="s">
        <v>2409</v>
      </c>
      <c r="H1249" t="s">
        <v>4162</v>
      </c>
    </row>
    <row r="1250" spans="2:8" x14ac:dyDescent="0.25">
      <c r="B1250" t="s">
        <v>3393</v>
      </c>
      <c r="C1250">
        <v>2020</v>
      </c>
      <c r="D1250" t="s">
        <v>3457</v>
      </c>
      <c r="E1250" t="s">
        <v>2972</v>
      </c>
      <c r="F1250" t="s">
        <v>2973</v>
      </c>
      <c r="G1250" t="s">
        <v>2867</v>
      </c>
      <c r="H1250" t="s">
        <v>4163</v>
      </c>
    </row>
    <row r="1251" spans="2:8" x14ac:dyDescent="0.25">
      <c r="B1251" t="s">
        <v>3393</v>
      </c>
      <c r="C1251">
        <v>2020</v>
      </c>
      <c r="D1251" t="s">
        <v>3457</v>
      </c>
      <c r="E1251" t="s">
        <v>2974</v>
      </c>
      <c r="F1251" t="s">
        <v>2412</v>
      </c>
      <c r="G1251" t="s">
        <v>2408</v>
      </c>
      <c r="H1251" t="s">
        <v>3794</v>
      </c>
    </row>
    <row r="1252" spans="2:8" x14ac:dyDescent="0.25">
      <c r="B1252" t="s">
        <v>3393</v>
      </c>
      <c r="C1252">
        <v>2020</v>
      </c>
      <c r="D1252" t="s">
        <v>3457</v>
      </c>
      <c r="E1252" t="s">
        <v>2974</v>
      </c>
      <c r="F1252" t="s">
        <v>2412</v>
      </c>
      <c r="G1252" t="s">
        <v>2409</v>
      </c>
      <c r="H1252" t="s">
        <v>3795</v>
      </c>
    </row>
    <row r="1253" spans="2:8" x14ac:dyDescent="0.25">
      <c r="B1253" t="s">
        <v>3393</v>
      </c>
      <c r="C1253">
        <v>2020</v>
      </c>
      <c r="D1253" t="s">
        <v>3457</v>
      </c>
      <c r="E1253" t="s">
        <v>2974</v>
      </c>
      <c r="F1253" t="s">
        <v>2412</v>
      </c>
      <c r="G1253" t="s">
        <v>2410</v>
      </c>
      <c r="H1253" t="s">
        <v>3796</v>
      </c>
    </row>
    <row r="1254" spans="2:8" x14ac:dyDescent="0.25">
      <c r="B1254" t="s">
        <v>3393</v>
      </c>
      <c r="C1254">
        <v>2020</v>
      </c>
      <c r="D1254" t="s">
        <v>3457</v>
      </c>
      <c r="E1254" t="s">
        <v>2975</v>
      </c>
      <c r="F1254" t="s">
        <v>2506</v>
      </c>
      <c r="G1254" t="s">
        <v>2408</v>
      </c>
      <c r="H1254" t="s">
        <v>3868</v>
      </c>
    </row>
    <row r="1255" spans="2:8" x14ac:dyDescent="0.25">
      <c r="B1255" t="s">
        <v>3393</v>
      </c>
      <c r="C1255">
        <v>2020</v>
      </c>
      <c r="D1255" t="s">
        <v>3457</v>
      </c>
      <c r="E1255" t="s">
        <v>2975</v>
      </c>
      <c r="F1255" t="s">
        <v>2506</v>
      </c>
      <c r="G1255" t="s">
        <v>2409</v>
      </c>
      <c r="H1255" t="s">
        <v>3869</v>
      </c>
    </row>
    <row r="1256" spans="2:8" x14ac:dyDescent="0.25">
      <c r="B1256" t="s">
        <v>3393</v>
      </c>
      <c r="C1256">
        <v>2020</v>
      </c>
      <c r="D1256" t="s">
        <v>3457</v>
      </c>
      <c r="E1256" t="s">
        <v>2975</v>
      </c>
      <c r="F1256" t="s">
        <v>2506</v>
      </c>
      <c r="G1256" t="s">
        <v>2410</v>
      </c>
      <c r="H1256" t="s">
        <v>3870</v>
      </c>
    </row>
    <row r="1257" spans="2:8" x14ac:dyDescent="0.25">
      <c r="B1257" t="s">
        <v>3393</v>
      </c>
      <c r="C1257">
        <v>2021</v>
      </c>
      <c r="D1257" t="s">
        <v>3457</v>
      </c>
      <c r="E1257" t="s">
        <v>2406</v>
      </c>
      <c r="F1257" t="s">
        <v>2407</v>
      </c>
      <c r="G1257" t="s">
        <v>2408</v>
      </c>
      <c r="H1257" t="s">
        <v>4164</v>
      </c>
    </row>
    <row r="1258" spans="2:8" x14ac:dyDescent="0.25">
      <c r="B1258" t="s">
        <v>3393</v>
      </c>
      <c r="C1258">
        <v>2021</v>
      </c>
      <c r="D1258" t="s">
        <v>3457</v>
      </c>
      <c r="E1258" t="s">
        <v>2406</v>
      </c>
      <c r="F1258" t="s">
        <v>2407</v>
      </c>
      <c r="G1258" t="s">
        <v>2409</v>
      </c>
      <c r="H1258" t="s">
        <v>4165</v>
      </c>
    </row>
    <row r="1259" spans="2:8" x14ac:dyDescent="0.25">
      <c r="B1259" t="s">
        <v>3393</v>
      </c>
      <c r="C1259">
        <v>2021</v>
      </c>
      <c r="D1259" t="s">
        <v>3457</v>
      </c>
      <c r="E1259" t="s">
        <v>2406</v>
      </c>
      <c r="F1259" t="s">
        <v>2407</v>
      </c>
      <c r="G1259" t="s">
        <v>2410</v>
      </c>
      <c r="H1259" t="s">
        <v>4166</v>
      </c>
    </row>
    <row r="1260" spans="2:8" x14ac:dyDescent="0.25">
      <c r="B1260" t="s">
        <v>3393</v>
      </c>
      <c r="C1260">
        <v>2021</v>
      </c>
      <c r="D1260" t="s">
        <v>3457</v>
      </c>
      <c r="E1260" t="s">
        <v>2411</v>
      </c>
      <c r="F1260" t="s">
        <v>2412</v>
      </c>
      <c r="G1260" t="s">
        <v>2408</v>
      </c>
      <c r="H1260" t="s">
        <v>4167</v>
      </c>
    </row>
    <row r="1261" spans="2:8" x14ac:dyDescent="0.25">
      <c r="B1261" t="s">
        <v>3393</v>
      </c>
      <c r="C1261">
        <v>2021</v>
      </c>
      <c r="D1261" t="s">
        <v>3457</v>
      </c>
      <c r="E1261" t="s">
        <v>2411</v>
      </c>
      <c r="F1261" t="s">
        <v>2412</v>
      </c>
      <c r="G1261" t="s">
        <v>2409</v>
      </c>
      <c r="H1261" t="s">
        <v>4168</v>
      </c>
    </row>
    <row r="1262" spans="2:8" x14ac:dyDescent="0.25">
      <c r="B1262" t="s">
        <v>3393</v>
      </c>
      <c r="C1262">
        <v>2021</v>
      </c>
      <c r="D1262" t="s">
        <v>3457</v>
      </c>
      <c r="E1262" t="s">
        <v>2411</v>
      </c>
      <c r="F1262" t="s">
        <v>2412</v>
      </c>
      <c r="G1262" t="s">
        <v>2410</v>
      </c>
      <c r="H1262" t="s">
        <v>4169</v>
      </c>
    </row>
    <row r="1263" spans="2:8" x14ac:dyDescent="0.25">
      <c r="B1263" t="s">
        <v>3393</v>
      </c>
      <c r="C1263">
        <v>2021</v>
      </c>
      <c r="D1263" t="s">
        <v>3457</v>
      </c>
      <c r="E1263" t="s">
        <v>2413</v>
      </c>
      <c r="F1263" t="s">
        <v>2414</v>
      </c>
      <c r="G1263" t="s">
        <v>2415</v>
      </c>
      <c r="H1263" t="s">
        <v>4170</v>
      </c>
    </row>
    <row r="1264" spans="2:8" x14ac:dyDescent="0.25">
      <c r="B1264" t="s">
        <v>3393</v>
      </c>
      <c r="C1264">
        <v>2021</v>
      </c>
      <c r="D1264" t="s">
        <v>3457</v>
      </c>
      <c r="E1264" t="s">
        <v>2413</v>
      </c>
      <c r="F1264" t="s">
        <v>2414</v>
      </c>
      <c r="G1264" t="s">
        <v>2416</v>
      </c>
      <c r="H1264" t="s">
        <v>3106</v>
      </c>
    </row>
    <row r="1265" spans="2:8" x14ac:dyDescent="0.25">
      <c r="B1265" t="s">
        <v>3393</v>
      </c>
      <c r="C1265">
        <v>2021</v>
      </c>
      <c r="D1265" t="s">
        <v>3457</v>
      </c>
      <c r="E1265" t="s">
        <v>2413</v>
      </c>
      <c r="F1265" t="s">
        <v>2414</v>
      </c>
      <c r="G1265" t="s">
        <v>2417</v>
      </c>
      <c r="H1265" t="s">
        <v>4171</v>
      </c>
    </row>
    <row r="1266" spans="2:8" x14ac:dyDescent="0.25">
      <c r="B1266" t="s">
        <v>3393</v>
      </c>
      <c r="C1266">
        <v>2021</v>
      </c>
      <c r="D1266" t="s">
        <v>3457</v>
      </c>
      <c r="E1266" t="s">
        <v>2413</v>
      </c>
      <c r="F1266" t="s">
        <v>2414</v>
      </c>
      <c r="G1266" t="s">
        <v>2418</v>
      </c>
      <c r="H1266" t="s">
        <v>4172</v>
      </c>
    </row>
    <row r="1267" spans="2:8" x14ac:dyDescent="0.25">
      <c r="B1267" t="s">
        <v>3393</v>
      </c>
      <c r="C1267">
        <v>2021</v>
      </c>
      <c r="D1267" t="s">
        <v>3457</v>
      </c>
      <c r="E1267" t="s">
        <v>2413</v>
      </c>
      <c r="F1267" t="s">
        <v>2414</v>
      </c>
      <c r="G1267" t="s">
        <v>182</v>
      </c>
      <c r="H1267" t="s">
        <v>4173</v>
      </c>
    </row>
    <row r="1268" spans="2:8" x14ac:dyDescent="0.25">
      <c r="B1268" t="s">
        <v>3393</v>
      </c>
      <c r="C1268">
        <v>2021</v>
      </c>
      <c r="D1268" t="s">
        <v>3457</v>
      </c>
      <c r="E1268" t="s">
        <v>2419</v>
      </c>
      <c r="F1268" t="s">
        <v>2420</v>
      </c>
      <c r="G1268" t="s">
        <v>2415</v>
      </c>
      <c r="H1268" t="s">
        <v>4174</v>
      </c>
    </row>
    <row r="1269" spans="2:8" x14ac:dyDescent="0.25">
      <c r="B1269" t="s">
        <v>3393</v>
      </c>
      <c r="C1269">
        <v>2021</v>
      </c>
      <c r="D1269" t="s">
        <v>3457</v>
      </c>
      <c r="E1269" t="s">
        <v>2419</v>
      </c>
      <c r="F1269" t="s">
        <v>2420</v>
      </c>
      <c r="G1269" t="s">
        <v>2416</v>
      </c>
      <c r="H1269" t="s">
        <v>4175</v>
      </c>
    </row>
    <row r="1270" spans="2:8" x14ac:dyDescent="0.25">
      <c r="B1270" t="s">
        <v>3393</v>
      </c>
      <c r="C1270">
        <v>2021</v>
      </c>
      <c r="D1270" t="s">
        <v>3457</v>
      </c>
      <c r="E1270" t="s">
        <v>2419</v>
      </c>
      <c r="F1270" t="s">
        <v>2420</v>
      </c>
      <c r="G1270" t="s">
        <v>2417</v>
      </c>
      <c r="H1270" t="s">
        <v>4176</v>
      </c>
    </row>
    <row r="1271" spans="2:8" x14ac:dyDescent="0.25">
      <c r="B1271" t="s">
        <v>3393</v>
      </c>
      <c r="C1271">
        <v>2021</v>
      </c>
      <c r="D1271" t="s">
        <v>3457</v>
      </c>
      <c r="E1271" t="s">
        <v>2419</v>
      </c>
      <c r="F1271" t="s">
        <v>2420</v>
      </c>
      <c r="G1271" t="s">
        <v>2418</v>
      </c>
      <c r="H1271" t="s">
        <v>4177</v>
      </c>
    </row>
    <row r="1272" spans="2:8" x14ac:dyDescent="0.25">
      <c r="B1272" t="s">
        <v>3393</v>
      </c>
      <c r="C1272">
        <v>2021</v>
      </c>
      <c r="D1272" t="s">
        <v>3457</v>
      </c>
      <c r="E1272" t="s">
        <v>2419</v>
      </c>
      <c r="F1272" t="s">
        <v>2420</v>
      </c>
      <c r="G1272" t="s">
        <v>182</v>
      </c>
      <c r="H1272" t="s">
        <v>4178</v>
      </c>
    </row>
    <row r="1273" spans="2:8" x14ac:dyDescent="0.25">
      <c r="B1273" t="s">
        <v>3393</v>
      </c>
      <c r="C1273">
        <v>2021</v>
      </c>
      <c r="D1273" t="s">
        <v>3457</v>
      </c>
      <c r="E1273" t="s">
        <v>2421</v>
      </c>
      <c r="F1273" t="s">
        <v>2422</v>
      </c>
      <c r="G1273" t="s">
        <v>2423</v>
      </c>
      <c r="H1273" t="s">
        <v>3298</v>
      </c>
    </row>
    <row r="1274" spans="2:8" x14ac:dyDescent="0.25">
      <c r="B1274" t="s">
        <v>3393</v>
      </c>
      <c r="C1274">
        <v>2021</v>
      </c>
      <c r="D1274" t="s">
        <v>3457</v>
      </c>
      <c r="E1274" t="s">
        <v>2421</v>
      </c>
      <c r="F1274" t="s">
        <v>2422</v>
      </c>
      <c r="G1274" t="s">
        <v>2424</v>
      </c>
      <c r="H1274" t="s">
        <v>4179</v>
      </c>
    </row>
    <row r="1275" spans="2:8" x14ac:dyDescent="0.25">
      <c r="B1275" t="s">
        <v>3393</v>
      </c>
      <c r="C1275">
        <v>2021</v>
      </c>
      <c r="D1275" t="s">
        <v>3457</v>
      </c>
      <c r="E1275" t="s">
        <v>2425</v>
      </c>
      <c r="F1275" t="s">
        <v>2426</v>
      </c>
      <c r="G1275" t="s">
        <v>2427</v>
      </c>
      <c r="H1275" t="s">
        <v>2428</v>
      </c>
    </row>
    <row r="1276" spans="2:8" x14ac:dyDescent="0.25">
      <c r="B1276" t="s">
        <v>3393</v>
      </c>
      <c r="C1276">
        <v>2021</v>
      </c>
      <c r="D1276" t="s">
        <v>3457</v>
      </c>
      <c r="E1276" t="s">
        <v>2429</v>
      </c>
      <c r="F1276" t="s">
        <v>2430</v>
      </c>
      <c r="G1276" t="s">
        <v>2427</v>
      </c>
      <c r="H1276" t="s">
        <v>2431</v>
      </c>
    </row>
    <row r="1277" spans="2:8" x14ac:dyDescent="0.25">
      <c r="B1277" t="s">
        <v>3393</v>
      </c>
      <c r="C1277">
        <v>2021</v>
      </c>
      <c r="D1277" t="s">
        <v>3457</v>
      </c>
      <c r="E1277" t="s">
        <v>2432</v>
      </c>
      <c r="F1277" t="s">
        <v>2433</v>
      </c>
      <c r="G1277" t="s">
        <v>2427</v>
      </c>
      <c r="H1277" t="s">
        <v>2434</v>
      </c>
    </row>
    <row r="1278" spans="2:8" x14ac:dyDescent="0.25">
      <c r="B1278" t="s">
        <v>3393</v>
      </c>
      <c r="C1278">
        <v>2021</v>
      </c>
      <c r="D1278" t="s">
        <v>3457</v>
      </c>
      <c r="E1278" t="s">
        <v>2435</v>
      </c>
      <c r="F1278" t="s">
        <v>2436</v>
      </c>
      <c r="G1278" t="s">
        <v>2427</v>
      </c>
      <c r="H1278" t="s">
        <v>2437</v>
      </c>
    </row>
    <row r="1279" spans="2:8" x14ac:dyDescent="0.25">
      <c r="B1279" t="s">
        <v>3393</v>
      </c>
      <c r="C1279">
        <v>2021</v>
      </c>
      <c r="D1279" t="s">
        <v>3457</v>
      </c>
      <c r="E1279" t="s">
        <v>2438</v>
      </c>
      <c r="F1279" t="s">
        <v>2439</v>
      </c>
      <c r="G1279" t="s">
        <v>2440</v>
      </c>
      <c r="H1279" t="s">
        <v>2441</v>
      </c>
    </row>
    <row r="1280" spans="2:8" x14ac:dyDescent="0.25">
      <c r="B1280" t="s">
        <v>3393</v>
      </c>
      <c r="C1280">
        <v>2021</v>
      </c>
      <c r="D1280" t="s">
        <v>3457</v>
      </c>
      <c r="E1280" t="s">
        <v>2442</v>
      </c>
      <c r="F1280" t="s">
        <v>2443</v>
      </c>
      <c r="G1280" t="s">
        <v>2444</v>
      </c>
      <c r="H1280" t="s">
        <v>2445</v>
      </c>
    </row>
    <row r="1281" spans="2:8" x14ac:dyDescent="0.25">
      <c r="B1281" t="s">
        <v>3393</v>
      </c>
      <c r="C1281">
        <v>2021</v>
      </c>
      <c r="D1281" t="s">
        <v>3457</v>
      </c>
      <c r="E1281" t="s">
        <v>2446</v>
      </c>
      <c r="F1281" t="s">
        <v>2447</v>
      </c>
      <c r="G1281" t="s">
        <v>2448</v>
      </c>
      <c r="H1281" t="s">
        <v>2449</v>
      </c>
    </row>
    <row r="1282" spans="2:8" x14ac:dyDescent="0.25">
      <c r="B1282" t="s">
        <v>3393</v>
      </c>
      <c r="C1282">
        <v>2021</v>
      </c>
      <c r="D1282" t="s">
        <v>3457</v>
      </c>
      <c r="E1282" t="s">
        <v>2450</v>
      </c>
      <c r="F1282" t="s">
        <v>2451</v>
      </c>
      <c r="G1282" t="s">
        <v>2452</v>
      </c>
      <c r="H1282" t="s">
        <v>4180</v>
      </c>
    </row>
    <row r="1283" spans="2:8" x14ac:dyDescent="0.25">
      <c r="B1283" t="s">
        <v>3393</v>
      </c>
      <c r="C1283">
        <v>2021</v>
      </c>
      <c r="D1283" t="s">
        <v>3457</v>
      </c>
      <c r="E1283" t="s">
        <v>2453</v>
      </c>
      <c r="F1283" t="s">
        <v>2454</v>
      </c>
      <c r="G1283" t="s">
        <v>2455</v>
      </c>
      <c r="H1283" t="s">
        <v>4181</v>
      </c>
    </row>
    <row r="1284" spans="2:8" x14ac:dyDescent="0.25">
      <c r="B1284" t="s">
        <v>3393</v>
      </c>
      <c r="C1284">
        <v>2021</v>
      </c>
      <c r="D1284" t="s">
        <v>3457</v>
      </c>
      <c r="E1284" t="s">
        <v>2453</v>
      </c>
      <c r="F1284" t="s">
        <v>2454</v>
      </c>
      <c r="G1284" t="s">
        <v>2456</v>
      </c>
      <c r="H1284" t="s">
        <v>4182</v>
      </c>
    </row>
    <row r="1285" spans="2:8" x14ac:dyDescent="0.25">
      <c r="B1285" t="s">
        <v>3393</v>
      </c>
      <c r="C1285">
        <v>2021</v>
      </c>
      <c r="D1285" t="s">
        <v>3457</v>
      </c>
      <c r="E1285" t="s">
        <v>2457</v>
      </c>
      <c r="F1285" t="s">
        <v>2458</v>
      </c>
      <c r="G1285" t="s">
        <v>2459</v>
      </c>
      <c r="H1285" t="s">
        <v>4183</v>
      </c>
    </row>
    <row r="1286" spans="2:8" x14ac:dyDescent="0.25">
      <c r="B1286" t="s">
        <v>3393</v>
      </c>
      <c r="C1286">
        <v>2021</v>
      </c>
      <c r="D1286" t="s">
        <v>3457</v>
      </c>
      <c r="E1286" t="s">
        <v>2457</v>
      </c>
      <c r="F1286" t="s">
        <v>2458</v>
      </c>
      <c r="G1286" t="s">
        <v>2460</v>
      </c>
      <c r="H1286" t="s">
        <v>4184</v>
      </c>
    </row>
    <row r="1287" spans="2:8" x14ac:dyDescent="0.25">
      <c r="B1287" t="s">
        <v>3393</v>
      </c>
      <c r="C1287">
        <v>2021</v>
      </c>
      <c r="D1287" t="s">
        <v>3457</v>
      </c>
      <c r="E1287" t="s">
        <v>2457</v>
      </c>
      <c r="F1287" t="s">
        <v>2458</v>
      </c>
      <c r="G1287" t="s">
        <v>2461</v>
      </c>
      <c r="H1287" t="s">
        <v>4185</v>
      </c>
    </row>
    <row r="1288" spans="2:8" x14ac:dyDescent="0.25">
      <c r="B1288" t="s">
        <v>3393</v>
      </c>
      <c r="C1288">
        <v>2021</v>
      </c>
      <c r="D1288" t="s">
        <v>3457</v>
      </c>
      <c r="E1288" t="s">
        <v>2457</v>
      </c>
      <c r="F1288" t="s">
        <v>2458</v>
      </c>
      <c r="G1288" t="s">
        <v>2462</v>
      </c>
      <c r="H1288" t="s">
        <v>4186</v>
      </c>
    </row>
    <row r="1289" spans="2:8" x14ac:dyDescent="0.25">
      <c r="B1289" t="s">
        <v>3393</v>
      </c>
      <c r="C1289">
        <v>2021</v>
      </c>
      <c r="D1289" t="s">
        <v>3457</v>
      </c>
      <c r="E1289" t="s">
        <v>2463</v>
      </c>
      <c r="F1289" t="s">
        <v>2464</v>
      </c>
      <c r="G1289" t="s">
        <v>2465</v>
      </c>
      <c r="H1289" t="s">
        <v>4187</v>
      </c>
    </row>
    <row r="1290" spans="2:8" x14ac:dyDescent="0.25">
      <c r="B1290" t="s">
        <v>3393</v>
      </c>
      <c r="C1290">
        <v>2021</v>
      </c>
      <c r="D1290" t="s">
        <v>3457</v>
      </c>
      <c r="E1290" t="s">
        <v>2466</v>
      </c>
      <c r="F1290" t="s">
        <v>2454</v>
      </c>
      <c r="G1290" t="s">
        <v>2455</v>
      </c>
      <c r="H1290" t="s">
        <v>4188</v>
      </c>
    </row>
    <row r="1291" spans="2:8" x14ac:dyDescent="0.25">
      <c r="B1291" t="s">
        <v>3393</v>
      </c>
      <c r="C1291">
        <v>2021</v>
      </c>
      <c r="D1291" t="s">
        <v>3457</v>
      </c>
      <c r="E1291" t="s">
        <v>2466</v>
      </c>
      <c r="F1291" t="s">
        <v>2454</v>
      </c>
      <c r="G1291" t="s">
        <v>2456</v>
      </c>
      <c r="H1291" t="s">
        <v>4189</v>
      </c>
    </row>
    <row r="1292" spans="2:8" x14ac:dyDescent="0.25">
      <c r="B1292" t="s">
        <v>3393</v>
      </c>
      <c r="C1292">
        <v>2021</v>
      </c>
      <c r="D1292" t="s">
        <v>3457</v>
      </c>
      <c r="E1292" t="s">
        <v>2467</v>
      </c>
      <c r="F1292" t="s">
        <v>2458</v>
      </c>
      <c r="G1292" t="s">
        <v>2459</v>
      </c>
      <c r="H1292" t="s">
        <v>4190</v>
      </c>
    </row>
    <row r="1293" spans="2:8" x14ac:dyDescent="0.25">
      <c r="B1293" t="s">
        <v>3393</v>
      </c>
      <c r="C1293">
        <v>2021</v>
      </c>
      <c r="D1293" t="s">
        <v>3457</v>
      </c>
      <c r="E1293" t="s">
        <v>2467</v>
      </c>
      <c r="F1293" t="s">
        <v>2458</v>
      </c>
      <c r="G1293" t="s">
        <v>2460</v>
      </c>
      <c r="H1293" t="s">
        <v>1993</v>
      </c>
    </row>
    <row r="1294" spans="2:8" x14ac:dyDescent="0.25">
      <c r="B1294" t="s">
        <v>3393</v>
      </c>
      <c r="C1294">
        <v>2021</v>
      </c>
      <c r="D1294" t="s">
        <v>3457</v>
      </c>
      <c r="E1294" t="s">
        <v>2467</v>
      </c>
      <c r="F1294" t="s">
        <v>2458</v>
      </c>
      <c r="G1294" t="s">
        <v>2462</v>
      </c>
      <c r="H1294" t="s">
        <v>4191</v>
      </c>
    </row>
    <row r="1295" spans="2:8" x14ac:dyDescent="0.25">
      <c r="B1295" t="s">
        <v>3393</v>
      </c>
      <c r="C1295">
        <v>2021</v>
      </c>
      <c r="D1295" t="s">
        <v>3457</v>
      </c>
      <c r="E1295" t="s">
        <v>2468</v>
      </c>
      <c r="F1295" t="s">
        <v>2464</v>
      </c>
      <c r="G1295" t="s">
        <v>2465</v>
      </c>
      <c r="H1295" t="s">
        <v>4192</v>
      </c>
    </row>
    <row r="1296" spans="2:8" x14ac:dyDescent="0.25">
      <c r="B1296" t="s">
        <v>3393</v>
      </c>
      <c r="C1296">
        <v>2021</v>
      </c>
      <c r="D1296" t="s">
        <v>3457</v>
      </c>
      <c r="E1296" t="s">
        <v>2469</v>
      </c>
      <c r="F1296" t="s">
        <v>2470</v>
      </c>
      <c r="G1296" t="s">
        <v>2465</v>
      </c>
      <c r="H1296" t="s">
        <v>4193</v>
      </c>
    </row>
    <row r="1297" spans="2:8" x14ac:dyDescent="0.25">
      <c r="B1297" t="s">
        <v>3393</v>
      </c>
      <c r="C1297">
        <v>2021</v>
      </c>
      <c r="D1297" t="s">
        <v>3457</v>
      </c>
      <c r="E1297" t="s">
        <v>2471</v>
      </c>
      <c r="F1297" t="s">
        <v>2472</v>
      </c>
      <c r="G1297" t="s">
        <v>2473</v>
      </c>
      <c r="H1297" t="s">
        <v>4194</v>
      </c>
    </row>
    <row r="1298" spans="2:8" x14ac:dyDescent="0.25">
      <c r="B1298" t="s">
        <v>3393</v>
      </c>
      <c r="C1298">
        <v>2021</v>
      </c>
      <c r="D1298" t="s">
        <v>3457</v>
      </c>
      <c r="E1298" t="s">
        <v>2474</v>
      </c>
      <c r="F1298" t="s">
        <v>2475</v>
      </c>
      <c r="G1298" t="s">
        <v>1173</v>
      </c>
      <c r="H1298" t="s">
        <v>3427</v>
      </c>
    </row>
    <row r="1299" spans="2:8" x14ac:dyDescent="0.25">
      <c r="B1299" t="s">
        <v>3393</v>
      </c>
      <c r="C1299">
        <v>2021</v>
      </c>
      <c r="D1299" t="s">
        <v>3457</v>
      </c>
      <c r="E1299" t="s">
        <v>2474</v>
      </c>
      <c r="F1299" t="s">
        <v>2475</v>
      </c>
      <c r="G1299" t="s">
        <v>1172</v>
      </c>
      <c r="H1299" t="s">
        <v>4195</v>
      </c>
    </row>
    <row r="1300" spans="2:8" x14ac:dyDescent="0.25">
      <c r="B1300" t="s">
        <v>3393</v>
      </c>
      <c r="C1300">
        <v>2021</v>
      </c>
      <c r="D1300" t="s">
        <v>3457</v>
      </c>
      <c r="E1300" t="s">
        <v>2474</v>
      </c>
      <c r="F1300" t="s">
        <v>2475</v>
      </c>
      <c r="G1300" t="s">
        <v>1171</v>
      </c>
      <c r="H1300" t="s">
        <v>3304</v>
      </c>
    </row>
    <row r="1301" spans="2:8" x14ac:dyDescent="0.25">
      <c r="B1301" t="s">
        <v>3393</v>
      </c>
      <c r="C1301">
        <v>2021</v>
      </c>
      <c r="D1301" t="s">
        <v>3457</v>
      </c>
      <c r="E1301" t="s">
        <v>2476</v>
      </c>
      <c r="F1301" t="s">
        <v>2477</v>
      </c>
      <c r="G1301" t="s">
        <v>2478</v>
      </c>
      <c r="H1301" t="s">
        <v>4196</v>
      </c>
    </row>
    <row r="1302" spans="2:8" x14ac:dyDescent="0.25">
      <c r="B1302" t="s">
        <v>3393</v>
      </c>
      <c r="C1302">
        <v>2021</v>
      </c>
      <c r="D1302" t="s">
        <v>3457</v>
      </c>
      <c r="E1302" t="s">
        <v>2476</v>
      </c>
      <c r="F1302" t="s">
        <v>2477</v>
      </c>
      <c r="G1302" t="s">
        <v>2479</v>
      </c>
      <c r="H1302" t="s">
        <v>3440</v>
      </c>
    </row>
    <row r="1303" spans="2:8" x14ac:dyDescent="0.25">
      <c r="B1303" t="s">
        <v>3393</v>
      </c>
      <c r="C1303">
        <v>2021</v>
      </c>
      <c r="D1303" t="s">
        <v>3457</v>
      </c>
      <c r="E1303" t="s">
        <v>2476</v>
      </c>
      <c r="F1303" t="s">
        <v>2477</v>
      </c>
      <c r="G1303" t="s">
        <v>2480</v>
      </c>
      <c r="H1303" t="s">
        <v>4197</v>
      </c>
    </row>
    <row r="1304" spans="2:8" x14ac:dyDescent="0.25">
      <c r="B1304" t="s">
        <v>3393</v>
      </c>
      <c r="C1304">
        <v>2021</v>
      </c>
      <c r="D1304" t="s">
        <v>3457</v>
      </c>
      <c r="E1304" t="s">
        <v>2481</v>
      </c>
      <c r="F1304" t="s">
        <v>2482</v>
      </c>
      <c r="G1304" t="s">
        <v>2483</v>
      </c>
      <c r="H1304" t="s">
        <v>4198</v>
      </c>
    </row>
    <row r="1305" spans="2:8" x14ac:dyDescent="0.25">
      <c r="B1305" t="s">
        <v>3393</v>
      </c>
      <c r="C1305">
        <v>2021</v>
      </c>
      <c r="D1305" t="s">
        <v>3457</v>
      </c>
      <c r="E1305" t="s">
        <v>2484</v>
      </c>
      <c r="F1305" t="s">
        <v>2485</v>
      </c>
      <c r="G1305" t="s">
        <v>2486</v>
      </c>
      <c r="H1305" t="s">
        <v>3306</v>
      </c>
    </row>
    <row r="1306" spans="2:8" x14ac:dyDescent="0.25">
      <c r="B1306" t="s">
        <v>3393</v>
      </c>
      <c r="C1306">
        <v>2021</v>
      </c>
      <c r="D1306" t="s">
        <v>3457</v>
      </c>
      <c r="E1306" t="s">
        <v>2487</v>
      </c>
      <c r="F1306" t="s">
        <v>2488</v>
      </c>
      <c r="G1306" t="s">
        <v>2489</v>
      </c>
      <c r="H1306" t="s">
        <v>4199</v>
      </c>
    </row>
    <row r="1307" spans="2:8" x14ac:dyDescent="0.25">
      <c r="B1307" t="s">
        <v>3393</v>
      </c>
      <c r="C1307">
        <v>2021</v>
      </c>
      <c r="D1307" t="s">
        <v>3457</v>
      </c>
      <c r="E1307" t="s">
        <v>2487</v>
      </c>
      <c r="F1307" t="s">
        <v>2488</v>
      </c>
      <c r="G1307" t="s">
        <v>2490</v>
      </c>
      <c r="H1307" t="s">
        <v>4200</v>
      </c>
    </row>
    <row r="1308" spans="2:8" x14ac:dyDescent="0.25">
      <c r="B1308" t="s">
        <v>3393</v>
      </c>
      <c r="C1308">
        <v>2021</v>
      </c>
      <c r="D1308" t="s">
        <v>3457</v>
      </c>
      <c r="E1308" t="s">
        <v>2491</v>
      </c>
      <c r="F1308" t="s">
        <v>2492</v>
      </c>
      <c r="G1308" t="s">
        <v>2493</v>
      </c>
      <c r="H1308" t="s">
        <v>2431</v>
      </c>
    </row>
    <row r="1309" spans="2:8" x14ac:dyDescent="0.25">
      <c r="B1309" t="s">
        <v>3393</v>
      </c>
      <c r="C1309">
        <v>2021</v>
      </c>
      <c r="D1309" t="s">
        <v>3457</v>
      </c>
      <c r="E1309" t="s">
        <v>2491</v>
      </c>
      <c r="F1309" t="s">
        <v>2492</v>
      </c>
      <c r="G1309" t="s">
        <v>2494</v>
      </c>
      <c r="H1309" t="s">
        <v>2428</v>
      </c>
    </row>
    <row r="1310" spans="2:8" x14ac:dyDescent="0.25">
      <c r="B1310" t="s">
        <v>3393</v>
      </c>
      <c r="C1310">
        <v>2021</v>
      </c>
      <c r="D1310" t="s">
        <v>3457</v>
      </c>
      <c r="E1310" t="s">
        <v>2495</v>
      </c>
      <c r="F1310" t="s">
        <v>2496</v>
      </c>
      <c r="G1310" t="s">
        <v>1116</v>
      </c>
      <c r="H1310" t="s">
        <v>4201</v>
      </c>
    </row>
    <row r="1311" spans="2:8" x14ac:dyDescent="0.25">
      <c r="B1311" t="s">
        <v>3393</v>
      </c>
      <c r="C1311">
        <v>2021</v>
      </c>
      <c r="D1311" t="s">
        <v>3457</v>
      </c>
      <c r="E1311" t="s">
        <v>2497</v>
      </c>
      <c r="F1311" t="s">
        <v>2498</v>
      </c>
      <c r="G1311" t="s">
        <v>1176</v>
      </c>
      <c r="H1311" t="s">
        <v>4202</v>
      </c>
    </row>
    <row r="1312" spans="2:8" x14ac:dyDescent="0.25">
      <c r="B1312" t="s">
        <v>3393</v>
      </c>
      <c r="C1312">
        <v>2021</v>
      </c>
      <c r="D1312" t="s">
        <v>3457</v>
      </c>
      <c r="E1312" t="s">
        <v>2499</v>
      </c>
      <c r="F1312" t="s">
        <v>2500</v>
      </c>
      <c r="G1312" t="s">
        <v>2501</v>
      </c>
      <c r="H1312" t="s">
        <v>3494</v>
      </c>
    </row>
    <row r="1313" spans="2:8" x14ac:dyDescent="0.25">
      <c r="B1313" t="s">
        <v>3393</v>
      </c>
      <c r="C1313">
        <v>2021</v>
      </c>
      <c r="D1313" t="s">
        <v>3457</v>
      </c>
      <c r="E1313" t="s">
        <v>2502</v>
      </c>
      <c r="F1313" t="s">
        <v>2503</v>
      </c>
      <c r="G1313" t="s">
        <v>2504</v>
      </c>
      <c r="H1313" t="s">
        <v>4201</v>
      </c>
    </row>
    <row r="1314" spans="2:8" x14ac:dyDescent="0.25">
      <c r="B1314" t="s">
        <v>3393</v>
      </c>
      <c r="C1314">
        <v>2021</v>
      </c>
      <c r="D1314" t="s">
        <v>3457</v>
      </c>
      <c r="E1314" t="s">
        <v>2505</v>
      </c>
      <c r="F1314" t="s">
        <v>2506</v>
      </c>
      <c r="G1314" t="s">
        <v>2408</v>
      </c>
      <c r="H1314" t="s">
        <v>4203</v>
      </c>
    </row>
    <row r="1315" spans="2:8" x14ac:dyDescent="0.25">
      <c r="B1315" t="s">
        <v>3393</v>
      </c>
      <c r="C1315">
        <v>2021</v>
      </c>
      <c r="D1315" t="s">
        <v>3457</v>
      </c>
      <c r="E1315" t="s">
        <v>2505</v>
      </c>
      <c r="F1315" t="s">
        <v>2506</v>
      </c>
      <c r="G1315" t="s">
        <v>2409</v>
      </c>
      <c r="H1315" t="s">
        <v>4204</v>
      </c>
    </row>
    <row r="1316" spans="2:8" x14ac:dyDescent="0.25">
      <c r="B1316" t="s">
        <v>3393</v>
      </c>
      <c r="C1316">
        <v>2021</v>
      </c>
      <c r="D1316" t="s">
        <v>3457</v>
      </c>
      <c r="E1316" t="s">
        <v>2505</v>
      </c>
      <c r="F1316" t="s">
        <v>2506</v>
      </c>
      <c r="G1316" t="s">
        <v>2410</v>
      </c>
      <c r="H1316" t="s">
        <v>4205</v>
      </c>
    </row>
    <row r="1317" spans="2:8" x14ac:dyDescent="0.25">
      <c r="B1317" t="s">
        <v>3393</v>
      </c>
      <c r="C1317">
        <v>2021</v>
      </c>
      <c r="D1317" t="s">
        <v>3457</v>
      </c>
      <c r="E1317" t="s">
        <v>2507</v>
      </c>
      <c r="F1317" t="s">
        <v>2407</v>
      </c>
      <c r="G1317" t="s">
        <v>2408</v>
      </c>
      <c r="H1317" t="s">
        <v>4164</v>
      </c>
    </row>
    <row r="1318" spans="2:8" x14ac:dyDescent="0.25">
      <c r="B1318" t="s">
        <v>3393</v>
      </c>
      <c r="C1318">
        <v>2021</v>
      </c>
      <c r="D1318" t="s">
        <v>3457</v>
      </c>
      <c r="E1318" t="s">
        <v>2507</v>
      </c>
      <c r="F1318" t="s">
        <v>2407</v>
      </c>
      <c r="G1318" t="s">
        <v>2409</v>
      </c>
      <c r="H1318" t="s">
        <v>4165</v>
      </c>
    </row>
    <row r="1319" spans="2:8" x14ac:dyDescent="0.25">
      <c r="B1319" t="s">
        <v>3393</v>
      </c>
      <c r="C1319">
        <v>2021</v>
      </c>
      <c r="D1319" t="s">
        <v>3457</v>
      </c>
      <c r="E1319" t="s">
        <v>2507</v>
      </c>
      <c r="F1319" t="s">
        <v>2407</v>
      </c>
      <c r="G1319" t="s">
        <v>2410</v>
      </c>
      <c r="H1319" t="s">
        <v>4166</v>
      </c>
    </row>
    <row r="1320" spans="2:8" x14ac:dyDescent="0.25">
      <c r="B1320" t="s">
        <v>3393</v>
      </c>
      <c r="C1320">
        <v>2021</v>
      </c>
      <c r="D1320" t="s">
        <v>3457</v>
      </c>
      <c r="E1320" t="s">
        <v>2508</v>
      </c>
      <c r="F1320" t="s">
        <v>2509</v>
      </c>
      <c r="G1320" t="s">
        <v>2510</v>
      </c>
      <c r="H1320" t="s">
        <v>2511</v>
      </c>
    </row>
    <row r="1321" spans="2:8" x14ac:dyDescent="0.25">
      <c r="B1321" t="s">
        <v>3393</v>
      </c>
      <c r="C1321">
        <v>2021</v>
      </c>
      <c r="D1321" t="s">
        <v>3457</v>
      </c>
      <c r="E1321" t="s">
        <v>2508</v>
      </c>
      <c r="F1321" t="s">
        <v>2509</v>
      </c>
      <c r="G1321" t="s">
        <v>2512</v>
      </c>
      <c r="H1321" t="s">
        <v>2513</v>
      </c>
    </row>
    <row r="1322" spans="2:8" x14ac:dyDescent="0.25">
      <c r="B1322" t="s">
        <v>3393</v>
      </c>
      <c r="C1322">
        <v>2021</v>
      </c>
      <c r="D1322" t="s">
        <v>3457</v>
      </c>
      <c r="E1322" t="s">
        <v>2508</v>
      </c>
      <c r="F1322" t="s">
        <v>2509</v>
      </c>
      <c r="G1322" t="s">
        <v>2514</v>
      </c>
      <c r="H1322" t="s">
        <v>2515</v>
      </c>
    </row>
    <row r="1323" spans="2:8" x14ac:dyDescent="0.25">
      <c r="B1323" t="s">
        <v>3393</v>
      </c>
      <c r="C1323">
        <v>2021</v>
      </c>
      <c r="D1323" t="s">
        <v>3457</v>
      </c>
      <c r="E1323" t="s">
        <v>2516</v>
      </c>
      <c r="F1323" t="s">
        <v>2517</v>
      </c>
      <c r="G1323" t="s">
        <v>2518</v>
      </c>
      <c r="H1323" t="s">
        <v>4206</v>
      </c>
    </row>
    <row r="1324" spans="2:8" x14ac:dyDescent="0.25">
      <c r="B1324" t="s">
        <v>3393</v>
      </c>
      <c r="C1324">
        <v>2021</v>
      </c>
      <c r="D1324" t="s">
        <v>3457</v>
      </c>
      <c r="E1324" t="s">
        <v>2516</v>
      </c>
      <c r="F1324" t="s">
        <v>2517</v>
      </c>
      <c r="G1324" t="s">
        <v>2519</v>
      </c>
      <c r="H1324" t="s">
        <v>4207</v>
      </c>
    </row>
    <row r="1325" spans="2:8" x14ac:dyDescent="0.25">
      <c r="B1325" t="s">
        <v>3393</v>
      </c>
      <c r="C1325">
        <v>2021</v>
      </c>
      <c r="D1325" t="s">
        <v>3457</v>
      </c>
      <c r="E1325" t="s">
        <v>2520</v>
      </c>
      <c r="F1325" t="s">
        <v>2521</v>
      </c>
      <c r="G1325" t="s">
        <v>2518</v>
      </c>
      <c r="H1325" t="s">
        <v>4208</v>
      </c>
    </row>
    <row r="1326" spans="2:8" x14ac:dyDescent="0.25">
      <c r="B1326" t="s">
        <v>3393</v>
      </c>
      <c r="C1326">
        <v>2021</v>
      </c>
      <c r="D1326" t="s">
        <v>3457</v>
      </c>
      <c r="E1326" t="s">
        <v>2520</v>
      </c>
      <c r="F1326" t="s">
        <v>2521</v>
      </c>
      <c r="G1326" t="s">
        <v>2519</v>
      </c>
      <c r="H1326" t="s">
        <v>4209</v>
      </c>
    </row>
    <row r="1327" spans="2:8" x14ac:dyDescent="0.25">
      <c r="B1327" t="s">
        <v>3393</v>
      </c>
      <c r="C1327">
        <v>2021</v>
      </c>
      <c r="D1327" t="s">
        <v>3457</v>
      </c>
      <c r="E1327" t="s">
        <v>2522</v>
      </c>
      <c r="F1327" t="s">
        <v>2523</v>
      </c>
      <c r="G1327" t="s">
        <v>2524</v>
      </c>
      <c r="H1327" t="s">
        <v>3107</v>
      </c>
    </row>
    <row r="1328" spans="2:8" x14ac:dyDescent="0.25">
      <c r="B1328" t="s">
        <v>3393</v>
      </c>
      <c r="C1328">
        <v>2021</v>
      </c>
      <c r="D1328" t="s">
        <v>3457</v>
      </c>
      <c r="E1328" t="s">
        <v>2522</v>
      </c>
      <c r="F1328" t="s">
        <v>2523</v>
      </c>
      <c r="G1328" t="s">
        <v>2525</v>
      </c>
      <c r="H1328" t="s">
        <v>2748</v>
      </c>
    </row>
    <row r="1329" spans="2:8" x14ac:dyDescent="0.25">
      <c r="B1329" t="s">
        <v>3393</v>
      </c>
      <c r="C1329">
        <v>2021</v>
      </c>
      <c r="D1329" t="s">
        <v>3457</v>
      </c>
      <c r="E1329" t="s">
        <v>2522</v>
      </c>
      <c r="F1329" t="s">
        <v>2523</v>
      </c>
      <c r="G1329" t="s">
        <v>2527</v>
      </c>
      <c r="H1329" t="s">
        <v>2526</v>
      </c>
    </row>
    <row r="1330" spans="2:8" x14ac:dyDescent="0.25">
      <c r="B1330" t="s">
        <v>3393</v>
      </c>
      <c r="C1330">
        <v>2021</v>
      </c>
      <c r="D1330" t="s">
        <v>3457</v>
      </c>
      <c r="E1330" t="s">
        <v>2522</v>
      </c>
      <c r="F1330" t="s">
        <v>2523</v>
      </c>
      <c r="G1330" t="s">
        <v>182</v>
      </c>
      <c r="H1330" t="s">
        <v>3503</v>
      </c>
    </row>
    <row r="1331" spans="2:8" x14ac:dyDescent="0.25">
      <c r="B1331" t="s">
        <v>3393</v>
      </c>
      <c r="C1331">
        <v>2021</v>
      </c>
      <c r="D1331" t="s">
        <v>3457</v>
      </c>
      <c r="E1331" t="s">
        <v>2528</v>
      </c>
      <c r="F1331" t="s">
        <v>2529</v>
      </c>
      <c r="G1331" t="s">
        <v>2510</v>
      </c>
      <c r="H1331" t="s">
        <v>4210</v>
      </c>
    </row>
    <row r="1332" spans="2:8" x14ac:dyDescent="0.25">
      <c r="B1332" t="s">
        <v>3393</v>
      </c>
      <c r="C1332">
        <v>2021</v>
      </c>
      <c r="D1332" t="s">
        <v>3457</v>
      </c>
      <c r="E1332" t="s">
        <v>2528</v>
      </c>
      <c r="F1332" t="s">
        <v>2529</v>
      </c>
      <c r="G1332" t="s">
        <v>2512</v>
      </c>
      <c r="H1332" t="s">
        <v>4211</v>
      </c>
    </row>
    <row r="1333" spans="2:8" x14ac:dyDescent="0.25">
      <c r="B1333" t="s">
        <v>3393</v>
      </c>
      <c r="C1333">
        <v>2021</v>
      </c>
      <c r="D1333" t="s">
        <v>3457</v>
      </c>
      <c r="E1333" t="s">
        <v>2528</v>
      </c>
      <c r="F1333" t="s">
        <v>2529</v>
      </c>
      <c r="G1333" t="s">
        <v>2514</v>
      </c>
      <c r="H1333" t="s">
        <v>4212</v>
      </c>
    </row>
    <row r="1334" spans="2:8" x14ac:dyDescent="0.25">
      <c r="B1334" t="s">
        <v>3393</v>
      </c>
      <c r="C1334">
        <v>2021</v>
      </c>
      <c r="D1334" t="s">
        <v>3457</v>
      </c>
      <c r="E1334" t="s">
        <v>2530</v>
      </c>
      <c r="F1334" t="s">
        <v>2531</v>
      </c>
      <c r="G1334" t="s">
        <v>2408</v>
      </c>
      <c r="H1334" t="s">
        <v>4213</v>
      </c>
    </row>
    <row r="1335" spans="2:8" x14ac:dyDescent="0.25">
      <c r="B1335" t="s">
        <v>3393</v>
      </c>
      <c r="C1335">
        <v>2021</v>
      </c>
      <c r="D1335" t="s">
        <v>3457</v>
      </c>
      <c r="E1335" t="s">
        <v>2530</v>
      </c>
      <c r="F1335" t="s">
        <v>2531</v>
      </c>
      <c r="G1335" t="s">
        <v>2409</v>
      </c>
      <c r="H1335" t="s">
        <v>1999</v>
      </c>
    </row>
    <row r="1336" spans="2:8" x14ac:dyDescent="0.25">
      <c r="B1336" t="s">
        <v>3393</v>
      </c>
      <c r="C1336">
        <v>2021</v>
      </c>
      <c r="D1336" t="s">
        <v>3457</v>
      </c>
      <c r="E1336" t="s">
        <v>2530</v>
      </c>
      <c r="F1336" t="s">
        <v>2531</v>
      </c>
      <c r="G1336" t="s">
        <v>2410</v>
      </c>
      <c r="H1336" t="s">
        <v>4214</v>
      </c>
    </row>
    <row r="1337" spans="2:8" x14ac:dyDescent="0.25">
      <c r="B1337" t="s">
        <v>3393</v>
      </c>
      <c r="C1337">
        <v>2021</v>
      </c>
      <c r="D1337" t="s">
        <v>3457</v>
      </c>
      <c r="E1337" t="s">
        <v>2532</v>
      </c>
      <c r="F1337" t="s">
        <v>2533</v>
      </c>
      <c r="G1337" t="s">
        <v>2408</v>
      </c>
      <c r="H1337" t="s">
        <v>4215</v>
      </c>
    </row>
    <row r="1338" spans="2:8" x14ac:dyDescent="0.25">
      <c r="B1338" t="s">
        <v>3393</v>
      </c>
      <c r="C1338">
        <v>2021</v>
      </c>
      <c r="D1338" t="s">
        <v>3457</v>
      </c>
      <c r="E1338" t="s">
        <v>2532</v>
      </c>
      <c r="F1338" t="s">
        <v>2533</v>
      </c>
      <c r="G1338" t="s">
        <v>2409</v>
      </c>
      <c r="H1338" t="s">
        <v>1997</v>
      </c>
    </row>
    <row r="1339" spans="2:8" x14ac:dyDescent="0.25">
      <c r="B1339" t="s">
        <v>3393</v>
      </c>
      <c r="C1339">
        <v>2021</v>
      </c>
      <c r="D1339" t="s">
        <v>3457</v>
      </c>
      <c r="E1339" t="s">
        <v>2532</v>
      </c>
      <c r="F1339" t="s">
        <v>2533</v>
      </c>
      <c r="G1339" t="s">
        <v>2410</v>
      </c>
      <c r="H1339" t="s">
        <v>4216</v>
      </c>
    </row>
    <row r="1340" spans="2:8" x14ac:dyDescent="0.25">
      <c r="B1340" t="s">
        <v>3393</v>
      </c>
      <c r="C1340">
        <v>2021</v>
      </c>
      <c r="D1340" t="s">
        <v>3457</v>
      </c>
      <c r="E1340" t="s">
        <v>2534</v>
      </c>
      <c r="F1340" t="s">
        <v>2535</v>
      </c>
      <c r="G1340" t="s">
        <v>626</v>
      </c>
      <c r="H1340" t="s">
        <v>2940</v>
      </c>
    </row>
    <row r="1341" spans="2:8" x14ac:dyDescent="0.25">
      <c r="B1341" t="s">
        <v>3393</v>
      </c>
      <c r="C1341">
        <v>2021</v>
      </c>
      <c r="D1341" t="s">
        <v>3457</v>
      </c>
      <c r="E1341" t="s">
        <v>2534</v>
      </c>
      <c r="F1341" t="s">
        <v>2535</v>
      </c>
      <c r="G1341" t="s">
        <v>628</v>
      </c>
      <c r="H1341" t="s">
        <v>4217</v>
      </c>
    </row>
    <row r="1342" spans="2:8" x14ac:dyDescent="0.25">
      <c r="B1342" t="s">
        <v>3393</v>
      </c>
      <c r="C1342">
        <v>2021</v>
      </c>
      <c r="D1342" t="s">
        <v>3457</v>
      </c>
      <c r="E1342" t="s">
        <v>2534</v>
      </c>
      <c r="F1342" t="s">
        <v>2535</v>
      </c>
      <c r="G1342" t="s">
        <v>627</v>
      </c>
      <c r="H1342" t="s">
        <v>4218</v>
      </c>
    </row>
    <row r="1343" spans="2:8" x14ac:dyDescent="0.25">
      <c r="B1343" t="s">
        <v>3393</v>
      </c>
      <c r="C1343">
        <v>2021</v>
      </c>
      <c r="D1343" t="s">
        <v>3457</v>
      </c>
      <c r="E1343" t="s">
        <v>2534</v>
      </c>
      <c r="F1343" t="s">
        <v>2535</v>
      </c>
      <c r="G1343" t="s">
        <v>2536</v>
      </c>
      <c r="H1343" t="s">
        <v>4219</v>
      </c>
    </row>
    <row r="1344" spans="2:8" x14ac:dyDescent="0.25">
      <c r="B1344" t="s">
        <v>3393</v>
      </c>
      <c r="C1344">
        <v>2021</v>
      </c>
      <c r="D1344" t="s">
        <v>3457</v>
      </c>
      <c r="E1344" t="s">
        <v>2534</v>
      </c>
      <c r="F1344" t="s">
        <v>2535</v>
      </c>
      <c r="G1344" t="s">
        <v>2537</v>
      </c>
      <c r="H1344" t="s">
        <v>2538</v>
      </c>
    </row>
    <row r="1345" spans="2:8" x14ac:dyDescent="0.25">
      <c r="B1345" t="s">
        <v>3393</v>
      </c>
      <c r="C1345">
        <v>2021</v>
      </c>
      <c r="D1345" t="s">
        <v>3457</v>
      </c>
      <c r="E1345" t="s">
        <v>2534</v>
      </c>
      <c r="F1345" t="s">
        <v>2535</v>
      </c>
      <c r="G1345" t="s">
        <v>2539</v>
      </c>
      <c r="H1345" t="s">
        <v>3317</v>
      </c>
    </row>
    <row r="1346" spans="2:8" x14ac:dyDescent="0.25">
      <c r="B1346" t="s">
        <v>3393</v>
      </c>
      <c r="C1346">
        <v>2021</v>
      </c>
      <c r="D1346" t="s">
        <v>3457</v>
      </c>
      <c r="E1346" t="s">
        <v>2534</v>
      </c>
      <c r="F1346" t="s">
        <v>2535</v>
      </c>
      <c r="G1346" t="s">
        <v>629</v>
      </c>
      <c r="H1346" t="s">
        <v>4220</v>
      </c>
    </row>
    <row r="1347" spans="2:8" x14ac:dyDescent="0.25">
      <c r="B1347" t="s">
        <v>3393</v>
      </c>
      <c r="C1347">
        <v>2021</v>
      </c>
      <c r="D1347" t="s">
        <v>3457</v>
      </c>
      <c r="E1347" t="s">
        <v>2534</v>
      </c>
      <c r="F1347" t="s">
        <v>2535</v>
      </c>
      <c r="G1347" t="s">
        <v>2540</v>
      </c>
      <c r="H1347" t="s">
        <v>4221</v>
      </c>
    </row>
    <row r="1348" spans="2:8" x14ac:dyDescent="0.25">
      <c r="B1348" t="s">
        <v>3393</v>
      </c>
      <c r="C1348">
        <v>2021</v>
      </c>
      <c r="D1348" t="s">
        <v>3457</v>
      </c>
      <c r="E1348" t="s">
        <v>2534</v>
      </c>
      <c r="F1348" t="s">
        <v>2535</v>
      </c>
      <c r="G1348" t="s">
        <v>2541</v>
      </c>
      <c r="H1348" t="s">
        <v>3915</v>
      </c>
    </row>
    <row r="1349" spans="2:8" x14ac:dyDescent="0.25">
      <c r="B1349" t="s">
        <v>3393</v>
      </c>
      <c r="C1349">
        <v>2021</v>
      </c>
      <c r="D1349" t="s">
        <v>3457</v>
      </c>
      <c r="E1349" t="s">
        <v>2534</v>
      </c>
      <c r="F1349" t="s">
        <v>2535</v>
      </c>
      <c r="G1349" t="s">
        <v>2542</v>
      </c>
      <c r="H1349" t="s">
        <v>4222</v>
      </c>
    </row>
    <row r="1350" spans="2:8" x14ac:dyDescent="0.25">
      <c r="B1350" t="s">
        <v>3393</v>
      </c>
      <c r="C1350">
        <v>2021</v>
      </c>
      <c r="D1350" t="s">
        <v>3457</v>
      </c>
      <c r="E1350" t="s">
        <v>2543</v>
      </c>
      <c r="F1350" t="s">
        <v>2544</v>
      </c>
      <c r="G1350" t="s">
        <v>2545</v>
      </c>
      <c r="H1350" t="s">
        <v>2748</v>
      </c>
    </row>
    <row r="1351" spans="2:8" x14ac:dyDescent="0.25">
      <c r="B1351" t="s">
        <v>3393</v>
      </c>
      <c r="C1351">
        <v>2021</v>
      </c>
      <c r="D1351" t="s">
        <v>3457</v>
      </c>
      <c r="E1351" t="s">
        <v>2543</v>
      </c>
      <c r="F1351" t="s">
        <v>2544</v>
      </c>
      <c r="G1351" t="s">
        <v>714</v>
      </c>
      <c r="H1351" t="s">
        <v>4223</v>
      </c>
    </row>
    <row r="1352" spans="2:8" x14ac:dyDescent="0.25">
      <c r="B1352" t="s">
        <v>3393</v>
      </c>
      <c r="C1352">
        <v>2021</v>
      </c>
      <c r="D1352" t="s">
        <v>3457</v>
      </c>
      <c r="E1352" t="s">
        <v>2546</v>
      </c>
      <c r="F1352" t="s">
        <v>2547</v>
      </c>
      <c r="G1352" t="s">
        <v>2548</v>
      </c>
      <c r="H1352" t="s">
        <v>4224</v>
      </c>
    </row>
    <row r="1353" spans="2:8" x14ac:dyDescent="0.25">
      <c r="B1353" t="s">
        <v>3393</v>
      </c>
      <c r="C1353">
        <v>2021</v>
      </c>
      <c r="D1353" t="s">
        <v>3457</v>
      </c>
      <c r="E1353" t="s">
        <v>2546</v>
      </c>
      <c r="F1353" t="s">
        <v>2547</v>
      </c>
      <c r="G1353" t="s">
        <v>2549</v>
      </c>
      <c r="H1353" t="s">
        <v>4225</v>
      </c>
    </row>
    <row r="1354" spans="2:8" x14ac:dyDescent="0.25">
      <c r="B1354" t="s">
        <v>3393</v>
      </c>
      <c r="C1354">
        <v>2021</v>
      </c>
      <c r="D1354" t="s">
        <v>3457</v>
      </c>
      <c r="E1354" t="s">
        <v>2550</v>
      </c>
      <c r="F1354" t="s">
        <v>2551</v>
      </c>
      <c r="G1354" t="s">
        <v>858</v>
      </c>
      <c r="H1354" t="s">
        <v>4226</v>
      </c>
    </row>
    <row r="1355" spans="2:8" x14ac:dyDescent="0.25">
      <c r="B1355" t="s">
        <v>3393</v>
      </c>
      <c r="C1355">
        <v>2021</v>
      </c>
      <c r="D1355" t="s">
        <v>3457</v>
      </c>
      <c r="E1355" t="s">
        <v>2550</v>
      </c>
      <c r="F1355" t="s">
        <v>2551</v>
      </c>
      <c r="G1355" t="s">
        <v>859</v>
      </c>
      <c r="H1355" t="s">
        <v>2246</v>
      </c>
    </row>
    <row r="1356" spans="2:8" x14ac:dyDescent="0.25">
      <c r="B1356" t="s">
        <v>3393</v>
      </c>
      <c r="C1356">
        <v>2021</v>
      </c>
      <c r="D1356" t="s">
        <v>3457</v>
      </c>
      <c r="E1356" t="s">
        <v>2550</v>
      </c>
      <c r="F1356" t="s">
        <v>2551</v>
      </c>
      <c r="G1356" t="s">
        <v>857</v>
      </c>
      <c r="H1356" t="s">
        <v>4227</v>
      </c>
    </row>
    <row r="1357" spans="2:8" x14ac:dyDescent="0.25">
      <c r="B1357" t="s">
        <v>3393</v>
      </c>
      <c r="C1357">
        <v>2021</v>
      </c>
      <c r="D1357" t="s">
        <v>3457</v>
      </c>
      <c r="E1357" t="s">
        <v>2550</v>
      </c>
      <c r="F1357" t="s">
        <v>2551</v>
      </c>
      <c r="G1357" t="s">
        <v>862</v>
      </c>
      <c r="H1357" t="s">
        <v>3276</v>
      </c>
    </row>
    <row r="1358" spans="2:8" x14ac:dyDescent="0.25">
      <c r="B1358" t="s">
        <v>3393</v>
      </c>
      <c r="C1358">
        <v>2021</v>
      </c>
      <c r="D1358" t="s">
        <v>3457</v>
      </c>
      <c r="E1358" t="s">
        <v>2550</v>
      </c>
      <c r="F1358" t="s">
        <v>2551</v>
      </c>
      <c r="G1358" t="s">
        <v>872</v>
      </c>
      <c r="H1358" t="s">
        <v>1993</v>
      </c>
    </row>
    <row r="1359" spans="2:8" x14ac:dyDescent="0.25">
      <c r="B1359" t="s">
        <v>3393</v>
      </c>
      <c r="C1359">
        <v>2021</v>
      </c>
      <c r="D1359" t="s">
        <v>3457</v>
      </c>
      <c r="E1359" t="s">
        <v>2550</v>
      </c>
      <c r="F1359" t="s">
        <v>2551</v>
      </c>
      <c r="G1359" t="s">
        <v>864</v>
      </c>
      <c r="H1359" t="s">
        <v>4228</v>
      </c>
    </row>
    <row r="1360" spans="2:8" x14ac:dyDescent="0.25">
      <c r="B1360" t="s">
        <v>3393</v>
      </c>
      <c r="C1360">
        <v>2021</v>
      </c>
      <c r="D1360" t="s">
        <v>3457</v>
      </c>
      <c r="E1360" t="s">
        <v>2550</v>
      </c>
      <c r="F1360" t="s">
        <v>2551</v>
      </c>
      <c r="G1360" t="s">
        <v>866</v>
      </c>
      <c r="H1360" t="s">
        <v>4229</v>
      </c>
    </row>
    <row r="1361" spans="2:8" x14ac:dyDescent="0.25">
      <c r="B1361" t="s">
        <v>3393</v>
      </c>
      <c r="C1361">
        <v>2021</v>
      </c>
      <c r="D1361" t="s">
        <v>3457</v>
      </c>
      <c r="E1361" t="s">
        <v>2550</v>
      </c>
      <c r="F1361" t="s">
        <v>2551</v>
      </c>
      <c r="G1361" t="s">
        <v>860</v>
      </c>
      <c r="H1361" t="s">
        <v>4230</v>
      </c>
    </row>
    <row r="1362" spans="2:8" x14ac:dyDescent="0.25">
      <c r="B1362" t="s">
        <v>3393</v>
      </c>
      <c r="C1362">
        <v>2021</v>
      </c>
      <c r="D1362" t="s">
        <v>3457</v>
      </c>
      <c r="E1362" t="s">
        <v>2550</v>
      </c>
      <c r="F1362" t="s">
        <v>2551</v>
      </c>
      <c r="G1362" t="s">
        <v>850</v>
      </c>
      <c r="H1362" t="s">
        <v>3384</v>
      </c>
    </row>
    <row r="1363" spans="2:8" x14ac:dyDescent="0.25">
      <c r="B1363" t="s">
        <v>3393</v>
      </c>
      <c r="C1363">
        <v>2021</v>
      </c>
      <c r="D1363" t="s">
        <v>3457</v>
      </c>
      <c r="E1363" t="s">
        <v>2550</v>
      </c>
      <c r="F1363" t="s">
        <v>2551</v>
      </c>
      <c r="G1363" t="s">
        <v>849</v>
      </c>
      <c r="H1363" t="s">
        <v>4231</v>
      </c>
    </row>
    <row r="1364" spans="2:8" x14ac:dyDescent="0.25">
      <c r="B1364" t="s">
        <v>3393</v>
      </c>
      <c r="C1364">
        <v>2021</v>
      </c>
      <c r="D1364" t="s">
        <v>3457</v>
      </c>
      <c r="E1364" t="s">
        <v>2550</v>
      </c>
      <c r="F1364" t="s">
        <v>2551</v>
      </c>
      <c r="G1364" t="s">
        <v>852</v>
      </c>
      <c r="H1364" t="s">
        <v>4232</v>
      </c>
    </row>
    <row r="1365" spans="2:8" x14ac:dyDescent="0.25">
      <c r="B1365" t="s">
        <v>3393</v>
      </c>
      <c r="C1365">
        <v>2021</v>
      </c>
      <c r="D1365" t="s">
        <v>3457</v>
      </c>
      <c r="E1365" t="s">
        <v>2550</v>
      </c>
      <c r="F1365" t="s">
        <v>2551</v>
      </c>
      <c r="G1365" t="s">
        <v>851</v>
      </c>
      <c r="H1365" t="s">
        <v>4233</v>
      </c>
    </row>
    <row r="1366" spans="2:8" x14ac:dyDescent="0.25">
      <c r="B1366" t="s">
        <v>3393</v>
      </c>
      <c r="C1366">
        <v>2021</v>
      </c>
      <c r="D1366" t="s">
        <v>3457</v>
      </c>
      <c r="E1366" t="s">
        <v>2550</v>
      </c>
      <c r="F1366" t="s">
        <v>2551</v>
      </c>
      <c r="G1366" t="s">
        <v>855</v>
      </c>
      <c r="H1366" t="s">
        <v>2143</v>
      </c>
    </row>
    <row r="1367" spans="2:8" x14ac:dyDescent="0.25">
      <c r="B1367" t="s">
        <v>3393</v>
      </c>
      <c r="C1367">
        <v>2021</v>
      </c>
      <c r="D1367" t="s">
        <v>3457</v>
      </c>
      <c r="E1367" t="s">
        <v>2550</v>
      </c>
      <c r="F1367" t="s">
        <v>2551</v>
      </c>
      <c r="G1367" t="s">
        <v>856</v>
      </c>
      <c r="H1367" t="s">
        <v>1997</v>
      </c>
    </row>
    <row r="1368" spans="2:8" x14ac:dyDescent="0.25">
      <c r="B1368" t="s">
        <v>3393</v>
      </c>
      <c r="C1368">
        <v>2021</v>
      </c>
      <c r="D1368" t="s">
        <v>3457</v>
      </c>
      <c r="E1368" t="s">
        <v>2550</v>
      </c>
      <c r="F1368" t="s">
        <v>2551</v>
      </c>
      <c r="G1368" t="s">
        <v>865</v>
      </c>
      <c r="H1368" t="s">
        <v>3653</v>
      </c>
    </row>
    <row r="1369" spans="2:8" x14ac:dyDescent="0.25">
      <c r="B1369" t="s">
        <v>3393</v>
      </c>
      <c r="C1369">
        <v>2021</v>
      </c>
      <c r="D1369" t="s">
        <v>3457</v>
      </c>
      <c r="E1369" t="s">
        <v>2550</v>
      </c>
      <c r="F1369" t="s">
        <v>2551</v>
      </c>
      <c r="G1369" t="s">
        <v>861</v>
      </c>
      <c r="H1369" t="s">
        <v>2075</v>
      </c>
    </row>
    <row r="1370" spans="2:8" x14ac:dyDescent="0.25">
      <c r="B1370" t="s">
        <v>3393</v>
      </c>
      <c r="C1370">
        <v>2021</v>
      </c>
      <c r="D1370" t="s">
        <v>3457</v>
      </c>
      <c r="E1370" t="s">
        <v>2550</v>
      </c>
      <c r="F1370" t="s">
        <v>2551</v>
      </c>
      <c r="G1370" t="s">
        <v>871</v>
      </c>
      <c r="H1370" t="s">
        <v>4234</v>
      </c>
    </row>
    <row r="1371" spans="2:8" x14ac:dyDescent="0.25">
      <c r="B1371" t="s">
        <v>3393</v>
      </c>
      <c r="C1371">
        <v>2021</v>
      </c>
      <c r="D1371" t="s">
        <v>3457</v>
      </c>
      <c r="E1371" t="s">
        <v>2550</v>
      </c>
      <c r="F1371" t="s">
        <v>2551</v>
      </c>
      <c r="G1371" t="s">
        <v>848</v>
      </c>
      <c r="H1371" t="s">
        <v>3275</v>
      </c>
    </row>
    <row r="1372" spans="2:8" x14ac:dyDescent="0.25">
      <c r="B1372" t="s">
        <v>3393</v>
      </c>
      <c r="C1372">
        <v>2021</v>
      </c>
      <c r="D1372" t="s">
        <v>3457</v>
      </c>
      <c r="E1372" t="s">
        <v>2550</v>
      </c>
      <c r="F1372" t="s">
        <v>2551</v>
      </c>
      <c r="G1372" t="s">
        <v>853</v>
      </c>
      <c r="H1372" t="s">
        <v>4235</v>
      </c>
    </row>
    <row r="1373" spans="2:8" x14ac:dyDescent="0.25">
      <c r="B1373" t="s">
        <v>3393</v>
      </c>
      <c r="C1373">
        <v>2021</v>
      </c>
      <c r="D1373" t="s">
        <v>3457</v>
      </c>
      <c r="E1373" t="s">
        <v>2550</v>
      </c>
      <c r="F1373" t="s">
        <v>2551</v>
      </c>
      <c r="G1373" t="s">
        <v>854</v>
      </c>
      <c r="H1373" t="s">
        <v>4236</v>
      </c>
    </row>
    <row r="1374" spans="2:8" x14ac:dyDescent="0.25">
      <c r="B1374" t="s">
        <v>3393</v>
      </c>
      <c r="C1374">
        <v>2021</v>
      </c>
      <c r="D1374" t="s">
        <v>3457</v>
      </c>
      <c r="E1374" t="s">
        <v>2550</v>
      </c>
      <c r="F1374" t="s">
        <v>2551</v>
      </c>
      <c r="G1374" t="s">
        <v>863</v>
      </c>
      <c r="H1374" t="s">
        <v>4237</v>
      </c>
    </row>
    <row r="1375" spans="2:8" x14ac:dyDescent="0.25">
      <c r="B1375" t="s">
        <v>3393</v>
      </c>
      <c r="C1375">
        <v>2021</v>
      </c>
      <c r="D1375" t="s">
        <v>3457</v>
      </c>
      <c r="E1375" t="s">
        <v>2550</v>
      </c>
      <c r="F1375" t="s">
        <v>2551</v>
      </c>
      <c r="G1375" t="s">
        <v>868</v>
      </c>
      <c r="H1375" t="s">
        <v>3108</v>
      </c>
    </row>
    <row r="1376" spans="2:8" x14ac:dyDescent="0.25">
      <c r="B1376" t="s">
        <v>3393</v>
      </c>
      <c r="C1376">
        <v>2021</v>
      </c>
      <c r="D1376" t="s">
        <v>3457</v>
      </c>
      <c r="E1376" t="s">
        <v>2550</v>
      </c>
      <c r="F1376" t="s">
        <v>2551</v>
      </c>
      <c r="G1376" t="s">
        <v>869</v>
      </c>
      <c r="H1376" t="s">
        <v>1993</v>
      </c>
    </row>
    <row r="1377" spans="2:8" x14ac:dyDescent="0.25">
      <c r="B1377" t="s">
        <v>3393</v>
      </c>
      <c r="C1377">
        <v>2021</v>
      </c>
      <c r="D1377" t="s">
        <v>3457</v>
      </c>
      <c r="E1377" t="s">
        <v>2550</v>
      </c>
      <c r="F1377" t="s">
        <v>2551</v>
      </c>
      <c r="G1377" t="s">
        <v>870</v>
      </c>
      <c r="H1377" t="s">
        <v>4238</v>
      </c>
    </row>
    <row r="1378" spans="2:8" x14ac:dyDescent="0.25">
      <c r="B1378" t="s">
        <v>3393</v>
      </c>
      <c r="C1378">
        <v>2021</v>
      </c>
      <c r="D1378" t="s">
        <v>3457</v>
      </c>
      <c r="E1378" t="s">
        <v>2553</v>
      </c>
      <c r="F1378" t="s">
        <v>2554</v>
      </c>
      <c r="G1378" t="s">
        <v>1150</v>
      </c>
      <c r="H1378" t="s">
        <v>4239</v>
      </c>
    </row>
    <row r="1379" spans="2:8" x14ac:dyDescent="0.25">
      <c r="B1379" t="s">
        <v>3393</v>
      </c>
      <c r="C1379">
        <v>2021</v>
      </c>
      <c r="D1379" t="s">
        <v>3457</v>
      </c>
      <c r="E1379" t="s">
        <v>2553</v>
      </c>
      <c r="F1379" t="s">
        <v>2554</v>
      </c>
      <c r="G1379" t="s">
        <v>1148</v>
      </c>
      <c r="H1379" t="s">
        <v>3329</v>
      </c>
    </row>
    <row r="1380" spans="2:8" x14ac:dyDescent="0.25">
      <c r="B1380" t="s">
        <v>3393</v>
      </c>
      <c r="C1380">
        <v>2021</v>
      </c>
      <c r="D1380" t="s">
        <v>3457</v>
      </c>
      <c r="E1380" t="s">
        <v>2553</v>
      </c>
      <c r="F1380" t="s">
        <v>2554</v>
      </c>
      <c r="G1380" t="s">
        <v>1149</v>
      </c>
      <c r="H1380" t="s">
        <v>3109</v>
      </c>
    </row>
    <row r="1381" spans="2:8" x14ac:dyDescent="0.25">
      <c r="B1381" t="s">
        <v>3393</v>
      </c>
      <c r="C1381">
        <v>2021</v>
      </c>
      <c r="D1381" t="s">
        <v>3457</v>
      </c>
      <c r="E1381" t="s">
        <v>2555</v>
      </c>
      <c r="F1381" t="s">
        <v>2556</v>
      </c>
      <c r="G1381" t="s">
        <v>2557</v>
      </c>
      <c r="H1381" t="s">
        <v>4240</v>
      </c>
    </row>
    <row r="1382" spans="2:8" x14ac:dyDescent="0.25">
      <c r="B1382" t="s">
        <v>3393</v>
      </c>
      <c r="C1382">
        <v>2021</v>
      </c>
      <c r="D1382" t="s">
        <v>3457</v>
      </c>
      <c r="E1382" t="s">
        <v>2555</v>
      </c>
      <c r="F1382" t="s">
        <v>2556</v>
      </c>
      <c r="G1382" t="s">
        <v>2558</v>
      </c>
      <c r="H1382" t="s">
        <v>4241</v>
      </c>
    </row>
    <row r="1383" spans="2:8" x14ac:dyDescent="0.25">
      <c r="B1383" t="s">
        <v>3393</v>
      </c>
      <c r="C1383">
        <v>2021</v>
      </c>
      <c r="D1383" t="s">
        <v>3457</v>
      </c>
      <c r="E1383" t="s">
        <v>2555</v>
      </c>
      <c r="F1383" t="s">
        <v>2556</v>
      </c>
      <c r="G1383" t="s">
        <v>2559</v>
      </c>
      <c r="H1383" t="s">
        <v>4242</v>
      </c>
    </row>
    <row r="1384" spans="2:8" x14ac:dyDescent="0.25">
      <c r="B1384" t="s">
        <v>3393</v>
      </c>
      <c r="C1384">
        <v>2021</v>
      </c>
      <c r="D1384" t="s">
        <v>3457</v>
      </c>
      <c r="E1384" t="s">
        <v>2560</v>
      </c>
      <c r="F1384" t="s">
        <v>2561</v>
      </c>
      <c r="G1384" t="s">
        <v>2562</v>
      </c>
      <c r="H1384" t="s">
        <v>3493</v>
      </c>
    </row>
    <row r="1385" spans="2:8" x14ac:dyDescent="0.25">
      <c r="B1385" t="s">
        <v>3393</v>
      </c>
      <c r="C1385">
        <v>2021</v>
      </c>
      <c r="D1385" t="s">
        <v>3457</v>
      </c>
      <c r="E1385" t="s">
        <v>2560</v>
      </c>
      <c r="F1385" t="s">
        <v>2561</v>
      </c>
      <c r="G1385" t="s">
        <v>2563</v>
      </c>
      <c r="H1385" t="s">
        <v>2564</v>
      </c>
    </row>
    <row r="1386" spans="2:8" x14ac:dyDescent="0.25">
      <c r="B1386" t="s">
        <v>3393</v>
      </c>
      <c r="C1386">
        <v>2021</v>
      </c>
      <c r="D1386" t="s">
        <v>3457</v>
      </c>
      <c r="E1386" t="s">
        <v>2560</v>
      </c>
      <c r="F1386" t="s">
        <v>2561</v>
      </c>
      <c r="G1386" t="s">
        <v>2565</v>
      </c>
      <c r="H1386" t="s">
        <v>3545</v>
      </c>
    </row>
    <row r="1387" spans="2:8" x14ac:dyDescent="0.25">
      <c r="B1387" t="s">
        <v>3393</v>
      </c>
      <c r="C1387">
        <v>2021</v>
      </c>
      <c r="D1387" t="s">
        <v>3457</v>
      </c>
      <c r="E1387" t="s">
        <v>2560</v>
      </c>
      <c r="F1387" t="s">
        <v>2561</v>
      </c>
      <c r="G1387" t="s">
        <v>2566</v>
      </c>
      <c r="H1387" t="s">
        <v>2567</v>
      </c>
    </row>
    <row r="1388" spans="2:8" x14ac:dyDescent="0.25">
      <c r="B1388" t="s">
        <v>3393</v>
      </c>
      <c r="C1388">
        <v>2021</v>
      </c>
      <c r="D1388" t="s">
        <v>3457</v>
      </c>
      <c r="E1388" t="s">
        <v>2560</v>
      </c>
      <c r="F1388" t="s">
        <v>2561</v>
      </c>
      <c r="G1388" t="s">
        <v>2568</v>
      </c>
      <c r="H1388" t="s">
        <v>3110</v>
      </c>
    </row>
    <row r="1389" spans="2:8" x14ac:dyDescent="0.25">
      <c r="B1389" t="s">
        <v>3393</v>
      </c>
      <c r="C1389">
        <v>2021</v>
      </c>
      <c r="D1389" t="s">
        <v>3457</v>
      </c>
      <c r="E1389" t="s">
        <v>2560</v>
      </c>
      <c r="F1389" t="s">
        <v>2561</v>
      </c>
      <c r="G1389" t="s">
        <v>2569</v>
      </c>
      <c r="H1389" t="s">
        <v>2570</v>
      </c>
    </row>
    <row r="1390" spans="2:8" x14ac:dyDescent="0.25">
      <c r="B1390" t="s">
        <v>3393</v>
      </c>
      <c r="C1390">
        <v>2021</v>
      </c>
      <c r="D1390" t="s">
        <v>3457</v>
      </c>
      <c r="E1390" t="s">
        <v>2571</v>
      </c>
      <c r="F1390" t="s">
        <v>2572</v>
      </c>
      <c r="G1390" t="s">
        <v>2562</v>
      </c>
      <c r="H1390" t="s">
        <v>3548</v>
      </c>
    </row>
    <row r="1391" spans="2:8" x14ac:dyDescent="0.25">
      <c r="B1391" t="s">
        <v>3393</v>
      </c>
      <c r="C1391">
        <v>2021</v>
      </c>
      <c r="D1391" t="s">
        <v>3457</v>
      </c>
      <c r="E1391" t="s">
        <v>2571</v>
      </c>
      <c r="F1391" t="s">
        <v>2572</v>
      </c>
      <c r="G1391" t="s">
        <v>2563</v>
      </c>
      <c r="H1391" t="s">
        <v>2573</v>
      </c>
    </row>
    <row r="1392" spans="2:8" x14ac:dyDescent="0.25">
      <c r="B1392" t="s">
        <v>3393</v>
      </c>
      <c r="C1392">
        <v>2021</v>
      </c>
      <c r="D1392" t="s">
        <v>3457</v>
      </c>
      <c r="E1392" t="s">
        <v>2571</v>
      </c>
      <c r="F1392" t="s">
        <v>2572</v>
      </c>
      <c r="G1392" t="s">
        <v>2565</v>
      </c>
      <c r="H1392" t="s">
        <v>4243</v>
      </c>
    </row>
    <row r="1393" spans="2:8" x14ac:dyDescent="0.25">
      <c r="B1393" t="s">
        <v>3393</v>
      </c>
      <c r="C1393">
        <v>2021</v>
      </c>
      <c r="D1393" t="s">
        <v>3457</v>
      </c>
      <c r="E1393" t="s">
        <v>2571</v>
      </c>
      <c r="F1393" t="s">
        <v>2572</v>
      </c>
      <c r="G1393" t="s">
        <v>2566</v>
      </c>
      <c r="H1393" t="s">
        <v>2574</v>
      </c>
    </row>
    <row r="1394" spans="2:8" x14ac:dyDescent="0.25">
      <c r="B1394" t="s">
        <v>3393</v>
      </c>
      <c r="C1394">
        <v>2021</v>
      </c>
      <c r="D1394" t="s">
        <v>3457</v>
      </c>
      <c r="E1394" t="s">
        <v>2571</v>
      </c>
      <c r="F1394" t="s">
        <v>2572</v>
      </c>
      <c r="G1394" t="s">
        <v>3550</v>
      </c>
      <c r="H1394" t="s">
        <v>4244</v>
      </c>
    </row>
    <row r="1395" spans="2:8" x14ac:dyDescent="0.25">
      <c r="B1395" t="s">
        <v>3393</v>
      </c>
      <c r="C1395">
        <v>2021</v>
      </c>
      <c r="D1395" t="s">
        <v>3457</v>
      </c>
      <c r="E1395" t="s">
        <v>2571</v>
      </c>
      <c r="F1395" t="s">
        <v>2572</v>
      </c>
      <c r="G1395" t="s">
        <v>2569</v>
      </c>
      <c r="H1395" t="s">
        <v>2575</v>
      </c>
    </row>
    <row r="1396" spans="2:8" x14ac:dyDescent="0.25">
      <c r="B1396" t="s">
        <v>3393</v>
      </c>
      <c r="C1396">
        <v>2021</v>
      </c>
      <c r="D1396" t="s">
        <v>3457</v>
      </c>
      <c r="E1396" t="s">
        <v>2576</v>
      </c>
      <c r="F1396" t="s">
        <v>2577</v>
      </c>
      <c r="G1396" t="s">
        <v>2578</v>
      </c>
      <c r="H1396" t="s">
        <v>4245</v>
      </c>
    </row>
    <row r="1397" spans="2:8" x14ac:dyDescent="0.25">
      <c r="B1397" t="s">
        <v>3393</v>
      </c>
      <c r="C1397">
        <v>2021</v>
      </c>
      <c r="D1397" t="s">
        <v>3457</v>
      </c>
      <c r="E1397" t="s">
        <v>2576</v>
      </c>
      <c r="F1397" t="s">
        <v>2577</v>
      </c>
      <c r="G1397" t="s">
        <v>2579</v>
      </c>
      <c r="H1397" t="s">
        <v>2580</v>
      </c>
    </row>
    <row r="1398" spans="2:8" x14ac:dyDescent="0.25">
      <c r="B1398" t="s">
        <v>3393</v>
      </c>
      <c r="C1398">
        <v>2021</v>
      </c>
      <c r="D1398" t="s">
        <v>3457</v>
      </c>
      <c r="E1398" t="s">
        <v>2576</v>
      </c>
      <c r="F1398" t="s">
        <v>2577</v>
      </c>
      <c r="G1398" t="s">
        <v>2581</v>
      </c>
      <c r="H1398" t="s">
        <v>4246</v>
      </c>
    </row>
    <row r="1399" spans="2:8" x14ac:dyDescent="0.25">
      <c r="B1399" t="s">
        <v>3393</v>
      </c>
      <c r="C1399">
        <v>2021</v>
      </c>
      <c r="D1399" t="s">
        <v>3457</v>
      </c>
      <c r="E1399" t="s">
        <v>2576</v>
      </c>
      <c r="F1399" t="s">
        <v>2577</v>
      </c>
      <c r="G1399" t="s">
        <v>2582</v>
      </c>
      <c r="H1399" t="s">
        <v>2583</v>
      </c>
    </row>
    <row r="1400" spans="2:8" x14ac:dyDescent="0.25">
      <c r="B1400" t="s">
        <v>3393</v>
      </c>
      <c r="C1400">
        <v>2021</v>
      </c>
      <c r="D1400" t="s">
        <v>3457</v>
      </c>
      <c r="E1400" t="s">
        <v>2576</v>
      </c>
      <c r="F1400" t="s">
        <v>2577</v>
      </c>
      <c r="G1400" t="s">
        <v>2584</v>
      </c>
      <c r="H1400" t="s">
        <v>4201</v>
      </c>
    </row>
    <row r="1401" spans="2:8" x14ac:dyDescent="0.25">
      <c r="B1401" t="s">
        <v>3393</v>
      </c>
      <c r="C1401">
        <v>2021</v>
      </c>
      <c r="D1401" t="s">
        <v>3457</v>
      </c>
      <c r="E1401" t="s">
        <v>2576</v>
      </c>
      <c r="F1401" t="s">
        <v>2577</v>
      </c>
      <c r="G1401" t="s">
        <v>2585</v>
      </c>
      <c r="H1401" t="s">
        <v>2586</v>
      </c>
    </row>
    <row r="1402" spans="2:8" x14ac:dyDescent="0.25">
      <c r="B1402" t="s">
        <v>3393</v>
      </c>
      <c r="C1402">
        <v>2021</v>
      </c>
      <c r="D1402" t="s">
        <v>3457</v>
      </c>
      <c r="E1402" t="s">
        <v>2587</v>
      </c>
      <c r="F1402" t="s">
        <v>2588</v>
      </c>
      <c r="G1402" t="s">
        <v>1115</v>
      </c>
      <c r="H1402" t="s">
        <v>3322</v>
      </c>
    </row>
    <row r="1403" spans="2:8" x14ac:dyDescent="0.25">
      <c r="B1403" t="s">
        <v>3393</v>
      </c>
      <c r="C1403">
        <v>2021</v>
      </c>
      <c r="D1403" t="s">
        <v>3457</v>
      </c>
      <c r="E1403" t="s">
        <v>2589</v>
      </c>
      <c r="F1403" t="s">
        <v>2590</v>
      </c>
      <c r="G1403" t="s">
        <v>1100</v>
      </c>
      <c r="H1403" t="s">
        <v>2013</v>
      </c>
    </row>
    <row r="1404" spans="2:8" x14ac:dyDescent="0.25">
      <c r="B1404" t="s">
        <v>3393</v>
      </c>
      <c r="C1404">
        <v>2021</v>
      </c>
      <c r="D1404" t="s">
        <v>3457</v>
      </c>
      <c r="E1404" t="s">
        <v>2589</v>
      </c>
      <c r="F1404" t="s">
        <v>2590</v>
      </c>
      <c r="G1404" t="s">
        <v>2591</v>
      </c>
      <c r="H1404" t="s">
        <v>4247</v>
      </c>
    </row>
    <row r="1405" spans="2:8" x14ac:dyDescent="0.25">
      <c r="B1405" t="s">
        <v>3393</v>
      </c>
      <c r="C1405">
        <v>2021</v>
      </c>
      <c r="D1405" t="s">
        <v>3457</v>
      </c>
      <c r="E1405" t="s">
        <v>2589</v>
      </c>
      <c r="F1405" t="s">
        <v>2590</v>
      </c>
      <c r="G1405" t="s">
        <v>2592</v>
      </c>
      <c r="H1405" t="s">
        <v>3924</v>
      </c>
    </row>
    <row r="1406" spans="2:8" x14ac:dyDescent="0.25">
      <c r="B1406" t="s">
        <v>3393</v>
      </c>
      <c r="C1406">
        <v>2021</v>
      </c>
      <c r="D1406" t="s">
        <v>3457</v>
      </c>
      <c r="E1406" t="s">
        <v>2589</v>
      </c>
      <c r="F1406" t="s">
        <v>2590</v>
      </c>
      <c r="G1406" t="s">
        <v>1053</v>
      </c>
      <c r="H1406" t="s">
        <v>2145</v>
      </c>
    </row>
    <row r="1407" spans="2:8" x14ac:dyDescent="0.25">
      <c r="B1407" t="s">
        <v>3393</v>
      </c>
      <c r="C1407">
        <v>2021</v>
      </c>
      <c r="D1407" t="s">
        <v>3457</v>
      </c>
      <c r="E1407" t="s">
        <v>2589</v>
      </c>
      <c r="F1407" t="s">
        <v>2590</v>
      </c>
      <c r="G1407" t="s">
        <v>1103</v>
      </c>
      <c r="H1407" t="s">
        <v>4248</v>
      </c>
    </row>
    <row r="1408" spans="2:8" x14ac:dyDescent="0.25">
      <c r="B1408" t="s">
        <v>3393</v>
      </c>
      <c r="C1408">
        <v>2021</v>
      </c>
      <c r="D1408" t="s">
        <v>3457</v>
      </c>
      <c r="E1408" t="s">
        <v>2589</v>
      </c>
      <c r="F1408" t="s">
        <v>2590</v>
      </c>
      <c r="G1408" t="s">
        <v>182</v>
      </c>
      <c r="H1408" t="s">
        <v>4249</v>
      </c>
    </row>
    <row r="1409" spans="2:8" x14ac:dyDescent="0.25">
      <c r="B1409" t="s">
        <v>3393</v>
      </c>
      <c r="C1409">
        <v>2021</v>
      </c>
      <c r="D1409" t="s">
        <v>3457</v>
      </c>
      <c r="E1409" t="s">
        <v>2593</v>
      </c>
      <c r="F1409" t="s">
        <v>2594</v>
      </c>
      <c r="G1409" t="s">
        <v>2595</v>
      </c>
      <c r="H1409" t="s">
        <v>2864</v>
      </c>
    </row>
    <row r="1410" spans="2:8" x14ac:dyDescent="0.25">
      <c r="B1410" t="s">
        <v>3393</v>
      </c>
      <c r="C1410">
        <v>2021</v>
      </c>
      <c r="D1410" t="s">
        <v>3457</v>
      </c>
      <c r="E1410" t="s">
        <v>2593</v>
      </c>
      <c r="F1410" t="s">
        <v>2594</v>
      </c>
      <c r="G1410" t="s">
        <v>2596</v>
      </c>
      <c r="H1410" t="s">
        <v>4250</v>
      </c>
    </row>
    <row r="1411" spans="2:8" x14ac:dyDescent="0.25">
      <c r="B1411" t="s">
        <v>3393</v>
      </c>
      <c r="C1411">
        <v>2021</v>
      </c>
      <c r="D1411" t="s">
        <v>3457</v>
      </c>
      <c r="E1411" t="s">
        <v>2593</v>
      </c>
      <c r="F1411" t="s">
        <v>2594</v>
      </c>
      <c r="G1411" t="s">
        <v>2597</v>
      </c>
      <c r="H1411" t="s">
        <v>4251</v>
      </c>
    </row>
    <row r="1412" spans="2:8" x14ac:dyDescent="0.25">
      <c r="B1412" t="s">
        <v>3393</v>
      </c>
      <c r="C1412">
        <v>2021</v>
      </c>
      <c r="D1412" t="s">
        <v>3457</v>
      </c>
      <c r="E1412" t="s">
        <v>2593</v>
      </c>
      <c r="F1412" t="s">
        <v>2594</v>
      </c>
      <c r="G1412" t="s">
        <v>2598</v>
      </c>
      <c r="H1412" t="s">
        <v>4252</v>
      </c>
    </row>
    <row r="1413" spans="2:8" x14ac:dyDescent="0.25">
      <c r="B1413" t="s">
        <v>3393</v>
      </c>
      <c r="C1413">
        <v>2021</v>
      </c>
      <c r="D1413" t="s">
        <v>3457</v>
      </c>
      <c r="E1413" t="s">
        <v>2593</v>
      </c>
      <c r="F1413" t="s">
        <v>2594</v>
      </c>
      <c r="G1413" t="s">
        <v>2599</v>
      </c>
      <c r="H1413" t="s">
        <v>4253</v>
      </c>
    </row>
    <row r="1414" spans="2:8" x14ac:dyDescent="0.25">
      <c r="B1414" t="s">
        <v>3393</v>
      </c>
      <c r="C1414">
        <v>2021</v>
      </c>
      <c r="D1414" t="s">
        <v>3457</v>
      </c>
      <c r="E1414" t="s">
        <v>2600</v>
      </c>
      <c r="F1414" t="s">
        <v>2601</v>
      </c>
      <c r="G1414" t="s">
        <v>996</v>
      </c>
      <c r="H1414" t="s">
        <v>4254</v>
      </c>
    </row>
    <row r="1415" spans="2:8" x14ac:dyDescent="0.25">
      <c r="B1415" t="s">
        <v>3393</v>
      </c>
      <c r="C1415">
        <v>2021</v>
      </c>
      <c r="D1415" t="s">
        <v>3457</v>
      </c>
      <c r="E1415" t="s">
        <v>2600</v>
      </c>
      <c r="F1415" t="s">
        <v>2601</v>
      </c>
      <c r="G1415" t="s">
        <v>1005</v>
      </c>
      <c r="H1415" t="s">
        <v>4255</v>
      </c>
    </row>
    <row r="1416" spans="2:8" x14ac:dyDescent="0.25">
      <c r="B1416" t="s">
        <v>3393</v>
      </c>
      <c r="C1416">
        <v>2021</v>
      </c>
      <c r="D1416" t="s">
        <v>3457</v>
      </c>
      <c r="E1416" t="s">
        <v>2600</v>
      </c>
      <c r="F1416" t="s">
        <v>2601</v>
      </c>
      <c r="G1416" t="s">
        <v>994</v>
      </c>
      <c r="H1416" t="s">
        <v>4256</v>
      </c>
    </row>
    <row r="1417" spans="2:8" x14ac:dyDescent="0.25">
      <c r="B1417" t="s">
        <v>3393</v>
      </c>
      <c r="C1417">
        <v>2021</v>
      </c>
      <c r="D1417" t="s">
        <v>3457</v>
      </c>
      <c r="E1417" t="s">
        <v>2600</v>
      </c>
      <c r="F1417" t="s">
        <v>2601</v>
      </c>
      <c r="G1417" t="s">
        <v>995</v>
      </c>
      <c r="H1417" t="s">
        <v>4257</v>
      </c>
    </row>
    <row r="1418" spans="2:8" x14ac:dyDescent="0.25">
      <c r="B1418" t="s">
        <v>3393</v>
      </c>
      <c r="C1418">
        <v>2021</v>
      </c>
      <c r="D1418" t="s">
        <v>3457</v>
      </c>
      <c r="E1418" t="s">
        <v>2600</v>
      </c>
      <c r="F1418" t="s">
        <v>2601</v>
      </c>
      <c r="G1418" t="s">
        <v>990</v>
      </c>
      <c r="H1418" t="s">
        <v>2552</v>
      </c>
    </row>
    <row r="1419" spans="2:8" x14ac:dyDescent="0.25">
      <c r="B1419" t="s">
        <v>3393</v>
      </c>
      <c r="C1419">
        <v>2021</v>
      </c>
      <c r="D1419" t="s">
        <v>3457</v>
      </c>
      <c r="E1419" t="s">
        <v>2600</v>
      </c>
      <c r="F1419" t="s">
        <v>2601</v>
      </c>
      <c r="G1419" t="s">
        <v>1001</v>
      </c>
      <c r="H1419" t="s">
        <v>1993</v>
      </c>
    </row>
    <row r="1420" spans="2:8" x14ac:dyDescent="0.25">
      <c r="B1420" t="s">
        <v>3393</v>
      </c>
      <c r="C1420">
        <v>2021</v>
      </c>
      <c r="D1420" t="s">
        <v>3457</v>
      </c>
      <c r="E1420" t="s">
        <v>2600</v>
      </c>
      <c r="F1420" t="s">
        <v>2601</v>
      </c>
      <c r="G1420" t="s">
        <v>2602</v>
      </c>
      <c r="H1420" t="s">
        <v>4258</v>
      </c>
    </row>
    <row r="1421" spans="2:8" x14ac:dyDescent="0.25">
      <c r="B1421" t="s">
        <v>3393</v>
      </c>
      <c r="C1421">
        <v>2021</v>
      </c>
      <c r="D1421" t="s">
        <v>3457</v>
      </c>
      <c r="E1421" t="s">
        <v>2600</v>
      </c>
      <c r="F1421" t="s">
        <v>2601</v>
      </c>
      <c r="G1421" t="s">
        <v>989</v>
      </c>
      <c r="H1421" t="s">
        <v>4259</v>
      </c>
    </row>
    <row r="1422" spans="2:8" x14ac:dyDescent="0.25">
      <c r="B1422" t="s">
        <v>3393</v>
      </c>
      <c r="C1422">
        <v>2021</v>
      </c>
      <c r="D1422" t="s">
        <v>3457</v>
      </c>
      <c r="E1422" t="s">
        <v>2600</v>
      </c>
      <c r="F1422" t="s">
        <v>2601</v>
      </c>
      <c r="G1422" t="s">
        <v>987</v>
      </c>
      <c r="H1422" t="s">
        <v>4260</v>
      </c>
    </row>
    <row r="1423" spans="2:8" x14ac:dyDescent="0.25">
      <c r="B1423" t="s">
        <v>3393</v>
      </c>
      <c r="C1423">
        <v>2021</v>
      </c>
      <c r="D1423" t="s">
        <v>3457</v>
      </c>
      <c r="E1423" t="s">
        <v>2600</v>
      </c>
      <c r="F1423" t="s">
        <v>2601</v>
      </c>
      <c r="G1423" t="s">
        <v>993</v>
      </c>
      <c r="H1423" t="s">
        <v>3347</v>
      </c>
    </row>
    <row r="1424" spans="2:8" x14ac:dyDescent="0.25">
      <c r="B1424" t="s">
        <v>3393</v>
      </c>
      <c r="C1424">
        <v>2021</v>
      </c>
      <c r="D1424" t="s">
        <v>3457</v>
      </c>
      <c r="E1424" t="s">
        <v>2600</v>
      </c>
      <c r="F1424" t="s">
        <v>2601</v>
      </c>
      <c r="G1424" t="s">
        <v>992</v>
      </c>
      <c r="H1424" t="s">
        <v>4261</v>
      </c>
    </row>
    <row r="1425" spans="2:8" x14ac:dyDescent="0.25">
      <c r="B1425" t="s">
        <v>3393</v>
      </c>
      <c r="C1425">
        <v>2021</v>
      </c>
      <c r="D1425" t="s">
        <v>3457</v>
      </c>
      <c r="E1425" t="s">
        <v>2600</v>
      </c>
      <c r="F1425" t="s">
        <v>2601</v>
      </c>
      <c r="G1425" t="s">
        <v>1000</v>
      </c>
      <c r="H1425" t="s">
        <v>4262</v>
      </c>
    </row>
    <row r="1426" spans="2:8" x14ac:dyDescent="0.25">
      <c r="B1426" t="s">
        <v>3393</v>
      </c>
      <c r="C1426">
        <v>2021</v>
      </c>
      <c r="D1426" t="s">
        <v>3457</v>
      </c>
      <c r="E1426" t="s">
        <v>2600</v>
      </c>
      <c r="F1426" t="s">
        <v>2601</v>
      </c>
      <c r="G1426" t="s">
        <v>1004</v>
      </c>
      <c r="H1426" t="s">
        <v>4263</v>
      </c>
    </row>
    <row r="1427" spans="2:8" x14ac:dyDescent="0.25">
      <c r="B1427" t="s">
        <v>3393</v>
      </c>
      <c r="C1427">
        <v>2021</v>
      </c>
      <c r="D1427" t="s">
        <v>3457</v>
      </c>
      <c r="E1427" t="s">
        <v>2600</v>
      </c>
      <c r="F1427" t="s">
        <v>2601</v>
      </c>
      <c r="G1427" t="s">
        <v>1003</v>
      </c>
      <c r="H1427" t="s">
        <v>3290</v>
      </c>
    </row>
    <row r="1428" spans="2:8" x14ac:dyDescent="0.25">
      <c r="B1428" t="s">
        <v>3393</v>
      </c>
      <c r="C1428">
        <v>2021</v>
      </c>
      <c r="D1428" t="s">
        <v>3457</v>
      </c>
      <c r="E1428" t="s">
        <v>2600</v>
      </c>
      <c r="F1428" t="s">
        <v>2601</v>
      </c>
      <c r="G1428" t="s">
        <v>997</v>
      </c>
      <c r="H1428" t="s">
        <v>4264</v>
      </c>
    </row>
    <row r="1429" spans="2:8" x14ac:dyDescent="0.25">
      <c r="B1429" t="s">
        <v>3393</v>
      </c>
      <c r="C1429">
        <v>2021</v>
      </c>
      <c r="D1429" t="s">
        <v>3457</v>
      </c>
      <c r="E1429" t="s">
        <v>2600</v>
      </c>
      <c r="F1429" t="s">
        <v>2601</v>
      </c>
      <c r="G1429" t="s">
        <v>986</v>
      </c>
      <c r="H1429" t="s">
        <v>4265</v>
      </c>
    </row>
    <row r="1430" spans="2:8" x14ac:dyDescent="0.25">
      <c r="B1430" t="s">
        <v>3393</v>
      </c>
      <c r="C1430">
        <v>2021</v>
      </c>
      <c r="D1430" t="s">
        <v>3457</v>
      </c>
      <c r="E1430" t="s">
        <v>2600</v>
      </c>
      <c r="F1430" t="s">
        <v>2601</v>
      </c>
      <c r="G1430" t="s">
        <v>991</v>
      </c>
      <c r="H1430" t="s">
        <v>4266</v>
      </c>
    </row>
    <row r="1431" spans="2:8" x14ac:dyDescent="0.25">
      <c r="B1431" t="s">
        <v>3393</v>
      </c>
      <c r="C1431">
        <v>2021</v>
      </c>
      <c r="D1431" t="s">
        <v>3457</v>
      </c>
      <c r="E1431" t="s">
        <v>2600</v>
      </c>
      <c r="F1431" t="s">
        <v>2601</v>
      </c>
      <c r="G1431" t="s">
        <v>999</v>
      </c>
      <c r="H1431" t="s">
        <v>4262</v>
      </c>
    </row>
    <row r="1432" spans="2:8" x14ac:dyDescent="0.25">
      <c r="B1432" t="s">
        <v>3393</v>
      </c>
      <c r="C1432">
        <v>2021</v>
      </c>
      <c r="D1432" t="s">
        <v>3457</v>
      </c>
      <c r="E1432" t="s">
        <v>2600</v>
      </c>
      <c r="F1432" t="s">
        <v>2601</v>
      </c>
      <c r="G1432" t="s">
        <v>998</v>
      </c>
      <c r="H1432" t="s">
        <v>4267</v>
      </c>
    </row>
    <row r="1433" spans="2:8" x14ac:dyDescent="0.25">
      <c r="B1433" t="s">
        <v>3393</v>
      </c>
      <c r="C1433">
        <v>2021</v>
      </c>
      <c r="D1433" t="s">
        <v>3457</v>
      </c>
      <c r="E1433" t="s">
        <v>2600</v>
      </c>
      <c r="F1433" t="s">
        <v>2601</v>
      </c>
      <c r="G1433" t="s">
        <v>1002</v>
      </c>
      <c r="H1433" t="s">
        <v>3760</v>
      </c>
    </row>
    <row r="1434" spans="2:8" x14ac:dyDescent="0.25">
      <c r="B1434" t="s">
        <v>3393</v>
      </c>
      <c r="C1434">
        <v>2021</v>
      </c>
      <c r="D1434" t="s">
        <v>3457</v>
      </c>
      <c r="E1434" t="s">
        <v>2600</v>
      </c>
      <c r="F1434" t="s">
        <v>2601</v>
      </c>
      <c r="G1434" t="s">
        <v>1006</v>
      </c>
      <c r="H1434" t="s">
        <v>4268</v>
      </c>
    </row>
    <row r="1435" spans="2:8" x14ac:dyDescent="0.25">
      <c r="B1435" t="s">
        <v>3393</v>
      </c>
      <c r="C1435">
        <v>2021</v>
      </c>
      <c r="D1435" t="s">
        <v>3457</v>
      </c>
      <c r="E1435" t="s">
        <v>2604</v>
      </c>
      <c r="F1435" t="s">
        <v>2605</v>
      </c>
      <c r="G1435" t="s">
        <v>1010</v>
      </c>
      <c r="H1435" t="s">
        <v>4269</v>
      </c>
    </row>
    <row r="1436" spans="2:8" x14ac:dyDescent="0.25">
      <c r="B1436" t="s">
        <v>3393</v>
      </c>
      <c r="C1436">
        <v>2021</v>
      </c>
      <c r="D1436" t="s">
        <v>3457</v>
      </c>
      <c r="E1436" t="s">
        <v>2604</v>
      </c>
      <c r="F1436" t="s">
        <v>2605</v>
      </c>
      <c r="G1436" t="s">
        <v>1011</v>
      </c>
      <c r="H1436" t="s">
        <v>4270</v>
      </c>
    </row>
    <row r="1437" spans="2:8" x14ac:dyDescent="0.25">
      <c r="B1437" t="s">
        <v>3393</v>
      </c>
      <c r="C1437">
        <v>2021</v>
      </c>
      <c r="D1437" t="s">
        <v>3457</v>
      </c>
      <c r="E1437" t="s">
        <v>2604</v>
      </c>
      <c r="F1437" t="s">
        <v>2605</v>
      </c>
      <c r="G1437" t="s">
        <v>1017</v>
      </c>
      <c r="H1437" t="s">
        <v>3845</v>
      </c>
    </row>
    <row r="1438" spans="2:8" x14ac:dyDescent="0.25">
      <c r="B1438" t="s">
        <v>3393</v>
      </c>
      <c r="C1438">
        <v>2021</v>
      </c>
      <c r="D1438" t="s">
        <v>3457</v>
      </c>
      <c r="E1438" t="s">
        <v>2604</v>
      </c>
      <c r="F1438" t="s">
        <v>2605</v>
      </c>
      <c r="G1438" t="s">
        <v>1029</v>
      </c>
      <c r="H1438" t="s">
        <v>4271</v>
      </c>
    </row>
    <row r="1439" spans="2:8" x14ac:dyDescent="0.25">
      <c r="B1439" t="s">
        <v>3393</v>
      </c>
      <c r="C1439">
        <v>2021</v>
      </c>
      <c r="D1439" t="s">
        <v>3457</v>
      </c>
      <c r="E1439" t="s">
        <v>2604</v>
      </c>
      <c r="F1439" t="s">
        <v>2605</v>
      </c>
      <c r="G1439" t="s">
        <v>1013</v>
      </c>
      <c r="H1439" t="s">
        <v>4272</v>
      </c>
    </row>
    <row r="1440" spans="2:8" x14ac:dyDescent="0.25">
      <c r="B1440" t="s">
        <v>3393</v>
      </c>
      <c r="C1440">
        <v>2021</v>
      </c>
      <c r="D1440" t="s">
        <v>3457</v>
      </c>
      <c r="E1440" t="s">
        <v>2604</v>
      </c>
      <c r="F1440" t="s">
        <v>2605</v>
      </c>
      <c r="G1440" t="s">
        <v>1028</v>
      </c>
      <c r="H1440" t="s">
        <v>4273</v>
      </c>
    </row>
    <row r="1441" spans="2:8" x14ac:dyDescent="0.25">
      <c r="B1441" t="s">
        <v>3393</v>
      </c>
      <c r="C1441">
        <v>2021</v>
      </c>
      <c r="D1441" t="s">
        <v>3457</v>
      </c>
      <c r="E1441" t="s">
        <v>2604</v>
      </c>
      <c r="F1441" t="s">
        <v>2605</v>
      </c>
      <c r="G1441" t="s">
        <v>1020</v>
      </c>
      <c r="H1441" t="s">
        <v>4274</v>
      </c>
    </row>
    <row r="1442" spans="2:8" x14ac:dyDescent="0.25">
      <c r="B1442" t="s">
        <v>3393</v>
      </c>
      <c r="C1442">
        <v>2021</v>
      </c>
      <c r="D1442" t="s">
        <v>3457</v>
      </c>
      <c r="E1442" t="s">
        <v>2604</v>
      </c>
      <c r="F1442" t="s">
        <v>2605</v>
      </c>
      <c r="G1442" t="s">
        <v>1016</v>
      </c>
      <c r="H1442" t="s">
        <v>4275</v>
      </c>
    </row>
    <row r="1443" spans="2:8" x14ac:dyDescent="0.25">
      <c r="B1443" t="s">
        <v>3393</v>
      </c>
      <c r="C1443">
        <v>2021</v>
      </c>
      <c r="D1443" t="s">
        <v>3457</v>
      </c>
      <c r="E1443" t="s">
        <v>2604</v>
      </c>
      <c r="F1443" t="s">
        <v>2605</v>
      </c>
      <c r="G1443" t="s">
        <v>1030</v>
      </c>
      <c r="H1443" t="s">
        <v>4276</v>
      </c>
    </row>
    <row r="1444" spans="2:8" x14ac:dyDescent="0.25">
      <c r="B1444" t="s">
        <v>3393</v>
      </c>
      <c r="C1444">
        <v>2021</v>
      </c>
      <c r="D1444" t="s">
        <v>3457</v>
      </c>
      <c r="E1444" t="s">
        <v>2604</v>
      </c>
      <c r="F1444" t="s">
        <v>2605</v>
      </c>
      <c r="G1444" t="s">
        <v>1021</v>
      </c>
      <c r="H1444" t="s">
        <v>4277</v>
      </c>
    </row>
    <row r="1445" spans="2:8" x14ac:dyDescent="0.25">
      <c r="B1445" t="s">
        <v>3393</v>
      </c>
      <c r="C1445">
        <v>2021</v>
      </c>
      <c r="D1445" t="s">
        <v>3457</v>
      </c>
      <c r="E1445" t="s">
        <v>2604</v>
      </c>
      <c r="F1445" t="s">
        <v>2605</v>
      </c>
      <c r="G1445" t="s">
        <v>1009</v>
      </c>
      <c r="H1445" t="s">
        <v>4278</v>
      </c>
    </row>
    <row r="1446" spans="2:8" x14ac:dyDescent="0.25">
      <c r="B1446" t="s">
        <v>3393</v>
      </c>
      <c r="C1446">
        <v>2021</v>
      </c>
      <c r="D1446" t="s">
        <v>3457</v>
      </c>
      <c r="E1446" t="s">
        <v>2604</v>
      </c>
      <c r="F1446" t="s">
        <v>2605</v>
      </c>
      <c r="G1446" t="s">
        <v>1019</v>
      </c>
      <c r="H1446" t="s">
        <v>3652</v>
      </c>
    </row>
    <row r="1447" spans="2:8" x14ac:dyDescent="0.25">
      <c r="B1447" t="s">
        <v>3393</v>
      </c>
      <c r="C1447">
        <v>2021</v>
      </c>
      <c r="D1447" t="s">
        <v>3457</v>
      </c>
      <c r="E1447" t="s">
        <v>2604</v>
      </c>
      <c r="F1447" t="s">
        <v>2605</v>
      </c>
      <c r="G1447" t="s">
        <v>1025</v>
      </c>
      <c r="H1447" t="s">
        <v>4279</v>
      </c>
    </row>
    <row r="1448" spans="2:8" x14ac:dyDescent="0.25">
      <c r="B1448" t="s">
        <v>3393</v>
      </c>
      <c r="C1448">
        <v>2021</v>
      </c>
      <c r="D1448" t="s">
        <v>3457</v>
      </c>
      <c r="E1448" t="s">
        <v>2604</v>
      </c>
      <c r="F1448" t="s">
        <v>2605</v>
      </c>
      <c r="G1448" t="s">
        <v>1024</v>
      </c>
      <c r="H1448" t="s">
        <v>4280</v>
      </c>
    </row>
    <row r="1449" spans="2:8" x14ac:dyDescent="0.25">
      <c r="B1449" t="s">
        <v>3393</v>
      </c>
      <c r="C1449">
        <v>2021</v>
      </c>
      <c r="D1449" t="s">
        <v>3457</v>
      </c>
      <c r="E1449" t="s">
        <v>2604</v>
      </c>
      <c r="F1449" t="s">
        <v>2605</v>
      </c>
      <c r="G1449" t="s">
        <v>1026</v>
      </c>
      <c r="H1449" t="s">
        <v>1993</v>
      </c>
    </row>
    <row r="1450" spans="2:8" x14ac:dyDescent="0.25">
      <c r="B1450" t="s">
        <v>3393</v>
      </c>
      <c r="C1450">
        <v>2021</v>
      </c>
      <c r="D1450" t="s">
        <v>3457</v>
      </c>
      <c r="E1450" t="s">
        <v>2604</v>
      </c>
      <c r="F1450" t="s">
        <v>2605</v>
      </c>
      <c r="G1450" t="s">
        <v>1023</v>
      </c>
      <c r="H1450" t="s">
        <v>4281</v>
      </c>
    </row>
    <row r="1451" spans="2:8" x14ac:dyDescent="0.25">
      <c r="B1451" t="s">
        <v>3393</v>
      </c>
      <c r="C1451">
        <v>2021</v>
      </c>
      <c r="D1451" t="s">
        <v>3457</v>
      </c>
      <c r="E1451" t="s">
        <v>2604</v>
      </c>
      <c r="F1451" t="s">
        <v>2605</v>
      </c>
      <c r="G1451" t="s">
        <v>1027</v>
      </c>
      <c r="H1451" t="s">
        <v>4282</v>
      </c>
    </row>
    <row r="1452" spans="2:8" x14ac:dyDescent="0.25">
      <c r="B1452" t="s">
        <v>3393</v>
      </c>
      <c r="C1452">
        <v>2021</v>
      </c>
      <c r="D1452" t="s">
        <v>3457</v>
      </c>
      <c r="E1452" t="s">
        <v>2604</v>
      </c>
      <c r="F1452" t="s">
        <v>2605</v>
      </c>
      <c r="G1452" t="s">
        <v>1022</v>
      </c>
      <c r="H1452" t="s">
        <v>4283</v>
      </c>
    </row>
    <row r="1453" spans="2:8" x14ac:dyDescent="0.25">
      <c r="B1453" t="s">
        <v>3393</v>
      </c>
      <c r="C1453">
        <v>2021</v>
      </c>
      <c r="D1453" t="s">
        <v>3457</v>
      </c>
      <c r="E1453" t="s">
        <v>2604</v>
      </c>
      <c r="F1453" t="s">
        <v>2605</v>
      </c>
      <c r="G1453" t="s">
        <v>1018</v>
      </c>
      <c r="H1453" t="s">
        <v>4284</v>
      </c>
    </row>
    <row r="1454" spans="2:8" x14ac:dyDescent="0.25">
      <c r="B1454" t="s">
        <v>3393</v>
      </c>
      <c r="C1454">
        <v>2021</v>
      </c>
      <c r="D1454" t="s">
        <v>3457</v>
      </c>
      <c r="E1454" t="s">
        <v>2604</v>
      </c>
      <c r="F1454" t="s">
        <v>2605</v>
      </c>
      <c r="G1454" t="s">
        <v>1014</v>
      </c>
      <c r="H1454" t="s">
        <v>3643</v>
      </c>
    </row>
    <row r="1455" spans="2:8" x14ac:dyDescent="0.25">
      <c r="B1455" t="s">
        <v>3393</v>
      </c>
      <c r="C1455">
        <v>2021</v>
      </c>
      <c r="D1455" t="s">
        <v>3457</v>
      </c>
      <c r="E1455" t="s">
        <v>2604</v>
      </c>
      <c r="F1455" t="s">
        <v>2605</v>
      </c>
      <c r="G1455" t="s">
        <v>792</v>
      </c>
      <c r="H1455" t="s">
        <v>4285</v>
      </c>
    </row>
    <row r="1456" spans="2:8" x14ac:dyDescent="0.25">
      <c r="B1456" t="s">
        <v>3393</v>
      </c>
      <c r="C1456">
        <v>2021</v>
      </c>
      <c r="D1456" t="s">
        <v>3457</v>
      </c>
      <c r="E1456" t="s">
        <v>2604</v>
      </c>
      <c r="F1456" t="s">
        <v>2605</v>
      </c>
      <c r="G1456" t="s">
        <v>1012</v>
      </c>
      <c r="H1456" t="s">
        <v>3272</v>
      </c>
    </row>
    <row r="1457" spans="2:8" x14ac:dyDescent="0.25">
      <c r="B1457" t="s">
        <v>3393</v>
      </c>
      <c r="C1457">
        <v>2021</v>
      </c>
      <c r="D1457" t="s">
        <v>3457</v>
      </c>
      <c r="E1457" t="s">
        <v>2604</v>
      </c>
      <c r="F1457" t="s">
        <v>2605</v>
      </c>
      <c r="G1457" t="s">
        <v>1015</v>
      </c>
      <c r="H1457" t="s">
        <v>4286</v>
      </c>
    </row>
    <row r="1458" spans="2:8" x14ac:dyDescent="0.25">
      <c r="B1458" t="s">
        <v>3393</v>
      </c>
      <c r="C1458">
        <v>2021</v>
      </c>
      <c r="D1458" t="s">
        <v>3457</v>
      </c>
      <c r="E1458" t="s">
        <v>2604</v>
      </c>
      <c r="F1458" t="s">
        <v>2605</v>
      </c>
      <c r="G1458" t="s">
        <v>1031</v>
      </c>
      <c r="H1458" t="s">
        <v>4287</v>
      </c>
    </row>
    <row r="1459" spans="2:8" x14ac:dyDescent="0.25">
      <c r="B1459" t="s">
        <v>3393</v>
      </c>
      <c r="C1459">
        <v>2021</v>
      </c>
      <c r="D1459" t="s">
        <v>3457</v>
      </c>
      <c r="E1459" t="s">
        <v>2604</v>
      </c>
      <c r="F1459" t="s">
        <v>2605</v>
      </c>
      <c r="G1459" t="s">
        <v>798</v>
      </c>
      <c r="H1459" t="s">
        <v>4288</v>
      </c>
    </row>
    <row r="1460" spans="2:8" x14ac:dyDescent="0.25">
      <c r="B1460" t="s">
        <v>3393</v>
      </c>
      <c r="C1460">
        <v>2021</v>
      </c>
      <c r="D1460" t="s">
        <v>3457</v>
      </c>
      <c r="E1460" t="s">
        <v>2606</v>
      </c>
      <c r="F1460" t="s">
        <v>2607</v>
      </c>
      <c r="G1460" t="s">
        <v>2608</v>
      </c>
      <c r="H1460" t="s">
        <v>4289</v>
      </c>
    </row>
    <row r="1461" spans="2:8" x14ac:dyDescent="0.25">
      <c r="B1461" t="s">
        <v>3393</v>
      </c>
      <c r="C1461">
        <v>2021</v>
      </c>
      <c r="D1461" t="s">
        <v>3457</v>
      </c>
      <c r="E1461" t="s">
        <v>2609</v>
      </c>
      <c r="F1461" t="s">
        <v>2610</v>
      </c>
      <c r="G1461" t="s">
        <v>2611</v>
      </c>
      <c r="H1461" t="s">
        <v>4290</v>
      </c>
    </row>
    <row r="1462" spans="2:8" x14ac:dyDescent="0.25">
      <c r="B1462" t="s">
        <v>3393</v>
      </c>
      <c r="C1462">
        <v>2021</v>
      </c>
      <c r="D1462" t="s">
        <v>3457</v>
      </c>
      <c r="E1462" t="s">
        <v>2609</v>
      </c>
      <c r="F1462" t="s">
        <v>2610</v>
      </c>
      <c r="G1462" t="s">
        <v>2612</v>
      </c>
      <c r="H1462" t="s">
        <v>1993</v>
      </c>
    </row>
    <row r="1463" spans="2:8" x14ac:dyDescent="0.25">
      <c r="B1463" t="s">
        <v>3393</v>
      </c>
      <c r="C1463">
        <v>2021</v>
      </c>
      <c r="D1463" t="s">
        <v>3457</v>
      </c>
      <c r="E1463" t="s">
        <v>2609</v>
      </c>
      <c r="F1463" t="s">
        <v>2610</v>
      </c>
      <c r="G1463" t="s">
        <v>2613</v>
      </c>
      <c r="H1463" t="s">
        <v>4291</v>
      </c>
    </row>
    <row r="1464" spans="2:8" x14ac:dyDescent="0.25">
      <c r="B1464" t="s">
        <v>3393</v>
      </c>
      <c r="C1464">
        <v>2021</v>
      </c>
      <c r="D1464" t="s">
        <v>3457</v>
      </c>
      <c r="E1464" t="s">
        <v>2609</v>
      </c>
      <c r="F1464" t="s">
        <v>2610</v>
      </c>
      <c r="G1464" t="s">
        <v>2614</v>
      </c>
      <c r="H1464" t="s">
        <v>4289</v>
      </c>
    </row>
    <row r="1465" spans="2:8" x14ac:dyDescent="0.25">
      <c r="B1465" t="s">
        <v>3393</v>
      </c>
      <c r="C1465">
        <v>2021</v>
      </c>
      <c r="D1465" t="s">
        <v>3457</v>
      </c>
      <c r="E1465" t="s">
        <v>2615</v>
      </c>
      <c r="F1465" t="s">
        <v>2616</v>
      </c>
      <c r="G1465" t="s">
        <v>2617</v>
      </c>
      <c r="H1465" t="s">
        <v>2518</v>
      </c>
    </row>
    <row r="1466" spans="2:8" x14ac:dyDescent="0.25">
      <c r="B1466" t="s">
        <v>3393</v>
      </c>
      <c r="C1466">
        <v>2021</v>
      </c>
      <c r="D1466" t="s">
        <v>3457</v>
      </c>
      <c r="E1466" t="s">
        <v>2615</v>
      </c>
      <c r="F1466" t="s">
        <v>2616</v>
      </c>
      <c r="G1466" t="s">
        <v>2618</v>
      </c>
      <c r="H1466" t="s">
        <v>1997</v>
      </c>
    </row>
    <row r="1467" spans="2:8" x14ac:dyDescent="0.25">
      <c r="B1467" t="s">
        <v>3393</v>
      </c>
      <c r="C1467">
        <v>2021</v>
      </c>
      <c r="D1467" t="s">
        <v>3457</v>
      </c>
      <c r="E1467" t="s">
        <v>2615</v>
      </c>
      <c r="F1467" t="s">
        <v>2616</v>
      </c>
      <c r="G1467" t="s">
        <v>2619</v>
      </c>
      <c r="H1467" t="s">
        <v>3899</v>
      </c>
    </row>
    <row r="1468" spans="2:8" x14ac:dyDescent="0.25">
      <c r="B1468" t="s">
        <v>3393</v>
      </c>
      <c r="C1468">
        <v>2021</v>
      </c>
      <c r="D1468" t="s">
        <v>3457</v>
      </c>
      <c r="E1468" t="s">
        <v>2615</v>
      </c>
      <c r="F1468" t="s">
        <v>2616</v>
      </c>
      <c r="G1468" t="s">
        <v>2620</v>
      </c>
      <c r="H1468" t="s">
        <v>4292</v>
      </c>
    </row>
    <row r="1469" spans="2:8" x14ac:dyDescent="0.25">
      <c r="B1469" t="s">
        <v>3393</v>
      </c>
      <c r="C1469">
        <v>2021</v>
      </c>
      <c r="D1469" t="s">
        <v>3457</v>
      </c>
      <c r="E1469" t="s">
        <v>2615</v>
      </c>
      <c r="F1469" t="s">
        <v>2616</v>
      </c>
      <c r="G1469" t="s">
        <v>2621</v>
      </c>
      <c r="H1469" t="s">
        <v>2518</v>
      </c>
    </row>
    <row r="1470" spans="2:8" x14ac:dyDescent="0.25">
      <c r="B1470" t="s">
        <v>3393</v>
      </c>
      <c r="C1470">
        <v>2021</v>
      </c>
      <c r="D1470" t="s">
        <v>3457</v>
      </c>
      <c r="E1470" t="s">
        <v>2615</v>
      </c>
      <c r="F1470" t="s">
        <v>2616</v>
      </c>
      <c r="G1470" t="s">
        <v>2622</v>
      </c>
      <c r="H1470" t="s">
        <v>2105</v>
      </c>
    </row>
    <row r="1471" spans="2:8" x14ac:dyDescent="0.25">
      <c r="B1471" t="s">
        <v>3393</v>
      </c>
      <c r="C1471">
        <v>2021</v>
      </c>
      <c r="D1471" t="s">
        <v>3457</v>
      </c>
      <c r="E1471" t="s">
        <v>2615</v>
      </c>
      <c r="F1471" t="s">
        <v>2616</v>
      </c>
      <c r="G1471" t="s">
        <v>2624</v>
      </c>
      <c r="H1471" t="s">
        <v>4293</v>
      </c>
    </row>
    <row r="1472" spans="2:8" x14ac:dyDescent="0.25">
      <c r="B1472" t="s">
        <v>3393</v>
      </c>
      <c r="C1472">
        <v>2021</v>
      </c>
      <c r="D1472" t="s">
        <v>3457</v>
      </c>
      <c r="E1472" t="s">
        <v>2615</v>
      </c>
      <c r="F1472" t="s">
        <v>2616</v>
      </c>
      <c r="G1472" t="s">
        <v>2625</v>
      </c>
      <c r="H1472" t="s">
        <v>4292</v>
      </c>
    </row>
    <row r="1473" spans="2:8" x14ac:dyDescent="0.25">
      <c r="B1473" t="s">
        <v>3393</v>
      </c>
      <c r="C1473">
        <v>2021</v>
      </c>
      <c r="D1473" t="s">
        <v>3457</v>
      </c>
      <c r="E1473" t="s">
        <v>2615</v>
      </c>
      <c r="F1473" t="s">
        <v>2616</v>
      </c>
      <c r="G1473" t="s">
        <v>2626</v>
      </c>
      <c r="H1473" t="s">
        <v>2518</v>
      </c>
    </row>
    <row r="1474" spans="2:8" x14ac:dyDescent="0.25">
      <c r="B1474" t="s">
        <v>3393</v>
      </c>
      <c r="C1474">
        <v>2021</v>
      </c>
      <c r="D1474" t="s">
        <v>3457</v>
      </c>
      <c r="E1474" t="s">
        <v>2615</v>
      </c>
      <c r="F1474" t="s">
        <v>2616</v>
      </c>
      <c r="G1474" t="s">
        <v>2627</v>
      </c>
      <c r="H1474" t="s">
        <v>1993</v>
      </c>
    </row>
    <row r="1475" spans="2:8" x14ac:dyDescent="0.25">
      <c r="B1475" t="s">
        <v>3393</v>
      </c>
      <c r="C1475">
        <v>2021</v>
      </c>
      <c r="D1475" t="s">
        <v>3457</v>
      </c>
      <c r="E1475" t="s">
        <v>2615</v>
      </c>
      <c r="F1475" t="s">
        <v>2616</v>
      </c>
      <c r="G1475" t="s">
        <v>2628</v>
      </c>
      <c r="H1475" t="s">
        <v>1993</v>
      </c>
    </row>
    <row r="1476" spans="2:8" x14ac:dyDescent="0.25">
      <c r="B1476" t="s">
        <v>3393</v>
      </c>
      <c r="C1476">
        <v>2021</v>
      </c>
      <c r="D1476" t="s">
        <v>3457</v>
      </c>
      <c r="E1476" t="s">
        <v>2615</v>
      </c>
      <c r="F1476" t="s">
        <v>2616</v>
      </c>
      <c r="G1476" t="s">
        <v>2629</v>
      </c>
      <c r="H1476" t="s">
        <v>4292</v>
      </c>
    </row>
    <row r="1477" spans="2:8" x14ac:dyDescent="0.25">
      <c r="B1477" t="s">
        <v>3393</v>
      </c>
      <c r="C1477">
        <v>2021</v>
      </c>
      <c r="D1477" t="s">
        <v>3457</v>
      </c>
      <c r="E1477" t="s">
        <v>2615</v>
      </c>
      <c r="F1477" t="s">
        <v>2616</v>
      </c>
      <c r="G1477" t="s">
        <v>2630</v>
      </c>
      <c r="H1477" t="s">
        <v>2518</v>
      </c>
    </row>
    <row r="1478" spans="2:8" x14ac:dyDescent="0.25">
      <c r="B1478" t="s">
        <v>3393</v>
      </c>
      <c r="C1478">
        <v>2021</v>
      </c>
      <c r="D1478" t="s">
        <v>3457</v>
      </c>
      <c r="E1478" t="s">
        <v>2615</v>
      </c>
      <c r="F1478" t="s">
        <v>2616</v>
      </c>
      <c r="G1478" t="s">
        <v>2631</v>
      </c>
      <c r="H1478" t="s">
        <v>4262</v>
      </c>
    </row>
    <row r="1479" spans="2:8" x14ac:dyDescent="0.25">
      <c r="B1479" t="s">
        <v>3393</v>
      </c>
      <c r="C1479">
        <v>2021</v>
      </c>
      <c r="D1479" t="s">
        <v>3457</v>
      </c>
      <c r="E1479" t="s">
        <v>2615</v>
      </c>
      <c r="F1479" t="s">
        <v>2616</v>
      </c>
      <c r="G1479" t="s">
        <v>2632</v>
      </c>
      <c r="H1479" t="s">
        <v>1993</v>
      </c>
    </row>
    <row r="1480" spans="2:8" x14ac:dyDescent="0.25">
      <c r="B1480" t="s">
        <v>3393</v>
      </c>
      <c r="C1480">
        <v>2021</v>
      </c>
      <c r="D1480" t="s">
        <v>3457</v>
      </c>
      <c r="E1480" t="s">
        <v>2615</v>
      </c>
      <c r="F1480" t="s">
        <v>2616</v>
      </c>
      <c r="G1480" t="s">
        <v>2633</v>
      </c>
      <c r="H1480" t="s">
        <v>4292</v>
      </c>
    </row>
    <row r="1481" spans="2:8" x14ac:dyDescent="0.25">
      <c r="B1481" t="s">
        <v>3393</v>
      </c>
      <c r="C1481">
        <v>2021</v>
      </c>
      <c r="D1481" t="s">
        <v>3457</v>
      </c>
      <c r="E1481" t="s">
        <v>2615</v>
      </c>
      <c r="F1481" t="s">
        <v>2616</v>
      </c>
      <c r="G1481" t="s">
        <v>2634</v>
      </c>
      <c r="H1481" t="s">
        <v>2518</v>
      </c>
    </row>
    <row r="1482" spans="2:8" x14ac:dyDescent="0.25">
      <c r="B1482" t="s">
        <v>3393</v>
      </c>
      <c r="C1482">
        <v>2021</v>
      </c>
      <c r="D1482" t="s">
        <v>3457</v>
      </c>
      <c r="E1482" t="s">
        <v>2615</v>
      </c>
      <c r="F1482" t="s">
        <v>2616</v>
      </c>
      <c r="G1482" t="s">
        <v>2635</v>
      </c>
      <c r="H1482" t="s">
        <v>1993</v>
      </c>
    </row>
    <row r="1483" spans="2:8" x14ac:dyDescent="0.25">
      <c r="B1483" t="s">
        <v>3393</v>
      </c>
      <c r="C1483">
        <v>2021</v>
      </c>
      <c r="D1483" t="s">
        <v>3457</v>
      </c>
      <c r="E1483" t="s">
        <v>2615</v>
      </c>
      <c r="F1483" t="s">
        <v>2616</v>
      </c>
      <c r="G1483" t="s">
        <v>2636</v>
      </c>
      <c r="H1483" t="s">
        <v>4263</v>
      </c>
    </row>
    <row r="1484" spans="2:8" x14ac:dyDescent="0.25">
      <c r="B1484" t="s">
        <v>3393</v>
      </c>
      <c r="C1484">
        <v>2021</v>
      </c>
      <c r="D1484" t="s">
        <v>3457</v>
      </c>
      <c r="E1484" t="s">
        <v>2615</v>
      </c>
      <c r="F1484" t="s">
        <v>2616</v>
      </c>
      <c r="G1484" t="s">
        <v>2637</v>
      </c>
      <c r="H1484" t="s">
        <v>4292</v>
      </c>
    </row>
    <row r="1485" spans="2:8" x14ac:dyDescent="0.25">
      <c r="B1485" t="s">
        <v>3393</v>
      </c>
      <c r="C1485">
        <v>2021</v>
      </c>
      <c r="D1485" t="s">
        <v>3457</v>
      </c>
      <c r="E1485" t="s">
        <v>2615</v>
      </c>
      <c r="F1485" t="s">
        <v>2616</v>
      </c>
      <c r="G1485" t="s">
        <v>2638</v>
      </c>
      <c r="H1485" t="s">
        <v>2518</v>
      </c>
    </row>
    <row r="1486" spans="2:8" x14ac:dyDescent="0.25">
      <c r="B1486" t="s">
        <v>3393</v>
      </c>
      <c r="C1486">
        <v>2021</v>
      </c>
      <c r="D1486" t="s">
        <v>3457</v>
      </c>
      <c r="E1486" t="s">
        <v>2615</v>
      </c>
      <c r="F1486" t="s">
        <v>2616</v>
      </c>
      <c r="G1486" t="s">
        <v>2639</v>
      </c>
      <c r="H1486" t="s">
        <v>3290</v>
      </c>
    </row>
    <row r="1487" spans="2:8" x14ac:dyDescent="0.25">
      <c r="B1487" t="s">
        <v>3393</v>
      </c>
      <c r="C1487">
        <v>2021</v>
      </c>
      <c r="D1487" t="s">
        <v>3457</v>
      </c>
      <c r="E1487" t="s">
        <v>2615</v>
      </c>
      <c r="F1487" t="s">
        <v>2616</v>
      </c>
      <c r="G1487" t="s">
        <v>2640</v>
      </c>
      <c r="H1487" t="s">
        <v>1993</v>
      </c>
    </row>
    <row r="1488" spans="2:8" x14ac:dyDescent="0.25">
      <c r="B1488" t="s">
        <v>3393</v>
      </c>
      <c r="C1488">
        <v>2021</v>
      </c>
      <c r="D1488" t="s">
        <v>3457</v>
      </c>
      <c r="E1488" t="s">
        <v>2615</v>
      </c>
      <c r="F1488" t="s">
        <v>2616</v>
      </c>
      <c r="G1488" t="s">
        <v>2641</v>
      </c>
      <c r="H1488" t="s">
        <v>4292</v>
      </c>
    </row>
    <row r="1489" spans="2:8" x14ac:dyDescent="0.25">
      <c r="B1489" t="s">
        <v>3393</v>
      </c>
      <c r="C1489">
        <v>2021</v>
      </c>
      <c r="D1489" t="s">
        <v>3457</v>
      </c>
      <c r="E1489" t="s">
        <v>2615</v>
      </c>
      <c r="F1489" t="s">
        <v>2616</v>
      </c>
      <c r="G1489" t="s">
        <v>2642</v>
      </c>
      <c r="H1489" t="s">
        <v>2643</v>
      </c>
    </row>
    <row r="1490" spans="2:8" x14ac:dyDescent="0.25">
      <c r="B1490" t="s">
        <v>3393</v>
      </c>
      <c r="C1490">
        <v>2021</v>
      </c>
      <c r="D1490" t="s">
        <v>3457</v>
      </c>
      <c r="E1490" t="s">
        <v>2615</v>
      </c>
      <c r="F1490" t="s">
        <v>2616</v>
      </c>
      <c r="G1490" t="s">
        <v>2644</v>
      </c>
      <c r="H1490" t="s">
        <v>4294</v>
      </c>
    </row>
    <row r="1491" spans="2:8" x14ac:dyDescent="0.25">
      <c r="B1491" t="s">
        <v>3393</v>
      </c>
      <c r="C1491">
        <v>2021</v>
      </c>
      <c r="D1491" t="s">
        <v>3457</v>
      </c>
      <c r="E1491" t="s">
        <v>2615</v>
      </c>
      <c r="F1491" t="s">
        <v>2616</v>
      </c>
      <c r="G1491" t="s">
        <v>2645</v>
      </c>
      <c r="H1491" t="s">
        <v>1997</v>
      </c>
    </row>
    <row r="1492" spans="2:8" x14ac:dyDescent="0.25">
      <c r="B1492" t="s">
        <v>3393</v>
      </c>
      <c r="C1492">
        <v>2021</v>
      </c>
      <c r="D1492" t="s">
        <v>3457</v>
      </c>
      <c r="E1492" t="s">
        <v>2615</v>
      </c>
      <c r="F1492" t="s">
        <v>2616</v>
      </c>
      <c r="G1492" t="s">
        <v>2646</v>
      </c>
      <c r="H1492" t="s">
        <v>4225</v>
      </c>
    </row>
    <row r="1493" spans="2:8" x14ac:dyDescent="0.25">
      <c r="B1493" t="s">
        <v>3393</v>
      </c>
      <c r="C1493">
        <v>2021</v>
      </c>
      <c r="D1493" t="s">
        <v>3457</v>
      </c>
      <c r="E1493" t="s">
        <v>2615</v>
      </c>
      <c r="F1493" t="s">
        <v>2616</v>
      </c>
      <c r="G1493" t="s">
        <v>2647</v>
      </c>
      <c r="H1493" t="s">
        <v>2518</v>
      </c>
    </row>
    <row r="1494" spans="2:8" x14ac:dyDescent="0.25">
      <c r="B1494" t="s">
        <v>3393</v>
      </c>
      <c r="C1494">
        <v>2021</v>
      </c>
      <c r="D1494" t="s">
        <v>3457</v>
      </c>
      <c r="E1494" t="s">
        <v>2615</v>
      </c>
      <c r="F1494" t="s">
        <v>2616</v>
      </c>
      <c r="G1494" t="s">
        <v>2648</v>
      </c>
      <c r="H1494" t="s">
        <v>4295</v>
      </c>
    </row>
    <row r="1495" spans="2:8" x14ac:dyDescent="0.25">
      <c r="B1495" t="s">
        <v>3393</v>
      </c>
      <c r="C1495">
        <v>2021</v>
      </c>
      <c r="D1495" t="s">
        <v>3457</v>
      </c>
      <c r="E1495" t="s">
        <v>2615</v>
      </c>
      <c r="F1495" t="s">
        <v>2616</v>
      </c>
      <c r="G1495" t="s">
        <v>2649</v>
      </c>
      <c r="H1495" t="s">
        <v>4296</v>
      </c>
    </row>
    <row r="1496" spans="2:8" x14ac:dyDescent="0.25">
      <c r="B1496" t="s">
        <v>3393</v>
      </c>
      <c r="C1496">
        <v>2021</v>
      </c>
      <c r="D1496" t="s">
        <v>3457</v>
      </c>
      <c r="E1496" t="s">
        <v>2615</v>
      </c>
      <c r="F1496" t="s">
        <v>2616</v>
      </c>
      <c r="G1496" t="s">
        <v>2650</v>
      </c>
      <c r="H1496" t="s">
        <v>4292</v>
      </c>
    </row>
    <row r="1497" spans="2:8" x14ac:dyDescent="0.25">
      <c r="B1497" t="s">
        <v>3393</v>
      </c>
      <c r="C1497">
        <v>2021</v>
      </c>
      <c r="D1497" t="s">
        <v>3457</v>
      </c>
      <c r="E1497" t="s">
        <v>2615</v>
      </c>
      <c r="F1497" t="s">
        <v>2616</v>
      </c>
      <c r="G1497" t="s">
        <v>2651</v>
      </c>
      <c r="H1497" t="s">
        <v>2518</v>
      </c>
    </row>
    <row r="1498" spans="2:8" x14ac:dyDescent="0.25">
      <c r="B1498" t="s">
        <v>3393</v>
      </c>
      <c r="C1498">
        <v>2021</v>
      </c>
      <c r="D1498" t="s">
        <v>3457</v>
      </c>
      <c r="E1498" t="s">
        <v>2615</v>
      </c>
      <c r="F1498" t="s">
        <v>2616</v>
      </c>
      <c r="G1498" t="s">
        <v>2652</v>
      </c>
      <c r="H1498" t="s">
        <v>4261</v>
      </c>
    </row>
    <row r="1499" spans="2:8" x14ac:dyDescent="0.25">
      <c r="B1499" t="s">
        <v>3393</v>
      </c>
      <c r="C1499">
        <v>2021</v>
      </c>
      <c r="D1499" t="s">
        <v>3457</v>
      </c>
      <c r="E1499" t="s">
        <v>2615</v>
      </c>
      <c r="F1499" t="s">
        <v>2616</v>
      </c>
      <c r="G1499" t="s">
        <v>2653</v>
      </c>
      <c r="H1499" t="s">
        <v>1993</v>
      </c>
    </row>
    <row r="1500" spans="2:8" x14ac:dyDescent="0.25">
      <c r="B1500" t="s">
        <v>3393</v>
      </c>
      <c r="C1500">
        <v>2021</v>
      </c>
      <c r="D1500" t="s">
        <v>3457</v>
      </c>
      <c r="E1500" t="s">
        <v>2615</v>
      </c>
      <c r="F1500" t="s">
        <v>2616</v>
      </c>
      <c r="G1500" t="s">
        <v>2654</v>
      </c>
      <c r="H1500" t="s">
        <v>4292</v>
      </c>
    </row>
    <row r="1501" spans="2:8" x14ac:dyDescent="0.25">
      <c r="B1501" t="s">
        <v>3393</v>
      </c>
      <c r="C1501">
        <v>2021</v>
      </c>
      <c r="D1501" t="s">
        <v>3457</v>
      </c>
      <c r="E1501" t="s">
        <v>2615</v>
      </c>
      <c r="F1501" t="s">
        <v>2616</v>
      </c>
      <c r="G1501" t="s">
        <v>2655</v>
      </c>
      <c r="H1501" t="s">
        <v>2643</v>
      </c>
    </row>
    <row r="1502" spans="2:8" x14ac:dyDescent="0.25">
      <c r="B1502" t="s">
        <v>3393</v>
      </c>
      <c r="C1502">
        <v>2021</v>
      </c>
      <c r="D1502" t="s">
        <v>3457</v>
      </c>
      <c r="E1502" t="s">
        <v>2615</v>
      </c>
      <c r="F1502" t="s">
        <v>2616</v>
      </c>
      <c r="G1502" t="s">
        <v>2656</v>
      </c>
      <c r="H1502" t="s">
        <v>4297</v>
      </c>
    </row>
    <row r="1503" spans="2:8" x14ac:dyDescent="0.25">
      <c r="B1503" t="s">
        <v>3393</v>
      </c>
      <c r="C1503">
        <v>2021</v>
      </c>
      <c r="D1503" t="s">
        <v>3457</v>
      </c>
      <c r="E1503" t="s">
        <v>2615</v>
      </c>
      <c r="F1503" t="s">
        <v>2616</v>
      </c>
      <c r="G1503" t="s">
        <v>2657</v>
      </c>
      <c r="H1503" t="s">
        <v>4298</v>
      </c>
    </row>
    <row r="1504" spans="2:8" x14ac:dyDescent="0.25">
      <c r="B1504" t="s">
        <v>3393</v>
      </c>
      <c r="C1504">
        <v>2021</v>
      </c>
      <c r="D1504" t="s">
        <v>3457</v>
      </c>
      <c r="E1504" t="s">
        <v>2615</v>
      </c>
      <c r="F1504" t="s">
        <v>2616</v>
      </c>
      <c r="G1504" t="s">
        <v>2658</v>
      </c>
      <c r="H1504" t="s">
        <v>4225</v>
      </c>
    </row>
    <row r="1505" spans="2:8" x14ac:dyDescent="0.25">
      <c r="B1505" t="s">
        <v>3393</v>
      </c>
      <c r="C1505">
        <v>2021</v>
      </c>
      <c r="D1505" t="s">
        <v>3457</v>
      </c>
      <c r="E1505" t="s">
        <v>2615</v>
      </c>
      <c r="F1505" t="s">
        <v>2616</v>
      </c>
      <c r="G1505" t="s">
        <v>2659</v>
      </c>
      <c r="H1505" t="s">
        <v>2518</v>
      </c>
    </row>
    <row r="1506" spans="2:8" x14ac:dyDescent="0.25">
      <c r="B1506" t="s">
        <v>3393</v>
      </c>
      <c r="C1506">
        <v>2021</v>
      </c>
      <c r="D1506" t="s">
        <v>3457</v>
      </c>
      <c r="E1506" t="s">
        <v>2615</v>
      </c>
      <c r="F1506" t="s">
        <v>2616</v>
      </c>
      <c r="G1506" t="s">
        <v>2660</v>
      </c>
      <c r="H1506" t="s">
        <v>4299</v>
      </c>
    </row>
    <row r="1507" spans="2:8" x14ac:dyDescent="0.25">
      <c r="B1507" t="s">
        <v>3393</v>
      </c>
      <c r="C1507">
        <v>2021</v>
      </c>
      <c r="D1507" t="s">
        <v>3457</v>
      </c>
      <c r="E1507" t="s">
        <v>2615</v>
      </c>
      <c r="F1507" t="s">
        <v>2616</v>
      </c>
      <c r="G1507" t="s">
        <v>2662</v>
      </c>
      <c r="H1507" t="s">
        <v>4263</v>
      </c>
    </row>
    <row r="1508" spans="2:8" x14ac:dyDescent="0.25">
      <c r="B1508" t="s">
        <v>3393</v>
      </c>
      <c r="C1508">
        <v>2021</v>
      </c>
      <c r="D1508" t="s">
        <v>3457</v>
      </c>
      <c r="E1508" t="s">
        <v>2615</v>
      </c>
      <c r="F1508" t="s">
        <v>2616</v>
      </c>
      <c r="G1508" t="s">
        <v>2663</v>
      </c>
      <c r="H1508" t="s">
        <v>4292</v>
      </c>
    </row>
    <row r="1509" spans="2:8" x14ac:dyDescent="0.25">
      <c r="B1509" t="s">
        <v>3393</v>
      </c>
      <c r="C1509">
        <v>2021</v>
      </c>
      <c r="D1509" t="s">
        <v>3457</v>
      </c>
      <c r="E1509" t="s">
        <v>2603</v>
      </c>
      <c r="F1509" t="s">
        <v>2664</v>
      </c>
      <c r="G1509" t="s">
        <v>2665</v>
      </c>
      <c r="H1509" t="s">
        <v>2023</v>
      </c>
    </row>
    <row r="1510" spans="2:8" x14ac:dyDescent="0.25">
      <c r="B1510" t="s">
        <v>3393</v>
      </c>
      <c r="C1510">
        <v>2021</v>
      </c>
      <c r="D1510" t="s">
        <v>3457</v>
      </c>
      <c r="E1510" t="s">
        <v>2603</v>
      </c>
      <c r="F1510" t="s">
        <v>2664</v>
      </c>
      <c r="G1510" t="s">
        <v>2666</v>
      </c>
      <c r="H1510" t="s">
        <v>2171</v>
      </c>
    </row>
    <row r="1511" spans="2:8" x14ac:dyDescent="0.25">
      <c r="B1511" t="s">
        <v>3393</v>
      </c>
      <c r="C1511">
        <v>2021</v>
      </c>
      <c r="D1511" t="s">
        <v>3457</v>
      </c>
      <c r="E1511" t="s">
        <v>2603</v>
      </c>
      <c r="F1511" t="s">
        <v>2664</v>
      </c>
      <c r="G1511" t="s">
        <v>2667</v>
      </c>
      <c r="H1511" t="s">
        <v>2011</v>
      </c>
    </row>
    <row r="1512" spans="2:8" x14ac:dyDescent="0.25">
      <c r="B1512" t="s">
        <v>3393</v>
      </c>
      <c r="C1512">
        <v>2021</v>
      </c>
      <c r="D1512" t="s">
        <v>3457</v>
      </c>
      <c r="E1512" t="s">
        <v>2603</v>
      </c>
      <c r="F1512" t="s">
        <v>2664</v>
      </c>
      <c r="G1512" t="s">
        <v>2668</v>
      </c>
      <c r="H1512" t="s">
        <v>4300</v>
      </c>
    </row>
    <row r="1513" spans="2:8" x14ac:dyDescent="0.25">
      <c r="B1513" t="s">
        <v>3393</v>
      </c>
      <c r="C1513">
        <v>2021</v>
      </c>
      <c r="D1513" t="s">
        <v>3457</v>
      </c>
      <c r="E1513" t="s">
        <v>2603</v>
      </c>
      <c r="F1513" t="s">
        <v>2664</v>
      </c>
      <c r="G1513" t="s">
        <v>2669</v>
      </c>
      <c r="H1513" t="s">
        <v>4301</v>
      </c>
    </row>
    <row r="1514" spans="2:8" x14ac:dyDescent="0.25">
      <c r="B1514" t="s">
        <v>3393</v>
      </c>
      <c r="C1514">
        <v>2021</v>
      </c>
      <c r="D1514" t="s">
        <v>3457</v>
      </c>
      <c r="E1514" t="s">
        <v>2603</v>
      </c>
      <c r="F1514" t="s">
        <v>2664</v>
      </c>
      <c r="G1514" t="s">
        <v>2670</v>
      </c>
      <c r="H1514" t="s">
        <v>4302</v>
      </c>
    </row>
    <row r="1515" spans="2:8" x14ac:dyDescent="0.25">
      <c r="B1515" t="s">
        <v>3393</v>
      </c>
      <c r="C1515">
        <v>2021</v>
      </c>
      <c r="D1515" t="s">
        <v>3457</v>
      </c>
      <c r="E1515" t="s">
        <v>2603</v>
      </c>
      <c r="F1515" t="s">
        <v>2664</v>
      </c>
      <c r="G1515" t="s">
        <v>2671</v>
      </c>
      <c r="H1515" t="s">
        <v>4303</v>
      </c>
    </row>
    <row r="1516" spans="2:8" x14ac:dyDescent="0.25">
      <c r="B1516" t="s">
        <v>3393</v>
      </c>
      <c r="C1516">
        <v>2021</v>
      </c>
      <c r="D1516" t="s">
        <v>3457</v>
      </c>
      <c r="E1516" t="s">
        <v>2603</v>
      </c>
      <c r="F1516" t="s">
        <v>2664</v>
      </c>
      <c r="G1516" t="s">
        <v>2672</v>
      </c>
      <c r="H1516" t="s">
        <v>3968</v>
      </c>
    </row>
    <row r="1517" spans="2:8" x14ac:dyDescent="0.25">
      <c r="B1517" t="s">
        <v>3393</v>
      </c>
      <c r="C1517">
        <v>2021</v>
      </c>
      <c r="D1517" t="s">
        <v>3457</v>
      </c>
      <c r="E1517" t="s">
        <v>2603</v>
      </c>
      <c r="F1517" t="s">
        <v>2664</v>
      </c>
      <c r="G1517" t="s">
        <v>2673</v>
      </c>
      <c r="H1517" t="s">
        <v>4304</v>
      </c>
    </row>
    <row r="1518" spans="2:8" x14ac:dyDescent="0.25">
      <c r="B1518" t="s">
        <v>3393</v>
      </c>
      <c r="C1518">
        <v>2021</v>
      </c>
      <c r="D1518" t="s">
        <v>3457</v>
      </c>
      <c r="E1518" t="s">
        <v>2603</v>
      </c>
      <c r="F1518" t="s">
        <v>2664</v>
      </c>
      <c r="G1518" t="s">
        <v>2674</v>
      </c>
      <c r="H1518" t="s">
        <v>4305</v>
      </c>
    </row>
    <row r="1519" spans="2:8" x14ac:dyDescent="0.25">
      <c r="B1519" t="s">
        <v>3393</v>
      </c>
      <c r="C1519">
        <v>2021</v>
      </c>
      <c r="D1519" t="s">
        <v>3457</v>
      </c>
      <c r="E1519" t="s">
        <v>2675</v>
      </c>
      <c r="F1519" t="s">
        <v>2676</v>
      </c>
      <c r="G1519" t="s">
        <v>2677</v>
      </c>
      <c r="H1519" t="s">
        <v>2678</v>
      </c>
    </row>
    <row r="1520" spans="2:8" x14ac:dyDescent="0.25">
      <c r="B1520" t="s">
        <v>3393</v>
      </c>
      <c r="C1520">
        <v>2021</v>
      </c>
      <c r="D1520" t="s">
        <v>3457</v>
      </c>
      <c r="E1520" t="s">
        <v>2675</v>
      </c>
      <c r="F1520" t="s">
        <v>2676</v>
      </c>
      <c r="G1520" t="s">
        <v>2679</v>
      </c>
      <c r="H1520" t="s">
        <v>1993</v>
      </c>
    </row>
    <row r="1521" spans="2:8" x14ac:dyDescent="0.25">
      <c r="B1521" t="s">
        <v>3393</v>
      </c>
      <c r="C1521">
        <v>2021</v>
      </c>
      <c r="D1521" t="s">
        <v>3457</v>
      </c>
      <c r="E1521" t="s">
        <v>2675</v>
      </c>
      <c r="F1521" t="s">
        <v>2676</v>
      </c>
      <c r="G1521" t="s">
        <v>2680</v>
      </c>
      <c r="H1521" t="s">
        <v>4269</v>
      </c>
    </row>
    <row r="1522" spans="2:8" x14ac:dyDescent="0.25">
      <c r="B1522" t="s">
        <v>3393</v>
      </c>
      <c r="C1522">
        <v>2021</v>
      </c>
      <c r="D1522" t="s">
        <v>3457</v>
      </c>
      <c r="E1522" t="s">
        <v>2675</v>
      </c>
      <c r="F1522" t="s">
        <v>2676</v>
      </c>
      <c r="G1522" t="s">
        <v>2681</v>
      </c>
      <c r="H1522" t="s">
        <v>4306</v>
      </c>
    </row>
    <row r="1523" spans="2:8" x14ac:dyDescent="0.25">
      <c r="B1523" t="s">
        <v>3393</v>
      </c>
      <c r="C1523">
        <v>2021</v>
      </c>
      <c r="D1523" t="s">
        <v>3457</v>
      </c>
      <c r="E1523" t="s">
        <v>2675</v>
      </c>
      <c r="F1523" t="s">
        <v>2676</v>
      </c>
      <c r="G1523" t="s">
        <v>2682</v>
      </c>
      <c r="H1523" t="s">
        <v>2678</v>
      </c>
    </row>
    <row r="1524" spans="2:8" x14ac:dyDescent="0.25">
      <c r="B1524" t="s">
        <v>3393</v>
      </c>
      <c r="C1524">
        <v>2021</v>
      </c>
      <c r="D1524" t="s">
        <v>3457</v>
      </c>
      <c r="E1524" t="s">
        <v>2675</v>
      </c>
      <c r="F1524" t="s">
        <v>2676</v>
      </c>
      <c r="G1524" t="s">
        <v>2683</v>
      </c>
      <c r="H1524" t="s">
        <v>1993</v>
      </c>
    </row>
    <row r="1525" spans="2:8" x14ac:dyDescent="0.25">
      <c r="B1525" t="s">
        <v>3393</v>
      </c>
      <c r="C1525">
        <v>2021</v>
      </c>
      <c r="D1525" t="s">
        <v>3457</v>
      </c>
      <c r="E1525" t="s">
        <v>2675</v>
      </c>
      <c r="F1525" t="s">
        <v>2676</v>
      </c>
      <c r="G1525" t="s">
        <v>2684</v>
      </c>
      <c r="H1525" t="s">
        <v>4270</v>
      </c>
    </row>
    <row r="1526" spans="2:8" x14ac:dyDescent="0.25">
      <c r="B1526" t="s">
        <v>3393</v>
      </c>
      <c r="C1526">
        <v>2021</v>
      </c>
      <c r="D1526" t="s">
        <v>3457</v>
      </c>
      <c r="E1526" t="s">
        <v>2675</v>
      </c>
      <c r="F1526" t="s">
        <v>2676</v>
      </c>
      <c r="G1526" t="s">
        <v>2685</v>
      </c>
      <c r="H1526" t="s">
        <v>4306</v>
      </c>
    </row>
    <row r="1527" spans="2:8" x14ac:dyDescent="0.25">
      <c r="B1527" t="s">
        <v>3393</v>
      </c>
      <c r="C1527">
        <v>2021</v>
      </c>
      <c r="D1527" t="s">
        <v>3457</v>
      </c>
      <c r="E1527" t="s">
        <v>2675</v>
      </c>
      <c r="F1527" t="s">
        <v>2676</v>
      </c>
      <c r="G1527" t="s">
        <v>2686</v>
      </c>
      <c r="H1527" t="s">
        <v>2518</v>
      </c>
    </row>
    <row r="1528" spans="2:8" x14ac:dyDescent="0.25">
      <c r="B1528" t="s">
        <v>3393</v>
      </c>
      <c r="C1528">
        <v>2021</v>
      </c>
      <c r="D1528" t="s">
        <v>3457</v>
      </c>
      <c r="E1528" t="s">
        <v>2675</v>
      </c>
      <c r="F1528" t="s">
        <v>2676</v>
      </c>
      <c r="G1528" t="s">
        <v>2687</v>
      </c>
      <c r="H1528" t="s">
        <v>4307</v>
      </c>
    </row>
    <row r="1529" spans="2:8" x14ac:dyDescent="0.25">
      <c r="B1529" t="s">
        <v>3393</v>
      </c>
      <c r="C1529">
        <v>2021</v>
      </c>
      <c r="D1529" t="s">
        <v>3457</v>
      </c>
      <c r="E1529" t="s">
        <v>2675</v>
      </c>
      <c r="F1529" t="s">
        <v>2676</v>
      </c>
      <c r="G1529" t="s">
        <v>2688</v>
      </c>
      <c r="H1529" t="s">
        <v>3381</v>
      </c>
    </row>
    <row r="1530" spans="2:8" x14ac:dyDescent="0.25">
      <c r="B1530" t="s">
        <v>3393</v>
      </c>
      <c r="C1530">
        <v>2021</v>
      </c>
      <c r="D1530" t="s">
        <v>3457</v>
      </c>
      <c r="E1530" t="s">
        <v>2675</v>
      </c>
      <c r="F1530" t="s">
        <v>2676</v>
      </c>
      <c r="G1530" t="s">
        <v>2689</v>
      </c>
      <c r="H1530" t="s">
        <v>4292</v>
      </c>
    </row>
    <row r="1531" spans="2:8" x14ac:dyDescent="0.25">
      <c r="B1531" t="s">
        <v>3393</v>
      </c>
      <c r="C1531">
        <v>2021</v>
      </c>
      <c r="D1531" t="s">
        <v>3457</v>
      </c>
      <c r="E1531" t="s">
        <v>2675</v>
      </c>
      <c r="F1531" t="s">
        <v>2676</v>
      </c>
      <c r="G1531" t="s">
        <v>2690</v>
      </c>
      <c r="H1531" t="s">
        <v>2518</v>
      </c>
    </row>
    <row r="1532" spans="2:8" x14ac:dyDescent="0.25">
      <c r="B1532" t="s">
        <v>3393</v>
      </c>
      <c r="C1532">
        <v>2021</v>
      </c>
      <c r="D1532" t="s">
        <v>3457</v>
      </c>
      <c r="E1532" t="s">
        <v>2675</v>
      </c>
      <c r="F1532" t="s">
        <v>2676</v>
      </c>
      <c r="G1532" t="s">
        <v>2691</v>
      </c>
      <c r="H1532" t="s">
        <v>4308</v>
      </c>
    </row>
    <row r="1533" spans="2:8" x14ac:dyDescent="0.25">
      <c r="B1533" t="s">
        <v>3393</v>
      </c>
      <c r="C1533">
        <v>2021</v>
      </c>
      <c r="D1533" t="s">
        <v>3457</v>
      </c>
      <c r="E1533" t="s">
        <v>2675</v>
      </c>
      <c r="F1533" t="s">
        <v>2676</v>
      </c>
      <c r="G1533" t="s">
        <v>2692</v>
      </c>
      <c r="H1533" t="s">
        <v>3341</v>
      </c>
    </row>
    <row r="1534" spans="2:8" x14ac:dyDescent="0.25">
      <c r="B1534" t="s">
        <v>3393</v>
      </c>
      <c r="C1534">
        <v>2021</v>
      </c>
      <c r="D1534" t="s">
        <v>3457</v>
      </c>
      <c r="E1534" t="s">
        <v>2675</v>
      </c>
      <c r="F1534" t="s">
        <v>2676</v>
      </c>
      <c r="G1534" t="s">
        <v>2693</v>
      </c>
      <c r="H1534" t="s">
        <v>4292</v>
      </c>
    </row>
    <row r="1535" spans="2:8" x14ac:dyDescent="0.25">
      <c r="B1535" t="s">
        <v>3393</v>
      </c>
      <c r="C1535">
        <v>2021</v>
      </c>
      <c r="D1535" t="s">
        <v>3457</v>
      </c>
      <c r="E1535" t="s">
        <v>2675</v>
      </c>
      <c r="F1535" t="s">
        <v>2676</v>
      </c>
      <c r="G1535" t="s">
        <v>2694</v>
      </c>
      <c r="H1535" t="s">
        <v>2518</v>
      </c>
    </row>
    <row r="1536" spans="2:8" x14ac:dyDescent="0.25">
      <c r="B1536" t="s">
        <v>3393</v>
      </c>
      <c r="C1536">
        <v>2021</v>
      </c>
      <c r="D1536" t="s">
        <v>3457</v>
      </c>
      <c r="E1536" t="s">
        <v>2675</v>
      </c>
      <c r="F1536" t="s">
        <v>2676</v>
      </c>
      <c r="G1536" t="s">
        <v>2695</v>
      </c>
      <c r="H1536" t="s">
        <v>1993</v>
      </c>
    </row>
    <row r="1537" spans="2:8" x14ac:dyDescent="0.25">
      <c r="B1537" t="s">
        <v>3393</v>
      </c>
      <c r="C1537">
        <v>2021</v>
      </c>
      <c r="D1537" t="s">
        <v>3457</v>
      </c>
      <c r="E1537" t="s">
        <v>2675</v>
      </c>
      <c r="F1537" t="s">
        <v>2676</v>
      </c>
      <c r="G1537" t="s">
        <v>2696</v>
      </c>
      <c r="H1537" t="s">
        <v>4273</v>
      </c>
    </row>
    <row r="1538" spans="2:8" x14ac:dyDescent="0.25">
      <c r="B1538" t="s">
        <v>3393</v>
      </c>
      <c r="C1538">
        <v>2021</v>
      </c>
      <c r="D1538" t="s">
        <v>3457</v>
      </c>
      <c r="E1538" t="s">
        <v>2675</v>
      </c>
      <c r="F1538" t="s">
        <v>2676</v>
      </c>
      <c r="G1538" t="s">
        <v>2697</v>
      </c>
      <c r="H1538" t="s">
        <v>4292</v>
      </c>
    </row>
    <row r="1539" spans="2:8" x14ac:dyDescent="0.25">
      <c r="B1539" t="s">
        <v>3393</v>
      </c>
      <c r="C1539">
        <v>2021</v>
      </c>
      <c r="D1539" t="s">
        <v>3457</v>
      </c>
      <c r="E1539" t="s">
        <v>2675</v>
      </c>
      <c r="F1539" t="s">
        <v>2676</v>
      </c>
      <c r="G1539" t="s">
        <v>2698</v>
      </c>
      <c r="H1539" t="s">
        <v>2518</v>
      </c>
    </row>
    <row r="1540" spans="2:8" x14ac:dyDescent="0.25">
      <c r="B1540" t="s">
        <v>3393</v>
      </c>
      <c r="C1540">
        <v>2021</v>
      </c>
      <c r="D1540" t="s">
        <v>3457</v>
      </c>
      <c r="E1540" t="s">
        <v>2675</v>
      </c>
      <c r="F1540" t="s">
        <v>2676</v>
      </c>
      <c r="G1540" t="s">
        <v>2699</v>
      </c>
      <c r="H1540" t="s">
        <v>4309</v>
      </c>
    </row>
    <row r="1541" spans="2:8" x14ac:dyDescent="0.25">
      <c r="B1541" t="s">
        <v>3393</v>
      </c>
      <c r="C1541">
        <v>2021</v>
      </c>
      <c r="D1541" t="s">
        <v>3457</v>
      </c>
      <c r="E1541" t="s">
        <v>2675</v>
      </c>
      <c r="F1541" t="s">
        <v>2676</v>
      </c>
      <c r="G1541" t="s">
        <v>2700</v>
      </c>
      <c r="H1541" t="s">
        <v>4310</v>
      </c>
    </row>
    <row r="1542" spans="2:8" x14ac:dyDescent="0.25">
      <c r="B1542" t="s">
        <v>3393</v>
      </c>
      <c r="C1542">
        <v>2021</v>
      </c>
      <c r="D1542" t="s">
        <v>3457</v>
      </c>
      <c r="E1542" t="s">
        <v>2675</v>
      </c>
      <c r="F1542" t="s">
        <v>2676</v>
      </c>
      <c r="G1542" t="s">
        <v>2701</v>
      </c>
      <c r="H1542" t="s">
        <v>4292</v>
      </c>
    </row>
    <row r="1543" spans="2:8" x14ac:dyDescent="0.25">
      <c r="B1543" t="s">
        <v>3393</v>
      </c>
      <c r="C1543">
        <v>2021</v>
      </c>
      <c r="D1543" t="s">
        <v>3457</v>
      </c>
      <c r="E1543" t="s">
        <v>2675</v>
      </c>
      <c r="F1543" t="s">
        <v>2676</v>
      </c>
      <c r="G1543" t="s">
        <v>2702</v>
      </c>
      <c r="H1543" t="s">
        <v>2518</v>
      </c>
    </row>
    <row r="1544" spans="2:8" x14ac:dyDescent="0.25">
      <c r="B1544" t="s">
        <v>3393</v>
      </c>
      <c r="C1544">
        <v>2021</v>
      </c>
      <c r="D1544" t="s">
        <v>3457</v>
      </c>
      <c r="E1544" t="s">
        <v>2675</v>
      </c>
      <c r="F1544" t="s">
        <v>2676</v>
      </c>
      <c r="G1544" t="s">
        <v>2703</v>
      </c>
      <c r="H1544" t="s">
        <v>1993</v>
      </c>
    </row>
    <row r="1545" spans="2:8" x14ac:dyDescent="0.25">
      <c r="B1545" t="s">
        <v>3393</v>
      </c>
      <c r="C1545">
        <v>2021</v>
      </c>
      <c r="D1545" t="s">
        <v>3457</v>
      </c>
      <c r="E1545" t="s">
        <v>2675</v>
      </c>
      <c r="F1545" t="s">
        <v>2676</v>
      </c>
      <c r="G1545" t="s">
        <v>2704</v>
      </c>
      <c r="H1545" t="s">
        <v>4275</v>
      </c>
    </row>
    <row r="1546" spans="2:8" x14ac:dyDescent="0.25">
      <c r="B1546" t="s">
        <v>3393</v>
      </c>
      <c r="C1546">
        <v>2021</v>
      </c>
      <c r="D1546" t="s">
        <v>3457</v>
      </c>
      <c r="E1546" t="s">
        <v>2675</v>
      </c>
      <c r="F1546" t="s">
        <v>2676</v>
      </c>
      <c r="G1546" t="s">
        <v>2705</v>
      </c>
      <c r="H1546" t="s">
        <v>4292</v>
      </c>
    </row>
    <row r="1547" spans="2:8" x14ac:dyDescent="0.25">
      <c r="B1547" t="s">
        <v>3393</v>
      </c>
      <c r="C1547">
        <v>2021</v>
      </c>
      <c r="D1547" t="s">
        <v>3457</v>
      </c>
      <c r="E1547" t="s">
        <v>2675</v>
      </c>
      <c r="F1547" t="s">
        <v>2676</v>
      </c>
      <c r="G1547" t="s">
        <v>2706</v>
      </c>
      <c r="H1547" t="s">
        <v>3003</v>
      </c>
    </row>
    <row r="1548" spans="2:8" x14ac:dyDescent="0.25">
      <c r="B1548" t="s">
        <v>3393</v>
      </c>
      <c r="C1548">
        <v>2021</v>
      </c>
      <c r="D1548" t="s">
        <v>3457</v>
      </c>
      <c r="E1548" t="s">
        <v>2675</v>
      </c>
      <c r="F1548" t="s">
        <v>2676</v>
      </c>
      <c r="G1548" t="s">
        <v>2707</v>
      </c>
      <c r="H1548" t="s">
        <v>4311</v>
      </c>
    </row>
    <row r="1549" spans="2:8" x14ac:dyDescent="0.25">
      <c r="B1549" t="s">
        <v>3393</v>
      </c>
      <c r="C1549">
        <v>2021</v>
      </c>
      <c r="D1549" t="s">
        <v>3457</v>
      </c>
      <c r="E1549" t="s">
        <v>2675</v>
      </c>
      <c r="F1549" t="s">
        <v>2676</v>
      </c>
      <c r="G1549" t="s">
        <v>2708</v>
      </c>
      <c r="H1549" t="s">
        <v>4312</v>
      </c>
    </row>
    <row r="1550" spans="2:8" x14ac:dyDescent="0.25">
      <c r="B1550" t="s">
        <v>3393</v>
      </c>
      <c r="C1550">
        <v>2021</v>
      </c>
      <c r="D1550" t="s">
        <v>3457</v>
      </c>
      <c r="E1550" t="s">
        <v>2675</v>
      </c>
      <c r="F1550" t="s">
        <v>2676</v>
      </c>
      <c r="G1550" t="s">
        <v>2709</v>
      </c>
      <c r="H1550" t="s">
        <v>4292</v>
      </c>
    </row>
    <row r="1551" spans="2:8" x14ac:dyDescent="0.25">
      <c r="B1551" t="s">
        <v>3393</v>
      </c>
      <c r="C1551">
        <v>2021</v>
      </c>
      <c r="D1551" t="s">
        <v>3457</v>
      </c>
      <c r="E1551" t="s">
        <v>2675</v>
      </c>
      <c r="F1551" t="s">
        <v>2676</v>
      </c>
      <c r="G1551" t="s">
        <v>2710</v>
      </c>
      <c r="H1551" t="s">
        <v>2711</v>
      </c>
    </row>
    <row r="1552" spans="2:8" x14ac:dyDescent="0.25">
      <c r="B1552" t="s">
        <v>3393</v>
      </c>
      <c r="C1552">
        <v>2021</v>
      </c>
      <c r="D1552" t="s">
        <v>3457</v>
      </c>
      <c r="E1552" t="s">
        <v>2675</v>
      </c>
      <c r="F1552" t="s">
        <v>2676</v>
      </c>
      <c r="G1552" t="s">
        <v>2712</v>
      </c>
      <c r="H1552" t="s">
        <v>3652</v>
      </c>
    </row>
    <row r="1553" spans="2:8" x14ac:dyDescent="0.25">
      <c r="B1553" t="s">
        <v>3393</v>
      </c>
      <c r="C1553">
        <v>2021</v>
      </c>
      <c r="D1553" t="s">
        <v>3457</v>
      </c>
      <c r="E1553" t="s">
        <v>2675</v>
      </c>
      <c r="F1553" t="s">
        <v>2676</v>
      </c>
      <c r="G1553" t="s">
        <v>2713</v>
      </c>
      <c r="H1553" t="s">
        <v>1993</v>
      </c>
    </row>
    <row r="1554" spans="2:8" x14ac:dyDescent="0.25">
      <c r="B1554" t="s">
        <v>3393</v>
      </c>
      <c r="C1554">
        <v>2021</v>
      </c>
      <c r="D1554" t="s">
        <v>3457</v>
      </c>
      <c r="E1554" t="s">
        <v>2675</v>
      </c>
      <c r="F1554" t="s">
        <v>2676</v>
      </c>
      <c r="G1554" t="s">
        <v>2714</v>
      </c>
      <c r="H1554" t="s">
        <v>3280</v>
      </c>
    </row>
    <row r="1555" spans="2:8" x14ac:dyDescent="0.25">
      <c r="B1555" t="s">
        <v>3393</v>
      </c>
      <c r="C1555">
        <v>2021</v>
      </c>
      <c r="D1555" t="s">
        <v>3457</v>
      </c>
      <c r="E1555" t="s">
        <v>2675</v>
      </c>
      <c r="F1555" t="s">
        <v>2676</v>
      </c>
      <c r="G1555" t="s">
        <v>2715</v>
      </c>
      <c r="H1555" t="s">
        <v>2518</v>
      </c>
    </row>
    <row r="1556" spans="2:8" x14ac:dyDescent="0.25">
      <c r="B1556" t="s">
        <v>3393</v>
      </c>
      <c r="C1556">
        <v>2021</v>
      </c>
      <c r="D1556" t="s">
        <v>3457</v>
      </c>
      <c r="E1556" t="s">
        <v>2675</v>
      </c>
      <c r="F1556" t="s">
        <v>2676</v>
      </c>
      <c r="G1556" t="s">
        <v>2716</v>
      </c>
      <c r="H1556" t="s">
        <v>4279</v>
      </c>
    </row>
    <row r="1557" spans="2:8" x14ac:dyDescent="0.25">
      <c r="B1557" t="s">
        <v>3393</v>
      </c>
      <c r="C1557">
        <v>2021</v>
      </c>
      <c r="D1557" t="s">
        <v>3457</v>
      </c>
      <c r="E1557" t="s">
        <v>2675</v>
      </c>
      <c r="F1557" t="s">
        <v>2676</v>
      </c>
      <c r="G1557" t="s">
        <v>2717</v>
      </c>
      <c r="H1557" t="s">
        <v>1993</v>
      </c>
    </row>
    <row r="1558" spans="2:8" x14ac:dyDescent="0.25">
      <c r="B1558" t="s">
        <v>3393</v>
      </c>
      <c r="C1558">
        <v>2021</v>
      </c>
      <c r="D1558" t="s">
        <v>3457</v>
      </c>
      <c r="E1558" t="s">
        <v>2675</v>
      </c>
      <c r="F1558" t="s">
        <v>2676</v>
      </c>
      <c r="G1558" t="s">
        <v>2718</v>
      </c>
      <c r="H1558" t="s">
        <v>4292</v>
      </c>
    </row>
    <row r="1559" spans="2:8" x14ac:dyDescent="0.25">
      <c r="B1559" t="s">
        <v>3393</v>
      </c>
      <c r="C1559">
        <v>2021</v>
      </c>
      <c r="D1559" t="s">
        <v>3457</v>
      </c>
      <c r="E1559" t="s">
        <v>2675</v>
      </c>
      <c r="F1559" t="s">
        <v>2676</v>
      </c>
      <c r="G1559" t="s">
        <v>2719</v>
      </c>
      <c r="H1559" t="s">
        <v>2518</v>
      </c>
    </row>
    <row r="1560" spans="2:8" x14ac:dyDescent="0.25">
      <c r="B1560" t="s">
        <v>3393</v>
      </c>
      <c r="C1560">
        <v>2021</v>
      </c>
      <c r="D1560" t="s">
        <v>3457</v>
      </c>
      <c r="E1560" t="s">
        <v>2675</v>
      </c>
      <c r="F1560" t="s">
        <v>2676</v>
      </c>
      <c r="G1560" t="s">
        <v>2720</v>
      </c>
      <c r="H1560" t="s">
        <v>4280</v>
      </c>
    </row>
    <row r="1561" spans="2:8" x14ac:dyDescent="0.25">
      <c r="B1561" t="s">
        <v>3393</v>
      </c>
      <c r="C1561">
        <v>2021</v>
      </c>
      <c r="D1561" t="s">
        <v>3457</v>
      </c>
      <c r="E1561" t="s">
        <v>2675</v>
      </c>
      <c r="F1561" t="s">
        <v>2676</v>
      </c>
      <c r="G1561" t="s">
        <v>2721</v>
      </c>
      <c r="H1561" t="s">
        <v>1993</v>
      </c>
    </row>
    <row r="1562" spans="2:8" x14ac:dyDescent="0.25">
      <c r="B1562" t="s">
        <v>3393</v>
      </c>
      <c r="C1562">
        <v>2021</v>
      </c>
      <c r="D1562" t="s">
        <v>3457</v>
      </c>
      <c r="E1562" t="s">
        <v>2675</v>
      </c>
      <c r="F1562" t="s">
        <v>2676</v>
      </c>
      <c r="G1562" t="s">
        <v>2722</v>
      </c>
      <c r="H1562" t="s">
        <v>4292</v>
      </c>
    </row>
    <row r="1563" spans="2:8" x14ac:dyDescent="0.25">
      <c r="B1563" t="s">
        <v>3393</v>
      </c>
      <c r="C1563">
        <v>2021</v>
      </c>
      <c r="D1563" t="s">
        <v>3457</v>
      </c>
      <c r="E1563" t="s">
        <v>2675</v>
      </c>
      <c r="F1563" t="s">
        <v>2676</v>
      </c>
      <c r="G1563" t="s">
        <v>2723</v>
      </c>
      <c r="H1563" t="s">
        <v>2518</v>
      </c>
    </row>
    <row r="1564" spans="2:8" x14ac:dyDescent="0.25">
      <c r="B1564" t="s">
        <v>3393</v>
      </c>
      <c r="C1564">
        <v>2021</v>
      </c>
      <c r="D1564" t="s">
        <v>3457</v>
      </c>
      <c r="E1564" t="s">
        <v>2675</v>
      </c>
      <c r="F1564" t="s">
        <v>2676</v>
      </c>
      <c r="G1564" t="s">
        <v>2724</v>
      </c>
      <c r="H1564" t="s">
        <v>1993</v>
      </c>
    </row>
    <row r="1565" spans="2:8" x14ac:dyDescent="0.25">
      <c r="B1565" t="s">
        <v>3393</v>
      </c>
      <c r="C1565">
        <v>2021</v>
      </c>
      <c r="D1565" t="s">
        <v>3457</v>
      </c>
      <c r="E1565" t="s">
        <v>2675</v>
      </c>
      <c r="F1565" t="s">
        <v>2676</v>
      </c>
      <c r="G1565" t="s">
        <v>2725</v>
      </c>
      <c r="H1565" t="s">
        <v>1993</v>
      </c>
    </row>
    <row r="1566" spans="2:8" x14ac:dyDescent="0.25">
      <c r="B1566" t="s">
        <v>3393</v>
      </c>
      <c r="C1566">
        <v>2021</v>
      </c>
      <c r="D1566" t="s">
        <v>3457</v>
      </c>
      <c r="E1566" t="s">
        <v>2675</v>
      </c>
      <c r="F1566" t="s">
        <v>2676</v>
      </c>
      <c r="G1566" t="s">
        <v>2726</v>
      </c>
      <c r="H1566" t="s">
        <v>4292</v>
      </c>
    </row>
    <row r="1567" spans="2:8" x14ac:dyDescent="0.25">
      <c r="B1567" t="s">
        <v>3393</v>
      </c>
      <c r="C1567">
        <v>2021</v>
      </c>
      <c r="D1567" t="s">
        <v>3457</v>
      </c>
      <c r="E1567" t="s">
        <v>2675</v>
      </c>
      <c r="F1567" t="s">
        <v>2676</v>
      </c>
      <c r="G1567" t="s">
        <v>2727</v>
      </c>
      <c r="H1567" t="s">
        <v>2518</v>
      </c>
    </row>
    <row r="1568" spans="2:8" x14ac:dyDescent="0.25">
      <c r="B1568" t="s">
        <v>3393</v>
      </c>
      <c r="C1568">
        <v>2021</v>
      </c>
      <c r="D1568" t="s">
        <v>3457</v>
      </c>
      <c r="E1568" t="s">
        <v>2675</v>
      </c>
      <c r="F1568" t="s">
        <v>2676</v>
      </c>
      <c r="G1568" t="s">
        <v>2728</v>
      </c>
      <c r="H1568" t="s">
        <v>4281</v>
      </c>
    </row>
    <row r="1569" spans="2:8" x14ac:dyDescent="0.25">
      <c r="B1569" t="s">
        <v>3393</v>
      </c>
      <c r="C1569">
        <v>2021</v>
      </c>
      <c r="D1569" t="s">
        <v>3457</v>
      </c>
      <c r="E1569" t="s">
        <v>2675</v>
      </c>
      <c r="F1569" t="s">
        <v>2676</v>
      </c>
      <c r="G1569" t="s">
        <v>2729</v>
      </c>
      <c r="H1569" t="s">
        <v>1993</v>
      </c>
    </row>
    <row r="1570" spans="2:8" x14ac:dyDescent="0.25">
      <c r="B1570" t="s">
        <v>3393</v>
      </c>
      <c r="C1570">
        <v>2021</v>
      </c>
      <c r="D1570" t="s">
        <v>3457</v>
      </c>
      <c r="E1570" t="s">
        <v>2675</v>
      </c>
      <c r="F1570" t="s">
        <v>2676</v>
      </c>
      <c r="G1570" t="s">
        <v>2730</v>
      </c>
      <c r="H1570" t="s">
        <v>4292</v>
      </c>
    </row>
    <row r="1571" spans="2:8" x14ac:dyDescent="0.25">
      <c r="B1571" t="s">
        <v>3393</v>
      </c>
      <c r="C1571">
        <v>2021</v>
      </c>
      <c r="D1571" t="s">
        <v>3457</v>
      </c>
      <c r="E1571" t="s">
        <v>2675</v>
      </c>
      <c r="F1571" t="s">
        <v>2676</v>
      </c>
      <c r="G1571" t="s">
        <v>2731</v>
      </c>
      <c r="H1571" t="s">
        <v>2518</v>
      </c>
    </row>
    <row r="1572" spans="2:8" x14ac:dyDescent="0.25">
      <c r="B1572" t="s">
        <v>3393</v>
      </c>
      <c r="C1572">
        <v>2021</v>
      </c>
      <c r="D1572" t="s">
        <v>3457</v>
      </c>
      <c r="E1572" t="s">
        <v>2675</v>
      </c>
      <c r="F1572" t="s">
        <v>2676</v>
      </c>
      <c r="G1572" t="s">
        <v>2732</v>
      </c>
      <c r="H1572" t="s">
        <v>4282</v>
      </c>
    </row>
    <row r="1573" spans="2:8" x14ac:dyDescent="0.25">
      <c r="B1573" t="s">
        <v>3393</v>
      </c>
      <c r="C1573">
        <v>2021</v>
      </c>
      <c r="D1573" t="s">
        <v>3457</v>
      </c>
      <c r="E1573" t="s">
        <v>2675</v>
      </c>
      <c r="F1573" t="s">
        <v>2676</v>
      </c>
      <c r="G1573" t="s">
        <v>2733</v>
      </c>
      <c r="H1573" t="s">
        <v>1993</v>
      </c>
    </row>
    <row r="1574" spans="2:8" x14ac:dyDescent="0.25">
      <c r="B1574" t="s">
        <v>3393</v>
      </c>
      <c r="C1574">
        <v>2021</v>
      </c>
      <c r="D1574" t="s">
        <v>3457</v>
      </c>
      <c r="E1574" t="s">
        <v>2675</v>
      </c>
      <c r="F1574" t="s">
        <v>2676</v>
      </c>
      <c r="G1574" t="s">
        <v>2734</v>
      </c>
      <c r="H1574" t="s">
        <v>4292</v>
      </c>
    </row>
    <row r="1575" spans="2:8" x14ac:dyDescent="0.25">
      <c r="B1575" t="s">
        <v>3393</v>
      </c>
      <c r="C1575">
        <v>2021</v>
      </c>
      <c r="D1575" t="s">
        <v>3457</v>
      </c>
      <c r="E1575" t="s">
        <v>2675</v>
      </c>
      <c r="F1575" t="s">
        <v>2676</v>
      </c>
      <c r="G1575" t="s">
        <v>2735</v>
      </c>
      <c r="H1575" t="s">
        <v>2518</v>
      </c>
    </row>
    <row r="1576" spans="2:8" x14ac:dyDescent="0.25">
      <c r="B1576" t="s">
        <v>3393</v>
      </c>
      <c r="C1576">
        <v>2021</v>
      </c>
      <c r="D1576" t="s">
        <v>3457</v>
      </c>
      <c r="E1576" t="s">
        <v>2675</v>
      </c>
      <c r="F1576" t="s">
        <v>2676</v>
      </c>
      <c r="G1576" t="s">
        <v>2736</v>
      </c>
      <c r="H1576" t="s">
        <v>1993</v>
      </c>
    </row>
    <row r="1577" spans="2:8" x14ac:dyDescent="0.25">
      <c r="B1577" t="s">
        <v>3393</v>
      </c>
      <c r="C1577">
        <v>2021</v>
      </c>
      <c r="D1577" t="s">
        <v>3457</v>
      </c>
      <c r="E1577" t="s">
        <v>2675</v>
      </c>
      <c r="F1577" t="s">
        <v>2676</v>
      </c>
      <c r="G1577" t="s">
        <v>2737</v>
      </c>
      <c r="H1577" t="s">
        <v>3643</v>
      </c>
    </row>
    <row r="1578" spans="2:8" x14ac:dyDescent="0.25">
      <c r="B1578" t="s">
        <v>3393</v>
      </c>
      <c r="C1578">
        <v>2021</v>
      </c>
      <c r="D1578" t="s">
        <v>3457</v>
      </c>
      <c r="E1578" t="s">
        <v>2675</v>
      </c>
      <c r="F1578" t="s">
        <v>2676</v>
      </c>
      <c r="G1578" t="s">
        <v>2738</v>
      </c>
      <c r="H1578" t="s">
        <v>4292</v>
      </c>
    </row>
    <row r="1579" spans="2:8" x14ac:dyDescent="0.25">
      <c r="B1579" t="s">
        <v>3393</v>
      </c>
      <c r="C1579">
        <v>2021</v>
      </c>
      <c r="D1579" t="s">
        <v>3457</v>
      </c>
      <c r="E1579" t="s">
        <v>2675</v>
      </c>
      <c r="F1579" t="s">
        <v>2676</v>
      </c>
      <c r="G1579" t="s">
        <v>2739</v>
      </c>
      <c r="H1579" t="s">
        <v>3309</v>
      </c>
    </row>
    <row r="1580" spans="2:8" x14ac:dyDescent="0.25">
      <c r="B1580" t="s">
        <v>3393</v>
      </c>
      <c r="C1580">
        <v>2021</v>
      </c>
      <c r="D1580" t="s">
        <v>3457</v>
      </c>
      <c r="E1580" t="s">
        <v>2675</v>
      </c>
      <c r="F1580" t="s">
        <v>2676</v>
      </c>
      <c r="G1580" t="s">
        <v>2740</v>
      </c>
      <c r="H1580" t="s">
        <v>4313</v>
      </c>
    </row>
    <row r="1581" spans="2:8" x14ac:dyDescent="0.25">
      <c r="B1581" t="s">
        <v>3393</v>
      </c>
      <c r="C1581">
        <v>2021</v>
      </c>
      <c r="D1581" t="s">
        <v>3457</v>
      </c>
      <c r="E1581" t="s">
        <v>2675</v>
      </c>
      <c r="F1581" t="s">
        <v>2676</v>
      </c>
      <c r="G1581" t="s">
        <v>2741</v>
      </c>
      <c r="H1581" t="s">
        <v>4314</v>
      </c>
    </row>
    <row r="1582" spans="2:8" x14ac:dyDescent="0.25">
      <c r="B1582" t="s">
        <v>3393</v>
      </c>
      <c r="C1582">
        <v>2021</v>
      </c>
      <c r="D1582" t="s">
        <v>3457</v>
      </c>
      <c r="E1582" t="s">
        <v>2675</v>
      </c>
      <c r="F1582" t="s">
        <v>2676</v>
      </c>
      <c r="G1582" t="s">
        <v>2742</v>
      </c>
      <c r="H1582" t="s">
        <v>3280</v>
      </c>
    </row>
    <row r="1583" spans="2:8" x14ac:dyDescent="0.25">
      <c r="B1583" t="s">
        <v>3393</v>
      </c>
      <c r="C1583">
        <v>2021</v>
      </c>
      <c r="D1583" t="s">
        <v>3457</v>
      </c>
      <c r="E1583" t="s">
        <v>2675</v>
      </c>
      <c r="F1583" t="s">
        <v>2676</v>
      </c>
      <c r="G1583" t="s">
        <v>2743</v>
      </c>
      <c r="H1583" t="s">
        <v>2744</v>
      </c>
    </row>
    <row r="1584" spans="2:8" x14ac:dyDescent="0.25">
      <c r="B1584" t="s">
        <v>3393</v>
      </c>
      <c r="C1584">
        <v>2021</v>
      </c>
      <c r="D1584" t="s">
        <v>3457</v>
      </c>
      <c r="E1584" t="s">
        <v>2675</v>
      </c>
      <c r="F1584" t="s">
        <v>2676</v>
      </c>
      <c r="G1584" t="s">
        <v>2745</v>
      </c>
      <c r="H1584" t="s">
        <v>3272</v>
      </c>
    </row>
    <row r="1585" spans="2:8" x14ac:dyDescent="0.25">
      <c r="B1585" t="s">
        <v>3393</v>
      </c>
      <c r="C1585">
        <v>2021</v>
      </c>
      <c r="D1585" t="s">
        <v>3457</v>
      </c>
      <c r="E1585" t="s">
        <v>2675</v>
      </c>
      <c r="F1585" t="s">
        <v>2676</v>
      </c>
      <c r="G1585" t="s">
        <v>2746</v>
      </c>
      <c r="H1585" t="s">
        <v>1993</v>
      </c>
    </row>
    <row r="1586" spans="2:8" x14ac:dyDescent="0.25">
      <c r="B1586" t="s">
        <v>3393</v>
      </c>
      <c r="C1586">
        <v>2021</v>
      </c>
      <c r="D1586" t="s">
        <v>3457</v>
      </c>
      <c r="E1586" t="s">
        <v>2675</v>
      </c>
      <c r="F1586" t="s">
        <v>2676</v>
      </c>
      <c r="G1586" t="s">
        <v>2747</v>
      </c>
      <c r="H1586" t="s">
        <v>2748</v>
      </c>
    </row>
    <row r="1587" spans="2:8" x14ac:dyDescent="0.25">
      <c r="B1587" t="s">
        <v>3393</v>
      </c>
      <c r="C1587">
        <v>2021</v>
      </c>
      <c r="D1587" t="s">
        <v>3457</v>
      </c>
      <c r="E1587" t="s">
        <v>2675</v>
      </c>
      <c r="F1587" t="s">
        <v>2676</v>
      </c>
      <c r="G1587" t="s">
        <v>2749</v>
      </c>
      <c r="H1587" t="s">
        <v>2518</v>
      </c>
    </row>
    <row r="1588" spans="2:8" x14ac:dyDescent="0.25">
      <c r="B1588" t="s">
        <v>3393</v>
      </c>
      <c r="C1588">
        <v>2021</v>
      </c>
      <c r="D1588" t="s">
        <v>3457</v>
      </c>
      <c r="E1588" t="s">
        <v>2675</v>
      </c>
      <c r="F1588" t="s">
        <v>2676</v>
      </c>
      <c r="G1588" t="s">
        <v>2750</v>
      </c>
      <c r="H1588" t="s">
        <v>1993</v>
      </c>
    </row>
    <row r="1589" spans="2:8" x14ac:dyDescent="0.25">
      <c r="B1589" t="s">
        <v>3393</v>
      </c>
      <c r="C1589">
        <v>2021</v>
      </c>
      <c r="D1589" t="s">
        <v>3457</v>
      </c>
      <c r="E1589" t="s">
        <v>2675</v>
      </c>
      <c r="F1589" t="s">
        <v>2676</v>
      </c>
      <c r="G1589" t="s">
        <v>2751</v>
      </c>
      <c r="H1589" t="s">
        <v>4286</v>
      </c>
    </row>
    <row r="1590" spans="2:8" x14ac:dyDescent="0.25">
      <c r="B1590" t="s">
        <v>3393</v>
      </c>
      <c r="C1590">
        <v>2021</v>
      </c>
      <c r="D1590" t="s">
        <v>3457</v>
      </c>
      <c r="E1590" t="s">
        <v>2675</v>
      </c>
      <c r="F1590" t="s">
        <v>2676</v>
      </c>
      <c r="G1590" t="s">
        <v>2752</v>
      </c>
      <c r="H1590" t="s">
        <v>4292</v>
      </c>
    </row>
    <row r="1591" spans="2:8" x14ac:dyDescent="0.25">
      <c r="B1591" t="s">
        <v>3393</v>
      </c>
      <c r="C1591">
        <v>2021</v>
      </c>
      <c r="D1591" t="s">
        <v>3457</v>
      </c>
      <c r="E1591" t="s">
        <v>2675</v>
      </c>
      <c r="F1591" t="s">
        <v>2676</v>
      </c>
      <c r="G1591" t="s">
        <v>2753</v>
      </c>
      <c r="H1591" t="s">
        <v>2518</v>
      </c>
    </row>
    <row r="1592" spans="2:8" x14ac:dyDescent="0.25">
      <c r="B1592" t="s">
        <v>3393</v>
      </c>
      <c r="C1592">
        <v>2021</v>
      </c>
      <c r="D1592" t="s">
        <v>3457</v>
      </c>
      <c r="E1592" t="s">
        <v>2675</v>
      </c>
      <c r="F1592" t="s">
        <v>2676</v>
      </c>
      <c r="G1592" t="s">
        <v>2754</v>
      </c>
      <c r="H1592" t="s">
        <v>3273</v>
      </c>
    </row>
    <row r="1593" spans="2:8" x14ac:dyDescent="0.25">
      <c r="B1593" t="s">
        <v>3393</v>
      </c>
      <c r="C1593">
        <v>2021</v>
      </c>
      <c r="D1593" t="s">
        <v>3457</v>
      </c>
      <c r="E1593" t="s">
        <v>2675</v>
      </c>
      <c r="F1593" t="s">
        <v>2676</v>
      </c>
      <c r="G1593" t="s">
        <v>2755</v>
      </c>
      <c r="H1593" t="s">
        <v>4315</v>
      </c>
    </row>
    <row r="1594" spans="2:8" x14ac:dyDescent="0.25">
      <c r="B1594" t="s">
        <v>3393</v>
      </c>
      <c r="C1594">
        <v>2021</v>
      </c>
      <c r="D1594" t="s">
        <v>3457</v>
      </c>
      <c r="E1594" t="s">
        <v>2675</v>
      </c>
      <c r="F1594" t="s">
        <v>2676</v>
      </c>
      <c r="G1594" t="s">
        <v>2756</v>
      </c>
      <c r="H1594" t="s">
        <v>4292</v>
      </c>
    </row>
    <row r="1595" spans="2:8" x14ac:dyDescent="0.25">
      <c r="B1595" t="s">
        <v>3393</v>
      </c>
      <c r="C1595">
        <v>2021</v>
      </c>
      <c r="D1595" t="s">
        <v>3457</v>
      </c>
      <c r="E1595" t="s">
        <v>2757</v>
      </c>
      <c r="F1595" t="s">
        <v>2758</v>
      </c>
      <c r="G1595" t="s">
        <v>1034</v>
      </c>
      <c r="H1595" t="s">
        <v>4316</v>
      </c>
    </row>
    <row r="1596" spans="2:8" x14ac:dyDescent="0.25">
      <c r="B1596" t="s">
        <v>3393</v>
      </c>
      <c r="C1596">
        <v>2021</v>
      </c>
      <c r="D1596" t="s">
        <v>3457</v>
      </c>
      <c r="E1596" t="s">
        <v>2757</v>
      </c>
      <c r="F1596" t="s">
        <v>2758</v>
      </c>
      <c r="G1596" t="s">
        <v>1032</v>
      </c>
      <c r="H1596" t="s">
        <v>3111</v>
      </c>
    </row>
    <row r="1597" spans="2:8" x14ac:dyDescent="0.25">
      <c r="B1597" t="s">
        <v>3393</v>
      </c>
      <c r="C1597">
        <v>2021</v>
      </c>
      <c r="D1597" t="s">
        <v>3457</v>
      </c>
      <c r="E1597" t="s">
        <v>2757</v>
      </c>
      <c r="F1597" t="s">
        <v>2758</v>
      </c>
      <c r="G1597" t="s">
        <v>2759</v>
      </c>
      <c r="H1597" t="s">
        <v>3350</v>
      </c>
    </row>
    <row r="1598" spans="2:8" x14ac:dyDescent="0.25">
      <c r="B1598" t="s">
        <v>3393</v>
      </c>
      <c r="C1598">
        <v>2021</v>
      </c>
      <c r="D1598" t="s">
        <v>3457</v>
      </c>
      <c r="E1598" t="s">
        <v>2760</v>
      </c>
      <c r="F1598" t="s">
        <v>2761</v>
      </c>
      <c r="G1598" t="s">
        <v>2762</v>
      </c>
      <c r="H1598" t="s">
        <v>4317</v>
      </c>
    </row>
    <row r="1599" spans="2:8" x14ac:dyDescent="0.25">
      <c r="B1599" t="s">
        <v>3393</v>
      </c>
      <c r="C1599">
        <v>2021</v>
      </c>
      <c r="D1599" t="s">
        <v>3457</v>
      </c>
      <c r="E1599" t="s">
        <v>2760</v>
      </c>
      <c r="F1599" t="s">
        <v>2761</v>
      </c>
      <c r="G1599" t="s">
        <v>2763</v>
      </c>
      <c r="H1599" t="s">
        <v>4318</v>
      </c>
    </row>
    <row r="1600" spans="2:8" x14ac:dyDescent="0.25">
      <c r="B1600" t="s">
        <v>3393</v>
      </c>
      <c r="C1600">
        <v>2021</v>
      </c>
      <c r="D1600" t="s">
        <v>3457</v>
      </c>
      <c r="E1600" t="s">
        <v>2760</v>
      </c>
      <c r="F1600" t="s">
        <v>2761</v>
      </c>
      <c r="G1600" t="s">
        <v>2764</v>
      </c>
      <c r="H1600" t="s">
        <v>4319</v>
      </c>
    </row>
    <row r="1601" spans="2:8" x14ac:dyDescent="0.25">
      <c r="B1601" t="s">
        <v>3393</v>
      </c>
      <c r="C1601">
        <v>2021</v>
      </c>
      <c r="D1601" t="s">
        <v>3457</v>
      </c>
      <c r="E1601" t="s">
        <v>2760</v>
      </c>
      <c r="F1601" t="s">
        <v>2761</v>
      </c>
      <c r="G1601" t="s">
        <v>2765</v>
      </c>
      <c r="H1601" t="s">
        <v>4320</v>
      </c>
    </row>
    <row r="1602" spans="2:8" x14ac:dyDescent="0.25">
      <c r="B1602" t="s">
        <v>3393</v>
      </c>
      <c r="C1602">
        <v>2021</v>
      </c>
      <c r="D1602" t="s">
        <v>3457</v>
      </c>
      <c r="E1602" t="s">
        <v>2760</v>
      </c>
      <c r="F1602" t="s">
        <v>2761</v>
      </c>
      <c r="G1602" t="s">
        <v>2766</v>
      </c>
      <c r="H1602" t="s">
        <v>4321</v>
      </c>
    </row>
    <row r="1603" spans="2:8" x14ac:dyDescent="0.25">
      <c r="B1603" t="s">
        <v>3393</v>
      </c>
      <c r="C1603">
        <v>2021</v>
      </c>
      <c r="D1603" t="s">
        <v>3457</v>
      </c>
      <c r="E1603" t="s">
        <v>2760</v>
      </c>
      <c r="F1603" t="s">
        <v>2761</v>
      </c>
      <c r="G1603" t="s">
        <v>2767</v>
      </c>
      <c r="H1603" t="s">
        <v>3369</v>
      </c>
    </row>
    <row r="1604" spans="2:8" x14ac:dyDescent="0.25">
      <c r="B1604" t="s">
        <v>3393</v>
      </c>
      <c r="C1604">
        <v>2021</v>
      </c>
      <c r="D1604" t="s">
        <v>3457</v>
      </c>
      <c r="E1604" t="s">
        <v>2760</v>
      </c>
      <c r="F1604" t="s">
        <v>2761</v>
      </c>
      <c r="G1604" t="s">
        <v>2768</v>
      </c>
      <c r="H1604" t="s">
        <v>1995</v>
      </c>
    </row>
    <row r="1605" spans="2:8" x14ac:dyDescent="0.25">
      <c r="B1605" t="s">
        <v>3393</v>
      </c>
      <c r="C1605">
        <v>2021</v>
      </c>
      <c r="D1605" t="s">
        <v>3457</v>
      </c>
      <c r="E1605" t="s">
        <v>2760</v>
      </c>
      <c r="F1605" t="s">
        <v>2761</v>
      </c>
      <c r="G1605" t="s">
        <v>2769</v>
      </c>
      <c r="H1605" t="s">
        <v>4322</v>
      </c>
    </row>
    <row r="1606" spans="2:8" x14ac:dyDescent="0.25">
      <c r="B1606" t="s">
        <v>3393</v>
      </c>
      <c r="C1606">
        <v>2021</v>
      </c>
      <c r="D1606" t="s">
        <v>3457</v>
      </c>
      <c r="E1606" t="s">
        <v>2760</v>
      </c>
      <c r="F1606" t="s">
        <v>2761</v>
      </c>
      <c r="G1606" t="s">
        <v>2770</v>
      </c>
      <c r="H1606" t="s">
        <v>4323</v>
      </c>
    </row>
    <row r="1607" spans="2:8" x14ac:dyDescent="0.25">
      <c r="B1607" t="s">
        <v>3393</v>
      </c>
      <c r="C1607">
        <v>2021</v>
      </c>
      <c r="D1607" t="s">
        <v>3457</v>
      </c>
      <c r="E1607" t="s">
        <v>2760</v>
      </c>
      <c r="F1607" t="s">
        <v>2761</v>
      </c>
      <c r="G1607" t="s">
        <v>2771</v>
      </c>
      <c r="H1607" t="s">
        <v>4324</v>
      </c>
    </row>
    <row r="1608" spans="2:8" x14ac:dyDescent="0.25">
      <c r="B1608" t="s">
        <v>3393</v>
      </c>
      <c r="C1608">
        <v>2021</v>
      </c>
      <c r="D1608" t="s">
        <v>3457</v>
      </c>
      <c r="E1608" t="s">
        <v>2760</v>
      </c>
      <c r="F1608" t="s">
        <v>2761</v>
      </c>
      <c r="G1608" t="s">
        <v>2772</v>
      </c>
      <c r="H1608" t="s">
        <v>4325</v>
      </c>
    </row>
    <row r="1609" spans="2:8" x14ac:dyDescent="0.25">
      <c r="B1609" t="s">
        <v>3393</v>
      </c>
      <c r="C1609">
        <v>2021</v>
      </c>
      <c r="D1609" t="s">
        <v>3457</v>
      </c>
      <c r="E1609" t="s">
        <v>2760</v>
      </c>
      <c r="F1609" t="s">
        <v>2761</v>
      </c>
      <c r="G1609" t="s">
        <v>2773</v>
      </c>
      <c r="H1609" t="s">
        <v>4326</v>
      </c>
    </row>
    <row r="1610" spans="2:8" x14ac:dyDescent="0.25">
      <c r="B1610" t="s">
        <v>3393</v>
      </c>
      <c r="C1610">
        <v>2021</v>
      </c>
      <c r="D1610" t="s">
        <v>3457</v>
      </c>
      <c r="E1610" t="s">
        <v>2760</v>
      </c>
      <c r="F1610" t="s">
        <v>2761</v>
      </c>
      <c r="G1610" t="s">
        <v>2774</v>
      </c>
      <c r="H1610" t="s">
        <v>4327</v>
      </c>
    </row>
    <row r="1611" spans="2:8" x14ac:dyDescent="0.25">
      <c r="B1611" t="s">
        <v>3393</v>
      </c>
      <c r="C1611">
        <v>2021</v>
      </c>
      <c r="D1611" t="s">
        <v>3457</v>
      </c>
      <c r="E1611" t="s">
        <v>2760</v>
      </c>
      <c r="F1611" t="s">
        <v>2761</v>
      </c>
      <c r="G1611" t="s">
        <v>2775</v>
      </c>
      <c r="H1611" t="s">
        <v>4328</v>
      </c>
    </row>
    <row r="1612" spans="2:8" x14ac:dyDescent="0.25">
      <c r="B1612" t="s">
        <v>3393</v>
      </c>
      <c r="C1612">
        <v>2021</v>
      </c>
      <c r="D1612" t="s">
        <v>3457</v>
      </c>
      <c r="E1612" t="s">
        <v>2760</v>
      </c>
      <c r="F1612" t="s">
        <v>2761</v>
      </c>
      <c r="G1612" t="s">
        <v>2776</v>
      </c>
      <c r="H1612" t="s">
        <v>4329</v>
      </c>
    </row>
    <row r="1613" spans="2:8" x14ac:dyDescent="0.25">
      <c r="B1613" t="s">
        <v>3393</v>
      </c>
      <c r="C1613">
        <v>2021</v>
      </c>
      <c r="D1613" t="s">
        <v>3457</v>
      </c>
      <c r="E1613" t="s">
        <v>2760</v>
      </c>
      <c r="F1613" t="s">
        <v>2761</v>
      </c>
      <c r="G1613" t="s">
        <v>2777</v>
      </c>
      <c r="H1613" t="s">
        <v>4330</v>
      </c>
    </row>
    <row r="1614" spans="2:8" x14ac:dyDescent="0.25">
      <c r="B1614" t="s">
        <v>3393</v>
      </c>
      <c r="C1614">
        <v>2021</v>
      </c>
      <c r="D1614" t="s">
        <v>3457</v>
      </c>
      <c r="E1614" t="s">
        <v>2760</v>
      </c>
      <c r="F1614" t="s">
        <v>2761</v>
      </c>
      <c r="G1614" t="s">
        <v>2778</v>
      </c>
      <c r="H1614" t="s">
        <v>4331</v>
      </c>
    </row>
    <row r="1615" spans="2:8" x14ac:dyDescent="0.25">
      <c r="B1615" t="s">
        <v>3393</v>
      </c>
      <c r="C1615">
        <v>2021</v>
      </c>
      <c r="D1615" t="s">
        <v>3457</v>
      </c>
      <c r="E1615" t="s">
        <v>2760</v>
      </c>
      <c r="F1615" t="s">
        <v>2761</v>
      </c>
      <c r="G1615" t="s">
        <v>2779</v>
      </c>
      <c r="H1615" t="s">
        <v>4332</v>
      </c>
    </row>
    <row r="1616" spans="2:8" x14ac:dyDescent="0.25">
      <c r="B1616" t="s">
        <v>3393</v>
      </c>
      <c r="C1616">
        <v>2021</v>
      </c>
      <c r="D1616" t="s">
        <v>3457</v>
      </c>
      <c r="E1616" t="s">
        <v>2760</v>
      </c>
      <c r="F1616" t="s">
        <v>2761</v>
      </c>
      <c r="G1616" t="s">
        <v>2780</v>
      </c>
      <c r="H1616" t="s">
        <v>4333</v>
      </c>
    </row>
    <row r="1617" spans="2:8" x14ac:dyDescent="0.25">
      <c r="B1617" t="s">
        <v>3393</v>
      </c>
      <c r="C1617">
        <v>2021</v>
      </c>
      <c r="D1617" t="s">
        <v>3457</v>
      </c>
      <c r="E1617" t="s">
        <v>2760</v>
      </c>
      <c r="F1617" t="s">
        <v>2761</v>
      </c>
      <c r="G1617" t="s">
        <v>2781</v>
      </c>
      <c r="H1617" t="s">
        <v>4334</v>
      </c>
    </row>
    <row r="1618" spans="2:8" x14ac:dyDescent="0.25">
      <c r="B1618" t="s">
        <v>3393</v>
      </c>
      <c r="C1618">
        <v>2021</v>
      </c>
      <c r="D1618" t="s">
        <v>3457</v>
      </c>
      <c r="E1618" t="s">
        <v>2760</v>
      </c>
      <c r="F1618" t="s">
        <v>2761</v>
      </c>
      <c r="G1618" t="s">
        <v>2782</v>
      </c>
      <c r="H1618" t="s">
        <v>4335</v>
      </c>
    </row>
    <row r="1619" spans="2:8" x14ac:dyDescent="0.25">
      <c r="B1619" t="s">
        <v>3393</v>
      </c>
      <c r="C1619">
        <v>2021</v>
      </c>
      <c r="D1619" t="s">
        <v>3457</v>
      </c>
      <c r="E1619" t="s">
        <v>2760</v>
      </c>
      <c r="F1619" t="s">
        <v>2761</v>
      </c>
      <c r="G1619" t="s">
        <v>2783</v>
      </c>
      <c r="H1619" t="s">
        <v>4336</v>
      </c>
    </row>
    <row r="1620" spans="2:8" x14ac:dyDescent="0.25">
      <c r="B1620" t="s">
        <v>3393</v>
      </c>
      <c r="C1620">
        <v>2021</v>
      </c>
      <c r="D1620" t="s">
        <v>3457</v>
      </c>
      <c r="E1620" t="s">
        <v>2760</v>
      </c>
      <c r="F1620" t="s">
        <v>2761</v>
      </c>
      <c r="G1620" t="s">
        <v>2784</v>
      </c>
      <c r="H1620" t="s">
        <v>4337</v>
      </c>
    </row>
    <row r="1621" spans="2:8" x14ac:dyDescent="0.25">
      <c r="B1621" t="s">
        <v>3393</v>
      </c>
      <c r="C1621">
        <v>2021</v>
      </c>
      <c r="D1621" t="s">
        <v>3457</v>
      </c>
      <c r="E1621" t="s">
        <v>2760</v>
      </c>
      <c r="F1621" t="s">
        <v>2761</v>
      </c>
      <c r="G1621" t="s">
        <v>2785</v>
      </c>
      <c r="H1621" t="s">
        <v>4338</v>
      </c>
    </row>
    <row r="1622" spans="2:8" x14ac:dyDescent="0.25">
      <c r="B1622" t="s">
        <v>3393</v>
      </c>
      <c r="C1622">
        <v>2021</v>
      </c>
      <c r="D1622" t="s">
        <v>3457</v>
      </c>
      <c r="E1622" t="s">
        <v>2760</v>
      </c>
      <c r="F1622" t="s">
        <v>2761</v>
      </c>
      <c r="G1622" t="s">
        <v>2786</v>
      </c>
      <c r="H1622" t="s">
        <v>4339</v>
      </c>
    </row>
    <row r="1623" spans="2:8" x14ac:dyDescent="0.25">
      <c r="B1623" t="s">
        <v>3393</v>
      </c>
      <c r="C1623">
        <v>2021</v>
      </c>
      <c r="D1623" t="s">
        <v>3457</v>
      </c>
      <c r="E1623" t="s">
        <v>2760</v>
      </c>
      <c r="F1623" t="s">
        <v>2761</v>
      </c>
      <c r="G1623" t="s">
        <v>2787</v>
      </c>
      <c r="H1623" t="s">
        <v>4340</v>
      </c>
    </row>
    <row r="1624" spans="2:8" x14ac:dyDescent="0.25">
      <c r="B1624" t="s">
        <v>3393</v>
      </c>
      <c r="C1624">
        <v>2021</v>
      </c>
      <c r="D1624" t="s">
        <v>3457</v>
      </c>
      <c r="E1624" t="s">
        <v>2760</v>
      </c>
      <c r="F1624" t="s">
        <v>2761</v>
      </c>
      <c r="G1624" t="s">
        <v>2788</v>
      </c>
      <c r="H1624" t="s">
        <v>4341</v>
      </c>
    </row>
    <row r="1625" spans="2:8" x14ac:dyDescent="0.25">
      <c r="B1625" t="s">
        <v>3393</v>
      </c>
      <c r="C1625">
        <v>2021</v>
      </c>
      <c r="D1625" t="s">
        <v>3457</v>
      </c>
      <c r="E1625" t="s">
        <v>2760</v>
      </c>
      <c r="F1625" t="s">
        <v>2761</v>
      </c>
      <c r="G1625" t="s">
        <v>2789</v>
      </c>
      <c r="H1625" t="s">
        <v>4342</v>
      </c>
    </row>
    <row r="1626" spans="2:8" x14ac:dyDescent="0.25">
      <c r="B1626" t="s">
        <v>3393</v>
      </c>
      <c r="C1626">
        <v>2021</v>
      </c>
      <c r="D1626" t="s">
        <v>3457</v>
      </c>
      <c r="E1626" t="s">
        <v>2760</v>
      </c>
      <c r="F1626" t="s">
        <v>2761</v>
      </c>
      <c r="G1626" t="s">
        <v>2790</v>
      </c>
      <c r="H1626" t="s">
        <v>4343</v>
      </c>
    </row>
    <row r="1627" spans="2:8" x14ac:dyDescent="0.25">
      <c r="B1627" t="s">
        <v>3393</v>
      </c>
      <c r="C1627">
        <v>2021</v>
      </c>
      <c r="D1627" t="s">
        <v>3457</v>
      </c>
      <c r="E1627" t="s">
        <v>2760</v>
      </c>
      <c r="F1627" t="s">
        <v>2761</v>
      </c>
      <c r="G1627" t="s">
        <v>2791</v>
      </c>
      <c r="H1627" t="s">
        <v>4344</v>
      </c>
    </row>
    <row r="1628" spans="2:8" x14ac:dyDescent="0.25">
      <c r="B1628" t="s">
        <v>3393</v>
      </c>
      <c r="C1628">
        <v>2021</v>
      </c>
      <c r="D1628" t="s">
        <v>3457</v>
      </c>
      <c r="E1628" t="s">
        <v>2760</v>
      </c>
      <c r="F1628" t="s">
        <v>2761</v>
      </c>
      <c r="G1628" t="s">
        <v>2792</v>
      </c>
      <c r="H1628" t="s">
        <v>4345</v>
      </c>
    </row>
    <row r="1629" spans="2:8" x14ac:dyDescent="0.25">
      <c r="B1629" t="s">
        <v>3393</v>
      </c>
      <c r="C1629">
        <v>2021</v>
      </c>
      <c r="D1629" t="s">
        <v>3457</v>
      </c>
      <c r="E1629" t="s">
        <v>2760</v>
      </c>
      <c r="F1629" t="s">
        <v>2761</v>
      </c>
      <c r="G1629" t="s">
        <v>2793</v>
      </c>
      <c r="H1629" t="s">
        <v>4346</v>
      </c>
    </row>
    <row r="1630" spans="2:8" x14ac:dyDescent="0.25">
      <c r="B1630" t="s">
        <v>3393</v>
      </c>
      <c r="C1630">
        <v>2021</v>
      </c>
      <c r="D1630" t="s">
        <v>3457</v>
      </c>
      <c r="E1630" t="s">
        <v>2760</v>
      </c>
      <c r="F1630" t="s">
        <v>2761</v>
      </c>
      <c r="G1630" t="s">
        <v>2794</v>
      </c>
      <c r="H1630" t="s">
        <v>4347</v>
      </c>
    </row>
    <row r="1631" spans="2:8" x14ac:dyDescent="0.25">
      <c r="B1631" t="s">
        <v>3393</v>
      </c>
      <c r="C1631">
        <v>2021</v>
      </c>
      <c r="D1631" t="s">
        <v>3457</v>
      </c>
      <c r="E1631" t="s">
        <v>2760</v>
      </c>
      <c r="F1631" t="s">
        <v>2761</v>
      </c>
      <c r="G1631" t="s">
        <v>2795</v>
      </c>
      <c r="H1631" t="s">
        <v>4348</v>
      </c>
    </row>
    <row r="1632" spans="2:8" x14ac:dyDescent="0.25">
      <c r="B1632" t="s">
        <v>3393</v>
      </c>
      <c r="C1632">
        <v>2021</v>
      </c>
      <c r="D1632" t="s">
        <v>3457</v>
      </c>
      <c r="E1632" t="s">
        <v>2760</v>
      </c>
      <c r="F1632" t="s">
        <v>2761</v>
      </c>
      <c r="G1632" t="s">
        <v>2796</v>
      </c>
      <c r="H1632" t="s">
        <v>4349</v>
      </c>
    </row>
    <row r="1633" spans="2:8" x14ac:dyDescent="0.25">
      <c r="B1633" t="s">
        <v>3393</v>
      </c>
      <c r="C1633">
        <v>2021</v>
      </c>
      <c r="D1633" t="s">
        <v>3457</v>
      </c>
      <c r="E1633" t="s">
        <v>2760</v>
      </c>
      <c r="F1633" t="s">
        <v>2761</v>
      </c>
      <c r="G1633" t="s">
        <v>2797</v>
      </c>
      <c r="H1633" t="s">
        <v>4350</v>
      </c>
    </row>
    <row r="1634" spans="2:8" x14ac:dyDescent="0.25">
      <c r="B1634" t="s">
        <v>3393</v>
      </c>
      <c r="C1634">
        <v>2021</v>
      </c>
      <c r="D1634" t="s">
        <v>3457</v>
      </c>
      <c r="E1634" t="s">
        <v>2760</v>
      </c>
      <c r="F1634" t="s">
        <v>2761</v>
      </c>
      <c r="G1634" t="s">
        <v>2798</v>
      </c>
      <c r="H1634" t="s">
        <v>4351</v>
      </c>
    </row>
    <row r="1635" spans="2:8" x14ac:dyDescent="0.25">
      <c r="B1635" t="s">
        <v>3393</v>
      </c>
      <c r="C1635">
        <v>2021</v>
      </c>
      <c r="D1635" t="s">
        <v>3457</v>
      </c>
      <c r="E1635" t="s">
        <v>2760</v>
      </c>
      <c r="F1635" t="s">
        <v>2761</v>
      </c>
      <c r="G1635" t="s">
        <v>2799</v>
      </c>
      <c r="H1635" t="s">
        <v>4352</v>
      </c>
    </row>
    <row r="1636" spans="2:8" x14ac:dyDescent="0.25">
      <c r="B1636" t="s">
        <v>3393</v>
      </c>
      <c r="C1636">
        <v>2021</v>
      </c>
      <c r="D1636" t="s">
        <v>3457</v>
      </c>
      <c r="E1636" t="s">
        <v>2760</v>
      </c>
      <c r="F1636" t="s">
        <v>2761</v>
      </c>
      <c r="G1636" t="s">
        <v>2800</v>
      </c>
      <c r="H1636" t="s">
        <v>4353</v>
      </c>
    </row>
    <row r="1637" spans="2:8" x14ac:dyDescent="0.25">
      <c r="B1637" t="s">
        <v>3393</v>
      </c>
      <c r="C1637">
        <v>2021</v>
      </c>
      <c r="D1637" t="s">
        <v>3457</v>
      </c>
      <c r="E1637" t="s">
        <v>2760</v>
      </c>
      <c r="F1637" t="s">
        <v>2761</v>
      </c>
      <c r="G1637" t="s">
        <v>2801</v>
      </c>
      <c r="H1637" t="s">
        <v>4354</v>
      </c>
    </row>
    <row r="1638" spans="2:8" x14ac:dyDescent="0.25">
      <c r="B1638" t="s">
        <v>3393</v>
      </c>
      <c r="C1638">
        <v>2021</v>
      </c>
      <c r="D1638" t="s">
        <v>3457</v>
      </c>
      <c r="E1638" t="s">
        <v>2760</v>
      </c>
      <c r="F1638" t="s">
        <v>2761</v>
      </c>
      <c r="G1638" t="s">
        <v>2802</v>
      </c>
      <c r="H1638" t="s">
        <v>3361</v>
      </c>
    </row>
    <row r="1639" spans="2:8" x14ac:dyDescent="0.25">
      <c r="B1639" t="s">
        <v>3393</v>
      </c>
      <c r="C1639">
        <v>2021</v>
      </c>
      <c r="D1639" t="s">
        <v>3457</v>
      </c>
      <c r="E1639" t="s">
        <v>2760</v>
      </c>
      <c r="F1639" t="s">
        <v>2761</v>
      </c>
      <c r="G1639" t="s">
        <v>2803</v>
      </c>
      <c r="H1639" t="s">
        <v>4355</v>
      </c>
    </row>
    <row r="1640" spans="2:8" x14ac:dyDescent="0.25">
      <c r="B1640" t="s">
        <v>3393</v>
      </c>
      <c r="C1640">
        <v>2021</v>
      </c>
      <c r="D1640" t="s">
        <v>3457</v>
      </c>
      <c r="E1640" t="s">
        <v>2760</v>
      </c>
      <c r="F1640" t="s">
        <v>2761</v>
      </c>
      <c r="G1640" t="s">
        <v>2804</v>
      </c>
      <c r="H1640" t="s">
        <v>1993</v>
      </c>
    </row>
    <row r="1641" spans="2:8" x14ac:dyDescent="0.25">
      <c r="B1641" t="s">
        <v>3393</v>
      </c>
      <c r="C1641">
        <v>2021</v>
      </c>
      <c r="D1641" t="s">
        <v>3457</v>
      </c>
      <c r="E1641" t="s">
        <v>2760</v>
      </c>
      <c r="F1641" t="s">
        <v>2761</v>
      </c>
      <c r="G1641" t="s">
        <v>2805</v>
      </c>
      <c r="H1641" t="s">
        <v>4356</v>
      </c>
    </row>
    <row r="1642" spans="2:8" x14ac:dyDescent="0.25">
      <c r="B1642" t="s">
        <v>3393</v>
      </c>
      <c r="C1642">
        <v>2021</v>
      </c>
      <c r="D1642" t="s">
        <v>3457</v>
      </c>
      <c r="E1642" t="s">
        <v>2760</v>
      </c>
      <c r="F1642" t="s">
        <v>2761</v>
      </c>
      <c r="G1642" t="s">
        <v>2806</v>
      </c>
      <c r="H1642" t="s">
        <v>4356</v>
      </c>
    </row>
    <row r="1643" spans="2:8" x14ac:dyDescent="0.25">
      <c r="B1643" t="s">
        <v>3393</v>
      </c>
      <c r="C1643">
        <v>2021</v>
      </c>
      <c r="D1643" t="s">
        <v>3457</v>
      </c>
      <c r="E1643" t="s">
        <v>2760</v>
      </c>
      <c r="F1643" t="s">
        <v>2761</v>
      </c>
      <c r="G1643" t="s">
        <v>2807</v>
      </c>
      <c r="H1643" t="s">
        <v>4357</v>
      </c>
    </row>
    <row r="1644" spans="2:8" x14ac:dyDescent="0.25">
      <c r="B1644" t="s">
        <v>3393</v>
      </c>
      <c r="C1644">
        <v>2021</v>
      </c>
      <c r="D1644" t="s">
        <v>3457</v>
      </c>
      <c r="E1644" t="s">
        <v>2760</v>
      </c>
      <c r="F1644" t="s">
        <v>2761</v>
      </c>
      <c r="G1644" t="s">
        <v>2808</v>
      </c>
      <c r="H1644" t="s">
        <v>1993</v>
      </c>
    </row>
    <row r="1645" spans="2:8" x14ac:dyDescent="0.25">
      <c r="B1645" t="s">
        <v>3393</v>
      </c>
      <c r="C1645">
        <v>2021</v>
      </c>
      <c r="D1645" t="s">
        <v>3457</v>
      </c>
      <c r="E1645" t="s">
        <v>2760</v>
      </c>
      <c r="F1645" t="s">
        <v>2761</v>
      </c>
      <c r="G1645" t="s">
        <v>2809</v>
      </c>
      <c r="H1645" t="s">
        <v>4358</v>
      </c>
    </row>
    <row r="1646" spans="2:8" x14ac:dyDescent="0.25">
      <c r="B1646" t="s">
        <v>3393</v>
      </c>
      <c r="C1646">
        <v>2021</v>
      </c>
      <c r="D1646" t="s">
        <v>3457</v>
      </c>
      <c r="E1646" t="s">
        <v>2760</v>
      </c>
      <c r="F1646" t="s">
        <v>2761</v>
      </c>
      <c r="G1646" t="s">
        <v>2810</v>
      </c>
      <c r="H1646" t="s">
        <v>4358</v>
      </c>
    </row>
    <row r="1647" spans="2:8" x14ac:dyDescent="0.25">
      <c r="B1647" t="s">
        <v>3393</v>
      </c>
      <c r="C1647">
        <v>2021</v>
      </c>
      <c r="D1647" t="s">
        <v>3457</v>
      </c>
      <c r="E1647" t="s">
        <v>2760</v>
      </c>
      <c r="F1647" t="s">
        <v>2761</v>
      </c>
      <c r="G1647" t="s">
        <v>2811</v>
      </c>
      <c r="H1647" t="s">
        <v>4359</v>
      </c>
    </row>
    <row r="1648" spans="2:8" x14ac:dyDescent="0.25">
      <c r="B1648" t="s">
        <v>3393</v>
      </c>
      <c r="C1648">
        <v>2021</v>
      </c>
      <c r="D1648" t="s">
        <v>3457</v>
      </c>
      <c r="E1648" t="s">
        <v>2760</v>
      </c>
      <c r="F1648" t="s">
        <v>2761</v>
      </c>
      <c r="G1648" t="s">
        <v>2812</v>
      </c>
      <c r="H1648" t="s">
        <v>3340</v>
      </c>
    </row>
    <row r="1649" spans="2:8" x14ac:dyDescent="0.25">
      <c r="B1649" t="s">
        <v>3393</v>
      </c>
      <c r="C1649">
        <v>2021</v>
      </c>
      <c r="D1649" t="s">
        <v>3457</v>
      </c>
      <c r="E1649" t="s">
        <v>2760</v>
      </c>
      <c r="F1649" t="s">
        <v>2761</v>
      </c>
      <c r="G1649" t="s">
        <v>2813</v>
      </c>
      <c r="H1649" t="s">
        <v>1993</v>
      </c>
    </row>
    <row r="1650" spans="2:8" x14ac:dyDescent="0.25">
      <c r="B1650" t="s">
        <v>3393</v>
      </c>
      <c r="C1650">
        <v>2021</v>
      </c>
      <c r="D1650" t="s">
        <v>3457</v>
      </c>
      <c r="E1650" t="s">
        <v>2760</v>
      </c>
      <c r="F1650" t="s">
        <v>2761</v>
      </c>
      <c r="G1650" t="s">
        <v>2814</v>
      </c>
      <c r="H1650" t="s">
        <v>4360</v>
      </c>
    </row>
    <row r="1651" spans="2:8" x14ac:dyDescent="0.25">
      <c r="B1651" t="s">
        <v>3393</v>
      </c>
      <c r="C1651">
        <v>2021</v>
      </c>
      <c r="D1651" t="s">
        <v>3457</v>
      </c>
      <c r="E1651" t="s">
        <v>2760</v>
      </c>
      <c r="F1651" t="s">
        <v>2761</v>
      </c>
      <c r="G1651" t="s">
        <v>2815</v>
      </c>
      <c r="H1651" t="s">
        <v>4360</v>
      </c>
    </row>
    <row r="1652" spans="2:8" x14ac:dyDescent="0.25">
      <c r="B1652" t="s">
        <v>3393</v>
      </c>
      <c r="C1652">
        <v>2021</v>
      </c>
      <c r="D1652" t="s">
        <v>3457</v>
      </c>
      <c r="E1652" t="s">
        <v>2760</v>
      </c>
      <c r="F1652" t="s">
        <v>2761</v>
      </c>
      <c r="G1652" t="s">
        <v>2816</v>
      </c>
      <c r="H1652" t="s">
        <v>4361</v>
      </c>
    </row>
    <row r="1653" spans="2:8" x14ac:dyDescent="0.25">
      <c r="B1653" t="s">
        <v>3393</v>
      </c>
      <c r="C1653">
        <v>2021</v>
      </c>
      <c r="D1653" t="s">
        <v>3457</v>
      </c>
      <c r="E1653" t="s">
        <v>2760</v>
      </c>
      <c r="F1653" t="s">
        <v>2761</v>
      </c>
      <c r="G1653" t="s">
        <v>2817</v>
      </c>
      <c r="H1653" t="s">
        <v>3049</v>
      </c>
    </row>
    <row r="1654" spans="2:8" x14ac:dyDescent="0.25">
      <c r="B1654" t="s">
        <v>3393</v>
      </c>
      <c r="C1654">
        <v>2021</v>
      </c>
      <c r="D1654" t="s">
        <v>3457</v>
      </c>
      <c r="E1654" t="s">
        <v>2760</v>
      </c>
      <c r="F1654" t="s">
        <v>2761</v>
      </c>
      <c r="G1654" t="s">
        <v>2818</v>
      </c>
      <c r="H1654" t="s">
        <v>1993</v>
      </c>
    </row>
    <row r="1655" spans="2:8" x14ac:dyDescent="0.25">
      <c r="B1655" t="s">
        <v>3393</v>
      </c>
      <c r="C1655">
        <v>2021</v>
      </c>
      <c r="D1655" t="s">
        <v>3457</v>
      </c>
      <c r="E1655" t="s">
        <v>2760</v>
      </c>
      <c r="F1655" t="s">
        <v>2761</v>
      </c>
      <c r="G1655" t="s">
        <v>2819</v>
      </c>
      <c r="H1655" t="s">
        <v>4362</v>
      </c>
    </row>
    <row r="1656" spans="2:8" x14ac:dyDescent="0.25">
      <c r="B1656" t="s">
        <v>3393</v>
      </c>
      <c r="C1656">
        <v>2021</v>
      </c>
      <c r="D1656" t="s">
        <v>3457</v>
      </c>
      <c r="E1656" t="s">
        <v>2760</v>
      </c>
      <c r="F1656" t="s">
        <v>2761</v>
      </c>
      <c r="G1656" t="s">
        <v>2820</v>
      </c>
      <c r="H1656" t="s">
        <v>4362</v>
      </c>
    </row>
    <row r="1657" spans="2:8" x14ac:dyDescent="0.25">
      <c r="B1657" t="s">
        <v>3393</v>
      </c>
      <c r="C1657">
        <v>2021</v>
      </c>
      <c r="D1657" t="s">
        <v>3457</v>
      </c>
      <c r="E1657" t="s">
        <v>2760</v>
      </c>
      <c r="F1657" t="s">
        <v>2761</v>
      </c>
      <c r="G1657" t="s">
        <v>2821</v>
      </c>
      <c r="H1657" t="s">
        <v>4363</v>
      </c>
    </row>
    <row r="1658" spans="2:8" x14ac:dyDescent="0.25">
      <c r="B1658" t="s">
        <v>3393</v>
      </c>
      <c r="C1658">
        <v>2021</v>
      </c>
      <c r="D1658" t="s">
        <v>3457</v>
      </c>
      <c r="E1658" t="s">
        <v>2760</v>
      </c>
      <c r="F1658" t="s">
        <v>2761</v>
      </c>
      <c r="G1658" t="s">
        <v>2822</v>
      </c>
      <c r="H1658" t="s">
        <v>4364</v>
      </c>
    </row>
    <row r="1659" spans="2:8" x14ac:dyDescent="0.25">
      <c r="B1659" t="s">
        <v>3393</v>
      </c>
      <c r="C1659">
        <v>2021</v>
      </c>
      <c r="D1659" t="s">
        <v>3457</v>
      </c>
      <c r="E1659" t="s">
        <v>2760</v>
      </c>
      <c r="F1659" t="s">
        <v>2761</v>
      </c>
      <c r="G1659" t="s">
        <v>2823</v>
      </c>
      <c r="H1659" t="s">
        <v>1993</v>
      </c>
    </row>
    <row r="1660" spans="2:8" x14ac:dyDescent="0.25">
      <c r="B1660" t="s">
        <v>3393</v>
      </c>
      <c r="C1660">
        <v>2021</v>
      </c>
      <c r="D1660" t="s">
        <v>3457</v>
      </c>
      <c r="E1660" t="s">
        <v>2760</v>
      </c>
      <c r="F1660" t="s">
        <v>2761</v>
      </c>
      <c r="G1660" t="s">
        <v>2824</v>
      </c>
      <c r="H1660" t="s">
        <v>4365</v>
      </c>
    </row>
    <row r="1661" spans="2:8" x14ac:dyDescent="0.25">
      <c r="B1661" t="s">
        <v>3393</v>
      </c>
      <c r="C1661">
        <v>2021</v>
      </c>
      <c r="D1661" t="s">
        <v>3457</v>
      </c>
      <c r="E1661" t="s">
        <v>2760</v>
      </c>
      <c r="F1661" t="s">
        <v>2761</v>
      </c>
      <c r="G1661" t="s">
        <v>2825</v>
      </c>
      <c r="H1661" t="s">
        <v>4366</v>
      </c>
    </row>
    <row r="1662" spans="2:8" x14ac:dyDescent="0.25">
      <c r="B1662" t="s">
        <v>3393</v>
      </c>
      <c r="C1662">
        <v>2021</v>
      </c>
      <c r="D1662" t="s">
        <v>3457</v>
      </c>
      <c r="E1662" t="s">
        <v>2760</v>
      </c>
      <c r="F1662" t="s">
        <v>2761</v>
      </c>
      <c r="G1662" t="s">
        <v>2826</v>
      </c>
      <c r="H1662" t="s">
        <v>4367</v>
      </c>
    </row>
    <row r="1663" spans="2:8" x14ac:dyDescent="0.25">
      <c r="B1663" t="s">
        <v>3393</v>
      </c>
      <c r="C1663">
        <v>2021</v>
      </c>
      <c r="D1663" t="s">
        <v>3457</v>
      </c>
      <c r="E1663" t="s">
        <v>2760</v>
      </c>
      <c r="F1663" t="s">
        <v>2761</v>
      </c>
      <c r="G1663" t="s">
        <v>2827</v>
      </c>
      <c r="H1663" t="s">
        <v>4368</v>
      </c>
    </row>
    <row r="1664" spans="2:8" x14ac:dyDescent="0.25">
      <c r="B1664" t="s">
        <v>3393</v>
      </c>
      <c r="C1664">
        <v>2021</v>
      </c>
      <c r="D1664" t="s">
        <v>3457</v>
      </c>
      <c r="E1664" t="s">
        <v>2760</v>
      </c>
      <c r="F1664" t="s">
        <v>2761</v>
      </c>
      <c r="G1664" t="s">
        <v>2828</v>
      </c>
      <c r="H1664" t="s">
        <v>4369</v>
      </c>
    </row>
    <row r="1665" spans="2:8" x14ac:dyDescent="0.25">
      <c r="B1665" t="s">
        <v>3393</v>
      </c>
      <c r="C1665">
        <v>2021</v>
      </c>
      <c r="D1665" t="s">
        <v>3457</v>
      </c>
      <c r="E1665" t="s">
        <v>2760</v>
      </c>
      <c r="F1665" t="s">
        <v>2761</v>
      </c>
      <c r="G1665" t="s">
        <v>2829</v>
      </c>
      <c r="H1665" t="s">
        <v>4370</v>
      </c>
    </row>
    <row r="1666" spans="2:8" x14ac:dyDescent="0.25">
      <c r="B1666" t="s">
        <v>3393</v>
      </c>
      <c r="C1666">
        <v>2021</v>
      </c>
      <c r="D1666" t="s">
        <v>3457</v>
      </c>
      <c r="E1666" t="s">
        <v>2760</v>
      </c>
      <c r="F1666" t="s">
        <v>2761</v>
      </c>
      <c r="G1666" t="s">
        <v>2830</v>
      </c>
      <c r="H1666" t="s">
        <v>4371</v>
      </c>
    </row>
    <row r="1667" spans="2:8" x14ac:dyDescent="0.25">
      <c r="B1667" t="s">
        <v>3393</v>
      </c>
      <c r="C1667">
        <v>2021</v>
      </c>
      <c r="D1667" t="s">
        <v>3457</v>
      </c>
      <c r="E1667" t="s">
        <v>2760</v>
      </c>
      <c r="F1667" t="s">
        <v>2761</v>
      </c>
      <c r="G1667" t="s">
        <v>2831</v>
      </c>
      <c r="H1667" t="s">
        <v>4372</v>
      </c>
    </row>
    <row r="1668" spans="2:8" x14ac:dyDescent="0.25">
      <c r="B1668" t="s">
        <v>3393</v>
      </c>
      <c r="C1668">
        <v>2021</v>
      </c>
      <c r="D1668" t="s">
        <v>3457</v>
      </c>
      <c r="E1668" t="s">
        <v>2760</v>
      </c>
      <c r="F1668" t="s">
        <v>2761</v>
      </c>
      <c r="G1668" t="s">
        <v>2832</v>
      </c>
      <c r="H1668" t="s">
        <v>4373</v>
      </c>
    </row>
    <row r="1669" spans="2:8" x14ac:dyDescent="0.25">
      <c r="B1669" t="s">
        <v>3393</v>
      </c>
      <c r="C1669">
        <v>2021</v>
      </c>
      <c r="D1669" t="s">
        <v>3457</v>
      </c>
      <c r="E1669" t="s">
        <v>2760</v>
      </c>
      <c r="F1669" t="s">
        <v>2761</v>
      </c>
      <c r="G1669" t="s">
        <v>2833</v>
      </c>
      <c r="H1669" t="s">
        <v>4374</v>
      </c>
    </row>
    <row r="1670" spans="2:8" x14ac:dyDescent="0.25">
      <c r="B1670" t="s">
        <v>3393</v>
      </c>
      <c r="C1670">
        <v>2021</v>
      </c>
      <c r="D1670" t="s">
        <v>3457</v>
      </c>
      <c r="E1670" t="s">
        <v>2760</v>
      </c>
      <c r="F1670" t="s">
        <v>2761</v>
      </c>
      <c r="G1670" t="s">
        <v>2834</v>
      </c>
      <c r="H1670" t="s">
        <v>4375</v>
      </c>
    </row>
    <row r="1671" spans="2:8" x14ac:dyDescent="0.25">
      <c r="B1671" t="s">
        <v>3393</v>
      </c>
      <c r="C1671">
        <v>2021</v>
      </c>
      <c r="D1671" t="s">
        <v>3457</v>
      </c>
      <c r="E1671" t="s">
        <v>2760</v>
      </c>
      <c r="F1671" t="s">
        <v>2761</v>
      </c>
      <c r="G1671" t="s">
        <v>2835</v>
      </c>
      <c r="H1671" t="s">
        <v>4376</v>
      </c>
    </row>
    <row r="1672" spans="2:8" x14ac:dyDescent="0.25">
      <c r="B1672" t="s">
        <v>3393</v>
      </c>
      <c r="C1672">
        <v>2021</v>
      </c>
      <c r="D1672" t="s">
        <v>3457</v>
      </c>
      <c r="E1672" t="s">
        <v>2760</v>
      </c>
      <c r="F1672" t="s">
        <v>2761</v>
      </c>
      <c r="G1672" t="s">
        <v>2836</v>
      </c>
      <c r="H1672" t="s">
        <v>4377</v>
      </c>
    </row>
    <row r="1673" spans="2:8" x14ac:dyDescent="0.25">
      <c r="B1673" t="s">
        <v>3393</v>
      </c>
      <c r="C1673">
        <v>2021</v>
      </c>
      <c r="D1673" t="s">
        <v>3457</v>
      </c>
      <c r="E1673" t="s">
        <v>2760</v>
      </c>
      <c r="F1673" t="s">
        <v>2761</v>
      </c>
      <c r="G1673" t="s">
        <v>2837</v>
      </c>
      <c r="H1673" t="s">
        <v>4378</v>
      </c>
    </row>
    <row r="1674" spans="2:8" x14ac:dyDescent="0.25">
      <c r="B1674" t="s">
        <v>3393</v>
      </c>
      <c r="C1674">
        <v>2021</v>
      </c>
      <c r="D1674" t="s">
        <v>3457</v>
      </c>
      <c r="E1674" t="s">
        <v>2760</v>
      </c>
      <c r="F1674" t="s">
        <v>2761</v>
      </c>
      <c r="G1674" t="s">
        <v>2838</v>
      </c>
      <c r="H1674" t="s">
        <v>4379</v>
      </c>
    </row>
    <row r="1675" spans="2:8" x14ac:dyDescent="0.25">
      <c r="B1675" t="s">
        <v>3393</v>
      </c>
      <c r="C1675">
        <v>2021</v>
      </c>
      <c r="D1675" t="s">
        <v>3457</v>
      </c>
      <c r="E1675" t="s">
        <v>2760</v>
      </c>
      <c r="F1675" t="s">
        <v>2761</v>
      </c>
      <c r="G1675" t="s">
        <v>2839</v>
      </c>
      <c r="H1675" t="s">
        <v>4380</v>
      </c>
    </row>
    <row r="1676" spans="2:8" x14ac:dyDescent="0.25">
      <c r="B1676" t="s">
        <v>3393</v>
      </c>
      <c r="C1676">
        <v>2021</v>
      </c>
      <c r="D1676" t="s">
        <v>3457</v>
      </c>
      <c r="E1676" t="s">
        <v>2760</v>
      </c>
      <c r="F1676" t="s">
        <v>2761</v>
      </c>
      <c r="G1676" t="s">
        <v>2840</v>
      </c>
      <c r="H1676" t="s">
        <v>4381</v>
      </c>
    </row>
    <row r="1677" spans="2:8" x14ac:dyDescent="0.25">
      <c r="B1677" t="s">
        <v>3393</v>
      </c>
      <c r="C1677">
        <v>2021</v>
      </c>
      <c r="D1677" t="s">
        <v>3457</v>
      </c>
      <c r="E1677" t="s">
        <v>2760</v>
      </c>
      <c r="F1677" t="s">
        <v>2761</v>
      </c>
      <c r="G1677" t="s">
        <v>2841</v>
      </c>
      <c r="H1677" t="s">
        <v>4382</v>
      </c>
    </row>
    <row r="1678" spans="2:8" x14ac:dyDescent="0.25">
      <c r="B1678" t="s">
        <v>3393</v>
      </c>
      <c r="C1678">
        <v>2021</v>
      </c>
      <c r="D1678" t="s">
        <v>3457</v>
      </c>
      <c r="E1678" t="s">
        <v>2760</v>
      </c>
      <c r="F1678" t="s">
        <v>2761</v>
      </c>
      <c r="G1678" t="s">
        <v>2842</v>
      </c>
      <c r="H1678" t="s">
        <v>4383</v>
      </c>
    </row>
    <row r="1679" spans="2:8" x14ac:dyDescent="0.25">
      <c r="B1679" t="s">
        <v>3393</v>
      </c>
      <c r="C1679">
        <v>2021</v>
      </c>
      <c r="D1679" t="s">
        <v>3457</v>
      </c>
      <c r="E1679" t="s">
        <v>2760</v>
      </c>
      <c r="F1679" t="s">
        <v>2761</v>
      </c>
      <c r="G1679" t="s">
        <v>2843</v>
      </c>
      <c r="H1679" t="s">
        <v>4384</v>
      </c>
    </row>
    <row r="1680" spans="2:8" x14ac:dyDescent="0.25">
      <c r="B1680" t="s">
        <v>3393</v>
      </c>
      <c r="C1680">
        <v>2021</v>
      </c>
      <c r="D1680" t="s">
        <v>3457</v>
      </c>
      <c r="E1680" t="s">
        <v>2760</v>
      </c>
      <c r="F1680" t="s">
        <v>2761</v>
      </c>
      <c r="G1680" t="s">
        <v>2844</v>
      </c>
      <c r="H1680" t="s">
        <v>4385</v>
      </c>
    </row>
    <row r="1681" spans="2:8" x14ac:dyDescent="0.25">
      <c r="B1681" t="s">
        <v>3393</v>
      </c>
      <c r="C1681">
        <v>2021</v>
      </c>
      <c r="D1681" t="s">
        <v>3457</v>
      </c>
      <c r="E1681" t="s">
        <v>2760</v>
      </c>
      <c r="F1681" t="s">
        <v>2761</v>
      </c>
      <c r="G1681" t="s">
        <v>2845</v>
      </c>
      <c r="H1681" t="s">
        <v>4386</v>
      </c>
    </row>
    <row r="1682" spans="2:8" x14ac:dyDescent="0.25">
      <c r="B1682" t="s">
        <v>3393</v>
      </c>
      <c r="C1682">
        <v>2021</v>
      </c>
      <c r="D1682" t="s">
        <v>3457</v>
      </c>
      <c r="E1682" t="s">
        <v>2760</v>
      </c>
      <c r="F1682" t="s">
        <v>2761</v>
      </c>
      <c r="G1682" t="s">
        <v>2846</v>
      </c>
      <c r="H1682" t="s">
        <v>4387</v>
      </c>
    </row>
    <row r="1683" spans="2:8" x14ac:dyDescent="0.25">
      <c r="B1683" t="s">
        <v>3393</v>
      </c>
      <c r="C1683">
        <v>2021</v>
      </c>
      <c r="D1683" t="s">
        <v>3457</v>
      </c>
      <c r="E1683" t="s">
        <v>2847</v>
      </c>
      <c r="F1683" t="s">
        <v>2848</v>
      </c>
      <c r="G1683" t="s">
        <v>2849</v>
      </c>
      <c r="H1683" t="s">
        <v>4388</v>
      </c>
    </row>
    <row r="1684" spans="2:8" x14ac:dyDescent="0.25">
      <c r="B1684" t="s">
        <v>3393</v>
      </c>
      <c r="C1684">
        <v>2021</v>
      </c>
      <c r="D1684" t="s">
        <v>3457</v>
      </c>
      <c r="E1684" t="s">
        <v>2847</v>
      </c>
      <c r="F1684" t="s">
        <v>2848</v>
      </c>
      <c r="G1684" t="s">
        <v>2850</v>
      </c>
      <c r="H1684" t="s">
        <v>4389</v>
      </c>
    </row>
    <row r="1685" spans="2:8" x14ac:dyDescent="0.25">
      <c r="B1685" t="s">
        <v>3393</v>
      </c>
      <c r="C1685">
        <v>2021</v>
      </c>
      <c r="D1685" t="s">
        <v>3457</v>
      </c>
      <c r="E1685" t="s">
        <v>2851</v>
      </c>
      <c r="F1685" t="s">
        <v>2852</v>
      </c>
      <c r="G1685" t="s">
        <v>2853</v>
      </c>
      <c r="H1685" t="s">
        <v>4390</v>
      </c>
    </row>
    <row r="1686" spans="2:8" x14ac:dyDescent="0.25">
      <c r="B1686" t="s">
        <v>3393</v>
      </c>
      <c r="C1686">
        <v>2021</v>
      </c>
      <c r="D1686" t="s">
        <v>3457</v>
      </c>
      <c r="E1686" t="s">
        <v>2854</v>
      </c>
      <c r="F1686" t="s">
        <v>2855</v>
      </c>
      <c r="G1686" t="s">
        <v>2856</v>
      </c>
      <c r="H1686" t="s">
        <v>4391</v>
      </c>
    </row>
    <row r="1687" spans="2:8" x14ac:dyDescent="0.25">
      <c r="B1687" t="s">
        <v>3393</v>
      </c>
      <c r="C1687">
        <v>2021</v>
      </c>
      <c r="D1687" t="s">
        <v>3457</v>
      </c>
      <c r="E1687" t="s">
        <v>2857</v>
      </c>
      <c r="F1687" t="s">
        <v>2858</v>
      </c>
      <c r="G1687" t="s">
        <v>2859</v>
      </c>
      <c r="H1687" t="s">
        <v>4379</v>
      </c>
    </row>
    <row r="1688" spans="2:8" x14ac:dyDescent="0.25">
      <c r="B1688" t="s">
        <v>3393</v>
      </c>
      <c r="C1688">
        <v>2021</v>
      </c>
      <c r="D1688" t="s">
        <v>3457</v>
      </c>
      <c r="E1688" t="s">
        <v>2860</v>
      </c>
      <c r="F1688" t="s">
        <v>2861</v>
      </c>
      <c r="G1688" t="s">
        <v>2862</v>
      </c>
      <c r="H1688" t="s">
        <v>1993</v>
      </c>
    </row>
    <row r="1689" spans="2:8" x14ac:dyDescent="0.25">
      <c r="B1689" t="s">
        <v>3393</v>
      </c>
      <c r="C1689">
        <v>2021</v>
      </c>
      <c r="D1689" t="s">
        <v>3457</v>
      </c>
      <c r="E1689" t="s">
        <v>2860</v>
      </c>
      <c r="F1689" t="s">
        <v>2861</v>
      </c>
      <c r="G1689" t="s">
        <v>2863</v>
      </c>
      <c r="H1689" t="s">
        <v>4392</v>
      </c>
    </row>
    <row r="1690" spans="2:8" x14ac:dyDescent="0.25">
      <c r="B1690" t="s">
        <v>3393</v>
      </c>
      <c r="C1690">
        <v>2021</v>
      </c>
      <c r="D1690" t="s">
        <v>3457</v>
      </c>
      <c r="E1690" t="s">
        <v>3286</v>
      </c>
      <c r="F1690" t="s">
        <v>3287</v>
      </c>
      <c r="G1690" t="s">
        <v>3288</v>
      </c>
      <c r="H1690" t="s">
        <v>1993</v>
      </c>
    </row>
    <row r="1691" spans="2:8" x14ac:dyDescent="0.25">
      <c r="B1691" t="s">
        <v>3393</v>
      </c>
      <c r="C1691">
        <v>2021</v>
      </c>
      <c r="D1691" t="s">
        <v>3457</v>
      </c>
      <c r="E1691" t="s">
        <v>3286</v>
      </c>
      <c r="F1691" t="s">
        <v>3287</v>
      </c>
      <c r="G1691" t="s">
        <v>3312</v>
      </c>
      <c r="H1691" t="s">
        <v>4393</v>
      </c>
    </row>
    <row r="1692" spans="2:8" x14ac:dyDescent="0.25">
      <c r="B1692" t="s">
        <v>3393</v>
      </c>
      <c r="C1692">
        <v>2021</v>
      </c>
      <c r="D1692" t="s">
        <v>3457</v>
      </c>
      <c r="E1692" t="s">
        <v>2864</v>
      </c>
      <c r="F1692" t="s">
        <v>2865</v>
      </c>
      <c r="G1692" t="s">
        <v>2866</v>
      </c>
      <c r="H1692" t="s">
        <v>4394</v>
      </c>
    </row>
    <row r="1693" spans="2:8" x14ac:dyDescent="0.25">
      <c r="B1693" t="s">
        <v>3393</v>
      </c>
      <c r="C1693">
        <v>2021</v>
      </c>
      <c r="D1693" t="s">
        <v>3457</v>
      </c>
      <c r="E1693" t="s">
        <v>2864</v>
      </c>
      <c r="F1693" t="s">
        <v>2865</v>
      </c>
      <c r="G1693" t="s">
        <v>2409</v>
      </c>
      <c r="H1693" t="s">
        <v>4395</v>
      </c>
    </row>
    <row r="1694" spans="2:8" x14ac:dyDescent="0.25">
      <c r="B1694" t="s">
        <v>3393</v>
      </c>
      <c r="C1694">
        <v>2021</v>
      </c>
      <c r="D1694" t="s">
        <v>3457</v>
      </c>
      <c r="E1694" t="s">
        <v>2864</v>
      </c>
      <c r="F1694" t="s">
        <v>2865</v>
      </c>
      <c r="G1694" t="s">
        <v>2867</v>
      </c>
      <c r="H1694" t="s">
        <v>4396</v>
      </c>
    </row>
    <row r="1695" spans="2:8" x14ac:dyDescent="0.25">
      <c r="B1695" t="s">
        <v>3393</v>
      </c>
      <c r="C1695">
        <v>2021</v>
      </c>
      <c r="D1695" t="s">
        <v>3457</v>
      </c>
      <c r="E1695" t="s">
        <v>2868</v>
      </c>
      <c r="F1695" t="s">
        <v>2869</v>
      </c>
      <c r="G1695" t="s">
        <v>2870</v>
      </c>
      <c r="H1695" t="s">
        <v>4397</v>
      </c>
    </row>
    <row r="1696" spans="2:8" x14ac:dyDescent="0.25">
      <c r="B1696" t="s">
        <v>3393</v>
      </c>
      <c r="C1696">
        <v>2021</v>
      </c>
      <c r="D1696" t="s">
        <v>3457</v>
      </c>
      <c r="E1696" t="s">
        <v>2871</v>
      </c>
      <c r="F1696" t="s">
        <v>2872</v>
      </c>
      <c r="G1696" t="s">
        <v>2873</v>
      </c>
      <c r="H1696" t="s">
        <v>4398</v>
      </c>
    </row>
    <row r="1697" spans="2:8" x14ac:dyDescent="0.25">
      <c r="B1697" t="s">
        <v>3393</v>
      </c>
      <c r="C1697">
        <v>2021</v>
      </c>
      <c r="D1697" t="s">
        <v>3457</v>
      </c>
      <c r="E1697" t="s">
        <v>2871</v>
      </c>
      <c r="F1697" t="s">
        <v>2872</v>
      </c>
      <c r="G1697" t="s">
        <v>2874</v>
      </c>
      <c r="H1697" t="s">
        <v>4399</v>
      </c>
    </row>
    <row r="1698" spans="2:8" x14ac:dyDescent="0.25">
      <c r="B1698" t="s">
        <v>3393</v>
      </c>
      <c r="C1698">
        <v>2021</v>
      </c>
      <c r="D1698" t="s">
        <v>3457</v>
      </c>
      <c r="E1698" t="s">
        <v>2871</v>
      </c>
      <c r="F1698" t="s">
        <v>2872</v>
      </c>
      <c r="G1698" t="s">
        <v>2875</v>
      </c>
      <c r="H1698" t="s">
        <v>4400</v>
      </c>
    </row>
    <row r="1699" spans="2:8" x14ac:dyDescent="0.25">
      <c r="B1699" t="s">
        <v>3393</v>
      </c>
      <c r="C1699">
        <v>2021</v>
      </c>
      <c r="D1699" t="s">
        <v>3457</v>
      </c>
      <c r="E1699" t="s">
        <v>2871</v>
      </c>
      <c r="F1699" t="s">
        <v>2872</v>
      </c>
      <c r="G1699" t="s">
        <v>2876</v>
      </c>
      <c r="H1699" t="s">
        <v>4401</v>
      </c>
    </row>
    <row r="1700" spans="2:8" x14ac:dyDescent="0.25">
      <c r="B1700" t="s">
        <v>3393</v>
      </c>
      <c r="C1700">
        <v>2021</v>
      </c>
      <c r="D1700" t="s">
        <v>3457</v>
      </c>
      <c r="E1700" t="s">
        <v>2871</v>
      </c>
      <c r="F1700" t="s">
        <v>2872</v>
      </c>
      <c r="G1700" t="s">
        <v>2877</v>
      </c>
      <c r="H1700" t="s">
        <v>4402</v>
      </c>
    </row>
    <row r="1701" spans="2:8" x14ac:dyDescent="0.25">
      <c r="B1701" t="s">
        <v>3393</v>
      </c>
      <c r="C1701">
        <v>2021</v>
      </c>
      <c r="D1701" t="s">
        <v>3457</v>
      </c>
      <c r="E1701" t="s">
        <v>2871</v>
      </c>
      <c r="F1701" t="s">
        <v>2872</v>
      </c>
      <c r="G1701" t="s">
        <v>608</v>
      </c>
      <c r="H1701" t="s">
        <v>4403</v>
      </c>
    </row>
    <row r="1702" spans="2:8" x14ac:dyDescent="0.25">
      <c r="B1702" t="s">
        <v>3393</v>
      </c>
      <c r="C1702">
        <v>2021</v>
      </c>
      <c r="D1702" t="s">
        <v>3457</v>
      </c>
      <c r="E1702" t="s">
        <v>2878</v>
      </c>
      <c r="F1702" t="s">
        <v>2879</v>
      </c>
      <c r="G1702" t="s">
        <v>2880</v>
      </c>
      <c r="H1702" t="s">
        <v>4404</v>
      </c>
    </row>
    <row r="1703" spans="2:8" x14ac:dyDescent="0.25">
      <c r="B1703" t="s">
        <v>3393</v>
      </c>
      <c r="C1703">
        <v>2021</v>
      </c>
      <c r="D1703" t="s">
        <v>3457</v>
      </c>
      <c r="E1703" t="s">
        <v>2878</v>
      </c>
      <c r="F1703" t="s">
        <v>2879</v>
      </c>
      <c r="G1703" t="s">
        <v>2881</v>
      </c>
      <c r="H1703" t="s">
        <v>4405</v>
      </c>
    </row>
    <row r="1704" spans="2:8" x14ac:dyDescent="0.25">
      <c r="B1704" t="s">
        <v>3393</v>
      </c>
      <c r="C1704">
        <v>2021</v>
      </c>
      <c r="D1704" t="s">
        <v>3457</v>
      </c>
      <c r="E1704" t="s">
        <v>2878</v>
      </c>
      <c r="F1704" t="s">
        <v>2879</v>
      </c>
      <c r="G1704" t="s">
        <v>2882</v>
      </c>
      <c r="H1704" t="s">
        <v>4119</v>
      </c>
    </row>
    <row r="1705" spans="2:8" x14ac:dyDescent="0.25">
      <c r="B1705" t="s">
        <v>3393</v>
      </c>
      <c r="C1705">
        <v>2021</v>
      </c>
      <c r="D1705" t="s">
        <v>3457</v>
      </c>
      <c r="E1705" t="s">
        <v>2878</v>
      </c>
      <c r="F1705" t="s">
        <v>2879</v>
      </c>
      <c r="G1705" t="s">
        <v>281</v>
      </c>
      <c r="H1705" t="s">
        <v>4406</v>
      </c>
    </row>
    <row r="1706" spans="2:8" x14ac:dyDescent="0.25">
      <c r="B1706" t="s">
        <v>3393</v>
      </c>
      <c r="C1706">
        <v>2021</v>
      </c>
      <c r="D1706" t="s">
        <v>3457</v>
      </c>
      <c r="E1706" t="s">
        <v>2878</v>
      </c>
      <c r="F1706" t="s">
        <v>2879</v>
      </c>
      <c r="G1706" t="s">
        <v>2883</v>
      </c>
      <c r="H1706" t="s">
        <v>4407</v>
      </c>
    </row>
    <row r="1707" spans="2:8" x14ac:dyDescent="0.25">
      <c r="B1707" t="s">
        <v>3393</v>
      </c>
      <c r="C1707">
        <v>2021</v>
      </c>
      <c r="D1707" t="s">
        <v>3457</v>
      </c>
      <c r="E1707" t="s">
        <v>2878</v>
      </c>
      <c r="F1707" t="s">
        <v>2879</v>
      </c>
      <c r="G1707" t="s">
        <v>2884</v>
      </c>
      <c r="H1707" t="s">
        <v>4408</v>
      </c>
    </row>
    <row r="1708" spans="2:8" x14ac:dyDescent="0.25">
      <c r="B1708" t="s">
        <v>3393</v>
      </c>
      <c r="C1708">
        <v>2021</v>
      </c>
      <c r="D1708" t="s">
        <v>3457</v>
      </c>
      <c r="E1708" t="s">
        <v>2878</v>
      </c>
      <c r="F1708" t="s">
        <v>2879</v>
      </c>
      <c r="G1708" t="s">
        <v>2885</v>
      </c>
      <c r="H1708" t="s">
        <v>4409</v>
      </c>
    </row>
    <row r="1709" spans="2:8" x14ac:dyDescent="0.25">
      <c r="B1709" t="s">
        <v>3393</v>
      </c>
      <c r="C1709">
        <v>2021</v>
      </c>
      <c r="D1709" t="s">
        <v>3457</v>
      </c>
      <c r="E1709" t="s">
        <v>2886</v>
      </c>
      <c r="F1709" t="s">
        <v>2887</v>
      </c>
      <c r="G1709" t="s">
        <v>2888</v>
      </c>
      <c r="H1709" t="s">
        <v>4410</v>
      </c>
    </row>
    <row r="1710" spans="2:8" x14ac:dyDescent="0.25">
      <c r="B1710" t="s">
        <v>3393</v>
      </c>
      <c r="C1710">
        <v>2021</v>
      </c>
      <c r="D1710" t="s">
        <v>3457</v>
      </c>
      <c r="E1710" t="s">
        <v>2886</v>
      </c>
      <c r="F1710" t="s">
        <v>2887</v>
      </c>
      <c r="G1710" t="s">
        <v>2873</v>
      </c>
      <c r="H1710" t="s">
        <v>4411</v>
      </c>
    </row>
    <row r="1711" spans="2:8" x14ac:dyDescent="0.25">
      <c r="B1711" t="s">
        <v>3393</v>
      </c>
      <c r="C1711">
        <v>2021</v>
      </c>
      <c r="D1711" t="s">
        <v>3457</v>
      </c>
      <c r="E1711" t="s">
        <v>2886</v>
      </c>
      <c r="F1711" t="s">
        <v>2887</v>
      </c>
      <c r="G1711" t="s">
        <v>2874</v>
      </c>
      <c r="H1711" t="s">
        <v>4412</v>
      </c>
    </row>
    <row r="1712" spans="2:8" x14ac:dyDescent="0.25">
      <c r="B1712" t="s">
        <v>3393</v>
      </c>
      <c r="C1712">
        <v>2021</v>
      </c>
      <c r="D1712" t="s">
        <v>3457</v>
      </c>
      <c r="E1712" t="s">
        <v>2886</v>
      </c>
      <c r="F1712" t="s">
        <v>2887</v>
      </c>
      <c r="G1712" t="s">
        <v>2875</v>
      </c>
      <c r="H1712" t="s">
        <v>4413</v>
      </c>
    </row>
    <row r="1713" spans="2:8" x14ac:dyDescent="0.25">
      <c r="B1713" t="s">
        <v>3393</v>
      </c>
      <c r="C1713">
        <v>2021</v>
      </c>
      <c r="D1713" t="s">
        <v>3457</v>
      </c>
      <c r="E1713" t="s">
        <v>2886</v>
      </c>
      <c r="F1713" t="s">
        <v>2887</v>
      </c>
      <c r="G1713" t="s">
        <v>2876</v>
      </c>
      <c r="H1713" t="s">
        <v>4414</v>
      </c>
    </row>
    <row r="1714" spans="2:8" x14ac:dyDescent="0.25">
      <c r="B1714" t="s">
        <v>3393</v>
      </c>
      <c r="C1714">
        <v>2021</v>
      </c>
      <c r="D1714" t="s">
        <v>3457</v>
      </c>
      <c r="E1714" t="s">
        <v>2886</v>
      </c>
      <c r="F1714" t="s">
        <v>2887</v>
      </c>
      <c r="G1714" t="s">
        <v>2889</v>
      </c>
      <c r="H1714" t="s">
        <v>4415</v>
      </c>
    </row>
    <row r="1715" spans="2:8" x14ac:dyDescent="0.25">
      <c r="B1715" t="s">
        <v>3393</v>
      </c>
      <c r="C1715">
        <v>2021</v>
      </c>
      <c r="D1715" t="s">
        <v>3457</v>
      </c>
      <c r="E1715" t="s">
        <v>2886</v>
      </c>
      <c r="F1715" t="s">
        <v>2887</v>
      </c>
      <c r="G1715" t="s">
        <v>611</v>
      </c>
      <c r="H1715" t="s">
        <v>4416</v>
      </c>
    </row>
    <row r="1716" spans="2:8" x14ac:dyDescent="0.25">
      <c r="B1716" t="s">
        <v>3393</v>
      </c>
      <c r="C1716">
        <v>2021</v>
      </c>
      <c r="D1716" t="s">
        <v>3457</v>
      </c>
      <c r="E1716" t="s">
        <v>2890</v>
      </c>
      <c r="F1716" t="s">
        <v>2891</v>
      </c>
      <c r="G1716" t="s">
        <v>2892</v>
      </c>
      <c r="H1716" t="s">
        <v>3744</v>
      </c>
    </row>
    <row r="1717" spans="2:8" x14ac:dyDescent="0.25">
      <c r="B1717" t="s">
        <v>3393</v>
      </c>
      <c r="C1717">
        <v>2021</v>
      </c>
      <c r="D1717" t="s">
        <v>3457</v>
      </c>
      <c r="E1717" t="s">
        <v>2890</v>
      </c>
      <c r="F1717" t="s">
        <v>2891</v>
      </c>
      <c r="G1717" t="s">
        <v>2893</v>
      </c>
      <c r="H1717" t="s">
        <v>3745</v>
      </c>
    </row>
    <row r="1718" spans="2:8" x14ac:dyDescent="0.25">
      <c r="B1718" t="s">
        <v>3393</v>
      </c>
      <c r="C1718">
        <v>2021</v>
      </c>
      <c r="D1718" t="s">
        <v>3457</v>
      </c>
      <c r="E1718" t="s">
        <v>2894</v>
      </c>
      <c r="F1718" t="s">
        <v>2895</v>
      </c>
      <c r="G1718" t="s">
        <v>2896</v>
      </c>
      <c r="H1718" t="s">
        <v>4417</v>
      </c>
    </row>
    <row r="1719" spans="2:8" x14ac:dyDescent="0.25">
      <c r="B1719" t="s">
        <v>3393</v>
      </c>
      <c r="C1719">
        <v>2021</v>
      </c>
      <c r="D1719" t="s">
        <v>3457</v>
      </c>
      <c r="E1719" t="s">
        <v>2894</v>
      </c>
      <c r="F1719" t="s">
        <v>2895</v>
      </c>
      <c r="G1719" t="s">
        <v>2897</v>
      </c>
      <c r="H1719" t="s">
        <v>3346</v>
      </c>
    </row>
    <row r="1720" spans="2:8" x14ac:dyDescent="0.25">
      <c r="B1720" t="s">
        <v>3393</v>
      </c>
      <c r="C1720">
        <v>2021</v>
      </c>
      <c r="D1720" t="s">
        <v>3457</v>
      </c>
      <c r="E1720" t="s">
        <v>2894</v>
      </c>
      <c r="F1720" t="s">
        <v>2895</v>
      </c>
      <c r="G1720" t="s">
        <v>2898</v>
      </c>
      <c r="H1720" t="s">
        <v>4418</v>
      </c>
    </row>
    <row r="1721" spans="2:8" x14ac:dyDescent="0.25">
      <c r="B1721" t="s">
        <v>3393</v>
      </c>
      <c r="C1721">
        <v>2021</v>
      </c>
      <c r="D1721" t="s">
        <v>3457</v>
      </c>
      <c r="E1721" t="s">
        <v>2894</v>
      </c>
      <c r="F1721" t="s">
        <v>2895</v>
      </c>
      <c r="G1721" t="s">
        <v>2899</v>
      </c>
      <c r="H1721" t="s">
        <v>4140</v>
      </c>
    </row>
    <row r="1722" spans="2:8" x14ac:dyDescent="0.25">
      <c r="B1722" t="s">
        <v>3393</v>
      </c>
      <c r="C1722">
        <v>2021</v>
      </c>
      <c r="D1722" t="s">
        <v>3457</v>
      </c>
      <c r="E1722" t="s">
        <v>2894</v>
      </c>
      <c r="F1722" t="s">
        <v>2895</v>
      </c>
      <c r="G1722" t="s">
        <v>2900</v>
      </c>
      <c r="H1722" t="s">
        <v>4419</v>
      </c>
    </row>
    <row r="1723" spans="2:8" x14ac:dyDescent="0.25">
      <c r="B1723" t="s">
        <v>3393</v>
      </c>
      <c r="C1723">
        <v>2021</v>
      </c>
      <c r="D1723" t="s">
        <v>3457</v>
      </c>
      <c r="E1723" t="s">
        <v>2894</v>
      </c>
      <c r="F1723" t="s">
        <v>2895</v>
      </c>
      <c r="G1723" t="s">
        <v>2901</v>
      </c>
      <c r="H1723" t="s">
        <v>4420</v>
      </c>
    </row>
    <row r="1724" spans="2:8" x14ac:dyDescent="0.25">
      <c r="B1724" t="s">
        <v>3393</v>
      </c>
      <c r="C1724">
        <v>2021</v>
      </c>
      <c r="D1724" t="s">
        <v>3457</v>
      </c>
      <c r="E1724" t="s">
        <v>2894</v>
      </c>
      <c r="F1724" t="s">
        <v>2895</v>
      </c>
      <c r="G1724" t="s">
        <v>2902</v>
      </c>
      <c r="H1724" t="s">
        <v>4421</v>
      </c>
    </row>
    <row r="1725" spans="2:8" x14ac:dyDescent="0.25">
      <c r="B1725" t="s">
        <v>3393</v>
      </c>
      <c r="C1725">
        <v>2021</v>
      </c>
      <c r="D1725" t="s">
        <v>3457</v>
      </c>
      <c r="E1725" t="s">
        <v>2894</v>
      </c>
      <c r="F1725" t="s">
        <v>2895</v>
      </c>
      <c r="G1725" t="s">
        <v>2903</v>
      </c>
      <c r="H1725" t="s">
        <v>4422</v>
      </c>
    </row>
    <row r="1726" spans="2:8" x14ac:dyDescent="0.25">
      <c r="B1726" t="s">
        <v>3393</v>
      </c>
      <c r="C1726">
        <v>2021</v>
      </c>
      <c r="D1726" t="s">
        <v>3457</v>
      </c>
      <c r="E1726" t="s">
        <v>2894</v>
      </c>
      <c r="F1726" t="s">
        <v>2895</v>
      </c>
      <c r="G1726" t="s">
        <v>2904</v>
      </c>
      <c r="H1726" t="s">
        <v>4423</v>
      </c>
    </row>
    <row r="1727" spans="2:8" x14ac:dyDescent="0.25">
      <c r="B1727" t="s">
        <v>3393</v>
      </c>
      <c r="C1727">
        <v>2021</v>
      </c>
      <c r="D1727" t="s">
        <v>3457</v>
      </c>
      <c r="E1727" t="s">
        <v>2894</v>
      </c>
      <c r="F1727" t="s">
        <v>2895</v>
      </c>
      <c r="G1727" t="s">
        <v>2905</v>
      </c>
      <c r="H1727" t="s">
        <v>3316</v>
      </c>
    </row>
    <row r="1728" spans="2:8" x14ac:dyDescent="0.25">
      <c r="B1728" t="s">
        <v>3393</v>
      </c>
      <c r="C1728">
        <v>2021</v>
      </c>
      <c r="D1728" t="s">
        <v>3457</v>
      </c>
      <c r="E1728" t="s">
        <v>2894</v>
      </c>
      <c r="F1728" t="s">
        <v>2895</v>
      </c>
      <c r="G1728" t="s">
        <v>2906</v>
      </c>
      <c r="H1728" t="s">
        <v>4424</v>
      </c>
    </row>
    <row r="1729" spans="2:8" x14ac:dyDescent="0.25">
      <c r="B1729" t="s">
        <v>3393</v>
      </c>
      <c r="C1729">
        <v>2021</v>
      </c>
      <c r="D1729" t="s">
        <v>3457</v>
      </c>
      <c r="E1729" t="s">
        <v>2894</v>
      </c>
      <c r="F1729" t="s">
        <v>2895</v>
      </c>
      <c r="G1729" t="s">
        <v>2907</v>
      </c>
      <c r="H1729" t="s">
        <v>3757</v>
      </c>
    </row>
    <row r="1730" spans="2:8" x14ac:dyDescent="0.25">
      <c r="B1730" t="s">
        <v>3393</v>
      </c>
      <c r="C1730">
        <v>2021</v>
      </c>
      <c r="D1730" t="s">
        <v>3457</v>
      </c>
      <c r="E1730" t="s">
        <v>2894</v>
      </c>
      <c r="F1730" t="s">
        <v>2895</v>
      </c>
      <c r="G1730" t="s">
        <v>2908</v>
      </c>
      <c r="H1730" t="s">
        <v>4425</v>
      </c>
    </row>
    <row r="1731" spans="2:8" x14ac:dyDescent="0.25">
      <c r="B1731" t="s">
        <v>3393</v>
      </c>
      <c r="C1731">
        <v>2021</v>
      </c>
      <c r="D1731" t="s">
        <v>3457</v>
      </c>
      <c r="E1731" t="s">
        <v>2894</v>
      </c>
      <c r="F1731" t="s">
        <v>2895</v>
      </c>
      <c r="G1731" t="s">
        <v>2909</v>
      </c>
      <c r="H1731" t="s">
        <v>4426</v>
      </c>
    </row>
    <row r="1732" spans="2:8" x14ac:dyDescent="0.25">
      <c r="B1732" t="s">
        <v>3393</v>
      </c>
      <c r="C1732">
        <v>2021</v>
      </c>
      <c r="D1732" t="s">
        <v>3457</v>
      </c>
      <c r="E1732" t="s">
        <v>2894</v>
      </c>
      <c r="F1732" t="s">
        <v>2895</v>
      </c>
      <c r="G1732" t="s">
        <v>2910</v>
      </c>
      <c r="H1732" t="s">
        <v>4427</v>
      </c>
    </row>
    <row r="1733" spans="2:8" x14ac:dyDescent="0.25">
      <c r="B1733" t="s">
        <v>3393</v>
      </c>
      <c r="C1733">
        <v>2021</v>
      </c>
      <c r="D1733" t="s">
        <v>3457</v>
      </c>
      <c r="E1733" t="s">
        <v>2911</v>
      </c>
      <c r="F1733" t="s">
        <v>2912</v>
      </c>
      <c r="G1733" t="s">
        <v>113</v>
      </c>
      <c r="H1733" t="s">
        <v>1993</v>
      </c>
    </row>
    <row r="1734" spans="2:8" x14ac:dyDescent="0.25">
      <c r="B1734" t="s">
        <v>3393</v>
      </c>
      <c r="C1734">
        <v>2021</v>
      </c>
      <c r="D1734" t="s">
        <v>3457</v>
      </c>
      <c r="E1734" t="s">
        <v>2911</v>
      </c>
      <c r="F1734" t="s">
        <v>2912</v>
      </c>
      <c r="G1734" t="s">
        <v>2913</v>
      </c>
      <c r="H1734" t="s">
        <v>2914</v>
      </c>
    </row>
    <row r="1735" spans="2:8" x14ac:dyDescent="0.25">
      <c r="B1735" t="s">
        <v>3393</v>
      </c>
      <c r="C1735">
        <v>2021</v>
      </c>
      <c r="D1735" t="s">
        <v>3457</v>
      </c>
      <c r="E1735" t="s">
        <v>2911</v>
      </c>
      <c r="F1735" t="s">
        <v>2912</v>
      </c>
      <c r="G1735" t="s">
        <v>890</v>
      </c>
      <c r="H1735" t="s">
        <v>4428</v>
      </c>
    </row>
    <row r="1736" spans="2:8" x14ac:dyDescent="0.25">
      <c r="B1736" t="s">
        <v>3393</v>
      </c>
      <c r="C1736">
        <v>2021</v>
      </c>
      <c r="D1736" t="s">
        <v>3457</v>
      </c>
      <c r="E1736" t="s">
        <v>2911</v>
      </c>
      <c r="F1736" t="s">
        <v>2912</v>
      </c>
      <c r="G1736" t="s">
        <v>892</v>
      </c>
      <c r="H1736" t="s">
        <v>4429</v>
      </c>
    </row>
    <row r="1737" spans="2:8" x14ac:dyDescent="0.25">
      <c r="B1737" t="s">
        <v>3393</v>
      </c>
      <c r="C1737">
        <v>2021</v>
      </c>
      <c r="D1737" t="s">
        <v>3457</v>
      </c>
      <c r="E1737" t="s">
        <v>2911</v>
      </c>
      <c r="F1737" t="s">
        <v>2912</v>
      </c>
      <c r="G1737" t="s">
        <v>891</v>
      </c>
      <c r="H1737" t="s">
        <v>4430</v>
      </c>
    </row>
    <row r="1738" spans="2:8" x14ac:dyDescent="0.25">
      <c r="B1738" t="s">
        <v>3393</v>
      </c>
      <c r="C1738">
        <v>2021</v>
      </c>
      <c r="D1738" t="s">
        <v>3457</v>
      </c>
      <c r="E1738" t="s">
        <v>2911</v>
      </c>
      <c r="F1738" t="s">
        <v>2912</v>
      </c>
      <c r="G1738" t="s">
        <v>115</v>
      </c>
      <c r="H1738" t="s">
        <v>4431</v>
      </c>
    </row>
    <row r="1739" spans="2:8" x14ac:dyDescent="0.25">
      <c r="B1739" t="s">
        <v>3393</v>
      </c>
      <c r="C1739">
        <v>2021</v>
      </c>
      <c r="D1739" t="s">
        <v>3457</v>
      </c>
      <c r="E1739" t="s">
        <v>2911</v>
      </c>
      <c r="F1739" t="s">
        <v>2912</v>
      </c>
      <c r="G1739" t="s">
        <v>888</v>
      </c>
      <c r="H1739" t="s">
        <v>1993</v>
      </c>
    </row>
    <row r="1740" spans="2:8" x14ac:dyDescent="0.25">
      <c r="B1740" t="s">
        <v>3393</v>
      </c>
      <c r="C1740">
        <v>2021</v>
      </c>
      <c r="D1740" t="s">
        <v>3457</v>
      </c>
      <c r="E1740" t="s">
        <v>2911</v>
      </c>
      <c r="F1740" t="s">
        <v>2912</v>
      </c>
      <c r="G1740" t="s">
        <v>182</v>
      </c>
      <c r="H1740" t="s">
        <v>4431</v>
      </c>
    </row>
    <row r="1741" spans="2:8" x14ac:dyDescent="0.25">
      <c r="B1741" t="s">
        <v>3393</v>
      </c>
      <c r="C1741">
        <v>2021</v>
      </c>
      <c r="D1741" t="s">
        <v>3457</v>
      </c>
      <c r="E1741" t="s">
        <v>2915</v>
      </c>
      <c r="F1741" t="s">
        <v>2916</v>
      </c>
      <c r="G1741" t="s">
        <v>113</v>
      </c>
      <c r="H1741" t="s">
        <v>1993</v>
      </c>
    </row>
    <row r="1742" spans="2:8" x14ac:dyDescent="0.25">
      <c r="B1742" t="s">
        <v>3393</v>
      </c>
      <c r="C1742">
        <v>2021</v>
      </c>
      <c r="D1742" t="s">
        <v>3457</v>
      </c>
      <c r="E1742" t="s">
        <v>2915</v>
      </c>
      <c r="F1742" t="s">
        <v>2916</v>
      </c>
      <c r="G1742" t="s">
        <v>2913</v>
      </c>
      <c r="H1742" t="s">
        <v>2914</v>
      </c>
    </row>
    <row r="1743" spans="2:8" x14ac:dyDescent="0.25">
      <c r="B1743" t="s">
        <v>3393</v>
      </c>
      <c r="C1743">
        <v>2021</v>
      </c>
      <c r="D1743" t="s">
        <v>3457</v>
      </c>
      <c r="E1743" t="s">
        <v>2915</v>
      </c>
      <c r="F1743" t="s">
        <v>2916</v>
      </c>
      <c r="G1743" t="s">
        <v>890</v>
      </c>
      <c r="H1743" t="s">
        <v>4432</v>
      </c>
    </row>
    <row r="1744" spans="2:8" x14ac:dyDescent="0.25">
      <c r="B1744" t="s">
        <v>3393</v>
      </c>
      <c r="C1744">
        <v>2021</v>
      </c>
      <c r="D1744" t="s">
        <v>3457</v>
      </c>
      <c r="E1744" t="s">
        <v>2915</v>
      </c>
      <c r="F1744" t="s">
        <v>2916</v>
      </c>
      <c r="G1744" t="s">
        <v>892</v>
      </c>
      <c r="H1744" t="s">
        <v>2117</v>
      </c>
    </row>
    <row r="1745" spans="2:8" x14ac:dyDescent="0.25">
      <c r="B1745" t="s">
        <v>3393</v>
      </c>
      <c r="C1745">
        <v>2021</v>
      </c>
      <c r="D1745" t="s">
        <v>3457</v>
      </c>
      <c r="E1745" t="s">
        <v>2915</v>
      </c>
      <c r="F1745" t="s">
        <v>2916</v>
      </c>
      <c r="G1745" t="s">
        <v>891</v>
      </c>
      <c r="H1745" t="s">
        <v>4433</v>
      </c>
    </row>
    <row r="1746" spans="2:8" x14ac:dyDescent="0.25">
      <c r="B1746" t="s">
        <v>3393</v>
      </c>
      <c r="C1746">
        <v>2021</v>
      </c>
      <c r="D1746" t="s">
        <v>3457</v>
      </c>
      <c r="E1746" t="s">
        <v>2915</v>
      </c>
      <c r="F1746" t="s">
        <v>2916</v>
      </c>
      <c r="G1746" t="s">
        <v>115</v>
      </c>
      <c r="H1746" t="s">
        <v>4434</v>
      </c>
    </row>
    <row r="1747" spans="2:8" x14ac:dyDescent="0.25">
      <c r="B1747" t="s">
        <v>3393</v>
      </c>
      <c r="C1747">
        <v>2021</v>
      </c>
      <c r="D1747" t="s">
        <v>3457</v>
      </c>
      <c r="E1747" t="s">
        <v>2915</v>
      </c>
      <c r="F1747" t="s">
        <v>2916</v>
      </c>
      <c r="G1747" t="s">
        <v>888</v>
      </c>
      <c r="H1747" t="s">
        <v>4435</v>
      </c>
    </row>
    <row r="1748" spans="2:8" x14ac:dyDescent="0.25">
      <c r="B1748" t="s">
        <v>3393</v>
      </c>
      <c r="C1748">
        <v>2021</v>
      </c>
      <c r="D1748" t="s">
        <v>3457</v>
      </c>
      <c r="E1748" t="s">
        <v>2915</v>
      </c>
      <c r="F1748" t="s">
        <v>2916</v>
      </c>
      <c r="G1748" t="s">
        <v>182</v>
      </c>
      <c r="H1748" t="s">
        <v>4436</v>
      </c>
    </row>
    <row r="1749" spans="2:8" x14ac:dyDescent="0.25">
      <c r="B1749" t="s">
        <v>3393</v>
      </c>
      <c r="C1749">
        <v>2021</v>
      </c>
      <c r="D1749" t="s">
        <v>3457</v>
      </c>
      <c r="E1749" t="s">
        <v>2917</v>
      </c>
      <c r="F1749" t="s">
        <v>2918</v>
      </c>
      <c r="G1749" t="s">
        <v>2919</v>
      </c>
      <c r="H1749" t="s">
        <v>4437</v>
      </c>
    </row>
    <row r="1750" spans="2:8" x14ac:dyDescent="0.25">
      <c r="B1750" t="s">
        <v>3393</v>
      </c>
      <c r="C1750">
        <v>2021</v>
      </c>
      <c r="D1750" t="s">
        <v>3457</v>
      </c>
      <c r="E1750" t="s">
        <v>2917</v>
      </c>
      <c r="F1750" t="s">
        <v>2918</v>
      </c>
      <c r="G1750" t="s">
        <v>2920</v>
      </c>
      <c r="H1750" t="s">
        <v>4438</v>
      </c>
    </row>
    <row r="1751" spans="2:8" x14ac:dyDescent="0.25">
      <c r="B1751" t="s">
        <v>3393</v>
      </c>
      <c r="C1751">
        <v>2021</v>
      </c>
      <c r="D1751" t="s">
        <v>3457</v>
      </c>
      <c r="E1751" t="s">
        <v>2917</v>
      </c>
      <c r="F1751" t="s">
        <v>2918</v>
      </c>
      <c r="G1751" t="s">
        <v>719</v>
      </c>
      <c r="H1751" t="s">
        <v>4217</v>
      </c>
    </row>
    <row r="1752" spans="2:8" x14ac:dyDescent="0.25">
      <c r="B1752" t="s">
        <v>3393</v>
      </c>
      <c r="C1752">
        <v>2021</v>
      </c>
      <c r="D1752" t="s">
        <v>3457</v>
      </c>
      <c r="E1752" t="s">
        <v>2917</v>
      </c>
      <c r="F1752" t="s">
        <v>2918</v>
      </c>
      <c r="G1752" t="s">
        <v>2921</v>
      </c>
      <c r="H1752" t="s">
        <v>3297</v>
      </c>
    </row>
    <row r="1753" spans="2:8" x14ac:dyDescent="0.25">
      <c r="B1753" t="s">
        <v>3393</v>
      </c>
      <c r="C1753">
        <v>2021</v>
      </c>
      <c r="D1753" t="s">
        <v>3457</v>
      </c>
      <c r="E1753" t="s">
        <v>2917</v>
      </c>
      <c r="F1753" t="s">
        <v>2918</v>
      </c>
      <c r="G1753" t="s">
        <v>2922</v>
      </c>
      <c r="H1753" t="s">
        <v>4439</v>
      </c>
    </row>
    <row r="1754" spans="2:8" x14ac:dyDescent="0.25">
      <c r="B1754" t="s">
        <v>3393</v>
      </c>
      <c r="C1754">
        <v>2021</v>
      </c>
      <c r="D1754" t="s">
        <v>3457</v>
      </c>
      <c r="E1754" t="s">
        <v>2917</v>
      </c>
      <c r="F1754" t="s">
        <v>2918</v>
      </c>
      <c r="G1754" t="s">
        <v>716</v>
      </c>
      <c r="H1754" t="s">
        <v>3297</v>
      </c>
    </row>
    <row r="1755" spans="2:8" x14ac:dyDescent="0.25">
      <c r="B1755" t="s">
        <v>3393</v>
      </c>
      <c r="C1755">
        <v>2021</v>
      </c>
      <c r="D1755" t="s">
        <v>3457</v>
      </c>
      <c r="E1755" t="s">
        <v>2917</v>
      </c>
      <c r="F1755" t="s">
        <v>2918</v>
      </c>
      <c r="G1755" t="s">
        <v>2923</v>
      </c>
      <c r="H1755" t="s">
        <v>4154</v>
      </c>
    </row>
    <row r="1756" spans="2:8" x14ac:dyDescent="0.25">
      <c r="B1756" t="s">
        <v>3393</v>
      </c>
      <c r="C1756">
        <v>2021</v>
      </c>
      <c r="D1756" t="s">
        <v>3457</v>
      </c>
      <c r="E1756" t="s">
        <v>2917</v>
      </c>
      <c r="F1756" t="s">
        <v>2918</v>
      </c>
      <c r="G1756" t="s">
        <v>2924</v>
      </c>
      <c r="H1756" t="s">
        <v>3041</v>
      </c>
    </row>
    <row r="1757" spans="2:8" x14ac:dyDescent="0.25">
      <c r="B1757" t="s">
        <v>3393</v>
      </c>
      <c r="C1757">
        <v>2021</v>
      </c>
      <c r="D1757" t="s">
        <v>3457</v>
      </c>
      <c r="E1757" t="s">
        <v>2917</v>
      </c>
      <c r="F1757" t="s">
        <v>2918</v>
      </c>
      <c r="G1757" t="s">
        <v>720</v>
      </c>
      <c r="H1757" t="s">
        <v>4440</v>
      </c>
    </row>
    <row r="1758" spans="2:8" x14ac:dyDescent="0.25">
      <c r="B1758" t="s">
        <v>3393</v>
      </c>
      <c r="C1758">
        <v>2021</v>
      </c>
      <c r="D1758" t="s">
        <v>3457</v>
      </c>
      <c r="E1758" t="s">
        <v>2925</v>
      </c>
      <c r="F1758" t="s">
        <v>2926</v>
      </c>
      <c r="G1758" t="s">
        <v>2866</v>
      </c>
      <c r="H1758" t="s">
        <v>4441</v>
      </c>
    </row>
    <row r="1759" spans="2:8" x14ac:dyDescent="0.25">
      <c r="B1759" t="s">
        <v>3393</v>
      </c>
      <c r="C1759">
        <v>2021</v>
      </c>
      <c r="D1759" t="s">
        <v>3457</v>
      </c>
      <c r="E1759" t="s">
        <v>2925</v>
      </c>
      <c r="F1759" t="s">
        <v>2926</v>
      </c>
      <c r="G1759" t="s">
        <v>2409</v>
      </c>
      <c r="H1759" t="s">
        <v>4442</v>
      </c>
    </row>
    <row r="1760" spans="2:8" x14ac:dyDescent="0.25">
      <c r="B1760" t="s">
        <v>3393</v>
      </c>
      <c r="C1760">
        <v>2021</v>
      </c>
      <c r="D1760" t="s">
        <v>3457</v>
      </c>
      <c r="E1760" t="s">
        <v>2925</v>
      </c>
      <c r="F1760" t="s">
        <v>2926</v>
      </c>
      <c r="G1760" t="s">
        <v>2867</v>
      </c>
      <c r="H1760" t="s">
        <v>4443</v>
      </c>
    </row>
    <row r="1761" spans="2:8" x14ac:dyDescent="0.25">
      <c r="B1761" t="s">
        <v>3393</v>
      </c>
      <c r="C1761">
        <v>2021</v>
      </c>
      <c r="D1761" t="s">
        <v>3457</v>
      </c>
      <c r="E1761" t="s">
        <v>2927</v>
      </c>
      <c r="F1761" t="s">
        <v>2928</v>
      </c>
      <c r="G1761" t="s">
        <v>724</v>
      </c>
      <c r="H1761" t="s">
        <v>4444</v>
      </c>
    </row>
    <row r="1762" spans="2:8" x14ac:dyDescent="0.25">
      <c r="B1762" t="s">
        <v>3393</v>
      </c>
      <c r="C1762">
        <v>2021</v>
      </c>
      <c r="D1762" t="s">
        <v>3457</v>
      </c>
      <c r="E1762" t="s">
        <v>2927</v>
      </c>
      <c r="F1762" t="s">
        <v>2928</v>
      </c>
      <c r="G1762" t="s">
        <v>2929</v>
      </c>
      <c r="H1762" t="s">
        <v>3770</v>
      </c>
    </row>
    <row r="1763" spans="2:8" x14ac:dyDescent="0.25">
      <c r="B1763" t="s">
        <v>3393</v>
      </c>
      <c r="C1763">
        <v>2021</v>
      </c>
      <c r="D1763" t="s">
        <v>3457</v>
      </c>
      <c r="E1763" t="s">
        <v>2927</v>
      </c>
      <c r="F1763" t="s">
        <v>2928</v>
      </c>
      <c r="G1763" t="s">
        <v>2930</v>
      </c>
      <c r="H1763" t="s">
        <v>3383</v>
      </c>
    </row>
    <row r="1764" spans="2:8" x14ac:dyDescent="0.25">
      <c r="B1764" t="s">
        <v>3393</v>
      </c>
      <c r="C1764">
        <v>2021</v>
      </c>
      <c r="D1764" t="s">
        <v>3457</v>
      </c>
      <c r="E1764" t="s">
        <v>2927</v>
      </c>
      <c r="F1764" t="s">
        <v>2928</v>
      </c>
      <c r="G1764" t="s">
        <v>727</v>
      </c>
      <c r="H1764" t="s">
        <v>2003</v>
      </c>
    </row>
    <row r="1765" spans="2:8" x14ac:dyDescent="0.25">
      <c r="B1765" t="s">
        <v>3393</v>
      </c>
      <c r="C1765">
        <v>2021</v>
      </c>
      <c r="D1765" t="s">
        <v>3457</v>
      </c>
      <c r="E1765" t="s">
        <v>2931</v>
      </c>
      <c r="F1765" t="s">
        <v>2544</v>
      </c>
      <c r="G1765" t="s">
        <v>2932</v>
      </c>
      <c r="H1765" t="s">
        <v>2748</v>
      </c>
    </row>
    <row r="1766" spans="2:8" x14ac:dyDescent="0.25">
      <c r="B1766" t="s">
        <v>3393</v>
      </c>
      <c r="C1766">
        <v>2021</v>
      </c>
      <c r="D1766" t="s">
        <v>3457</v>
      </c>
      <c r="E1766" t="s">
        <v>2931</v>
      </c>
      <c r="F1766" t="s">
        <v>2544</v>
      </c>
      <c r="G1766" t="s">
        <v>2545</v>
      </c>
      <c r="H1766" t="s">
        <v>2748</v>
      </c>
    </row>
    <row r="1767" spans="2:8" x14ac:dyDescent="0.25">
      <c r="B1767" t="s">
        <v>3393</v>
      </c>
      <c r="C1767">
        <v>2021</v>
      </c>
      <c r="D1767" t="s">
        <v>3457</v>
      </c>
      <c r="E1767" t="s">
        <v>2931</v>
      </c>
      <c r="F1767" t="s">
        <v>2544</v>
      </c>
      <c r="G1767" t="s">
        <v>2933</v>
      </c>
      <c r="H1767" t="s">
        <v>4445</v>
      </c>
    </row>
    <row r="1768" spans="2:8" x14ac:dyDescent="0.25">
      <c r="B1768" t="s">
        <v>3393</v>
      </c>
      <c r="C1768">
        <v>2021</v>
      </c>
      <c r="D1768" t="s">
        <v>3457</v>
      </c>
      <c r="E1768" t="s">
        <v>2931</v>
      </c>
      <c r="F1768" t="s">
        <v>2544</v>
      </c>
      <c r="G1768" t="s">
        <v>714</v>
      </c>
      <c r="H1768" t="s">
        <v>4223</v>
      </c>
    </row>
    <row r="1769" spans="2:8" x14ac:dyDescent="0.25">
      <c r="B1769" t="s">
        <v>3393</v>
      </c>
      <c r="C1769">
        <v>2021</v>
      </c>
      <c r="D1769" t="s">
        <v>3457</v>
      </c>
      <c r="E1769" t="s">
        <v>2931</v>
      </c>
      <c r="F1769" t="s">
        <v>2544</v>
      </c>
      <c r="G1769" t="s">
        <v>2934</v>
      </c>
      <c r="H1769" t="s">
        <v>2748</v>
      </c>
    </row>
    <row r="1770" spans="2:8" x14ac:dyDescent="0.25">
      <c r="B1770" t="s">
        <v>3393</v>
      </c>
      <c r="C1770">
        <v>2021</v>
      </c>
      <c r="D1770" t="s">
        <v>3457</v>
      </c>
      <c r="E1770" t="s">
        <v>2931</v>
      </c>
      <c r="F1770" t="s">
        <v>2544</v>
      </c>
      <c r="G1770" t="s">
        <v>2935</v>
      </c>
      <c r="H1770" t="s">
        <v>4446</v>
      </c>
    </row>
    <row r="1771" spans="2:8" x14ac:dyDescent="0.25">
      <c r="B1771" t="s">
        <v>3393</v>
      </c>
      <c r="C1771">
        <v>2021</v>
      </c>
      <c r="D1771" t="s">
        <v>3457</v>
      </c>
      <c r="E1771" t="s">
        <v>2936</v>
      </c>
      <c r="F1771" t="s">
        <v>2937</v>
      </c>
      <c r="G1771" t="s">
        <v>2938</v>
      </c>
      <c r="H1771" t="s">
        <v>4447</v>
      </c>
    </row>
    <row r="1772" spans="2:8" x14ac:dyDescent="0.25">
      <c r="B1772" t="s">
        <v>3393</v>
      </c>
      <c r="C1772">
        <v>2021</v>
      </c>
      <c r="D1772" t="s">
        <v>3457</v>
      </c>
      <c r="E1772" t="s">
        <v>2936</v>
      </c>
      <c r="F1772" t="s">
        <v>2937</v>
      </c>
      <c r="G1772" t="s">
        <v>2939</v>
      </c>
      <c r="H1772" t="s">
        <v>3782</v>
      </c>
    </row>
    <row r="1773" spans="2:8" x14ac:dyDescent="0.25">
      <c r="B1773" t="s">
        <v>3393</v>
      </c>
      <c r="C1773">
        <v>2021</v>
      </c>
      <c r="D1773" t="s">
        <v>3457</v>
      </c>
      <c r="E1773" t="s">
        <v>2941</v>
      </c>
      <c r="F1773" t="s">
        <v>2942</v>
      </c>
      <c r="G1773" t="s">
        <v>2943</v>
      </c>
      <c r="H1773" t="s">
        <v>3891</v>
      </c>
    </row>
    <row r="1774" spans="2:8" x14ac:dyDescent="0.25">
      <c r="B1774" t="s">
        <v>3393</v>
      </c>
      <c r="C1774">
        <v>2021</v>
      </c>
      <c r="D1774" t="s">
        <v>3457</v>
      </c>
      <c r="E1774" t="s">
        <v>2941</v>
      </c>
      <c r="F1774" t="s">
        <v>2942</v>
      </c>
      <c r="G1774" t="s">
        <v>2944</v>
      </c>
      <c r="H1774" t="s">
        <v>3522</v>
      </c>
    </row>
    <row r="1775" spans="2:8" x14ac:dyDescent="0.25">
      <c r="B1775" t="s">
        <v>3393</v>
      </c>
      <c r="C1775">
        <v>2021</v>
      </c>
      <c r="D1775" t="s">
        <v>3457</v>
      </c>
      <c r="E1775" t="s">
        <v>2945</v>
      </c>
      <c r="F1775" t="s">
        <v>2946</v>
      </c>
      <c r="G1775" t="s">
        <v>2245</v>
      </c>
      <c r="H1775" t="s">
        <v>2003</v>
      </c>
    </row>
    <row r="1776" spans="2:8" x14ac:dyDescent="0.25">
      <c r="B1776" t="s">
        <v>3393</v>
      </c>
      <c r="C1776">
        <v>2021</v>
      </c>
      <c r="D1776" t="s">
        <v>3457</v>
      </c>
      <c r="E1776" t="s">
        <v>2945</v>
      </c>
      <c r="F1776" t="s">
        <v>2946</v>
      </c>
      <c r="G1776" t="s">
        <v>2248</v>
      </c>
      <c r="H1776" t="s">
        <v>3411</v>
      </c>
    </row>
    <row r="1777" spans="2:8" x14ac:dyDescent="0.25">
      <c r="B1777" t="s">
        <v>3393</v>
      </c>
      <c r="C1777">
        <v>2021</v>
      </c>
      <c r="D1777" t="s">
        <v>3457</v>
      </c>
      <c r="E1777" t="s">
        <v>2945</v>
      </c>
      <c r="F1777" t="s">
        <v>2946</v>
      </c>
      <c r="G1777" t="s">
        <v>2250</v>
      </c>
      <c r="H1777" t="s">
        <v>3412</v>
      </c>
    </row>
    <row r="1778" spans="2:8" x14ac:dyDescent="0.25">
      <c r="B1778" t="s">
        <v>3393</v>
      </c>
      <c r="C1778">
        <v>2021</v>
      </c>
      <c r="D1778" t="s">
        <v>3457</v>
      </c>
      <c r="E1778" t="s">
        <v>2945</v>
      </c>
      <c r="F1778" t="s">
        <v>2946</v>
      </c>
      <c r="G1778" t="s">
        <v>2252</v>
      </c>
      <c r="H1778" t="s">
        <v>3413</v>
      </c>
    </row>
    <row r="1779" spans="2:8" x14ac:dyDescent="0.25">
      <c r="B1779" t="s">
        <v>3393</v>
      </c>
      <c r="C1779">
        <v>2021</v>
      </c>
      <c r="D1779" t="s">
        <v>3457</v>
      </c>
      <c r="E1779" t="s">
        <v>2945</v>
      </c>
      <c r="F1779" t="s">
        <v>2946</v>
      </c>
      <c r="G1779" t="s">
        <v>2254</v>
      </c>
      <c r="H1779" t="s">
        <v>2033</v>
      </c>
    </row>
    <row r="1780" spans="2:8" x14ac:dyDescent="0.25">
      <c r="B1780" t="s">
        <v>3393</v>
      </c>
      <c r="C1780">
        <v>2021</v>
      </c>
      <c r="D1780" t="s">
        <v>3457</v>
      </c>
      <c r="E1780" t="s">
        <v>2945</v>
      </c>
      <c r="F1780" t="s">
        <v>2946</v>
      </c>
      <c r="G1780" t="s">
        <v>2255</v>
      </c>
      <c r="H1780" t="s">
        <v>2081</v>
      </c>
    </row>
    <row r="1781" spans="2:8" x14ac:dyDescent="0.25">
      <c r="B1781" t="s">
        <v>3393</v>
      </c>
      <c r="C1781">
        <v>2021</v>
      </c>
      <c r="D1781" t="s">
        <v>3457</v>
      </c>
      <c r="E1781" t="s">
        <v>2945</v>
      </c>
      <c r="F1781" t="s">
        <v>2946</v>
      </c>
      <c r="G1781" t="s">
        <v>2256</v>
      </c>
      <c r="H1781" t="s">
        <v>3414</v>
      </c>
    </row>
    <row r="1782" spans="2:8" x14ac:dyDescent="0.25">
      <c r="B1782" t="s">
        <v>3393</v>
      </c>
      <c r="C1782">
        <v>2021</v>
      </c>
      <c r="D1782" t="s">
        <v>3457</v>
      </c>
      <c r="E1782" t="s">
        <v>2947</v>
      </c>
      <c r="F1782" t="s">
        <v>2948</v>
      </c>
      <c r="G1782" t="s">
        <v>2949</v>
      </c>
      <c r="H1782" t="s">
        <v>3556</v>
      </c>
    </row>
    <row r="1783" spans="2:8" x14ac:dyDescent="0.25">
      <c r="B1783" t="s">
        <v>3393</v>
      </c>
      <c r="C1783">
        <v>2021</v>
      </c>
      <c r="D1783" t="s">
        <v>3457</v>
      </c>
      <c r="E1783" t="s">
        <v>2947</v>
      </c>
      <c r="F1783" t="s">
        <v>2948</v>
      </c>
      <c r="G1783" t="s">
        <v>2950</v>
      </c>
      <c r="H1783" t="s">
        <v>2167</v>
      </c>
    </row>
    <row r="1784" spans="2:8" x14ac:dyDescent="0.25">
      <c r="B1784" t="s">
        <v>3393</v>
      </c>
      <c r="C1784">
        <v>2021</v>
      </c>
      <c r="D1784" t="s">
        <v>3457</v>
      </c>
      <c r="E1784" t="s">
        <v>2951</v>
      </c>
      <c r="F1784" t="s">
        <v>2952</v>
      </c>
      <c r="G1784" t="s">
        <v>2953</v>
      </c>
      <c r="H1784" t="s">
        <v>2081</v>
      </c>
    </row>
    <row r="1785" spans="2:8" x14ac:dyDescent="0.25">
      <c r="B1785" t="s">
        <v>3393</v>
      </c>
      <c r="C1785">
        <v>2021</v>
      </c>
      <c r="D1785" t="s">
        <v>3457</v>
      </c>
      <c r="E1785" t="s">
        <v>2951</v>
      </c>
      <c r="F1785" t="s">
        <v>2952</v>
      </c>
      <c r="G1785" t="s">
        <v>2954</v>
      </c>
      <c r="H1785" t="s">
        <v>4448</v>
      </c>
    </row>
    <row r="1786" spans="2:8" x14ac:dyDescent="0.25">
      <c r="B1786" t="s">
        <v>3393</v>
      </c>
      <c r="C1786">
        <v>2021</v>
      </c>
      <c r="D1786" t="s">
        <v>3457</v>
      </c>
      <c r="E1786" t="s">
        <v>2955</v>
      </c>
      <c r="F1786" t="s">
        <v>2956</v>
      </c>
      <c r="G1786" t="s">
        <v>2953</v>
      </c>
      <c r="H1786" t="s">
        <v>1995</v>
      </c>
    </row>
    <row r="1787" spans="2:8" x14ac:dyDescent="0.25">
      <c r="B1787" t="s">
        <v>3393</v>
      </c>
      <c r="C1787">
        <v>2021</v>
      </c>
      <c r="D1787" t="s">
        <v>3457</v>
      </c>
      <c r="E1787" t="s">
        <v>2955</v>
      </c>
      <c r="F1787" t="s">
        <v>2956</v>
      </c>
      <c r="G1787" t="s">
        <v>2954</v>
      </c>
      <c r="H1787" t="s">
        <v>3321</v>
      </c>
    </row>
    <row r="1788" spans="2:8" x14ac:dyDescent="0.25">
      <c r="B1788" t="s">
        <v>3393</v>
      </c>
      <c r="C1788">
        <v>2021</v>
      </c>
      <c r="D1788" t="s">
        <v>3457</v>
      </c>
      <c r="E1788" t="s">
        <v>2957</v>
      </c>
      <c r="F1788" t="s">
        <v>2958</v>
      </c>
      <c r="G1788" t="s">
        <v>2959</v>
      </c>
      <c r="H1788" t="s">
        <v>2081</v>
      </c>
    </row>
    <row r="1789" spans="2:8" x14ac:dyDescent="0.25">
      <c r="B1789" t="s">
        <v>3393</v>
      </c>
      <c r="C1789">
        <v>2021</v>
      </c>
      <c r="D1789" t="s">
        <v>3457</v>
      </c>
      <c r="E1789" t="s">
        <v>2957</v>
      </c>
      <c r="F1789" t="s">
        <v>2958</v>
      </c>
      <c r="G1789" t="s">
        <v>2960</v>
      </c>
      <c r="H1789" t="s">
        <v>4449</v>
      </c>
    </row>
    <row r="1790" spans="2:8" x14ac:dyDescent="0.25">
      <c r="B1790" t="s">
        <v>3393</v>
      </c>
      <c r="C1790">
        <v>2021</v>
      </c>
      <c r="D1790" t="s">
        <v>3457</v>
      </c>
      <c r="E1790" t="s">
        <v>2957</v>
      </c>
      <c r="F1790" t="s">
        <v>2958</v>
      </c>
      <c r="G1790" t="s">
        <v>2961</v>
      </c>
      <c r="H1790" t="s">
        <v>2049</v>
      </c>
    </row>
    <row r="1791" spans="2:8" x14ac:dyDescent="0.25">
      <c r="B1791" t="s">
        <v>3393</v>
      </c>
      <c r="C1791">
        <v>2021</v>
      </c>
      <c r="D1791" t="s">
        <v>3457</v>
      </c>
      <c r="E1791" t="s">
        <v>2957</v>
      </c>
      <c r="F1791" t="s">
        <v>2958</v>
      </c>
      <c r="G1791" t="s">
        <v>2962</v>
      </c>
      <c r="H1791" t="s">
        <v>2125</v>
      </c>
    </row>
    <row r="1792" spans="2:8" x14ac:dyDescent="0.25">
      <c r="B1792" t="s">
        <v>3393</v>
      </c>
      <c r="C1792">
        <v>2021</v>
      </c>
      <c r="D1792" t="s">
        <v>3457</v>
      </c>
      <c r="E1792" t="s">
        <v>2963</v>
      </c>
      <c r="F1792" t="s">
        <v>2964</v>
      </c>
      <c r="G1792" t="s">
        <v>2965</v>
      </c>
      <c r="H1792" t="s">
        <v>4450</v>
      </c>
    </row>
    <row r="1793" spans="2:8" x14ac:dyDescent="0.25">
      <c r="B1793" t="s">
        <v>3393</v>
      </c>
      <c r="C1793">
        <v>2021</v>
      </c>
      <c r="D1793" t="s">
        <v>3457</v>
      </c>
      <c r="E1793" t="s">
        <v>2966</v>
      </c>
      <c r="F1793" t="s">
        <v>2967</v>
      </c>
      <c r="G1793" t="s">
        <v>2866</v>
      </c>
      <c r="H1793" t="s">
        <v>4451</v>
      </c>
    </row>
    <row r="1794" spans="2:8" x14ac:dyDescent="0.25">
      <c r="B1794" t="s">
        <v>3393</v>
      </c>
      <c r="C1794">
        <v>2021</v>
      </c>
      <c r="D1794" t="s">
        <v>3457</v>
      </c>
      <c r="E1794" t="s">
        <v>2966</v>
      </c>
      <c r="F1794" t="s">
        <v>2967</v>
      </c>
      <c r="G1794" t="s">
        <v>2409</v>
      </c>
      <c r="H1794" t="s">
        <v>4452</v>
      </c>
    </row>
    <row r="1795" spans="2:8" x14ac:dyDescent="0.25">
      <c r="B1795" t="s">
        <v>3393</v>
      </c>
      <c r="C1795">
        <v>2021</v>
      </c>
      <c r="D1795" t="s">
        <v>3457</v>
      </c>
      <c r="E1795" t="s">
        <v>2966</v>
      </c>
      <c r="F1795" t="s">
        <v>2967</v>
      </c>
      <c r="G1795" t="s">
        <v>2867</v>
      </c>
      <c r="H1795" t="s">
        <v>4453</v>
      </c>
    </row>
    <row r="1796" spans="2:8" x14ac:dyDescent="0.25">
      <c r="B1796" t="s">
        <v>3393</v>
      </c>
      <c r="C1796">
        <v>2021</v>
      </c>
      <c r="D1796" t="s">
        <v>3457</v>
      </c>
      <c r="E1796" t="s">
        <v>2968</v>
      </c>
      <c r="F1796" t="s">
        <v>2969</v>
      </c>
      <c r="G1796" t="s">
        <v>2970</v>
      </c>
      <c r="H1796" t="s">
        <v>3554</v>
      </c>
    </row>
    <row r="1797" spans="2:8" x14ac:dyDescent="0.25">
      <c r="B1797" t="s">
        <v>3393</v>
      </c>
      <c r="C1797">
        <v>2021</v>
      </c>
      <c r="D1797" t="s">
        <v>3457</v>
      </c>
      <c r="E1797" t="s">
        <v>2968</v>
      </c>
      <c r="F1797" t="s">
        <v>2969</v>
      </c>
      <c r="G1797" t="s">
        <v>2971</v>
      </c>
      <c r="H1797" t="s">
        <v>3348</v>
      </c>
    </row>
    <row r="1798" spans="2:8" x14ac:dyDescent="0.25">
      <c r="B1798" t="s">
        <v>3393</v>
      </c>
      <c r="C1798">
        <v>2021</v>
      </c>
      <c r="D1798" t="s">
        <v>3457</v>
      </c>
      <c r="E1798" t="s">
        <v>2972</v>
      </c>
      <c r="F1798" t="s">
        <v>2973</v>
      </c>
      <c r="G1798" t="s">
        <v>2866</v>
      </c>
      <c r="H1798" t="s">
        <v>4454</v>
      </c>
    </row>
    <row r="1799" spans="2:8" x14ac:dyDescent="0.25">
      <c r="B1799" t="s">
        <v>3393</v>
      </c>
      <c r="C1799">
        <v>2021</v>
      </c>
      <c r="D1799" t="s">
        <v>3457</v>
      </c>
      <c r="E1799" t="s">
        <v>2972</v>
      </c>
      <c r="F1799" t="s">
        <v>2973</v>
      </c>
      <c r="G1799" t="s">
        <v>2409</v>
      </c>
      <c r="H1799" t="s">
        <v>4455</v>
      </c>
    </row>
    <row r="1800" spans="2:8" x14ac:dyDescent="0.25">
      <c r="B1800" t="s">
        <v>3393</v>
      </c>
      <c r="C1800">
        <v>2021</v>
      </c>
      <c r="D1800" t="s">
        <v>3457</v>
      </c>
      <c r="E1800" t="s">
        <v>2972</v>
      </c>
      <c r="F1800" t="s">
        <v>2973</v>
      </c>
      <c r="G1800" t="s">
        <v>2867</v>
      </c>
      <c r="H1800" t="s">
        <v>4456</v>
      </c>
    </row>
    <row r="1801" spans="2:8" x14ac:dyDescent="0.25">
      <c r="B1801" t="s">
        <v>3393</v>
      </c>
      <c r="C1801">
        <v>2021</v>
      </c>
      <c r="D1801" t="s">
        <v>3457</v>
      </c>
      <c r="E1801" t="s">
        <v>2974</v>
      </c>
      <c r="F1801" t="s">
        <v>2412</v>
      </c>
      <c r="G1801" t="s">
        <v>2408</v>
      </c>
      <c r="H1801" t="s">
        <v>4167</v>
      </c>
    </row>
    <row r="1802" spans="2:8" x14ac:dyDescent="0.25">
      <c r="B1802" t="s">
        <v>3393</v>
      </c>
      <c r="C1802">
        <v>2021</v>
      </c>
      <c r="D1802" t="s">
        <v>3457</v>
      </c>
      <c r="E1802" t="s">
        <v>2974</v>
      </c>
      <c r="F1802" t="s">
        <v>2412</v>
      </c>
      <c r="G1802" t="s">
        <v>2409</v>
      </c>
      <c r="H1802" t="s">
        <v>4168</v>
      </c>
    </row>
    <row r="1803" spans="2:8" x14ac:dyDescent="0.25">
      <c r="B1803" t="s">
        <v>3393</v>
      </c>
      <c r="C1803">
        <v>2021</v>
      </c>
      <c r="D1803" t="s">
        <v>3457</v>
      </c>
      <c r="E1803" t="s">
        <v>2974</v>
      </c>
      <c r="F1803" t="s">
        <v>2412</v>
      </c>
      <c r="G1803" t="s">
        <v>2410</v>
      </c>
      <c r="H1803" t="s">
        <v>4169</v>
      </c>
    </row>
    <row r="1804" spans="2:8" x14ac:dyDescent="0.25">
      <c r="B1804" t="s">
        <v>3393</v>
      </c>
      <c r="C1804">
        <v>2021</v>
      </c>
      <c r="D1804" t="s">
        <v>3457</v>
      </c>
      <c r="E1804" t="s">
        <v>2975</v>
      </c>
      <c r="F1804" t="s">
        <v>2506</v>
      </c>
      <c r="G1804" t="s">
        <v>2408</v>
      </c>
      <c r="H1804" t="s">
        <v>4203</v>
      </c>
    </row>
    <row r="1805" spans="2:8" x14ac:dyDescent="0.25">
      <c r="B1805" t="s">
        <v>3393</v>
      </c>
      <c r="C1805">
        <v>2021</v>
      </c>
      <c r="D1805" t="s">
        <v>3457</v>
      </c>
      <c r="E1805" t="s">
        <v>2975</v>
      </c>
      <c r="F1805" t="s">
        <v>2506</v>
      </c>
      <c r="G1805" t="s">
        <v>2409</v>
      </c>
      <c r="H1805" t="s">
        <v>4204</v>
      </c>
    </row>
    <row r="1806" spans="2:8" x14ac:dyDescent="0.25">
      <c r="B1806" t="s">
        <v>3393</v>
      </c>
      <c r="C1806">
        <v>2021</v>
      </c>
      <c r="D1806" t="s">
        <v>3457</v>
      </c>
      <c r="E1806" t="s">
        <v>2975</v>
      </c>
      <c r="F1806" t="s">
        <v>2506</v>
      </c>
      <c r="G1806" t="s">
        <v>2410</v>
      </c>
      <c r="H1806" t="s">
        <v>4205</v>
      </c>
    </row>
    <row r="1807" spans="2:8" x14ac:dyDescent="0.25">
      <c r="B1807" t="s">
        <v>3393</v>
      </c>
      <c r="C1807">
        <v>2022</v>
      </c>
      <c r="D1807" t="s">
        <v>3457</v>
      </c>
      <c r="E1807" t="s">
        <v>2406</v>
      </c>
      <c r="F1807" t="s">
        <v>2407</v>
      </c>
      <c r="G1807" t="s">
        <v>2408</v>
      </c>
      <c r="H1807" t="s">
        <v>4457</v>
      </c>
    </row>
    <row r="1808" spans="2:8" x14ac:dyDescent="0.25">
      <c r="B1808" t="s">
        <v>3393</v>
      </c>
      <c r="C1808">
        <v>2022</v>
      </c>
      <c r="D1808" t="s">
        <v>3457</v>
      </c>
      <c r="E1808" t="s">
        <v>2406</v>
      </c>
      <c r="F1808" t="s">
        <v>2407</v>
      </c>
      <c r="G1808" t="s">
        <v>2409</v>
      </c>
      <c r="H1808" t="s">
        <v>4458</v>
      </c>
    </row>
    <row r="1809" spans="2:8" x14ac:dyDescent="0.25">
      <c r="B1809" t="s">
        <v>3393</v>
      </c>
      <c r="C1809">
        <v>2022</v>
      </c>
      <c r="D1809" t="s">
        <v>3457</v>
      </c>
      <c r="E1809" t="s">
        <v>2406</v>
      </c>
      <c r="F1809" t="s">
        <v>2407</v>
      </c>
      <c r="G1809" t="s">
        <v>2410</v>
      </c>
      <c r="H1809" t="s">
        <v>4459</v>
      </c>
    </row>
    <row r="1810" spans="2:8" x14ac:dyDescent="0.25">
      <c r="B1810" t="s">
        <v>3393</v>
      </c>
      <c r="C1810">
        <v>2022</v>
      </c>
      <c r="D1810" t="s">
        <v>3457</v>
      </c>
      <c r="E1810" t="s">
        <v>2411</v>
      </c>
      <c r="F1810" t="s">
        <v>2412</v>
      </c>
      <c r="G1810" t="s">
        <v>2408</v>
      </c>
      <c r="H1810" t="s">
        <v>4460</v>
      </c>
    </row>
    <row r="1811" spans="2:8" x14ac:dyDescent="0.25">
      <c r="B1811" t="s">
        <v>3393</v>
      </c>
      <c r="C1811">
        <v>2022</v>
      </c>
      <c r="D1811" t="s">
        <v>3457</v>
      </c>
      <c r="E1811" t="s">
        <v>2411</v>
      </c>
      <c r="F1811" t="s">
        <v>2412</v>
      </c>
      <c r="G1811" t="s">
        <v>2409</v>
      </c>
      <c r="H1811" t="s">
        <v>4461</v>
      </c>
    </row>
    <row r="1812" spans="2:8" x14ac:dyDescent="0.25">
      <c r="B1812" t="s">
        <v>3393</v>
      </c>
      <c r="C1812">
        <v>2022</v>
      </c>
      <c r="D1812" t="s">
        <v>3457</v>
      </c>
      <c r="E1812" t="s">
        <v>2411</v>
      </c>
      <c r="F1812" t="s">
        <v>2412</v>
      </c>
      <c r="G1812" t="s">
        <v>2410</v>
      </c>
      <c r="H1812" t="s">
        <v>4462</v>
      </c>
    </row>
    <row r="1813" spans="2:8" x14ac:dyDescent="0.25">
      <c r="B1813" t="s">
        <v>3393</v>
      </c>
      <c r="C1813">
        <v>2022</v>
      </c>
      <c r="D1813" t="s">
        <v>3457</v>
      </c>
      <c r="E1813" t="s">
        <v>2413</v>
      </c>
      <c r="F1813" t="s">
        <v>2414</v>
      </c>
      <c r="G1813" t="s">
        <v>2415</v>
      </c>
      <c r="H1813" t="s">
        <v>4463</v>
      </c>
    </row>
    <row r="1814" spans="2:8" x14ac:dyDescent="0.25">
      <c r="B1814" t="s">
        <v>3393</v>
      </c>
      <c r="C1814">
        <v>2022</v>
      </c>
      <c r="D1814" t="s">
        <v>3457</v>
      </c>
      <c r="E1814" t="s">
        <v>2413</v>
      </c>
      <c r="F1814" t="s">
        <v>2414</v>
      </c>
      <c r="G1814" t="s">
        <v>2416</v>
      </c>
      <c r="H1814" t="s">
        <v>4464</v>
      </c>
    </row>
    <row r="1815" spans="2:8" x14ac:dyDescent="0.25">
      <c r="B1815" t="s">
        <v>3393</v>
      </c>
      <c r="C1815">
        <v>2022</v>
      </c>
      <c r="D1815" t="s">
        <v>3457</v>
      </c>
      <c r="E1815" t="s">
        <v>2413</v>
      </c>
      <c r="F1815" t="s">
        <v>2414</v>
      </c>
      <c r="G1815" t="s">
        <v>2417</v>
      </c>
      <c r="H1815" t="s">
        <v>4465</v>
      </c>
    </row>
    <row r="1816" spans="2:8" x14ac:dyDescent="0.25">
      <c r="B1816" t="s">
        <v>3393</v>
      </c>
      <c r="C1816">
        <v>2022</v>
      </c>
      <c r="D1816" t="s">
        <v>3457</v>
      </c>
      <c r="E1816" t="s">
        <v>2413</v>
      </c>
      <c r="F1816" t="s">
        <v>2414</v>
      </c>
      <c r="G1816" t="s">
        <v>2418</v>
      </c>
      <c r="H1816" t="s">
        <v>4466</v>
      </c>
    </row>
    <row r="1817" spans="2:8" x14ac:dyDescent="0.25">
      <c r="B1817" t="s">
        <v>3393</v>
      </c>
      <c r="C1817">
        <v>2022</v>
      </c>
      <c r="D1817" t="s">
        <v>3457</v>
      </c>
      <c r="E1817" t="s">
        <v>2413</v>
      </c>
      <c r="F1817" t="s">
        <v>2414</v>
      </c>
      <c r="G1817" t="s">
        <v>182</v>
      </c>
      <c r="H1817" t="s">
        <v>4467</v>
      </c>
    </row>
    <row r="1818" spans="2:8" x14ac:dyDescent="0.25">
      <c r="B1818" t="s">
        <v>3393</v>
      </c>
      <c r="C1818">
        <v>2022</v>
      </c>
      <c r="D1818" t="s">
        <v>3457</v>
      </c>
      <c r="E1818" t="s">
        <v>2419</v>
      </c>
      <c r="F1818" t="s">
        <v>2420</v>
      </c>
      <c r="G1818" t="s">
        <v>2415</v>
      </c>
      <c r="H1818" t="s">
        <v>4468</v>
      </c>
    </row>
    <row r="1819" spans="2:8" x14ac:dyDescent="0.25">
      <c r="B1819" t="s">
        <v>3393</v>
      </c>
      <c r="C1819">
        <v>2022</v>
      </c>
      <c r="D1819" t="s">
        <v>3457</v>
      </c>
      <c r="E1819" t="s">
        <v>2419</v>
      </c>
      <c r="F1819" t="s">
        <v>2420</v>
      </c>
      <c r="G1819" t="s">
        <v>2416</v>
      </c>
      <c r="H1819" t="s">
        <v>4469</v>
      </c>
    </row>
    <row r="1820" spans="2:8" x14ac:dyDescent="0.25">
      <c r="B1820" t="s">
        <v>3393</v>
      </c>
      <c r="C1820">
        <v>2022</v>
      </c>
      <c r="D1820" t="s">
        <v>3457</v>
      </c>
      <c r="E1820" t="s">
        <v>2419</v>
      </c>
      <c r="F1820" t="s">
        <v>2420</v>
      </c>
      <c r="G1820" t="s">
        <v>2417</v>
      </c>
      <c r="H1820" t="s">
        <v>4470</v>
      </c>
    </row>
    <row r="1821" spans="2:8" x14ac:dyDescent="0.25">
      <c r="B1821" t="s">
        <v>3393</v>
      </c>
      <c r="C1821">
        <v>2022</v>
      </c>
      <c r="D1821" t="s">
        <v>3457</v>
      </c>
      <c r="E1821" t="s">
        <v>2419</v>
      </c>
      <c r="F1821" t="s">
        <v>2420</v>
      </c>
      <c r="G1821" t="s">
        <v>2418</v>
      </c>
      <c r="H1821" t="s">
        <v>4471</v>
      </c>
    </row>
    <row r="1822" spans="2:8" x14ac:dyDescent="0.25">
      <c r="B1822" t="s">
        <v>3393</v>
      </c>
      <c r="C1822">
        <v>2022</v>
      </c>
      <c r="D1822" t="s">
        <v>3457</v>
      </c>
      <c r="E1822" t="s">
        <v>2419</v>
      </c>
      <c r="F1822" t="s">
        <v>2420</v>
      </c>
      <c r="G1822" t="s">
        <v>182</v>
      </c>
      <c r="H1822" t="s">
        <v>4460</v>
      </c>
    </row>
    <row r="1823" spans="2:8" x14ac:dyDescent="0.25">
      <c r="B1823" t="s">
        <v>3393</v>
      </c>
      <c r="C1823">
        <v>2022</v>
      </c>
      <c r="D1823" t="s">
        <v>3457</v>
      </c>
      <c r="E1823" t="s">
        <v>2976</v>
      </c>
      <c r="F1823" t="s">
        <v>2977</v>
      </c>
      <c r="G1823" t="s">
        <v>2409</v>
      </c>
      <c r="H1823" t="s">
        <v>3755</v>
      </c>
    </row>
    <row r="1824" spans="2:8" x14ac:dyDescent="0.25">
      <c r="B1824" t="s">
        <v>3393</v>
      </c>
      <c r="C1824">
        <v>2022</v>
      </c>
      <c r="D1824" t="s">
        <v>3457</v>
      </c>
      <c r="E1824" t="s">
        <v>2421</v>
      </c>
      <c r="F1824" t="s">
        <v>2422</v>
      </c>
      <c r="G1824" t="s">
        <v>2423</v>
      </c>
      <c r="H1824" t="s">
        <v>4444</v>
      </c>
    </row>
    <row r="1825" spans="2:8" x14ac:dyDescent="0.25">
      <c r="B1825" t="s">
        <v>3393</v>
      </c>
      <c r="C1825">
        <v>2022</v>
      </c>
      <c r="D1825" t="s">
        <v>3457</v>
      </c>
      <c r="E1825" t="s">
        <v>2421</v>
      </c>
      <c r="F1825" t="s">
        <v>2422</v>
      </c>
      <c r="G1825" t="s">
        <v>2424</v>
      </c>
      <c r="H1825" t="s">
        <v>3015</v>
      </c>
    </row>
    <row r="1826" spans="2:8" x14ac:dyDescent="0.25">
      <c r="B1826" t="s">
        <v>3393</v>
      </c>
      <c r="C1826">
        <v>2022</v>
      </c>
      <c r="D1826" t="s">
        <v>3457</v>
      </c>
      <c r="E1826" t="s">
        <v>2425</v>
      </c>
      <c r="F1826" t="s">
        <v>2426</v>
      </c>
      <c r="G1826" t="s">
        <v>2427</v>
      </c>
      <c r="H1826" t="s">
        <v>2978</v>
      </c>
    </row>
    <row r="1827" spans="2:8" x14ac:dyDescent="0.25">
      <c r="B1827" t="s">
        <v>3393</v>
      </c>
      <c r="C1827">
        <v>2022</v>
      </c>
      <c r="D1827" t="s">
        <v>3457</v>
      </c>
      <c r="E1827" t="s">
        <v>2429</v>
      </c>
      <c r="F1827" t="s">
        <v>2430</v>
      </c>
      <c r="G1827" t="s">
        <v>2427</v>
      </c>
      <c r="H1827" t="s">
        <v>2978</v>
      </c>
    </row>
    <row r="1828" spans="2:8" x14ac:dyDescent="0.25">
      <c r="B1828" t="s">
        <v>3393</v>
      </c>
      <c r="C1828">
        <v>2022</v>
      </c>
      <c r="D1828" t="s">
        <v>3457</v>
      </c>
      <c r="E1828" t="s">
        <v>2432</v>
      </c>
      <c r="F1828" t="s">
        <v>2433</v>
      </c>
      <c r="G1828" t="s">
        <v>2427</v>
      </c>
      <c r="H1828" t="s">
        <v>2979</v>
      </c>
    </row>
    <row r="1829" spans="2:8" x14ac:dyDescent="0.25">
      <c r="B1829" t="s">
        <v>3393</v>
      </c>
      <c r="C1829">
        <v>2022</v>
      </c>
      <c r="D1829" t="s">
        <v>3457</v>
      </c>
      <c r="E1829" t="s">
        <v>2435</v>
      </c>
      <c r="F1829" t="s">
        <v>2436</v>
      </c>
      <c r="G1829" t="s">
        <v>2427</v>
      </c>
      <c r="H1829" t="s">
        <v>2980</v>
      </c>
    </row>
    <row r="1830" spans="2:8" x14ac:dyDescent="0.25">
      <c r="B1830" t="s">
        <v>3393</v>
      </c>
      <c r="C1830">
        <v>2022</v>
      </c>
      <c r="D1830" t="s">
        <v>3457</v>
      </c>
      <c r="E1830" t="s">
        <v>2438</v>
      </c>
      <c r="F1830" t="s">
        <v>2439</v>
      </c>
      <c r="G1830" t="s">
        <v>2440</v>
      </c>
      <c r="H1830" t="s">
        <v>2981</v>
      </c>
    </row>
    <row r="1831" spans="2:8" x14ac:dyDescent="0.25">
      <c r="B1831" t="s">
        <v>3393</v>
      </c>
      <c r="C1831">
        <v>2022</v>
      </c>
      <c r="D1831" t="s">
        <v>3457</v>
      </c>
      <c r="E1831" t="s">
        <v>2442</v>
      </c>
      <c r="F1831" t="s">
        <v>2443</v>
      </c>
      <c r="G1831" t="s">
        <v>2444</v>
      </c>
      <c r="H1831" t="s">
        <v>2982</v>
      </c>
    </row>
    <row r="1832" spans="2:8" x14ac:dyDescent="0.25">
      <c r="B1832" t="s">
        <v>3393</v>
      </c>
      <c r="C1832">
        <v>2022</v>
      </c>
      <c r="D1832" t="s">
        <v>3457</v>
      </c>
      <c r="E1832" t="s">
        <v>2446</v>
      </c>
      <c r="F1832" t="s">
        <v>2447</v>
      </c>
      <c r="G1832" t="s">
        <v>2448</v>
      </c>
      <c r="H1832" t="s">
        <v>2983</v>
      </c>
    </row>
    <row r="1833" spans="2:8" x14ac:dyDescent="0.25">
      <c r="B1833" t="s">
        <v>3393</v>
      </c>
      <c r="C1833">
        <v>2022</v>
      </c>
      <c r="D1833" t="s">
        <v>3457</v>
      </c>
      <c r="E1833" t="s">
        <v>2450</v>
      </c>
      <c r="F1833" t="s">
        <v>2451</v>
      </c>
      <c r="G1833" t="s">
        <v>2452</v>
      </c>
      <c r="H1833" t="s">
        <v>4472</v>
      </c>
    </row>
    <row r="1834" spans="2:8" x14ac:dyDescent="0.25">
      <c r="B1834" t="s">
        <v>3393</v>
      </c>
      <c r="C1834">
        <v>2022</v>
      </c>
      <c r="D1834" t="s">
        <v>3457</v>
      </c>
      <c r="E1834" t="s">
        <v>2453</v>
      </c>
      <c r="F1834" t="s">
        <v>2454</v>
      </c>
      <c r="G1834" t="s">
        <v>2455</v>
      </c>
      <c r="H1834" t="s">
        <v>4473</v>
      </c>
    </row>
    <row r="1835" spans="2:8" x14ac:dyDescent="0.25">
      <c r="B1835" t="s">
        <v>3393</v>
      </c>
      <c r="C1835">
        <v>2022</v>
      </c>
      <c r="D1835" t="s">
        <v>3457</v>
      </c>
      <c r="E1835" t="s">
        <v>2453</v>
      </c>
      <c r="F1835" t="s">
        <v>2454</v>
      </c>
      <c r="G1835" t="s">
        <v>2456</v>
      </c>
      <c r="H1835" t="s">
        <v>4474</v>
      </c>
    </row>
    <row r="1836" spans="2:8" x14ac:dyDescent="0.25">
      <c r="B1836" t="s">
        <v>3393</v>
      </c>
      <c r="C1836">
        <v>2022</v>
      </c>
      <c r="D1836" t="s">
        <v>3457</v>
      </c>
      <c r="E1836" t="s">
        <v>2457</v>
      </c>
      <c r="F1836" t="s">
        <v>2458</v>
      </c>
      <c r="G1836" t="s">
        <v>2459</v>
      </c>
      <c r="H1836" t="s">
        <v>4475</v>
      </c>
    </row>
    <row r="1837" spans="2:8" x14ac:dyDescent="0.25">
      <c r="B1837" t="s">
        <v>3393</v>
      </c>
      <c r="C1837">
        <v>2022</v>
      </c>
      <c r="D1837" t="s">
        <v>3457</v>
      </c>
      <c r="E1837" t="s">
        <v>2457</v>
      </c>
      <c r="F1837" t="s">
        <v>2458</v>
      </c>
      <c r="G1837" t="s">
        <v>2460</v>
      </c>
      <c r="H1837" t="s">
        <v>4476</v>
      </c>
    </row>
    <row r="1838" spans="2:8" x14ac:dyDescent="0.25">
      <c r="B1838" t="s">
        <v>3393</v>
      </c>
      <c r="C1838">
        <v>2022</v>
      </c>
      <c r="D1838" t="s">
        <v>3457</v>
      </c>
      <c r="E1838" t="s">
        <v>2457</v>
      </c>
      <c r="F1838" t="s">
        <v>2458</v>
      </c>
      <c r="G1838" t="s">
        <v>2461</v>
      </c>
      <c r="H1838" t="s">
        <v>4477</v>
      </c>
    </row>
    <row r="1839" spans="2:8" x14ac:dyDescent="0.25">
      <c r="B1839" t="s">
        <v>3393</v>
      </c>
      <c r="C1839">
        <v>2022</v>
      </c>
      <c r="D1839" t="s">
        <v>3457</v>
      </c>
      <c r="E1839" t="s">
        <v>2457</v>
      </c>
      <c r="F1839" t="s">
        <v>2458</v>
      </c>
      <c r="G1839" t="s">
        <v>2462</v>
      </c>
      <c r="H1839" t="s">
        <v>4478</v>
      </c>
    </row>
    <row r="1840" spans="2:8" x14ac:dyDescent="0.25">
      <c r="B1840" t="s">
        <v>3393</v>
      </c>
      <c r="C1840">
        <v>2022</v>
      </c>
      <c r="D1840" t="s">
        <v>3457</v>
      </c>
      <c r="E1840" t="s">
        <v>2463</v>
      </c>
      <c r="F1840" t="s">
        <v>2464</v>
      </c>
      <c r="G1840" t="s">
        <v>2465</v>
      </c>
      <c r="H1840" t="s">
        <v>4479</v>
      </c>
    </row>
    <row r="1841" spans="2:8" x14ac:dyDescent="0.25">
      <c r="B1841" t="s">
        <v>3393</v>
      </c>
      <c r="C1841">
        <v>2022</v>
      </c>
      <c r="D1841" t="s">
        <v>3457</v>
      </c>
      <c r="E1841" t="s">
        <v>2466</v>
      </c>
      <c r="F1841" t="s">
        <v>2454</v>
      </c>
      <c r="G1841" t="s">
        <v>2455</v>
      </c>
      <c r="H1841" t="s">
        <v>4480</v>
      </c>
    </row>
    <row r="1842" spans="2:8" x14ac:dyDescent="0.25">
      <c r="B1842" t="s">
        <v>3393</v>
      </c>
      <c r="C1842">
        <v>2022</v>
      </c>
      <c r="D1842" t="s">
        <v>3457</v>
      </c>
      <c r="E1842" t="s">
        <v>2466</v>
      </c>
      <c r="F1842" t="s">
        <v>2454</v>
      </c>
      <c r="G1842" t="s">
        <v>2456</v>
      </c>
      <c r="H1842" t="s">
        <v>3368</v>
      </c>
    </row>
    <row r="1843" spans="2:8" x14ac:dyDescent="0.25">
      <c r="B1843" t="s">
        <v>3393</v>
      </c>
      <c r="C1843">
        <v>2022</v>
      </c>
      <c r="D1843" t="s">
        <v>3457</v>
      </c>
      <c r="E1843" t="s">
        <v>2467</v>
      </c>
      <c r="F1843" t="s">
        <v>2458</v>
      </c>
      <c r="G1843" t="s">
        <v>2459</v>
      </c>
      <c r="H1843" t="s">
        <v>4481</v>
      </c>
    </row>
    <row r="1844" spans="2:8" x14ac:dyDescent="0.25">
      <c r="B1844" t="s">
        <v>3393</v>
      </c>
      <c r="C1844">
        <v>2022</v>
      </c>
      <c r="D1844" t="s">
        <v>3457</v>
      </c>
      <c r="E1844" t="s">
        <v>2467</v>
      </c>
      <c r="F1844" t="s">
        <v>2458</v>
      </c>
      <c r="G1844" t="s">
        <v>2460</v>
      </c>
      <c r="H1844" t="s">
        <v>1993</v>
      </c>
    </row>
    <row r="1845" spans="2:8" x14ac:dyDescent="0.25">
      <c r="B1845" t="s">
        <v>3393</v>
      </c>
      <c r="C1845">
        <v>2022</v>
      </c>
      <c r="D1845" t="s">
        <v>3457</v>
      </c>
      <c r="E1845" t="s">
        <v>2467</v>
      </c>
      <c r="F1845" t="s">
        <v>2458</v>
      </c>
      <c r="G1845" t="s">
        <v>2461</v>
      </c>
      <c r="H1845" t="s">
        <v>2069</v>
      </c>
    </row>
    <row r="1846" spans="2:8" x14ac:dyDescent="0.25">
      <c r="B1846" t="s">
        <v>3393</v>
      </c>
      <c r="C1846">
        <v>2022</v>
      </c>
      <c r="D1846" t="s">
        <v>3457</v>
      </c>
      <c r="E1846" t="s">
        <v>2467</v>
      </c>
      <c r="F1846" t="s">
        <v>2458</v>
      </c>
      <c r="G1846" t="s">
        <v>2462</v>
      </c>
      <c r="H1846" t="s">
        <v>4482</v>
      </c>
    </row>
    <row r="1847" spans="2:8" x14ac:dyDescent="0.25">
      <c r="B1847" t="s">
        <v>3393</v>
      </c>
      <c r="C1847">
        <v>2022</v>
      </c>
      <c r="D1847" t="s">
        <v>3457</v>
      </c>
      <c r="E1847" t="s">
        <v>2468</v>
      </c>
      <c r="F1847" t="s">
        <v>2464</v>
      </c>
      <c r="G1847" t="s">
        <v>2465</v>
      </c>
      <c r="H1847" t="s">
        <v>4483</v>
      </c>
    </row>
    <row r="1848" spans="2:8" x14ac:dyDescent="0.25">
      <c r="B1848" t="s">
        <v>3393</v>
      </c>
      <c r="C1848">
        <v>2022</v>
      </c>
      <c r="D1848" t="s">
        <v>3457</v>
      </c>
      <c r="E1848" t="s">
        <v>2469</v>
      </c>
      <c r="F1848" t="s">
        <v>2470</v>
      </c>
      <c r="G1848" t="s">
        <v>2465</v>
      </c>
      <c r="H1848" t="s">
        <v>3016</v>
      </c>
    </row>
    <row r="1849" spans="2:8" x14ac:dyDescent="0.25">
      <c r="B1849" t="s">
        <v>3393</v>
      </c>
      <c r="C1849">
        <v>2022</v>
      </c>
      <c r="D1849" t="s">
        <v>3457</v>
      </c>
      <c r="E1849" t="s">
        <v>2471</v>
      </c>
      <c r="F1849" t="s">
        <v>2472</v>
      </c>
      <c r="G1849" t="s">
        <v>2473</v>
      </c>
      <c r="H1849" t="s">
        <v>4484</v>
      </c>
    </row>
    <row r="1850" spans="2:8" x14ac:dyDescent="0.25">
      <c r="B1850" t="s">
        <v>3393</v>
      </c>
      <c r="C1850">
        <v>2022</v>
      </c>
      <c r="D1850" t="s">
        <v>3457</v>
      </c>
      <c r="E1850" t="s">
        <v>2474</v>
      </c>
      <c r="F1850" t="s">
        <v>2475</v>
      </c>
      <c r="G1850" t="s">
        <v>1173</v>
      </c>
      <c r="H1850" t="s">
        <v>3429</v>
      </c>
    </row>
    <row r="1851" spans="2:8" x14ac:dyDescent="0.25">
      <c r="B1851" t="s">
        <v>3393</v>
      </c>
      <c r="C1851">
        <v>2022</v>
      </c>
      <c r="D1851" t="s">
        <v>3457</v>
      </c>
      <c r="E1851" t="s">
        <v>2474</v>
      </c>
      <c r="F1851" t="s">
        <v>2475</v>
      </c>
      <c r="G1851" t="s">
        <v>1172</v>
      </c>
      <c r="H1851" t="s">
        <v>4485</v>
      </c>
    </row>
    <row r="1852" spans="2:8" x14ac:dyDescent="0.25">
      <c r="B1852" t="s">
        <v>3393</v>
      </c>
      <c r="C1852">
        <v>2022</v>
      </c>
      <c r="D1852" t="s">
        <v>3457</v>
      </c>
      <c r="E1852" t="s">
        <v>2474</v>
      </c>
      <c r="F1852" t="s">
        <v>2475</v>
      </c>
      <c r="G1852" t="s">
        <v>1171</v>
      </c>
      <c r="H1852" t="s">
        <v>3431</v>
      </c>
    </row>
    <row r="1853" spans="2:8" x14ac:dyDescent="0.25">
      <c r="B1853" t="s">
        <v>3393</v>
      </c>
      <c r="C1853">
        <v>2022</v>
      </c>
      <c r="D1853" t="s">
        <v>3457</v>
      </c>
      <c r="E1853" t="s">
        <v>2476</v>
      </c>
      <c r="F1853" t="s">
        <v>2477</v>
      </c>
      <c r="G1853" t="s">
        <v>2478</v>
      </c>
      <c r="H1853" t="s">
        <v>1993</v>
      </c>
    </row>
    <row r="1854" spans="2:8" x14ac:dyDescent="0.25">
      <c r="B1854" t="s">
        <v>3393</v>
      </c>
      <c r="C1854">
        <v>2022</v>
      </c>
      <c r="D1854" t="s">
        <v>3457</v>
      </c>
      <c r="E1854" t="s">
        <v>2476</v>
      </c>
      <c r="F1854" t="s">
        <v>2477</v>
      </c>
      <c r="G1854" t="s">
        <v>2479</v>
      </c>
      <c r="H1854" t="s">
        <v>1993</v>
      </c>
    </row>
    <row r="1855" spans="2:8" x14ac:dyDescent="0.25">
      <c r="B1855" t="s">
        <v>3393</v>
      </c>
      <c r="C1855">
        <v>2022</v>
      </c>
      <c r="D1855" t="s">
        <v>3457</v>
      </c>
      <c r="E1855" t="s">
        <v>2476</v>
      </c>
      <c r="F1855" t="s">
        <v>2477</v>
      </c>
      <c r="G1855" t="s">
        <v>2480</v>
      </c>
      <c r="H1855" t="s">
        <v>2748</v>
      </c>
    </row>
    <row r="1856" spans="2:8" x14ac:dyDescent="0.25">
      <c r="B1856" t="s">
        <v>3393</v>
      </c>
      <c r="C1856">
        <v>2022</v>
      </c>
      <c r="D1856" t="s">
        <v>3457</v>
      </c>
      <c r="E1856" t="s">
        <v>2481</v>
      </c>
      <c r="F1856" t="s">
        <v>2482</v>
      </c>
      <c r="G1856" t="s">
        <v>2483</v>
      </c>
      <c r="H1856" t="s">
        <v>2125</v>
      </c>
    </row>
    <row r="1857" spans="2:8" x14ac:dyDescent="0.25">
      <c r="B1857" t="s">
        <v>3393</v>
      </c>
      <c r="C1857">
        <v>2022</v>
      </c>
      <c r="D1857" t="s">
        <v>3457</v>
      </c>
      <c r="E1857" t="s">
        <v>2484</v>
      </c>
      <c r="F1857" t="s">
        <v>2485</v>
      </c>
      <c r="G1857" t="s">
        <v>2486</v>
      </c>
      <c r="H1857" t="s">
        <v>3441</v>
      </c>
    </row>
    <row r="1858" spans="2:8" x14ac:dyDescent="0.25">
      <c r="B1858" t="s">
        <v>3393</v>
      </c>
      <c r="C1858">
        <v>2022</v>
      </c>
      <c r="D1858" t="s">
        <v>3457</v>
      </c>
      <c r="E1858" t="s">
        <v>2487</v>
      </c>
      <c r="F1858" t="s">
        <v>2488</v>
      </c>
      <c r="G1858" t="s">
        <v>2489</v>
      </c>
      <c r="H1858" t="s">
        <v>4486</v>
      </c>
    </row>
    <row r="1859" spans="2:8" x14ac:dyDescent="0.25">
      <c r="B1859" t="s">
        <v>3393</v>
      </c>
      <c r="C1859">
        <v>2022</v>
      </c>
      <c r="D1859" t="s">
        <v>3457</v>
      </c>
      <c r="E1859" t="s">
        <v>2487</v>
      </c>
      <c r="F1859" t="s">
        <v>2488</v>
      </c>
      <c r="G1859" t="s">
        <v>2490</v>
      </c>
      <c r="H1859" t="s">
        <v>4487</v>
      </c>
    </row>
    <row r="1860" spans="2:8" x14ac:dyDescent="0.25">
      <c r="B1860" t="s">
        <v>3393</v>
      </c>
      <c r="C1860">
        <v>2022</v>
      </c>
      <c r="D1860" t="s">
        <v>3457</v>
      </c>
      <c r="E1860" t="s">
        <v>2491</v>
      </c>
      <c r="F1860" t="s">
        <v>2492</v>
      </c>
      <c r="G1860" t="s">
        <v>2493</v>
      </c>
      <c r="H1860" t="s">
        <v>2978</v>
      </c>
    </row>
    <row r="1861" spans="2:8" x14ac:dyDescent="0.25">
      <c r="B1861" t="s">
        <v>3393</v>
      </c>
      <c r="C1861">
        <v>2022</v>
      </c>
      <c r="D1861" t="s">
        <v>3457</v>
      </c>
      <c r="E1861" t="s">
        <v>2491</v>
      </c>
      <c r="F1861" t="s">
        <v>2492</v>
      </c>
      <c r="G1861" t="s">
        <v>2494</v>
      </c>
      <c r="H1861" t="s">
        <v>2978</v>
      </c>
    </row>
    <row r="1862" spans="2:8" x14ac:dyDescent="0.25">
      <c r="B1862" t="s">
        <v>3393</v>
      </c>
      <c r="C1862">
        <v>2022</v>
      </c>
      <c r="D1862" t="s">
        <v>3457</v>
      </c>
      <c r="E1862" t="s">
        <v>2495</v>
      </c>
      <c r="F1862" t="s">
        <v>2496</v>
      </c>
      <c r="G1862" t="s">
        <v>1116</v>
      </c>
      <c r="H1862" t="s">
        <v>4488</v>
      </c>
    </row>
    <row r="1863" spans="2:8" x14ac:dyDescent="0.25">
      <c r="B1863" t="s">
        <v>3393</v>
      </c>
      <c r="C1863">
        <v>2022</v>
      </c>
      <c r="D1863" t="s">
        <v>3457</v>
      </c>
      <c r="E1863" t="s">
        <v>2497</v>
      </c>
      <c r="F1863" t="s">
        <v>2498</v>
      </c>
      <c r="G1863" t="s">
        <v>1176</v>
      </c>
      <c r="H1863" t="s">
        <v>4489</v>
      </c>
    </row>
    <row r="1864" spans="2:8" x14ac:dyDescent="0.25">
      <c r="B1864" t="s">
        <v>3393</v>
      </c>
      <c r="C1864">
        <v>2022</v>
      </c>
      <c r="D1864" t="s">
        <v>3457</v>
      </c>
      <c r="E1864" t="s">
        <v>2499</v>
      </c>
      <c r="F1864" t="s">
        <v>2500</v>
      </c>
      <c r="G1864" t="s">
        <v>2501</v>
      </c>
      <c r="H1864" t="s">
        <v>4490</v>
      </c>
    </row>
    <row r="1865" spans="2:8" x14ac:dyDescent="0.25">
      <c r="B1865" t="s">
        <v>3393</v>
      </c>
      <c r="C1865">
        <v>2022</v>
      </c>
      <c r="D1865" t="s">
        <v>3457</v>
      </c>
      <c r="E1865" t="s">
        <v>2502</v>
      </c>
      <c r="F1865" t="s">
        <v>2503</v>
      </c>
      <c r="G1865" t="s">
        <v>2504</v>
      </c>
      <c r="H1865" t="s">
        <v>4488</v>
      </c>
    </row>
    <row r="1866" spans="2:8" x14ac:dyDescent="0.25">
      <c r="B1866" t="s">
        <v>3393</v>
      </c>
      <c r="C1866">
        <v>2022</v>
      </c>
      <c r="D1866" t="s">
        <v>3457</v>
      </c>
      <c r="E1866" t="s">
        <v>2505</v>
      </c>
      <c r="F1866" t="s">
        <v>2506</v>
      </c>
      <c r="G1866" t="s">
        <v>2408</v>
      </c>
      <c r="H1866" t="s">
        <v>4491</v>
      </c>
    </row>
    <row r="1867" spans="2:8" x14ac:dyDescent="0.25">
      <c r="B1867" t="s">
        <v>3393</v>
      </c>
      <c r="C1867">
        <v>2022</v>
      </c>
      <c r="D1867" t="s">
        <v>3457</v>
      </c>
      <c r="E1867" t="s">
        <v>2505</v>
      </c>
      <c r="F1867" t="s">
        <v>2506</v>
      </c>
      <c r="G1867" t="s">
        <v>2409</v>
      </c>
      <c r="H1867" t="s">
        <v>4492</v>
      </c>
    </row>
    <row r="1868" spans="2:8" x14ac:dyDescent="0.25">
      <c r="B1868" t="s">
        <v>3393</v>
      </c>
      <c r="C1868">
        <v>2022</v>
      </c>
      <c r="D1868" t="s">
        <v>3457</v>
      </c>
      <c r="E1868" t="s">
        <v>2505</v>
      </c>
      <c r="F1868" t="s">
        <v>2506</v>
      </c>
      <c r="G1868" t="s">
        <v>2410</v>
      </c>
      <c r="H1868" t="s">
        <v>4493</v>
      </c>
    </row>
    <row r="1869" spans="2:8" x14ac:dyDescent="0.25">
      <c r="B1869" t="s">
        <v>3393</v>
      </c>
      <c r="C1869">
        <v>2022</v>
      </c>
      <c r="D1869" t="s">
        <v>3457</v>
      </c>
      <c r="E1869" t="s">
        <v>2507</v>
      </c>
      <c r="F1869" t="s">
        <v>2407</v>
      </c>
      <c r="G1869" t="s">
        <v>2408</v>
      </c>
      <c r="H1869" t="s">
        <v>4457</v>
      </c>
    </row>
    <row r="1870" spans="2:8" x14ac:dyDescent="0.25">
      <c r="B1870" t="s">
        <v>3393</v>
      </c>
      <c r="C1870">
        <v>2022</v>
      </c>
      <c r="D1870" t="s">
        <v>3457</v>
      </c>
      <c r="E1870" t="s">
        <v>2507</v>
      </c>
      <c r="F1870" t="s">
        <v>2407</v>
      </c>
      <c r="G1870" t="s">
        <v>2409</v>
      </c>
      <c r="H1870" t="s">
        <v>4458</v>
      </c>
    </row>
    <row r="1871" spans="2:8" x14ac:dyDescent="0.25">
      <c r="B1871" t="s">
        <v>3393</v>
      </c>
      <c r="C1871">
        <v>2022</v>
      </c>
      <c r="D1871" t="s">
        <v>3457</v>
      </c>
      <c r="E1871" t="s">
        <v>2507</v>
      </c>
      <c r="F1871" t="s">
        <v>2407</v>
      </c>
      <c r="G1871" t="s">
        <v>2410</v>
      </c>
      <c r="H1871" t="s">
        <v>4459</v>
      </c>
    </row>
    <row r="1872" spans="2:8" x14ac:dyDescent="0.25">
      <c r="B1872" t="s">
        <v>3393</v>
      </c>
      <c r="C1872">
        <v>2022</v>
      </c>
      <c r="D1872" t="s">
        <v>3457</v>
      </c>
      <c r="E1872" t="s">
        <v>2508</v>
      </c>
      <c r="F1872" t="s">
        <v>2509</v>
      </c>
      <c r="G1872" t="s">
        <v>2510</v>
      </c>
      <c r="H1872" t="s">
        <v>2984</v>
      </c>
    </row>
    <row r="1873" spans="2:8" x14ac:dyDescent="0.25">
      <c r="B1873" t="s">
        <v>3393</v>
      </c>
      <c r="C1873">
        <v>2022</v>
      </c>
      <c r="D1873" t="s">
        <v>3457</v>
      </c>
      <c r="E1873" t="s">
        <v>2508</v>
      </c>
      <c r="F1873" t="s">
        <v>2509</v>
      </c>
      <c r="G1873" t="s">
        <v>2512</v>
      </c>
      <c r="H1873" t="s">
        <v>2985</v>
      </c>
    </row>
    <row r="1874" spans="2:8" x14ac:dyDescent="0.25">
      <c r="B1874" t="s">
        <v>3393</v>
      </c>
      <c r="C1874">
        <v>2022</v>
      </c>
      <c r="D1874" t="s">
        <v>3457</v>
      </c>
      <c r="E1874" t="s">
        <v>2508</v>
      </c>
      <c r="F1874" t="s">
        <v>2509</v>
      </c>
      <c r="G1874" t="s">
        <v>2514</v>
      </c>
      <c r="H1874" t="s">
        <v>2986</v>
      </c>
    </row>
    <row r="1875" spans="2:8" x14ac:dyDescent="0.25">
      <c r="B1875" t="s">
        <v>3393</v>
      </c>
      <c r="C1875">
        <v>2022</v>
      </c>
      <c r="D1875" t="s">
        <v>3457</v>
      </c>
      <c r="E1875" t="s">
        <v>2516</v>
      </c>
      <c r="F1875" t="s">
        <v>2517</v>
      </c>
      <c r="G1875" t="s">
        <v>2518</v>
      </c>
      <c r="H1875" t="s">
        <v>4494</v>
      </c>
    </row>
    <row r="1876" spans="2:8" x14ac:dyDescent="0.25">
      <c r="B1876" t="s">
        <v>3393</v>
      </c>
      <c r="C1876">
        <v>2022</v>
      </c>
      <c r="D1876" t="s">
        <v>3457</v>
      </c>
      <c r="E1876" t="s">
        <v>2516</v>
      </c>
      <c r="F1876" t="s">
        <v>2517</v>
      </c>
      <c r="G1876" t="s">
        <v>2519</v>
      </c>
      <c r="H1876" t="s">
        <v>4495</v>
      </c>
    </row>
    <row r="1877" spans="2:8" x14ac:dyDescent="0.25">
      <c r="B1877" t="s">
        <v>3393</v>
      </c>
      <c r="C1877">
        <v>2022</v>
      </c>
      <c r="D1877" t="s">
        <v>3457</v>
      </c>
      <c r="E1877" t="s">
        <v>2520</v>
      </c>
      <c r="F1877" t="s">
        <v>2521</v>
      </c>
      <c r="G1877" t="s">
        <v>2518</v>
      </c>
      <c r="H1877" t="s">
        <v>4496</v>
      </c>
    </row>
    <row r="1878" spans="2:8" x14ac:dyDescent="0.25">
      <c r="B1878" t="s">
        <v>3393</v>
      </c>
      <c r="C1878">
        <v>2022</v>
      </c>
      <c r="D1878" t="s">
        <v>3457</v>
      </c>
      <c r="E1878" t="s">
        <v>2520</v>
      </c>
      <c r="F1878" t="s">
        <v>2521</v>
      </c>
      <c r="G1878" t="s">
        <v>2519</v>
      </c>
      <c r="H1878" t="s">
        <v>4497</v>
      </c>
    </row>
    <row r="1879" spans="2:8" x14ac:dyDescent="0.25">
      <c r="B1879" t="s">
        <v>3393</v>
      </c>
      <c r="C1879">
        <v>2022</v>
      </c>
      <c r="D1879" t="s">
        <v>3457</v>
      </c>
      <c r="E1879" t="s">
        <v>2522</v>
      </c>
      <c r="F1879" t="s">
        <v>2523</v>
      </c>
      <c r="G1879" t="s">
        <v>2524</v>
      </c>
      <c r="H1879" t="s">
        <v>4498</v>
      </c>
    </row>
    <row r="1880" spans="2:8" x14ac:dyDescent="0.25">
      <c r="B1880" t="s">
        <v>3393</v>
      </c>
      <c r="C1880">
        <v>2022</v>
      </c>
      <c r="D1880" t="s">
        <v>3457</v>
      </c>
      <c r="E1880" t="s">
        <v>2522</v>
      </c>
      <c r="F1880" t="s">
        <v>2523</v>
      </c>
      <c r="G1880" t="s">
        <v>2525</v>
      </c>
      <c r="H1880" t="s">
        <v>2987</v>
      </c>
    </row>
    <row r="1881" spans="2:8" x14ac:dyDescent="0.25">
      <c r="B1881" t="s">
        <v>3393</v>
      </c>
      <c r="C1881">
        <v>2022</v>
      </c>
      <c r="D1881" t="s">
        <v>3457</v>
      </c>
      <c r="E1881" t="s">
        <v>2522</v>
      </c>
      <c r="F1881" t="s">
        <v>2523</v>
      </c>
      <c r="G1881" t="s">
        <v>2527</v>
      </c>
      <c r="H1881" t="s">
        <v>2987</v>
      </c>
    </row>
    <row r="1882" spans="2:8" x14ac:dyDescent="0.25">
      <c r="B1882" t="s">
        <v>3393</v>
      </c>
      <c r="C1882">
        <v>2022</v>
      </c>
      <c r="D1882" t="s">
        <v>3457</v>
      </c>
      <c r="E1882" t="s">
        <v>2522</v>
      </c>
      <c r="F1882" t="s">
        <v>2523</v>
      </c>
      <c r="G1882" t="s">
        <v>182</v>
      </c>
      <c r="H1882" t="s">
        <v>4498</v>
      </c>
    </row>
    <row r="1883" spans="2:8" x14ac:dyDescent="0.25">
      <c r="B1883" t="s">
        <v>3393</v>
      </c>
      <c r="C1883">
        <v>2022</v>
      </c>
      <c r="D1883" t="s">
        <v>3457</v>
      </c>
      <c r="E1883" t="s">
        <v>2528</v>
      </c>
      <c r="F1883" t="s">
        <v>2529</v>
      </c>
      <c r="G1883" t="s">
        <v>2510</v>
      </c>
      <c r="H1883" t="s">
        <v>4499</v>
      </c>
    </row>
    <row r="1884" spans="2:8" x14ac:dyDescent="0.25">
      <c r="B1884" t="s">
        <v>3393</v>
      </c>
      <c r="C1884">
        <v>2022</v>
      </c>
      <c r="D1884" t="s">
        <v>3457</v>
      </c>
      <c r="E1884" t="s">
        <v>2528</v>
      </c>
      <c r="F1884" t="s">
        <v>2529</v>
      </c>
      <c r="G1884" t="s">
        <v>2512</v>
      </c>
      <c r="H1884" t="s">
        <v>4500</v>
      </c>
    </row>
    <row r="1885" spans="2:8" x14ac:dyDescent="0.25">
      <c r="B1885" t="s">
        <v>3393</v>
      </c>
      <c r="C1885">
        <v>2022</v>
      </c>
      <c r="D1885" t="s">
        <v>3457</v>
      </c>
      <c r="E1885" t="s">
        <v>2528</v>
      </c>
      <c r="F1885" t="s">
        <v>2529</v>
      </c>
      <c r="G1885" t="s">
        <v>2514</v>
      </c>
      <c r="H1885" t="s">
        <v>4501</v>
      </c>
    </row>
    <row r="1886" spans="2:8" x14ac:dyDescent="0.25">
      <c r="B1886" t="s">
        <v>3393</v>
      </c>
      <c r="C1886">
        <v>2022</v>
      </c>
      <c r="D1886" t="s">
        <v>3457</v>
      </c>
      <c r="E1886" t="s">
        <v>2530</v>
      </c>
      <c r="F1886" t="s">
        <v>2531</v>
      </c>
      <c r="G1886" t="s">
        <v>2408</v>
      </c>
      <c r="H1886" t="s">
        <v>4502</v>
      </c>
    </row>
    <row r="1887" spans="2:8" x14ac:dyDescent="0.25">
      <c r="B1887" t="s">
        <v>3393</v>
      </c>
      <c r="C1887">
        <v>2022</v>
      </c>
      <c r="D1887" t="s">
        <v>3457</v>
      </c>
      <c r="E1887" t="s">
        <v>2530</v>
      </c>
      <c r="F1887" t="s">
        <v>2531</v>
      </c>
      <c r="G1887" t="s">
        <v>2409</v>
      </c>
      <c r="H1887" t="s">
        <v>1997</v>
      </c>
    </row>
    <row r="1888" spans="2:8" x14ac:dyDescent="0.25">
      <c r="B1888" t="s">
        <v>3393</v>
      </c>
      <c r="C1888">
        <v>2022</v>
      </c>
      <c r="D1888" t="s">
        <v>3457</v>
      </c>
      <c r="E1888" t="s">
        <v>2530</v>
      </c>
      <c r="F1888" t="s">
        <v>2531</v>
      </c>
      <c r="G1888" t="s">
        <v>2410</v>
      </c>
      <c r="H1888" t="s">
        <v>4503</v>
      </c>
    </row>
    <row r="1889" spans="2:8" x14ac:dyDescent="0.25">
      <c r="B1889" t="s">
        <v>3393</v>
      </c>
      <c r="C1889">
        <v>2022</v>
      </c>
      <c r="D1889" t="s">
        <v>3457</v>
      </c>
      <c r="E1889" t="s">
        <v>2532</v>
      </c>
      <c r="F1889" t="s">
        <v>2533</v>
      </c>
      <c r="G1889" t="s">
        <v>2408</v>
      </c>
      <c r="H1889" t="s">
        <v>4504</v>
      </c>
    </row>
    <row r="1890" spans="2:8" x14ac:dyDescent="0.25">
      <c r="B1890" t="s">
        <v>3393</v>
      </c>
      <c r="C1890">
        <v>2022</v>
      </c>
      <c r="D1890" t="s">
        <v>3457</v>
      </c>
      <c r="E1890" t="s">
        <v>2532</v>
      </c>
      <c r="F1890" t="s">
        <v>2533</v>
      </c>
      <c r="G1890" t="s">
        <v>2409</v>
      </c>
      <c r="H1890" t="s">
        <v>2169</v>
      </c>
    </row>
    <row r="1891" spans="2:8" x14ac:dyDescent="0.25">
      <c r="B1891" t="s">
        <v>3393</v>
      </c>
      <c r="C1891">
        <v>2022</v>
      </c>
      <c r="D1891" t="s">
        <v>3457</v>
      </c>
      <c r="E1891" t="s">
        <v>2532</v>
      </c>
      <c r="F1891" t="s">
        <v>2533</v>
      </c>
      <c r="G1891" t="s">
        <v>2410</v>
      </c>
      <c r="H1891" t="s">
        <v>4505</v>
      </c>
    </row>
    <row r="1892" spans="2:8" x14ac:dyDescent="0.25">
      <c r="B1892" t="s">
        <v>3393</v>
      </c>
      <c r="C1892">
        <v>2022</v>
      </c>
      <c r="D1892" t="s">
        <v>3457</v>
      </c>
      <c r="E1892" t="s">
        <v>2534</v>
      </c>
      <c r="F1892" t="s">
        <v>2535</v>
      </c>
      <c r="G1892" t="s">
        <v>626</v>
      </c>
      <c r="H1892" t="s">
        <v>4506</v>
      </c>
    </row>
    <row r="1893" spans="2:8" x14ac:dyDescent="0.25">
      <c r="B1893" t="s">
        <v>3393</v>
      </c>
      <c r="C1893">
        <v>2022</v>
      </c>
      <c r="D1893" t="s">
        <v>3457</v>
      </c>
      <c r="E1893" t="s">
        <v>2534</v>
      </c>
      <c r="F1893" t="s">
        <v>2535</v>
      </c>
      <c r="G1893" t="s">
        <v>628</v>
      </c>
      <c r="H1893" t="s">
        <v>3326</v>
      </c>
    </row>
    <row r="1894" spans="2:8" x14ac:dyDescent="0.25">
      <c r="B1894" t="s">
        <v>3393</v>
      </c>
      <c r="C1894">
        <v>2022</v>
      </c>
      <c r="D1894" t="s">
        <v>3457</v>
      </c>
      <c r="E1894" t="s">
        <v>2534</v>
      </c>
      <c r="F1894" t="s">
        <v>2535</v>
      </c>
      <c r="G1894" t="s">
        <v>627</v>
      </c>
      <c r="H1894" t="s">
        <v>4507</v>
      </c>
    </row>
    <row r="1895" spans="2:8" x14ac:dyDescent="0.25">
      <c r="B1895" t="s">
        <v>3393</v>
      </c>
      <c r="C1895">
        <v>2022</v>
      </c>
      <c r="D1895" t="s">
        <v>3457</v>
      </c>
      <c r="E1895" t="s">
        <v>2534</v>
      </c>
      <c r="F1895" t="s">
        <v>2535</v>
      </c>
      <c r="G1895" t="s">
        <v>2536</v>
      </c>
      <c r="H1895" t="s">
        <v>4508</v>
      </c>
    </row>
    <row r="1896" spans="2:8" x14ac:dyDescent="0.25">
      <c r="B1896" t="s">
        <v>3393</v>
      </c>
      <c r="C1896">
        <v>2022</v>
      </c>
      <c r="D1896" t="s">
        <v>3457</v>
      </c>
      <c r="E1896" t="s">
        <v>2534</v>
      </c>
      <c r="F1896" t="s">
        <v>2535</v>
      </c>
      <c r="G1896" t="s">
        <v>2537</v>
      </c>
      <c r="H1896" t="s">
        <v>3365</v>
      </c>
    </row>
    <row r="1897" spans="2:8" x14ac:dyDescent="0.25">
      <c r="B1897" t="s">
        <v>3393</v>
      </c>
      <c r="C1897">
        <v>2022</v>
      </c>
      <c r="D1897" t="s">
        <v>3457</v>
      </c>
      <c r="E1897" t="s">
        <v>2534</v>
      </c>
      <c r="F1897" t="s">
        <v>2535</v>
      </c>
      <c r="G1897" t="s">
        <v>2539</v>
      </c>
      <c r="H1897" t="s">
        <v>3326</v>
      </c>
    </row>
    <row r="1898" spans="2:8" x14ac:dyDescent="0.25">
      <c r="B1898" t="s">
        <v>3393</v>
      </c>
      <c r="C1898">
        <v>2022</v>
      </c>
      <c r="D1898" t="s">
        <v>3457</v>
      </c>
      <c r="E1898" t="s">
        <v>2534</v>
      </c>
      <c r="F1898" t="s">
        <v>2535</v>
      </c>
      <c r="G1898" t="s">
        <v>629</v>
      </c>
      <c r="H1898" t="s">
        <v>3386</v>
      </c>
    </row>
    <row r="1899" spans="2:8" x14ac:dyDescent="0.25">
      <c r="B1899" t="s">
        <v>3393</v>
      </c>
      <c r="C1899">
        <v>2022</v>
      </c>
      <c r="D1899" t="s">
        <v>3457</v>
      </c>
      <c r="E1899" t="s">
        <v>2534</v>
      </c>
      <c r="F1899" t="s">
        <v>2535</v>
      </c>
      <c r="G1899" t="s">
        <v>2540</v>
      </c>
      <c r="H1899" t="s">
        <v>3303</v>
      </c>
    </row>
    <row r="1900" spans="2:8" x14ac:dyDescent="0.25">
      <c r="B1900" t="s">
        <v>3393</v>
      </c>
      <c r="C1900">
        <v>2022</v>
      </c>
      <c r="D1900" t="s">
        <v>3457</v>
      </c>
      <c r="E1900" t="s">
        <v>2534</v>
      </c>
      <c r="F1900" t="s">
        <v>2535</v>
      </c>
      <c r="G1900" t="s">
        <v>2541</v>
      </c>
      <c r="H1900" t="s">
        <v>4509</v>
      </c>
    </row>
    <row r="1901" spans="2:8" x14ac:dyDescent="0.25">
      <c r="B1901" t="s">
        <v>3393</v>
      </c>
      <c r="C1901">
        <v>2022</v>
      </c>
      <c r="D1901" t="s">
        <v>3457</v>
      </c>
      <c r="E1901" t="s">
        <v>2534</v>
      </c>
      <c r="F1901" t="s">
        <v>2535</v>
      </c>
      <c r="G1901" t="s">
        <v>2542</v>
      </c>
      <c r="H1901" t="s">
        <v>4510</v>
      </c>
    </row>
    <row r="1902" spans="2:8" x14ac:dyDescent="0.25">
      <c r="B1902" t="s">
        <v>3393</v>
      </c>
      <c r="C1902">
        <v>2022</v>
      </c>
      <c r="D1902" t="s">
        <v>3457</v>
      </c>
      <c r="E1902" t="s">
        <v>2543</v>
      </c>
      <c r="F1902" t="s">
        <v>2544</v>
      </c>
      <c r="G1902" t="s">
        <v>2545</v>
      </c>
      <c r="H1902" t="s">
        <v>2157</v>
      </c>
    </row>
    <row r="1903" spans="2:8" x14ac:dyDescent="0.25">
      <c r="B1903" t="s">
        <v>3393</v>
      </c>
      <c r="C1903">
        <v>2022</v>
      </c>
      <c r="D1903" t="s">
        <v>3457</v>
      </c>
      <c r="E1903" t="s">
        <v>2543</v>
      </c>
      <c r="F1903" t="s">
        <v>2544</v>
      </c>
      <c r="G1903" t="s">
        <v>714</v>
      </c>
      <c r="H1903" t="s">
        <v>4511</v>
      </c>
    </row>
    <row r="1904" spans="2:8" x14ac:dyDescent="0.25">
      <c r="B1904" t="s">
        <v>3393</v>
      </c>
      <c r="C1904">
        <v>2022</v>
      </c>
      <c r="D1904" t="s">
        <v>3457</v>
      </c>
      <c r="E1904" t="s">
        <v>2546</v>
      </c>
      <c r="F1904" t="s">
        <v>2547</v>
      </c>
      <c r="G1904" t="s">
        <v>2548</v>
      </c>
      <c r="H1904" t="s">
        <v>4247</v>
      </c>
    </row>
    <row r="1905" spans="2:8" x14ac:dyDescent="0.25">
      <c r="B1905" t="s">
        <v>3393</v>
      </c>
      <c r="C1905">
        <v>2022</v>
      </c>
      <c r="D1905" t="s">
        <v>3457</v>
      </c>
      <c r="E1905" t="s">
        <v>2546</v>
      </c>
      <c r="F1905" t="s">
        <v>2547</v>
      </c>
      <c r="G1905" t="s">
        <v>2549</v>
      </c>
      <c r="H1905" t="s">
        <v>3050</v>
      </c>
    </row>
    <row r="1906" spans="2:8" x14ac:dyDescent="0.25">
      <c r="B1906" t="s">
        <v>3393</v>
      </c>
      <c r="C1906">
        <v>2022</v>
      </c>
      <c r="D1906" t="s">
        <v>3457</v>
      </c>
      <c r="E1906" t="s">
        <v>2550</v>
      </c>
      <c r="F1906" t="s">
        <v>2551</v>
      </c>
      <c r="G1906" t="s">
        <v>858</v>
      </c>
      <c r="H1906" t="s">
        <v>4512</v>
      </c>
    </row>
    <row r="1907" spans="2:8" x14ac:dyDescent="0.25">
      <c r="B1907" t="s">
        <v>3393</v>
      </c>
      <c r="C1907">
        <v>2022</v>
      </c>
      <c r="D1907" t="s">
        <v>3457</v>
      </c>
      <c r="E1907" t="s">
        <v>2550</v>
      </c>
      <c r="F1907" t="s">
        <v>2551</v>
      </c>
      <c r="G1907" t="s">
        <v>859</v>
      </c>
      <c r="H1907" t="s">
        <v>4513</v>
      </c>
    </row>
    <row r="1908" spans="2:8" x14ac:dyDescent="0.25">
      <c r="B1908" t="s">
        <v>3393</v>
      </c>
      <c r="C1908">
        <v>2022</v>
      </c>
      <c r="D1908" t="s">
        <v>3457</v>
      </c>
      <c r="E1908" t="s">
        <v>2550</v>
      </c>
      <c r="F1908" t="s">
        <v>2551</v>
      </c>
      <c r="G1908" t="s">
        <v>857</v>
      </c>
      <c r="H1908" t="s">
        <v>4514</v>
      </c>
    </row>
    <row r="1909" spans="2:8" x14ac:dyDescent="0.25">
      <c r="B1909" t="s">
        <v>3393</v>
      </c>
      <c r="C1909">
        <v>2022</v>
      </c>
      <c r="D1909" t="s">
        <v>3457</v>
      </c>
      <c r="E1909" t="s">
        <v>2550</v>
      </c>
      <c r="F1909" t="s">
        <v>2551</v>
      </c>
      <c r="G1909" t="s">
        <v>862</v>
      </c>
      <c r="H1909" t="s">
        <v>4515</v>
      </c>
    </row>
    <row r="1910" spans="2:8" x14ac:dyDescent="0.25">
      <c r="B1910" t="s">
        <v>3393</v>
      </c>
      <c r="C1910">
        <v>2022</v>
      </c>
      <c r="D1910" t="s">
        <v>3457</v>
      </c>
      <c r="E1910" t="s">
        <v>2550</v>
      </c>
      <c r="F1910" t="s">
        <v>2551</v>
      </c>
      <c r="G1910" t="s">
        <v>872</v>
      </c>
      <c r="H1910" t="s">
        <v>1993</v>
      </c>
    </row>
    <row r="1911" spans="2:8" x14ac:dyDescent="0.25">
      <c r="B1911" t="s">
        <v>3393</v>
      </c>
      <c r="C1911">
        <v>2022</v>
      </c>
      <c r="D1911" t="s">
        <v>3457</v>
      </c>
      <c r="E1911" t="s">
        <v>2550</v>
      </c>
      <c r="F1911" t="s">
        <v>2551</v>
      </c>
      <c r="G1911" t="s">
        <v>864</v>
      </c>
      <c r="H1911" t="s">
        <v>3434</v>
      </c>
    </row>
    <row r="1912" spans="2:8" x14ac:dyDescent="0.25">
      <c r="B1912" t="s">
        <v>3393</v>
      </c>
      <c r="C1912">
        <v>2022</v>
      </c>
      <c r="D1912" t="s">
        <v>3457</v>
      </c>
      <c r="E1912" t="s">
        <v>2550</v>
      </c>
      <c r="F1912" t="s">
        <v>2551</v>
      </c>
      <c r="G1912" t="s">
        <v>866</v>
      </c>
      <c r="H1912" t="s">
        <v>4516</v>
      </c>
    </row>
    <row r="1913" spans="2:8" x14ac:dyDescent="0.25">
      <c r="B1913" t="s">
        <v>3393</v>
      </c>
      <c r="C1913">
        <v>2022</v>
      </c>
      <c r="D1913" t="s">
        <v>3457</v>
      </c>
      <c r="E1913" t="s">
        <v>2550</v>
      </c>
      <c r="F1913" t="s">
        <v>2551</v>
      </c>
      <c r="G1913" t="s">
        <v>860</v>
      </c>
      <c r="H1913" t="s">
        <v>3600</v>
      </c>
    </row>
    <row r="1914" spans="2:8" x14ac:dyDescent="0.25">
      <c r="B1914" t="s">
        <v>3393</v>
      </c>
      <c r="C1914">
        <v>2022</v>
      </c>
      <c r="D1914" t="s">
        <v>3457</v>
      </c>
      <c r="E1914" t="s">
        <v>2550</v>
      </c>
      <c r="F1914" t="s">
        <v>2551</v>
      </c>
      <c r="G1914" t="s">
        <v>850</v>
      </c>
      <c r="H1914" t="s">
        <v>4517</v>
      </c>
    </row>
    <row r="1915" spans="2:8" x14ac:dyDescent="0.25">
      <c r="B1915" t="s">
        <v>3393</v>
      </c>
      <c r="C1915">
        <v>2022</v>
      </c>
      <c r="D1915" t="s">
        <v>3457</v>
      </c>
      <c r="E1915" t="s">
        <v>2550</v>
      </c>
      <c r="F1915" t="s">
        <v>2551</v>
      </c>
      <c r="G1915" t="s">
        <v>849</v>
      </c>
      <c r="H1915" t="s">
        <v>4518</v>
      </c>
    </row>
    <row r="1916" spans="2:8" x14ac:dyDescent="0.25">
      <c r="B1916" t="s">
        <v>3393</v>
      </c>
      <c r="C1916">
        <v>2022</v>
      </c>
      <c r="D1916" t="s">
        <v>3457</v>
      </c>
      <c r="E1916" t="s">
        <v>2550</v>
      </c>
      <c r="F1916" t="s">
        <v>2551</v>
      </c>
      <c r="G1916" t="s">
        <v>852</v>
      </c>
      <c r="H1916" t="s">
        <v>4519</v>
      </c>
    </row>
    <row r="1917" spans="2:8" x14ac:dyDescent="0.25">
      <c r="B1917" t="s">
        <v>3393</v>
      </c>
      <c r="C1917">
        <v>2022</v>
      </c>
      <c r="D1917" t="s">
        <v>3457</v>
      </c>
      <c r="E1917" t="s">
        <v>2550</v>
      </c>
      <c r="F1917" t="s">
        <v>2551</v>
      </c>
      <c r="G1917" t="s">
        <v>851</v>
      </c>
      <c r="H1917" t="s">
        <v>4520</v>
      </c>
    </row>
    <row r="1918" spans="2:8" x14ac:dyDescent="0.25">
      <c r="B1918" t="s">
        <v>3393</v>
      </c>
      <c r="C1918">
        <v>2022</v>
      </c>
      <c r="D1918" t="s">
        <v>3457</v>
      </c>
      <c r="E1918" t="s">
        <v>2550</v>
      </c>
      <c r="F1918" t="s">
        <v>2551</v>
      </c>
      <c r="G1918" t="s">
        <v>855</v>
      </c>
      <c r="H1918" t="s">
        <v>4521</v>
      </c>
    </row>
    <row r="1919" spans="2:8" x14ac:dyDescent="0.25">
      <c r="B1919" t="s">
        <v>3393</v>
      </c>
      <c r="C1919">
        <v>2022</v>
      </c>
      <c r="D1919" t="s">
        <v>3457</v>
      </c>
      <c r="E1919" t="s">
        <v>2550</v>
      </c>
      <c r="F1919" t="s">
        <v>2551</v>
      </c>
      <c r="G1919" t="s">
        <v>856</v>
      </c>
      <c r="H1919" t="s">
        <v>1993</v>
      </c>
    </row>
    <row r="1920" spans="2:8" x14ac:dyDescent="0.25">
      <c r="B1920" t="s">
        <v>3393</v>
      </c>
      <c r="C1920">
        <v>2022</v>
      </c>
      <c r="D1920" t="s">
        <v>3457</v>
      </c>
      <c r="E1920" t="s">
        <v>2550</v>
      </c>
      <c r="F1920" t="s">
        <v>2551</v>
      </c>
      <c r="G1920" t="s">
        <v>865</v>
      </c>
      <c r="H1920" t="s">
        <v>4522</v>
      </c>
    </row>
    <row r="1921" spans="2:8" x14ac:dyDescent="0.25">
      <c r="B1921" t="s">
        <v>3393</v>
      </c>
      <c r="C1921">
        <v>2022</v>
      </c>
      <c r="D1921" t="s">
        <v>3457</v>
      </c>
      <c r="E1921" t="s">
        <v>2550</v>
      </c>
      <c r="F1921" t="s">
        <v>2551</v>
      </c>
      <c r="G1921" t="s">
        <v>861</v>
      </c>
      <c r="H1921" t="s">
        <v>2065</v>
      </c>
    </row>
    <row r="1922" spans="2:8" x14ac:dyDescent="0.25">
      <c r="B1922" t="s">
        <v>3393</v>
      </c>
      <c r="C1922">
        <v>2022</v>
      </c>
      <c r="D1922" t="s">
        <v>3457</v>
      </c>
      <c r="E1922" t="s">
        <v>2550</v>
      </c>
      <c r="F1922" t="s">
        <v>2551</v>
      </c>
      <c r="G1922" t="s">
        <v>871</v>
      </c>
      <c r="H1922" t="s">
        <v>4523</v>
      </c>
    </row>
    <row r="1923" spans="2:8" x14ac:dyDescent="0.25">
      <c r="B1923" t="s">
        <v>3393</v>
      </c>
      <c r="C1923">
        <v>2022</v>
      </c>
      <c r="D1923" t="s">
        <v>3457</v>
      </c>
      <c r="E1923" t="s">
        <v>2550</v>
      </c>
      <c r="F1923" t="s">
        <v>2551</v>
      </c>
      <c r="G1923" t="s">
        <v>848</v>
      </c>
      <c r="H1923" t="s">
        <v>4524</v>
      </c>
    </row>
    <row r="1924" spans="2:8" x14ac:dyDescent="0.25">
      <c r="B1924" t="s">
        <v>3393</v>
      </c>
      <c r="C1924">
        <v>2022</v>
      </c>
      <c r="D1924" t="s">
        <v>3457</v>
      </c>
      <c r="E1924" t="s">
        <v>2550</v>
      </c>
      <c r="F1924" t="s">
        <v>2551</v>
      </c>
      <c r="G1924" t="s">
        <v>853</v>
      </c>
      <c r="H1924" t="s">
        <v>4525</v>
      </c>
    </row>
    <row r="1925" spans="2:8" x14ac:dyDescent="0.25">
      <c r="B1925" t="s">
        <v>3393</v>
      </c>
      <c r="C1925">
        <v>2022</v>
      </c>
      <c r="D1925" t="s">
        <v>3457</v>
      </c>
      <c r="E1925" t="s">
        <v>2550</v>
      </c>
      <c r="F1925" t="s">
        <v>2551</v>
      </c>
      <c r="G1925" t="s">
        <v>854</v>
      </c>
      <c r="H1925" t="s">
        <v>4526</v>
      </c>
    </row>
    <row r="1926" spans="2:8" x14ac:dyDescent="0.25">
      <c r="B1926" t="s">
        <v>3393</v>
      </c>
      <c r="C1926">
        <v>2022</v>
      </c>
      <c r="D1926" t="s">
        <v>3457</v>
      </c>
      <c r="E1926" t="s">
        <v>2550</v>
      </c>
      <c r="F1926" t="s">
        <v>2551</v>
      </c>
      <c r="G1926" t="s">
        <v>863</v>
      </c>
      <c r="H1926" t="s">
        <v>4527</v>
      </c>
    </row>
    <row r="1927" spans="2:8" x14ac:dyDescent="0.25">
      <c r="B1927" t="s">
        <v>3393</v>
      </c>
      <c r="C1927">
        <v>2022</v>
      </c>
      <c r="D1927" t="s">
        <v>3457</v>
      </c>
      <c r="E1927" t="s">
        <v>2550</v>
      </c>
      <c r="F1927" t="s">
        <v>2551</v>
      </c>
      <c r="G1927" t="s">
        <v>868</v>
      </c>
      <c r="H1927" t="s">
        <v>4528</v>
      </c>
    </row>
    <row r="1928" spans="2:8" x14ac:dyDescent="0.25">
      <c r="B1928" t="s">
        <v>3393</v>
      </c>
      <c r="C1928">
        <v>2022</v>
      </c>
      <c r="D1928" t="s">
        <v>3457</v>
      </c>
      <c r="E1928" t="s">
        <v>2550</v>
      </c>
      <c r="F1928" t="s">
        <v>2551</v>
      </c>
      <c r="G1928" t="s">
        <v>869</v>
      </c>
      <c r="H1928" t="s">
        <v>1993</v>
      </c>
    </row>
    <row r="1929" spans="2:8" x14ac:dyDescent="0.25">
      <c r="B1929" t="s">
        <v>3393</v>
      </c>
      <c r="C1929">
        <v>2022</v>
      </c>
      <c r="D1929" t="s">
        <v>3457</v>
      </c>
      <c r="E1929" t="s">
        <v>2550</v>
      </c>
      <c r="F1929" t="s">
        <v>2551</v>
      </c>
      <c r="G1929" t="s">
        <v>870</v>
      </c>
      <c r="H1929" t="s">
        <v>4529</v>
      </c>
    </row>
    <row r="1930" spans="2:8" x14ac:dyDescent="0.25">
      <c r="B1930" t="s">
        <v>3393</v>
      </c>
      <c r="C1930">
        <v>2022</v>
      </c>
      <c r="D1930" t="s">
        <v>3457</v>
      </c>
      <c r="E1930" t="s">
        <v>2553</v>
      </c>
      <c r="F1930" t="s">
        <v>2554</v>
      </c>
      <c r="G1930" t="s">
        <v>1150</v>
      </c>
      <c r="H1930" t="s">
        <v>4530</v>
      </c>
    </row>
    <row r="1931" spans="2:8" x14ac:dyDescent="0.25">
      <c r="B1931" t="s">
        <v>3393</v>
      </c>
      <c r="C1931">
        <v>2022</v>
      </c>
      <c r="D1931" t="s">
        <v>3457</v>
      </c>
      <c r="E1931" t="s">
        <v>2553</v>
      </c>
      <c r="F1931" t="s">
        <v>2554</v>
      </c>
      <c r="G1931" t="s">
        <v>1148</v>
      </c>
      <c r="H1931" t="s">
        <v>4531</v>
      </c>
    </row>
    <row r="1932" spans="2:8" x14ac:dyDescent="0.25">
      <c r="B1932" t="s">
        <v>3393</v>
      </c>
      <c r="C1932">
        <v>2022</v>
      </c>
      <c r="D1932" t="s">
        <v>3457</v>
      </c>
      <c r="E1932" t="s">
        <v>2553</v>
      </c>
      <c r="F1932" t="s">
        <v>2554</v>
      </c>
      <c r="G1932" t="s">
        <v>1149</v>
      </c>
      <c r="H1932" t="s">
        <v>4532</v>
      </c>
    </row>
    <row r="1933" spans="2:8" x14ac:dyDescent="0.25">
      <c r="B1933" t="s">
        <v>3393</v>
      </c>
      <c r="C1933">
        <v>2022</v>
      </c>
      <c r="D1933" t="s">
        <v>3457</v>
      </c>
      <c r="E1933" t="s">
        <v>2555</v>
      </c>
      <c r="F1933" t="s">
        <v>2556</v>
      </c>
      <c r="G1933" t="s">
        <v>2557</v>
      </c>
      <c r="H1933" t="s">
        <v>4533</v>
      </c>
    </row>
    <row r="1934" spans="2:8" x14ac:dyDescent="0.25">
      <c r="B1934" t="s">
        <v>3393</v>
      </c>
      <c r="C1934">
        <v>2022</v>
      </c>
      <c r="D1934" t="s">
        <v>3457</v>
      </c>
      <c r="E1934" t="s">
        <v>2555</v>
      </c>
      <c r="F1934" t="s">
        <v>2556</v>
      </c>
      <c r="G1934" t="s">
        <v>2558</v>
      </c>
      <c r="H1934" t="s">
        <v>4534</v>
      </c>
    </row>
    <row r="1935" spans="2:8" x14ac:dyDescent="0.25">
      <c r="B1935" t="s">
        <v>3393</v>
      </c>
      <c r="C1935">
        <v>2022</v>
      </c>
      <c r="D1935" t="s">
        <v>3457</v>
      </c>
      <c r="E1935" t="s">
        <v>2555</v>
      </c>
      <c r="F1935" t="s">
        <v>2556</v>
      </c>
      <c r="G1935" t="s">
        <v>2559</v>
      </c>
      <c r="H1935" t="s">
        <v>4535</v>
      </c>
    </row>
    <row r="1936" spans="2:8" x14ac:dyDescent="0.25">
      <c r="B1936" t="s">
        <v>3393</v>
      </c>
      <c r="C1936">
        <v>2022</v>
      </c>
      <c r="D1936" t="s">
        <v>3457</v>
      </c>
      <c r="E1936" t="s">
        <v>2560</v>
      </c>
      <c r="F1936" t="s">
        <v>2561</v>
      </c>
      <c r="G1936" t="s">
        <v>2992</v>
      </c>
      <c r="H1936" t="s">
        <v>4536</v>
      </c>
    </row>
    <row r="1937" spans="2:8" x14ac:dyDescent="0.25">
      <c r="B1937" t="s">
        <v>3393</v>
      </c>
      <c r="C1937">
        <v>2022</v>
      </c>
      <c r="D1937" t="s">
        <v>3457</v>
      </c>
      <c r="E1937" t="s">
        <v>2560</v>
      </c>
      <c r="F1937" t="s">
        <v>2561</v>
      </c>
      <c r="G1937" t="s">
        <v>2563</v>
      </c>
      <c r="H1937" t="s">
        <v>2989</v>
      </c>
    </row>
    <row r="1938" spans="2:8" x14ac:dyDescent="0.25">
      <c r="B1938" t="s">
        <v>3393</v>
      </c>
      <c r="C1938">
        <v>2022</v>
      </c>
      <c r="D1938" t="s">
        <v>3457</v>
      </c>
      <c r="E1938" t="s">
        <v>2560</v>
      </c>
      <c r="F1938" t="s">
        <v>2561</v>
      </c>
      <c r="G1938" t="s">
        <v>2565</v>
      </c>
      <c r="H1938" t="s">
        <v>4537</v>
      </c>
    </row>
    <row r="1939" spans="2:8" x14ac:dyDescent="0.25">
      <c r="B1939" t="s">
        <v>3393</v>
      </c>
      <c r="C1939">
        <v>2022</v>
      </c>
      <c r="D1939" t="s">
        <v>3457</v>
      </c>
      <c r="E1939" t="s">
        <v>2560</v>
      </c>
      <c r="F1939" t="s">
        <v>2561</v>
      </c>
      <c r="G1939" t="s">
        <v>2566</v>
      </c>
      <c r="H1939" t="s">
        <v>2990</v>
      </c>
    </row>
    <row r="1940" spans="2:8" x14ac:dyDescent="0.25">
      <c r="B1940" t="s">
        <v>3393</v>
      </c>
      <c r="C1940">
        <v>2022</v>
      </c>
      <c r="D1940" t="s">
        <v>3457</v>
      </c>
      <c r="E1940" t="s">
        <v>2560</v>
      </c>
      <c r="F1940" t="s">
        <v>2561</v>
      </c>
      <c r="G1940" t="s">
        <v>2568</v>
      </c>
      <c r="H1940" t="s">
        <v>4538</v>
      </c>
    </row>
    <row r="1941" spans="2:8" x14ac:dyDescent="0.25">
      <c r="B1941" t="s">
        <v>3393</v>
      </c>
      <c r="C1941">
        <v>2022</v>
      </c>
      <c r="D1941" t="s">
        <v>3457</v>
      </c>
      <c r="E1941" t="s">
        <v>2560</v>
      </c>
      <c r="F1941" t="s">
        <v>2561</v>
      </c>
      <c r="G1941" t="s">
        <v>2569</v>
      </c>
      <c r="H1941" t="s">
        <v>2991</v>
      </c>
    </row>
    <row r="1942" spans="2:8" x14ac:dyDescent="0.25">
      <c r="B1942" t="s">
        <v>3393</v>
      </c>
      <c r="C1942">
        <v>2022</v>
      </c>
      <c r="D1942" t="s">
        <v>3457</v>
      </c>
      <c r="E1942" t="s">
        <v>2571</v>
      </c>
      <c r="F1942" t="s">
        <v>2572</v>
      </c>
      <c r="G1942" t="s">
        <v>2562</v>
      </c>
      <c r="H1942" t="s">
        <v>4539</v>
      </c>
    </row>
    <row r="1943" spans="2:8" x14ac:dyDescent="0.25">
      <c r="B1943" t="s">
        <v>3393</v>
      </c>
      <c r="C1943">
        <v>2022</v>
      </c>
      <c r="D1943" t="s">
        <v>3457</v>
      </c>
      <c r="E1943" t="s">
        <v>2571</v>
      </c>
      <c r="F1943" t="s">
        <v>2572</v>
      </c>
      <c r="G1943" t="s">
        <v>2563</v>
      </c>
      <c r="H1943" t="s">
        <v>2993</v>
      </c>
    </row>
    <row r="1944" spans="2:8" x14ac:dyDescent="0.25">
      <c r="B1944" t="s">
        <v>3393</v>
      </c>
      <c r="C1944">
        <v>2022</v>
      </c>
      <c r="D1944" t="s">
        <v>3457</v>
      </c>
      <c r="E1944" t="s">
        <v>2571</v>
      </c>
      <c r="F1944" t="s">
        <v>2572</v>
      </c>
      <c r="G1944" t="s">
        <v>2565</v>
      </c>
      <c r="H1944" t="s">
        <v>3356</v>
      </c>
    </row>
    <row r="1945" spans="2:8" x14ac:dyDescent="0.25">
      <c r="B1945" t="s">
        <v>3393</v>
      </c>
      <c r="C1945">
        <v>2022</v>
      </c>
      <c r="D1945" t="s">
        <v>3457</v>
      </c>
      <c r="E1945" t="s">
        <v>2571</v>
      </c>
      <c r="F1945" t="s">
        <v>2572</v>
      </c>
      <c r="G1945" t="s">
        <v>2566</v>
      </c>
      <c r="H1945" t="s">
        <v>2994</v>
      </c>
    </row>
    <row r="1946" spans="2:8" x14ac:dyDescent="0.25">
      <c r="B1946" t="s">
        <v>3393</v>
      </c>
      <c r="C1946">
        <v>2022</v>
      </c>
      <c r="D1946" t="s">
        <v>3457</v>
      </c>
      <c r="E1946" t="s">
        <v>2571</v>
      </c>
      <c r="F1946" t="s">
        <v>2572</v>
      </c>
      <c r="G1946" t="s">
        <v>3550</v>
      </c>
      <c r="H1946" t="s">
        <v>3370</v>
      </c>
    </row>
    <row r="1947" spans="2:8" x14ac:dyDescent="0.25">
      <c r="B1947" t="s">
        <v>3393</v>
      </c>
      <c r="C1947">
        <v>2022</v>
      </c>
      <c r="D1947" t="s">
        <v>3457</v>
      </c>
      <c r="E1947" t="s">
        <v>2571</v>
      </c>
      <c r="F1947" t="s">
        <v>2572</v>
      </c>
      <c r="G1947" t="s">
        <v>2569</v>
      </c>
      <c r="H1947" t="s">
        <v>2995</v>
      </c>
    </row>
    <row r="1948" spans="2:8" x14ac:dyDescent="0.25">
      <c r="B1948" t="s">
        <v>3393</v>
      </c>
      <c r="C1948">
        <v>2022</v>
      </c>
      <c r="D1948" t="s">
        <v>3457</v>
      </c>
      <c r="E1948" t="s">
        <v>2576</v>
      </c>
      <c r="F1948" t="s">
        <v>2577</v>
      </c>
      <c r="G1948" t="s">
        <v>2578</v>
      </c>
      <c r="H1948" t="s">
        <v>4540</v>
      </c>
    </row>
    <row r="1949" spans="2:8" x14ac:dyDescent="0.25">
      <c r="B1949" t="s">
        <v>3393</v>
      </c>
      <c r="C1949">
        <v>2022</v>
      </c>
      <c r="D1949" t="s">
        <v>3457</v>
      </c>
      <c r="E1949" t="s">
        <v>2576</v>
      </c>
      <c r="F1949" t="s">
        <v>2577</v>
      </c>
      <c r="G1949" t="s">
        <v>2579</v>
      </c>
      <c r="H1949" t="s">
        <v>2996</v>
      </c>
    </row>
    <row r="1950" spans="2:8" x14ac:dyDescent="0.25">
      <c r="B1950" t="s">
        <v>3393</v>
      </c>
      <c r="C1950">
        <v>2022</v>
      </c>
      <c r="D1950" t="s">
        <v>3457</v>
      </c>
      <c r="E1950" t="s">
        <v>2576</v>
      </c>
      <c r="F1950" t="s">
        <v>2577</v>
      </c>
      <c r="G1950" t="s">
        <v>2581</v>
      </c>
      <c r="H1950" t="s">
        <v>4541</v>
      </c>
    </row>
    <row r="1951" spans="2:8" x14ac:dyDescent="0.25">
      <c r="B1951" t="s">
        <v>3393</v>
      </c>
      <c r="C1951">
        <v>2022</v>
      </c>
      <c r="D1951" t="s">
        <v>3457</v>
      </c>
      <c r="E1951" t="s">
        <v>2576</v>
      </c>
      <c r="F1951" t="s">
        <v>2577</v>
      </c>
      <c r="G1951" t="s">
        <v>2582</v>
      </c>
      <c r="H1951" t="s">
        <v>2997</v>
      </c>
    </row>
    <row r="1952" spans="2:8" x14ac:dyDescent="0.25">
      <c r="B1952" t="s">
        <v>3393</v>
      </c>
      <c r="C1952">
        <v>2022</v>
      </c>
      <c r="D1952" t="s">
        <v>3457</v>
      </c>
      <c r="E1952" t="s">
        <v>2576</v>
      </c>
      <c r="F1952" t="s">
        <v>2577</v>
      </c>
      <c r="G1952" t="s">
        <v>2584</v>
      </c>
      <c r="H1952" t="s">
        <v>4542</v>
      </c>
    </row>
    <row r="1953" spans="2:8" x14ac:dyDescent="0.25">
      <c r="B1953" t="s">
        <v>3393</v>
      </c>
      <c r="C1953">
        <v>2022</v>
      </c>
      <c r="D1953" t="s">
        <v>3457</v>
      </c>
      <c r="E1953" t="s">
        <v>2576</v>
      </c>
      <c r="F1953" t="s">
        <v>2577</v>
      </c>
      <c r="G1953" t="s">
        <v>2585</v>
      </c>
      <c r="H1953" t="s">
        <v>2998</v>
      </c>
    </row>
    <row r="1954" spans="2:8" x14ac:dyDescent="0.25">
      <c r="B1954" t="s">
        <v>3393</v>
      </c>
      <c r="C1954">
        <v>2022</v>
      </c>
      <c r="D1954" t="s">
        <v>3457</v>
      </c>
      <c r="E1954" t="s">
        <v>2587</v>
      </c>
      <c r="F1954" t="s">
        <v>2588</v>
      </c>
      <c r="G1954" t="s">
        <v>1115</v>
      </c>
      <c r="H1954" t="s">
        <v>4543</v>
      </c>
    </row>
    <row r="1955" spans="2:8" x14ac:dyDescent="0.25">
      <c r="B1955" t="s">
        <v>3393</v>
      </c>
      <c r="C1955">
        <v>2022</v>
      </c>
      <c r="D1955" t="s">
        <v>3457</v>
      </c>
      <c r="E1955" t="s">
        <v>2589</v>
      </c>
      <c r="F1955" t="s">
        <v>2590</v>
      </c>
      <c r="G1955" t="s">
        <v>1100</v>
      </c>
      <c r="H1955" t="s">
        <v>2015</v>
      </c>
    </row>
    <row r="1956" spans="2:8" x14ac:dyDescent="0.25">
      <c r="B1956" t="s">
        <v>3393</v>
      </c>
      <c r="C1956">
        <v>2022</v>
      </c>
      <c r="D1956" t="s">
        <v>3457</v>
      </c>
      <c r="E1956" t="s">
        <v>2589</v>
      </c>
      <c r="F1956" t="s">
        <v>2590</v>
      </c>
      <c r="G1956" t="s">
        <v>2591</v>
      </c>
      <c r="H1956" t="s">
        <v>3560</v>
      </c>
    </row>
    <row r="1957" spans="2:8" x14ac:dyDescent="0.25">
      <c r="B1957" t="s">
        <v>3393</v>
      </c>
      <c r="C1957">
        <v>2022</v>
      </c>
      <c r="D1957" t="s">
        <v>3457</v>
      </c>
      <c r="E1957" t="s">
        <v>2589</v>
      </c>
      <c r="F1957" t="s">
        <v>2590</v>
      </c>
      <c r="G1957" t="s">
        <v>2592</v>
      </c>
      <c r="H1957" t="s">
        <v>4514</v>
      </c>
    </row>
    <row r="1958" spans="2:8" x14ac:dyDescent="0.25">
      <c r="B1958" t="s">
        <v>3393</v>
      </c>
      <c r="C1958">
        <v>2022</v>
      </c>
      <c r="D1958" t="s">
        <v>3457</v>
      </c>
      <c r="E1958" t="s">
        <v>2589</v>
      </c>
      <c r="F1958" t="s">
        <v>2590</v>
      </c>
      <c r="G1958" t="s">
        <v>1053</v>
      </c>
      <c r="H1958" t="s">
        <v>2101</v>
      </c>
    </row>
    <row r="1959" spans="2:8" x14ac:dyDescent="0.25">
      <c r="B1959" t="s">
        <v>3393</v>
      </c>
      <c r="C1959">
        <v>2022</v>
      </c>
      <c r="D1959" t="s">
        <v>3457</v>
      </c>
      <c r="E1959" t="s">
        <v>2589</v>
      </c>
      <c r="F1959" t="s">
        <v>2590</v>
      </c>
      <c r="G1959" t="s">
        <v>1103</v>
      </c>
      <c r="H1959" t="s">
        <v>3533</v>
      </c>
    </row>
    <row r="1960" spans="2:8" x14ac:dyDescent="0.25">
      <c r="B1960" t="s">
        <v>3393</v>
      </c>
      <c r="C1960">
        <v>2022</v>
      </c>
      <c r="D1960" t="s">
        <v>3457</v>
      </c>
      <c r="E1960" t="s">
        <v>2589</v>
      </c>
      <c r="F1960" t="s">
        <v>2590</v>
      </c>
      <c r="G1960" t="s">
        <v>182</v>
      </c>
      <c r="H1960" t="s">
        <v>4544</v>
      </c>
    </row>
    <row r="1961" spans="2:8" x14ac:dyDescent="0.25">
      <c r="B1961" t="s">
        <v>3393</v>
      </c>
      <c r="C1961">
        <v>2022</v>
      </c>
      <c r="D1961" t="s">
        <v>3457</v>
      </c>
      <c r="E1961" t="s">
        <v>2593</v>
      </c>
      <c r="F1961" t="s">
        <v>2594</v>
      </c>
      <c r="G1961" t="s">
        <v>2596</v>
      </c>
      <c r="H1961" t="s">
        <v>4545</v>
      </c>
    </row>
    <row r="1962" spans="2:8" x14ac:dyDescent="0.25">
      <c r="B1962" t="s">
        <v>3393</v>
      </c>
      <c r="C1962">
        <v>2022</v>
      </c>
      <c r="D1962" t="s">
        <v>3457</v>
      </c>
      <c r="E1962" t="s">
        <v>2593</v>
      </c>
      <c r="F1962" t="s">
        <v>2594</v>
      </c>
      <c r="G1962" t="s">
        <v>2597</v>
      </c>
      <c r="H1962" t="s">
        <v>4546</v>
      </c>
    </row>
    <row r="1963" spans="2:8" x14ac:dyDescent="0.25">
      <c r="B1963" t="s">
        <v>3393</v>
      </c>
      <c r="C1963">
        <v>2022</v>
      </c>
      <c r="D1963" t="s">
        <v>3457</v>
      </c>
      <c r="E1963" t="s">
        <v>2593</v>
      </c>
      <c r="F1963" t="s">
        <v>2594</v>
      </c>
      <c r="G1963" t="s">
        <v>2598</v>
      </c>
      <c r="H1963" t="s">
        <v>4547</v>
      </c>
    </row>
    <row r="1964" spans="2:8" x14ac:dyDescent="0.25">
      <c r="B1964" t="s">
        <v>3393</v>
      </c>
      <c r="C1964">
        <v>2022</v>
      </c>
      <c r="D1964" t="s">
        <v>3457</v>
      </c>
      <c r="E1964" t="s">
        <v>2593</v>
      </c>
      <c r="F1964" t="s">
        <v>2594</v>
      </c>
      <c r="G1964" t="s">
        <v>2599</v>
      </c>
      <c r="H1964" t="s">
        <v>3380</v>
      </c>
    </row>
    <row r="1965" spans="2:8" x14ac:dyDescent="0.25">
      <c r="B1965" t="s">
        <v>3393</v>
      </c>
      <c r="C1965">
        <v>2022</v>
      </c>
      <c r="D1965" t="s">
        <v>3457</v>
      </c>
      <c r="E1965" t="s">
        <v>2999</v>
      </c>
      <c r="F1965" t="s">
        <v>3000</v>
      </c>
      <c r="G1965" t="s">
        <v>3001</v>
      </c>
      <c r="H1965" t="s">
        <v>4548</v>
      </c>
    </row>
    <row r="1966" spans="2:8" x14ac:dyDescent="0.25">
      <c r="B1966" t="s">
        <v>3393</v>
      </c>
      <c r="C1966">
        <v>2022</v>
      </c>
      <c r="D1966" t="s">
        <v>3457</v>
      </c>
      <c r="E1966" t="s">
        <v>2600</v>
      </c>
      <c r="F1966" t="s">
        <v>2601</v>
      </c>
      <c r="G1966" t="s">
        <v>996</v>
      </c>
      <c r="H1966" t="s">
        <v>4549</v>
      </c>
    </row>
    <row r="1967" spans="2:8" x14ac:dyDescent="0.25">
      <c r="B1967" t="s">
        <v>3393</v>
      </c>
      <c r="C1967">
        <v>2022</v>
      </c>
      <c r="D1967" t="s">
        <v>3457</v>
      </c>
      <c r="E1967" t="s">
        <v>2600</v>
      </c>
      <c r="F1967" t="s">
        <v>2601</v>
      </c>
      <c r="G1967" t="s">
        <v>1005</v>
      </c>
      <c r="H1967" t="s">
        <v>4550</v>
      </c>
    </row>
    <row r="1968" spans="2:8" x14ac:dyDescent="0.25">
      <c r="B1968" t="s">
        <v>3393</v>
      </c>
      <c r="C1968">
        <v>2022</v>
      </c>
      <c r="D1968" t="s">
        <v>3457</v>
      </c>
      <c r="E1968" t="s">
        <v>2600</v>
      </c>
      <c r="F1968" t="s">
        <v>2601</v>
      </c>
      <c r="G1968" t="s">
        <v>994</v>
      </c>
      <c r="H1968" t="s">
        <v>4551</v>
      </c>
    </row>
    <row r="1969" spans="2:8" x14ac:dyDescent="0.25">
      <c r="B1969" t="s">
        <v>3393</v>
      </c>
      <c r="C1969">
        <v>2022</v>
      </c>
      <c r="D1969" t="s">
        <v>3457</v>
      </c>
      <c r="E1969" t="s">
        <v>2600</v>
      </c>
      <c r="F1969" t="s">
        <v>2601</v>
      </c>
      <c r="G1969" t="s">
        <v>995</v>
      </c>
      <c r="H1969" t="s">
        <v>4552</v>
      </c>
    </row>
    <row r="1970" spans="2:8" x14ac:dyDescent="0.25">
      <c r="B1970" t="s">
        <v>3393</v>
      </c>
      <c r="C1970">
        <v>2022</v>
      </c>
      <c r="D1970" t="s">
        <v>3457</v>
      </c>
      <c r="E1970" t="s">
        <v>2600</v>
      </c>
      <c r="F1970" t="s">
        <v>2601</v>
      </c>
      <c r="G1970" t="s">
        <v>990</v>
      </c>
      <c r="H1970" t="s">
        <v>2023</v>
      </c>
    </row>
    <row r="1971" spans="2:8" x14ac:dyDescent="0.25">
      <c r="B1971" t="s">
        <v>3393</v>
      </c>
      <c r="C1971">
        <v>2022</v>
      </c>
      <c r="D1971" t="s">
        <v>3457</v>
      </c>
      <c r="E1971" t="s">
        <v>2600</v>
      </c>
      <c r="F1971" t="s">
        <v>2601</v>
      </c>
      <c r="G1971" t="s">
        <v>1001</v>
      </c>
      <c r="H1971" t="s">
        <v>1993</v>
      </c>
    </row>
    <row r="1972" spans="2:8" x14ac:dyDescent="0.25">
      <c r="B1972" t="s">
        <v>3393</v>
      </c>
      <c r="C1972">
        <v>2022</v>
      </c>
      <c r="D1972" t="s">
        <v>3457</v>
      </c>
      <c r="E1972" t="s">
        <v>2600</v>
      </c>
      <c r="F1972" t="s">
        <v>2601</v>
      </c>
      <c r="G1972" t="s">
        <v>2602</v>
      </c>
      <c r="H1972" t="s">
        <v>4553</v>
      </c>
    </row>
    <row r="1973" spans="2:8" x14ac:dyDescent="0.25">
      <c r="B1973" t="s">
        <v>3393</v>
      </c>
      <c r="C1973">
        <v>2022</v>
      </c>
      <c r="D1973" t="s">
        <v>3457</v>
      </c>
      <c r="E1973" t="s">
        <v>2600</v>
      </c>
      <c r="F1973" t="s">
        <v>2601</v>
      </c>
      <c r="G1973" t="s">
        <v>989</v>
      </c>
      <c r="H1973" t="s">
        <v>4554</v>
      </c>
    </row>
    <row r="1974" spans="2:8" x14ac:dyDescent="0.25">
      <c r="B1974" t="s">
        <v>3393</v>
      </c>
      <c r="C1974">
        <v>2022</v>
      </c>
      <c r="D1974" t="s">
        <v>3457</v>
      </c>
      <c r="E1974" t="s">
        <v>2600</v>
      </c>
      <c r="F1974" t="s">
        <v>2601</v>
      </c>
      <c r="G1974" t="s">
        <v>987</v>
      </c>
      <c r="H1974" t="s">
        <v>4555</v>
      </c>
    </row>
    <row r="1975" spans="2:8" x14ac:dyDescent="0.25">
      <c r="B1975" t="s">
        <v>3393</v>
      </c>
      <c r="C1975">
        <v>2022</v>
      </c>
      <c r="D1975" t="s">
        <v>3457</v>
      </c>
      <c r="E1975" t="s">
        <v>2600</v>
      </c>
      <c r="F1975" t="s">
        <v>2601</v>
      </c>
      <c r="G1975" t="s">
        <v>993</v>
      </c>
      <c r="H1975" t="s">
        <v>4556</v>
      </c>
    </row>
    <row r="1976" spans="2:8" x14ac:dyDescent="0.25">
      <c r="B1976" t="s">
        <v>3393</v>
      </c>
      <c r="C1976">
        <v>2022</v>
      </c>
      <c r="D1976" t="s">
        <v>3457</v>
      </c>
      <c r="E1976" t="s">
        <v>2600</v>
      </c>
      <c r="F1976" t="s">
        <v>2601</v>
      </c>
      <c r="G1976" t="s">
        <v>992</v>
      </c>
      <c r="H1976" t="s">
        <v>4557</v>
      </c>
    </row>
    <row r="1977" spans="2:8" x14ac:dyDescent="0.25">
      <c r="B1977" t="s">
        <v>3393</v>
      </c>
      <c r="C1977">
        <v>2022</v>
      </c>
      <c r="D1977" t="s">
        <v>3457</v>
      </c>
      <c r="E1977" t="s">
        <v>2600</v>
      </c>
      <c r="F1977" t="s">
        <v>2601</v>
      </c>
      <c r="G1977" t="s">
        <v>1000</v>
      </c>
      <c r="H1977" t="s">
        <v>4558</v>
      </c>
    </row>
    <row r="1978" spans="2:8" x14ac:dyDescent="0.25">
      <c r="B1978" t="s">
        <v>3393</v>
      </c>
      <c r="C1978">
        <v>2022</v>
      </c>
      <c r="D1978" t="s">
        <v>3457</v>
      </c>
      <c r="E1978" t="s">
        <v>2600</v>
      </c>
      <c r="F1978" t="s">
        <v>2601</v>
      </c>
      <c r="G1978" t="s">
        <v>1004</v>
      </c>
      <c r="H1978" t="s">
        <v>4559</v>
      </c>
    </row>
    <row r="1979" spans="2:8" x14ac:dyDescent="0.25">
      <c r="B1979" t="s">
        <v>3393</v>
      </c>
      <c r="C1979">
        <v>2022</v>
      </c>
      <c r="D1979" t="s">
        <v>3457</v>
      </c>
      <c r="E1979" t="s">
        <v>2600</v>
      </c>
      <c r="F1979" t="s">
        <v>2601</v>
      </c>
      <c r="G1979" t="s">
        <v>1003</v>
      </c>
      <c r="H1979" t="s">
        <v>4560</v>
      </c>
    </row>
    <row r="1980" spans="2:8" x14ac:dyDescent="0.25">
      <c r="B1980" t="s">
        <v>3393</v>
      </c>
      <c r="C1980">
        <v>2022</v>
      </c>
      <c r="D1980" t="s">
        <v>3457</v>
      </c>
      <c r="E1980" t="s">
        <v>2600</v>
      </c>
      <c r="F1980" t="s">
        <v>2601</v>
      </c>
      <c r="G1980" t="s">
        <v>997</v>
      </c>
      <c r="H1980" t="s">
        <v>4561</v>
      </c>
    </row>
    <row r="1981" spans="2:8" x14ac:dyDescent="0.25">
      <c r="B1981" t="s">
        <v>3393</v>
      </c>
      <c r="C1981">
        <v>2022</v>
      </c>
      <c r="D1981" t="s">
        <v>3457</v>
      </c>
      <c r="E1981" t="s">
        <v>2600</v>
      </c>
      <c r="F1981" t="s">
        <v>2601</v>
      </c>
      <c r="G1981" t="s">
        <v>986</v>
      </c>
      <c r="H1981" t="s">
        <v>4562</v>
      </c>
    </row>
    <row r="1982" spans="2:8" x14ac:dyDescent="0.25">
      <c r="B1982" t="s">
        <v>3393</v>
      </c>
      <c r="C1982">
        <v>2022</v>
      </c>
      <c r="D1982" t="s">
        <v>3457</v>
      </c>
      <c r="E1982" t="s">
        <v>2600</v>
      </c>
      <c r="F1982" t="s">
        <v>2601</v>
      </c>
      <c r="G1982" t="s">
        <v>991</v>
      </c>
      <c r="H1982" t="s">
        <v>4563</v>
      </c>
    </row>
    <row r="1983" spans="2:8" x14ac:dyDescent="0.25">
      <c r="B1983" t="s">
        <v>3393</v>
      </c>
      <c r="C1983">
        <v>2022</v>
      </c>
      <c r="D1983" t="s">
        <v>3457</v>
      </c>
      <c r="E1983" t="s">
        <v>2600</v>
      </c>
      <c r="F1983" t="s">
        <v>2601</v>
      </c>
      <c r="G1983" t="s">
        <v>999</v>
      </c>
      <c r="H1983" t="s">
        <v>4558</v>
      </c>
    </row>
    <row r="1984" spans="2:8" x14ac:dyDescent="0.25">
      <c r="B1984" t="s">
        <v>3393</v>
      </c>
      <c r="C1984">
        <v>2022</v>
      </c>
      <c r="D1984" t="s">
        <v>3457</v>
      </c>
      <c r="E1984" t="s">
        <v>2600</v>
      </c>
      <c r="F1984" t="s">
        <v>2601</v>
      </c>
      <c r="G1984" t="s">
        <v>998</v>
      </c>
      <c r="H1984" t="s">
        <v>4564</v>
      </c>
    </row>
    <row r="1985" spans="2:8" x14ac:dyDescent="0.25">
      <c r="B1985" t="s">
        <v>3393</v>
      </c>
      <c r="C1985">
        <v>2022</v>
      </c>
      <c r="D1985" t="s">
        <v>3457</v>
      </c>
      <c r="E1985" t="s">
        <v>2600</v>
      </c>
      <c r="F1985" t="s">
        <v>2601</v>
      </c>
      <c r="G1985" t="s">
        <v>1002</v>
      </c>
      <c r="H1985" t="s">
        <v>4565</v>
      </c>
    </row>
    <row r="1986" spans="2:8" x14ac:dyDescent="0.25">
      <c r="B1986" t="s">
        <v>3393</v>
      </c>
      <c r="C1986">
        <v>2022</v>
      </c>
      <c r="D1986" t="s">
        <v>3457</v>
      </c>
      <c r="E1986" t="s">
        <v>2600</v>
      </c>
      <c r="F1986" t="s">
        <v>2601</v>
      </c>
      <c r="G1986" t="s">
        <v>1006</v>
      </c>
      <c r="H1986" t="s">
        <v>4566</v>
      </c>
    </row>
    <row r="1987" spans="2:8" x14ac:dyDescent="0.25">
      <c r="B1987" t="s">
        <v>3393</v>
      </c>
      <c r="C1987">
        <v>2022</v>
      </c>
      <c r="D1987" t="s">
        <v>3457</v>
      </c>
      <c r="E1987" t="s">
        <v>2604</v>
      </c>
      <c r="F1987" t="s">
        <v>2605</v>
      </c>
      <c r="G1987" t="s">
        <v>1010</v>
      </c>
      <c r="H1987" t="s">
        <v>4567</v>
      </c>
    </row>
    <row r="1988" spans="2:8" x14ac:dyDescent="0.25">
      <c r="B1988" t="s">
        <v>3393</v>
      </c>
      <c r="C1988">
        <v>2022</v>
      </c>
      <c r="D1988" t="s">
        <v>3457</v>
      </c>
      <c r="E1988" t="s">
        <v>2604</v>
      </c>
      <c r="F1988" t="s">
        <v>2605</v>
      </c>
      <c r="G1988" t="s">
        <v>1011</v>
      </c>
      <c r="H1988" t="s">
        <v>4568</v>
      </c>
    </row>
    <row r="1989" spans="2:8" x14ac:dyDescent="0.25">
      <c r="B1989" t="s">
        <v>3393</v>
      </c>
      <c r="C1989">
        <v>2022</v>
      </c>
      <c r="D1989" t="s">
        <v>3457</v>
      </c>
      <c r="E1989" t="s">
        <v>2604</v>
      </c>
      <c r="F1989" t="s">
        <v>2605</v>
      </c>
      <c r="G1989" t="s">
        <v>1017</v>
      </c>
      <c r="H1989" t="s">
        <v>4569</v>
      </c>
    </row>
    <row r="1990" spans="2:8" x14ac:dyDescent="0.25">
      <c r="B1990" t="s">
        <v>3393</v>
      </c>
      <c r="C1990">
        <v>2022</v>
      </c>
      <c r="D1990" t="s">
        <v>3457</v>
      </c>
      <c r="E1990" t="s">
        <v>2604</v>
      </c>
      <c r="F1990" t="s">
        <v>2605</v>
      </c>
      <c r="G1990" t="s">
        <v>1029</v>
      </c>
      <c r="H1990" t="s">
        <v>4570</v>
      </c>
    </row>
    <row r="1991" spans="2:8" x14ac:dyDescent="0.25">
      <c r="B1991" t="s">
        <v>3393</v>
      </c>
      <c r="C1991">
        <v>2022</v>
      </c>
      <c r="D1991" t="s">
        <v>3457</v>
      </c>
      <c r="E1991" t="s">
        <v>2604</v>
      </c>
      <c r="F1991" t="s">
        <v>2605</v>
      </c>
      <c r="G1991" t="s">
        <v>1013</v>
      </c>
      <c r="H1991" t="s">
        <v>4571</v>
      </c>
    </row>
    <row r="1992" spans="2:8" x14ac:dyDescent="0.25">
      <c r="B1992" t="s">
        <v>3393</v>
      </c>
      <c r="C1992">
        <v>2022</v>
      </c>
      <c r="D1992" t="s">
        <v>3457</v>
      </c>
      <c r="E1992" t="s">
        <v>2604</v>
      </c>
      <c r="F1992" t="s">
        <v>2605</v>
      </c>
      <c r="G1992" t="s">
        <v>1028</v>
      </c>
      <c r="H1992" t="s">
        <v>4572</v>
      </c>
    </row>
    <row r="1993" spans="2:8" x14ac:dyDescent="0.25">
      <c r="B1993" t="s">
        <v>3393</v>
      </c>
      <c r="C1993">
        <v>2022</v>
      </c>
      <c r="D1993" t="s">
        <v>3457</v>
      </c>
      <c r="E1993" t="s">
        <v>2604</v>
      </c>
      <c r="F1993" t="s">
        <v>2605</v>
      </c>
      <c r="G1993" t="s">
        <v>1020</v>
      </c>
      <c r="H1993" t="s">
        <v>4573</v>
      </c>
    </row>
    <row r="1994" spans="2:8" x14ac:dyDescent="0.25">
      <c r="B1994" t="s">
        <v>3393</v>
      </c>
      <c r="C1994">
        <v>2022</v>
      </c>
      <c r="D1994" t="s">
        <v>3457</v>
      </c>
      <c r="E1994" t="s">
        <v>2604</v>
      </c>
      <c r="F1994" t="s">
        <v>2605</v>
      </c>
      <c r="G1994" t="s">
        <v>1016</v>
      </c>
      <c r="H1994" t="s">
        <v>4574</v>
      </c>
    </row>
    <row r="1995" spans="2:8" x14ac:dyDescent="0.25">
      <c r="B1995" t="s">
        <v>3393</v>
      </c>
      <c r="C1995">
        <v>2022</v>
      </c>
      <c r="D1995" t="s">
        <v>3457</v>
      </c>
      <c r="E1995" t="s">
        <v>2604</v>
      </c>
      <c r="F1995" t="s">
        <v>2605</v>
      </c>
      <c r="G1995" t="s">
        <v>1030</v>
      </c>
      <c r="H1995" t="s">
        <v>4575</v>
      </c>
    </row>
    <row r="1996" spans="2:8" x14ac:dyDescent="0.25">
      <c r="B1996" t="s">
        <v>3393</v>
      </c>
      <c r="C1996">
        <v>2022</v>
      </c>
      <c r="D1996" t="s">
        <v>3457</v>
      </c>
      <c r="E1996" t="s">
        <v>2604</v>
      </c>
      <c r="F1996" t="s">
        <v>2605</v>
      </c>
      <c r="G1996" t="s">
        <v>1021</v>
      </c>
      <c r="H1996" t="s">
        <v>4576</v>
      </c>
    </row>
    <row r="1997" spans="2:8" x14ac:dyDescent="0.25">
      <c r="B1997" t="s">
        <v>3393</v>
      </c>
      <c r="C1997">
        <v>2022</v>
      </c>
      <c r="D1997" t="s">
        <v>3457</v>
      </c>
      <c r="E1997" t="s">
        <v>2604</v>
      </c>
      <c r="F1997" t="s">
        <v>2605</v>
      </c>
      <c r="G1997" t="s">
        <v>1009</v>
      </c>
      <c r="H1997" t="s">
        <v>4577</v>
      </c>
    </row>
    <row r="1998" spans="2:8" x14ac:dyDescent="0.25">
      <c r="B1998" t="s">
        <v>3393</v>
      </c>
      <c r="C1998">
        <v>2022</v>
      </c>
      <c r="D1998" t="s">
        <v>3457</v>
      </c>
      <c r="E1998" t="s">
        <v>2604</v>
      </c>
      <c r="F1998" t="s">
        <v>2605</v>
      </c>
      <c r="G1998" t="s">
        <v>1019</v>
      </c>
      <c r="H1998" t="s">
        <v>4578</v>
      </c>
    </row>
    <row r="1999" spans="2:8" x14ac:dyDescent="0.25">
      <c r="B1999" t="s">
        <v>3393</v>
      </c>
      <c r="C1999">
        <v>2022</v>
      </c>
      <c r="D1999" t="s">
        <v>3457</v>
      </c>
      <c r="E1999" t="s">
        <v>2604</v>
      </c>
      <c r="F1999" t="s">
        <v>2605</v>
      </c>
      <c r="G1999" t="s">
        <v>1025</v>
      </c>
      <c r="H1999" t="s">
        <v>4579</v>
      </c>
    </row>
    <row r="2000" spans="2:8" x14ac:dyDescent="0.25">
      <c r="B2000" t="s">
        <v>3393</v>
      </c>
      <c r="C2000">
        <v>2022</v>
      </c>
      <c r="D2000" t="s">
        <v>3457</v>
      </c>
      <c r="E2000" t="s">
        <v>2604</v>
      </c>
      <c r="F2000" t="s">
        <v>2605</v>
      </c>
      <c r="G2000" t="s">
        <v>1024</v>
      </c>
      <c r="H2000" t="s">
        <v>4580</v>
      </c>
    </row>
    <row r="2001" spans="2:8" x14ac:dyDescent="0.25">
      <c r="B2001" t="s">
        <v>3393</v>
      </c>
      <c r="C2001">
        <v>2022</v>
      </c>
      <c r="D2001" t="s">
        <v>3457</v>
      </c>
      <c r="E2001" t="s">
        <v>2604</v>
      </c>
      <c r="F2001" t="s">
        <v>2605</v>
      </c>
      <c r="G2001" t="s">
        <v>1026</v>
      </c>
      <c r="H2001" t="s">
        <v>1993</v>
      </c>
    </row>
    <row r="2002" spans="2:8" x14ac:dyDescent="0.25">
      <c r="B2002" t="s">
        <v>3393</v>
      </c>
      <c r="C2002">
        <v>2022</v>
      </c>
      <c r="D2002" t="s">
        <v>3457</v>
      </c>
      <c r="E2002" t="s">
        <v>2604</v>
      </c>
      <c r="F2002" t="s">
        <v>2605</v>
      </c>
      <c r="G2002" t="s">
        <v>1023</v>
      </c>
      <c r="H2002" t="s">
        <v>4581</v>
      </c>
    </row>
    <row r="2003" spans="2:8" x14ac:dyDescent="0.25">
      <c r="B2003" t="s">
        <v>3393</v>
      </c>
      <c r="C2003">
        <v>2022</v>
      </c>
      <c r="D2003" t="s">
        <v>3457</v>
      </c>
      <c r="E2003" t="s">
        <v>2604</v>
      </c>
      <c r="F2003" t="s">
        <v>2605</v>
      </c>
      <c r="G2003" t="s">
        <v>1027</v>
      </c>
      <c r="H2003" t="s">
        <v>4582</v>
      </c>
    </row>
    <row r="2004" spans="2:8" x14ac:dyDescent="0.25">
      <c r="B2004" t="s">
        <v>3393</v>
      </c>
      <c r="C2004">
        <v>2022</v>
      </c>
      <c r="D2004" t="s">
        <v>3457</v>
      </c>
      <c r="E2004" t="s">
        <v>2604</v>
      </c>
      <c r="F2004" t="s">
        <v>2605</v>
      </c>
      <c r="G2004" t="s">
        <v>1022</v>
      </c>
      <c r="H2004" t="s">
        <v>4583</v>
      </c>
    </row>
    <row r="2005" spans="2:8" x14ac:dyDescent="0.25">
      <c r="B2005" t="s">
        <v>3393</v>
      </c>
      <c r="C2005">
        <v>2022</v>
      </c>
      <c r="D2005" t="s">
        <v>3457</v>
      </c>
      <c r="E2005" t="s">
        <v>2604</v>
      </c>
      <c r="F2005" t="s">
        <v>2605</v>
      </c>
      <c r="G2005" t="s">
        <v>1018</v>
      </c>
      <c r="H2005" t="s">
        <v>4584</v>
      </c>
    </row>
    <row r="2006" spans="2:8" x14ac:dyDescent="0.25">
      <c r="B2006" t="s">
        <v>3393</v>
      </c>
      <c r="C2006">
        <v>2022</v>
      </c>
      <c r="D2006" t="s">
        <v>3457</v>
      </c>
      <c r="E2006" t="s">
        <v>2604</v>
      </c>
      <c r="F2006" t="s">
        <v>2605</v>
      </c>
      <c r="G2006" t="s">
        <v>1014</v>
      </c>
      <c r="H2006" t="s">
        <v>4585</v>
      </c>
    </row>
    <row r="2007" spans="2:8" x14ac:dyDescent="0.25">
      <c r="B2007" t="s">
        <v>3393</v>
      </c>
      <c r="C2007">
        <v>2022</v>
      </c>
      <c r="D2007" t="s">
        <v>3457</v>
      </c>
      <c r="E2007" t="s">
        <v>2604</v>
      </c>
      <c r="F2007" t="s">
        <v>2605</v>
      </c>
      <c r="G2007" t="s">
        <v>792</v>
      </c>
      <c r="H2007" t="s">
        <v>4586</v>
      </c>
    </row>
    <row r="2008" spans="2:8" x14ac:dyDescent="0.25">
      <c r="B2008" t="s">
        <v>3393</v>
      </c>
      <c r="C2008">
        <v>2022</v>
      </c>
      <c r="D2008" t="s">
        <v>3457</v>
      </c>
      <c r="E2008" t="s">
        <v>2604</v>
      </c>
      <c r="F2008" t="s">
        <v>2605</v>
      </c>
      <c r="G2008" t="s">
        <v>1012</v>
      </c>
      <c r="H2008" t="s">
        <v>4300</v>
      </c>
    </row>
    <row r="2009" spans="2:8" x14ac:dyDescent="0.25">
      <c r="B2009" t="s">
        <v>3393</v>
      </c>
      <c r="C2009">
        <v>2022</v>
      </c>
      <c r="D2009" t="s">
        <v>3457</v>
      </c>
      <c r="E2009" t="s">
        <v>2604</v>
      </c>
      <c r="F2009" t="s">
        <v>2605</v>
      </c>
      <c r="G2009" t="s">
        <v>1015</v>
      </c>
      <c r="H2009" t="s">
        <v>4587</v>
      </c>
    </row>
    <row r="2010" spans="2:8" x14ac:dyDescent="0.25">
      <c r="B2010" t="s">
        <v>3393</v>
      </c>
      <c r="C2010">
        <v>2022</v>
      </c>
      <c r="D2010" t="s">
        <v>3457</v>
      </c>
      <c r="E2010" t="s">
        <v>2604</v>
      </c>
      <c r="F2010" t="s">
        <v>2605</v>
      </c>
      <c r="G2010" t="s">
        <v>1031</v>
      </c>
      <c r="H2010" t="s">
        <v>4588</v>
      </c>
    </row>
    <row r="2011" spans="2:8" x14ac:dyDescent="0.25">
      <c r="B2011" t="s">
        <v>3393</v>
      </c>
      <c r="C2011">
        <v>2022</v>
      </c>
      <c r="D2011" t="s">
        <v>3457</v>
      </c>
      <c r="E2011" t="s">
        <v>2604</v>
      </c>
      <c r="F2011" t="s">
        <v>2605</v>
      </c>
      <c r="G2011" t="s">
        <v>798</v>
      </c>
      <c r="H2011" t="s">
        <v>3646</v>
      </c>
    </row>
    <row r="2012" spans="2:8" x14ac:dyDescent="0.25">
      <c r="B2012" t="s">
        <v>3393</v>
      </c>
      <c r="C2012">
        <v>2022</v>
      </c>
      <c r="D2012" t="s">
        <v>3457</v>
      </c>
      <c r="E2012" t="s">
        <v>2606</v>
      </c>
      <c r="F2012" t="s">
        <v>2607</v>
      </c>
      <c r="G2012" t="s">
        <v>2608</v>
      </c>
      <c r="H2012" t="s">
        <v>4589</v>
      </c>
    </row>
    <row r="2013" spans="2:8" x14ac:dyDescent="0.25">
      <c r="B2013" t="s">
        <v>3393</v>
      </c>
      <c r="C2013">
        <v>2022</v>
      </c>
      <c r="D2013" t="s">
        <v>3457</v>
      </c>
      <c r="E2013" t="s">
        <v>2609</v>
      </c>
      <c r="F2013" t="s">
        <v>2610</v>
      </c>
      <c r="G2013" t="s">
        <v>2611</v>
      </c>
      <c r="H2013" t="s">
        <v>4590</v>
      </c>
    </row>
    <row r="2014" spans="2:8" x14ac:dyDescent="0.25">
      <c r="B2014" t="s">
        <v>3393</v>
      </c>
      <c r="C2014">
        <v>2022</v>
      </c>
      <c r="D2014" t="s">
        <v>3457</v>
      </c>
      <c r="E2014" t="s">
        <v>2609</v>
      </c>
      <c r="F2014" t="s">
        <v>2610</v>
      </c>
      <c r="G2014" t="s">
        <v>2612</v>
      </c>
      <c r="H2014" t="s">
        <v>1993</v>
      </c>
    </row>
    <row r="2015" spans="2:8" x14ac:dyDescent="0.25">
      <c r="B2015" t="s">
        <v>3393</v>
      </c>
      <c r="C2015">
        <v>2022</v>
      </c>
      <c r="D2015" t="s">
        <v>3457</v>
      </c>
      <c r="E2015" t="s">
        <v>2609</v>
      </c>
      <c r="F2015" t="s">
        <v>2610</v>
      </c>
      <c r="G2015" t="s">
        <v>2613</v>
      </c>
      <c r="H2015" t="s">
        <v>4591</v>
      </c>
    </row>
    <row r="2016" spans="2:8" x14ac:dyDescent="0.25">
      <c r="B2016" t="s">
        <v>3393</v>
      </c>
      <c r="C2016">
        <v>2022</v>
      </c>
      <c r="D2016" t="s">
        <v>3457</v>
      </c>
      <c r="E2016" t="s">
        <v>2609</v>
      </c>
      <c r="F2016" t="s">
        <v>2610</v>
      </c>
      <c r="G2016" t="s">
        <v>2614</v>
      </c>
      <c r="H2016" t="s">
        <v>4589</v>
      </c>
    </row>
    <row r="2017" spans="2:8" x14ac:dyDescent="0.25">
      <c r="B2017" t="s">
        <v>3393</v>
      </c>
      <c r="C2017">
        <v>2022</v>
      </c>
      <c r="D2017" t="s">
        <v>3457</v>
      </c>
      <c r="E2017" t="s">
        <v>2615</v>
      </c>
      <c r="F2017" t="s">
        <v>2616</v>
      </c>
      <c r="G2017" t="s">
        <v>2617</v>
      </c>
      <c r="H2017" t="s">
        <v>2518</v>
      </c>
    </row>
    <row r="2018" spans="2:8" x14ac:dyDescent="0.25">
      <c r="B2018" t="s">
        <v>3393</v>
      </c>
      <c r="C2018">
        <v>2022</v>
      </c>
      <c r="D2018" t="s">
        <v>3457</v>
      </c>
      <c r="E2018" t="s">
        <v>2615</v>
      </c>
      <c r="F2018" t="s">
        <v>2616</v>
      </c>
      <c r="G2018" t="s">
        <v>2618</v>
      </c>
      <c r="H2018" t="s">
        <v>3338</v>
      </c>
    </row>
    <row r="2019" spans="2:8" x14ac:dyDescent="0.25">
      <c r="B2019" t="s">
        <v>3393</v>
      </c>
      <c r="C2019">
        <v>2022</v>
      </c>
      <c r="D2019" t="s">
        <v>3457</v>
      </c>
      <c r="E2019" t="s">
        <v>2615</v>
      </c>
      <c r="F2019" t="s">
        <v>2616</v>
      </c>
      <c r="G2019" t="s">
        <v>2619</v>
      </c>
      <c r="H2019" t="s">
        <v>4592</v>
      </c>
    </row>
    <row r="2020" spans="2:8" x14ac:dyDescent="0.25">
      <c r="B2020" t="s">
        <v>3393</v>
      </c>
      <c r="C2020">
        <v>2022</v>
      </c>
      <c r="D2020" t="s">
        <v>3457</v>
      </c>
      <c r="E2020" t="s">
        <v>2615</v>
      </c>
      <c r="F2020" t="s">
        <v>2616</v>
      </c>
      <c r="G2020" t="s">
        <v>2620</v>
      </c>
      <c r="H2020" t="s">
        <v>4593</v>
      </c>
    </row>
    <row r="2021" spans="2:8" x14ac:dyDescent="0.25">
      <c r="B2021" t="s">
        <v>3393</v>
      </c>
      <c r="C2021">
        <v>2022</v>
      </c>
      <c r="D2021" t="s">
        <v>3457</v>
      </c>
      <c r="E2021" t="s">
        <v>2615</v>
      </c>
      <c r="F2021" t="s">
        <v>2616</v>
      </c>
      <c r="G2021" t="s">
        <v>2621</v>
      </c>
      <c r="H2021" t="s">
        <v>2518</v>
      </c>
    </row>
    <row r="2022" spans="2:8" x14ac:dyDescent="0.25">
      <c r="B2022" t="s">
        <v>3393</v>
      </c>
      <c r="C2022">
        <v>2022</v>
      </c>
      <c r="D2022" t="s">
        <v>3457</v>
      </c>
      <c r="E2022" t="s">
        <v>2615</v>
      </c>
      <c r="F2022" t="s">
        <v>2616</v>
      </c>
      <c r="G2022" t="s">
        <v>2622</v>
      </c>
      <c r="H2022" t="s">
        <v>2119</v>
      </c>
    </row>
    <row r="2023" spans="2:8" x14ac:dyDescent="0.25">
      <c r="B2023" t="s">
        <v>3393</v>
      </c>
      <c r="C2023">
        <v>2022</v>
      </c>
      <c r="D2023" t="s">
        <v>3457</v>
      </c>
      <c r="E2023" t="s">
        <v>2615</v>
      </c>
      <c r="F2023" t="s">
        <v>2616</v>
      </c>
      <c r="G2023" t="s">
        <v>2624</v>
      </c>
      <c r="H2023" t="s">
        <v>4594</v>
      </c>
    </row>
    <row r="2024" spans="2:8" x14ac:dyDescent="0.25">
      <c r="B2024" t="s">
        <v>3393</v>
      </c>
      <c r="C2024">
        <v>2022</v>
      </c>
      <c r="D2024" t="s">
        <v>3457</v>
      </c>
      <c r="E2024" t="s">
        <v>2615</v>
      </c>
      <c r="F2024" t="s">
        <v>2616</v>
      </c>
      <c r="G2024" t="s">
        <v>2625</v>
      </c>
      <c r="H2024" t="s">
        <v>4593</v>
      </c>
    </row>
    <row r="2025" spans="2:8" x14ac:dyDescent="0.25">
      <c r="B2025" t="s">
        <v>3393</v>
      </c>
      <c r="C2025">
        <v>2022</v>
      </c>
      <c r="D2025" t="s">
        <v>3457</v>
      </c>
      <c r="E2025" t="s">
        <v>2615</v>
      </c>
      <c r="F2025" t="s">
        <v>2616</v>
      </c>
      <c r="G2025" t="s">
        <v>2626</v>
      </c>
      <c r="H2025" t="s">
        <v>2518</v>
      </c>
    </row>
    <row r="2026" spans="2:8" x14ac:dyDescent="0.25">
      <c r="B2026" t="s">
        <v>3393</v>
      </c>
      <c r="C2026">
        <v>2022</v>
      </c>
      <c r="D2026" t="s">
        <v>3457</v>
      </c>
      <c r="E2026" t="s">
        <v>2615</v>
      </c>
      <c r="F2026" t="s">
        <v>2616</v>
      </c>
      <c r="G2026" t="s">
        <v>2627</v>
      </c>
      <c r="H2026" t="s">
        <v>1993</v>
      </c>
    </row>
    <row r="2027" spans="2:8" x14ac:dyDescent="0.25">
      <c r="B2027" t="s">
        <v>3393</v>
      </c>
      <c r="C2027">
        <v>2022</v>
      </c>
      <c r="D2027" t="s">
        <v>3457</v>
      </c>
      <c r="E2027" t="s">
        <v>2615</v>
      </c>
      <c r="F2027" t="s">
        <v>2616</v>
      </c>
      <c r="G2027" t="s">
        <v>2628</v>
      </c>
      <c r="H2027" t="s">
        <v>1993</v>
      </c>
    </row>
    <row r="2028" spans="2:8" x14ac:dyDescent="0.25">
      <c r="B2028" t="s">
        <v>3393</v>
      </c>
      <c r="C2028">
        <v>2022</v>
      </c>
      <c r="D2028" t="s">
        <v>3457</v>
      </c>
      <c r="E2028" t="s">
        <v>2615</v>
      </c>
      <c r="F2028" t="s">
        <v>2616</v>
      </c>
      <c r="G2028" t="s">
        <v>2629</v>
      </c>
      <c r="H2028" t="s">
        <v>4593</v>
      </c>
    </row>
    <row r="2029" spans="2:8" x14ac:dyDescent="0.25">
      <c r="B2029" t="s">
        <v>3393</v>
      </c>
      <c r="C2029">
        <v>2022</v>
      </c>
      <c r="D2029" t="s">
        <v>3457</v>
      </c>
      <c r="E2029" t="s">
        <v>2615</v>
      </c>
      <c r="F2029" t="s">
        <v>2616</v>
      </c>
      <c r="G2029" t="s">
        <v>2630</v>
      </c>
      <c r="H2029" t="s">
        <v>2518</v>
      </c>
    </row>
    <row r="2030" spans="2:8" x14ac:dyDescent="0.25">
      <c r="B2030" t="s">
        <v>3393</v>
      </c>
      <c r="C2030">
        <v>2022</v>
      </c>
      <c r="D2030" t="s">
        <v>3457</v>
      </c>
      <c r="E2030" t="s">
        <v>2615</v>
      </c>
      <c r="F2030" t="s">
        <v>2616</v>
      </c>
      <c r="G2030" t="s">
        <v>2631</v>
      </c>
      <c r="H2030" t="s">
        <v>4558</v>
      </c>
    </row>
    <row r="2031" spans="2:8" x14ac:dyDescent="0.25">
      <c r="B2031" t="s">
        <v>3393</v>
      </c>
      <c r="C2031">
        <v>2022</v>
      </c>
      <c r="D2031" t="s">
        <v>3457</v>
      </c>
      <c r="E2031" t="s">
        <v>2615</v>
      </c>
      <c r="F2031" t="s">
        <v>2616</v>
      </c>
      <c r="G2031" t="s">
        <v>2632</v>
      </c>
      <c r="H2031" t="s">
        <v>1993</v>
      </c>
    </row>
    <row r="2032" spans="2:8" x14ac:dyDescent="0.25">
      <c r="B2032" t="s">
        <v>3393</v>
      </c>
      <c r="C2032">
        <v>2022</v>
      </c>
      <c r="D2032" t="s">
        <v>3457</v>
      </c>
      <c r="E2032" t="s">
        <v>2615</v>
      </c>
      <c r="F2032" t="s">
        <v>2616</v>
      </c>
      <c r="G2032" t="s">
        <v>2633</v>
      </c>
      <c r="H2032" t="s">
        <v>4593</v>
      </c>
    </row>
    <row r="2033" spans="2:8" x14ac:dyDescent="0.25">
      <c r="B2033" t="s">
        <v>3393</v>
      </c>
      <c r="C2033">
        <v>2022</v>
      </c>
      <c r="D2033" t="s">
        <v>3457</v>
      </c>
      <c r="E2033" t="s">
        <v>2615</v>
      </c>
      <c r="F2033" t="s">
        <v>2616</v>
      </c>
      <c r="G2033" t="s">
        <v>2634</v>
      </c>
      <c r="H2033" t="s">
        <v>2518</v>
      </c>
    </row>
    <row r="2034" spans="2:8" x14ac:dyDescent="0.25">
      <c r="B2034" t="s">
        <v>3393</v>
      </c>
      <c r="C2034">
        <v>2022</v>
      </c>
      <c r="D2034" t="s">
        <v>3457</v>
      </c>
      <c r="E2034" t="s">
        <v>2615</v>
      </c>
      <c r="F2034" t="s">
        <v>2616</v>
      </c>
      <c r="G2034" t="s">
        <v>2635</v>
      </c>
      <c r="H2034" t="s">
        <v>1993</v>
      </c>
    </row>
    <row r="2035" spans="2:8" x14ac:dyDescent="0.25">
      <c r="B2035" t="s">
        <v>3393</v>
      </c>
      <c r="C2035">
        <v>2022</v>
      </c>
      <c r="D2035" t="s">
        <v>3457</v>
      </c>
      <c r="E2035" t="s">
        <v>2615</v>
      </c>
      <c r="F2035" t="s">
        <v>2616</v>
      </c>
      <c r="G2035" t="s">
        <v>2636</v>
      </c>
      <c r="H2035" t="s">
        <v>4559</v>
      </c>
    </row>
    <row r="2036" spans="2:8" x14ac:dyDescent="0.25">
      <c r="B2036" t="s">
        <v>3393</v>
      </c>
      <c r="C2036">
        <v>2022</v>
      </c>
      <c r="D2036" t="s">
        <v>3457</v>
      </c>
      <c r="E2036" t="s">
        <v>2615</v>
      </c>
      <c r="F2036" t="s">
        <v>2616</v>
      </c>
      <c r="G2036" t="s">
        <v>2637</v>
      </c>
      <c r="H2036" t="s">
        <v>4593</v>
      </c>
    </row>
    <row r="2037" spans="2:8" x14ac:dyDescent="0.25">
      <c r="B2037" t="s">
        <v>3393</v>
      </c>
      <c r="C2037">
        <v>2022</v>
      </c>
      <c r="D2037" t="s">
        <v>3457</v>
      </c>
      <c r="E2037" t="s">
        <v>2615</v>
      </c>
      <c r="F2037" t="s">
        <v>2616</v>
      </c>
      <c r="G2037" t="s">
        <v>2638</v>
      </c>
      <c r="H2037" t="s">
        <v>2518</v>
      </c>
    </row>
    <row r="2038" spans="2:8" x14ac:dyDescent="0.25">
      <c r="B2038" t="s">
        <v>3393</v>
      </c>
      <c r="C2038">
        <v>2022</v>
      </c>
      <c r="D2038" t="s">
        <v>3457</v>
      </c>
      <c r="E2038" t="s">
        <v>2615</v>
      </c>
      <c r="F2038" t="s">
        <v>2616</v>
      </c>
      <c r="G2038" t="s">
        <v>2639</v>
      </c>
      <c r="H2038" t="s">
        <v>4560</v>
      </c>
    </row>
    <row r="2039" spans="2:8" x14ac:dyDescent="0.25">
      <c r="B2039" t="s">
        <v>3393</v>
      </c>
      <c r="C2039">
        <v>2022</v>
      </c>
      <c r="D2039" t="s">
        <v>3457</v>
      </c>
      <c r="E2039" t="s">
        <v>2615</v>
      </c>
      <c r="F2039" t="s">
        <v>2616</v>
      </c>
      <c r="G2039" t="s">
        <v>2640</v>
      </c>
      <c r="H2039" t="s">
        <v>1993</v>
      </c>
    </row>
    <row r="2040" spans="2:8" x14ac:dyDescent="0.25">
      <c r="B2040" t="s">
        <v>3393</v>
      </c>
      <c r="C2040">
        <v>2022</v>
      </c>
      <c r="D2040" t="s">
        <v>3457</v>
      </c>
      <c r="E2040" t="s">
        <v>2615</v>
      </c>
      <c r="F2040" t="s">
        <v>2616</v>
      </c>
      <c r="G2040" t="s">
        <v>2641</v>
      </c>
      <c r="H2040" t="s">
        <v>4593</v>
      </c>
    </row>
    <row r="2041" spans="2:8" x14ac:dyDescent="0.25">
      <c r="B2041" t="s">
        <v>3393</v>
      </c>
      <c r="C2041">
        <v>2022</v>
      </c>
      <c r="D2041" t="s">
        <v>3457</v>
      </c>
      <c r="E2041" t="s">
        <v>2615</v>
      </c>
      <c r="F2041" t="s">
        <v>2616</v>
      </c>
      <c r="G2041" t="s">
        <v>2642</v>
      </c>
      <c r="H2041" t="s">
        <v>2643</v>
      </c>
    </row>
    <row r="2042" spans="2:8" x14ac:dyDescent="0.25">
      <c r="B2042" t="s">
        <v>3393</v>
      </c>
      <c r="C2042">
        <v>2022</v>
      </c>
      <c r="D2042" t="s">
        <v>3457</v>
      </c>
      <c r="E2042" t="s">
        <v>2615</v>
      </c>
      <c r="F2042" t="s">
        <v>2616</v>
      </c>
      <c r="G2042" t="s">
        <v>2644</v>
      </c>
      <c r="H2042" t="s">
        <v>4595</v>
      </c>
    </row>
    <row r="2043" spans="2:8" x14ac:dyDescent="0.25">
      <c r="B2043" t="s">
        <v>3393</v>
      </c>
      <c r="C2043">
        <v>2022</v>
      </c>
      <c r="D2043" t="s">
        <v>3457</v>
      </c>
      <c r="E2043" t="s">
        <v>2615</v>
      </c>
      <c r="F2043" t="s">
        <v>2616</v>
      </c>
      <c r="G2043" t="s">
        <v>2645</v>
      </c>
      <c r="H2043" t="s">
        <v>1995</v>
      </c>
    </row>
    <row r="2044" spans="2:8" x14ac:dyDescent="0.25">
      <c r="B2044" t="s">
        <v>3393</v>
      </c>
      <c r="C2044">
        <v>2022</v>
      </c>
      <c r="D2044" t="s">
        <v>3457</v>
      </c>
      <c r="E2044" t="s">
        <v>2615</v>
      </c>
      <c r="F2044" t="s">
        <v>2616</v>
      </c>
      <c r="G2044" t="s">
        <v>2646</v>
      </c>
      <c r="H2044" t="s">
        <v>4596</v>
      </c>
    </row>
    <row r="2045" spans="2:8" x14ac:dyDescent="0.25">
      <c r="B2045" t="s">
        <v>3393</v>
      </c>
      <c r="C2045">
        <v>2022</v>
      </c>
      <c r="D2045" t="s">
        <v>3457</v>
      </c>
      <c r="E2045" t="s">
        <v>2615</v>
      </c>
      <c r="F2045" t="s">
        <v>2616</v>
      </c>
      <c r="G2045" t="s">
        <v>2647</v>
      </c>
      <c r="H2045" t="s">
        <v>2518</v>
      </c>
    </row>
    <row r="2046" spans="2:8" x14ac:dyDescent="0.25">
      <c r="B2046" t="s">
        <v>3393</v>
      </c>
      <c r="C2046">
        <v>2022</v>
      </c>
      <c r="D2046" t="s">
        <v>3457</v>
      </c>
      <c r="E2046" t="s">
        <v>2615</v>
      </c>
      <c r="F2046" t="s">
        <v>2616</v>
      </c>
      <c r="G2046" t="s">
        <v>2648</v>
      </c>
      <c r="H2046" t="s">
        <v>4597</v>
      </c>
    </row>
    <row r="2047" spans="2:8" x14ac:dyDescent="0.25">
      <c r="B2047" t="s">
        <v>3393</v>
      </c>
      <c r="C2047">
        <v>2022</v>
      </c>
      <c r="D2047" t="s">
        <v>3457</v>
      </c>
      <c r="E2047" t="s">
        <v>2615</v>
      </c>
      <c r="F2047" t="s">
        <v>2616</v>
      </c>
      <c r="G2047" t="s">
        <v>2649</v>
      </c>
      <c r="H2047" t="s">
        <v>3278</v>
      </c>
    </row>
    <row r="2048" spans="2:8" x14ac:dyDescent="0.25">
      <c r="B2048" t="s">
        <v>3393</v>
      </c>
      <c r="C2048">
        <v>2022</v>
      </c>
      <c r="D2048" t="s">
        <v>3457</v>
      </c>
      <c r="E2048" t="s">
        <v>2615</v>
      </c>
      <c r="F2048" t="s">
        <v>2616</v>
      </c>
      <c r="G2048" t="s">
        <v>2650</v>
      </c>
      <c r="H2048" t="s">
        <v>4593</v>
      </c>
    </row>
    <row r="2049" spans="2:8" x14ac:dyDescent="0.25">
      <c r="B2049" t="s">
        <v>3393</v>
      </c>
      <c r="C2049">
        <v>2022</v>
      </c>
      <c r="D2049" t="s">
        <v>3457</v>
      </c>
      <c r="E2049" t="s">
        <v>2615</v>
      </c>
      <c r="F2049" t="s">
        <v>2616</v>
      </c>
      <c r="G2049" t="s">
        <v>2651</v>
      </c>
      <c r="H2049" t="s">
        <v>2518</v>
      </c>
    </row>
    <row r="2050" spans="2:8" x14ac:dyDescent="0.25">
      <c r="B2050" t="s">
        <v>3393</v>
      </c>
      <c r="C2050">
        <v>2022</v>
      </c>
      <c r="D2050" t="s">
        <v>3457</v>
      </c>
      <c r="E2050" t="s">
        <v>2615</v>
      </c>
      <c r="F2050" t="s">
        <v>2616</v>
      </c>
      <c r="G2050" t="s">
        <v>2652</v>
      </c>
      <c r="H2050" t="s">
        <v>4557</v>
      </c>
    </row>
    <row r="2051" spans="2:8" x14ac:dyDescent="0.25">
      <c r="B2051" t="s">
        <v>3393</v>
      </c>
      <c r="C2051">
        <v>2022</v>
      </c>
      <c r="D2051" t="s">
        <v>3457</v>
      </c>
      <c r="E2051" t="s">
        <v>2615</v>
      </c>
      <c r="F2051" t="s">
        <v>2616</v>
      </c>
      <c r="G2051" t="s">
        <v>2653</v>
      </c>
      <c r="H2051" t="s">
        <v>1993</v>
      </c>
    </row>
    <row r="2052" spans="2:8" x14ac:dyDescent="0.25">
      <c r="B2052" t="s">
        <v>3393</v>
      </c>
      <c r="C2052">
        <v>2022</v>
      </c>
      <c r="D2052" t="s">
        <v>3457</v>
      </c>
      <c r="E2052" t="s">
        <v>2615</v>
      </c>
      <c r="F2052" t="s">
        <v>2616</v>
      </c>
      <c r="G2052" t="s">
        <v>2654</v>
      </c>
      <c r="H2052" t="s">
        <v>4593</v>
      </c>
    </row>
    <row r="2053" spans="2:8" x14ac:dyDescent="0.25">
      <c r="B2053" t="s">
        <v>3393</v>
      </c>
      <c r="C2053">
        <v>2022</v>
      </c>
      <c r="D2053" t="s">
        <v>3457</v>
      </c>
      <c r="E2053" t="s">
        <v>2615</v>
      </c>
      <c r="F2053" t="s">
        <v>2616</v>
      </c>
      <c r="G2053" t="s">
        <v>2655</v>
      </c>
      <c r="H2053" t="s">
        <v>2643</v>
      </c>
    </row>
    <row r="2054" spans="2:8" x14ac:dyDescent="0.25">
      <c r="B2054" t="s">
        <v>3393</v>
      </c>
      <c r="C2054">
        <v>2022</v>
      </c>
      <c r="D2054" t="s">
        <v>3457</v>
      </c>
      <c r="E2054" t="s">
        <v>2615</v>
      </c>
      <c r="F2054" t="s">
        <v>2616</v>
      </c>
      <c r="G2054" t="s">
        <v>2656</v>
      </c>
      <c r="H2054" t="s">
        <v>4598</v>
      </c>
    </row>
    <row r="2055" spans="2:8" x14ac:dyDescent="0.25">
      <c r="B2055" t="s">
        <v>3393</v>
      </c>
      <c r="C2055">
        <v>2022</v>
      </c>
      <c r="D2055" t="s">
        <v>3457</v>
      </c>
      <c r="E2055" t="s">
        <v>2615</v>
      </c>
      <c r="F2055" t="s">
        <v>2616</v>
      </c>
      <c r="G2055" t="s">
        <v>2657</v>
      </c>
      <c r="H2055" t="s">
        <v>2169</v>
      </c>
    </row>
    <row r="2056" spans="2:8" x14ac:dyDescent="0.25">
      <c r="B2056" t="s">
        <v>3393</v>
      </c>
      <c r="C2056">
        <v>2022</v>
      </c>
      <c r="D2056" t="s">
        <v>3457</v>
      </c>
      <c r="E2056" t="s">
        <v>2615</v>
      </c>
      <c r="F2056" t="s">
        <v>2616</v>
      </c>
      <c r="G2056" t="s">
        <v>2658</v>
      </c>
      <c r="H2056" t="s">
        <v>4599</v>
      </c>
    </row>
    <row r="2057" spans="2:8" x14ac:dyDescent="0.25">
      <c r="B2057" t="s">
        <v>3393</v>
      </c>
      <c r="C2057">
        <v>2022</v>
      </c>
      <c r="D2057" t="s">
        <v>3457</v>
      </c>
      <c r="E2057" t="s">
        <v>2615</v>
      </c>
      <c r="F2057" t="s">
        <v>2616</v>
      </c>
      <c r="G2057" t="s">
        <v>2659</v>
      </c>
      <c r="H2057" t="s">
        <v>2518</v>
      </c>
    </row>
    <row r="2058" spans="2:8" x14ac:dyDescent="0.25">
      <c r="B2058" t="s">
        <v>3393</v>
      </c>
      <c r="C2058">
        <v>2022</v>
      </c>
      <c r="D2058" t="s">
        <v>3457</v>
      </c>
      <c r="E2058" t="s">
        <v>2615</v>
      </c>
      <c r="F2058" t="s">
        <v>2616</v>
      </c>
      <c r="G2058" t="s">
        <v>2660</v>
      </c>
      <c r="H2058" t="s">
        <v>3935</v>
      </c>
    </row>
    <row r="2059" spans="2:8" x14ac:dyDescent="0.25">
      <c r="B2059" t="s">
        <v>3393</v>
      </c>
      <c r="C2059">
        <v>2022</v>
      </c>
      <c r="D2059" t="s">
        <v>3457</v>
      </c>
      <c r="E2059" t="s">
        <v>2615</v>
      </c>
      <c r="F2059" t="s">
        <v>2616</v>
      </c>
      <c r="G2059" t="s">
        <v>2662</v>
      </c>
      <c r="H2059" t="s">
        <v>4559</v>
      </c>
    </row>
    <row r="2060" spans="2:8" x14ac:dyDescent="0.25">
      <c r="B2060" t="s">
        <v>3393</v>
      </c>
      <c r="C2060">
        <v>2022</v>
      </c>
      <c r="D2060" t="s">
        <v>3457</v>
      </c>
      <c r="E2060" t="s">
        <v>2615</v>
      </c>
      <c r="F2060" t="s">
        <v>2616</v>
      </c>
      <c r="G2060" t="s">
        <v>2663</v>
      </c>
      <c r="H2060" t="s">
        <v>4593</v>
      </c>
    </row>
    <row r="2061" spans="2:8" x14ac:dyDescent="0.25">
      <c r="B2061" t="s">
        <v>3393</v>
      </c>
      <c r="C2061">
        <v>2022</v>
      </c>
      <c r="D2061" t="s">
        <v>3457</v>
      </c>
      <c r="E2061" t="s">
        <v>2603</v>
      </c>
      <c r="F2061" t="s">
        <v>2664</v>
      </c>
      <c r="G2061" t="s">
        <v>2665</v>
      </c>
      <c r="H2061" t="s">
        <v>2021</v>
      </c>
    </row>
    <row r="2062" spans="2:8" x14ac:dyDescent="0.25">
      <c r="B2062" t="s">
        <v>3393</v>
      </c>
      <c r="C2062">
        <v>2022</v>
      </c>
      <c r="D2062" t="s">
        <v>3457</v>
      </c>
      <c r="E2062" t="s">
        <v>2603</v>
      </c>
      <c r="F2062" t="s">
        <v>2664</v>
      </c>
      <c r="G2062" t="s">
        <v>2666</v>
      </c>
      <c r="H2062" t="s">
        <v>4600</v>
      </c>
    </row>
    <row r="2063" spans="2:8" x14ac:dyDescent="0.25">
      <c r="B2063" t="s">
        <v>3393</v>
      </c>
      <c r="C2063">
        <v>2022</v>
      </c>
      <c r="D2063" t="s">
        <v>3457</v>
      </c>
      <c r="E2063" t="s">
        <v>2603</v>
      </c>
      <c r="F2063" t="s">
        <v>2664</v>
      </c>
      <c r="G2063" t="s">
        <v>2667</v>
      </c>
      <c r="H2063" t="s">
        <v>2011</v>
      </c>
    </row>
    <row r="2064" spans="2:8" x14ac:dyDescent="0.25">
      <c r="B2064" t="s">
        <v>3393</v>
      </c>
      <c r="C2064">
        <v>2022</v>
      </c>
      <c r="D2064" t="s">
        <v>3457</v>
      </c>
      <c r="E2064" t="s">
        <v>2603</v>
      </c>
      <c r="F2064" t="s">
        <v>2664</v>
      </c>
      <c r="G2064" t="s">
        <v>2668</v>
      </c>
      <c r="H2064" t="s">
        <v>4601</v>
      </c>
    </row>
    <row r="2065" spans="2:8" x14ac:dyDescent="0.25">
      <c r="B2065" t="s">
        <v>3393</v>
      </c>
      <c r="C2065">
        <v>2022</v>
      </c>
      <c r="D2065" t="s">
        <v>3457</v>
      </c>
      <c r="E2065" t="s">
        <v>2603</v>
      </c>
      <c r="F2065" t="s">
        <v>2664</v>
      </c>
      <c r="G2065" t="s">
        <v>2669</v>
      </c>
      <c r="H2065" t="s">
        <v>4602</v>
      </c>
    </row>
    <row r="2066" spans="2:8" x14ac:dyDescent="0.25">
      <c r="B2066" t="s">
        <v>3393</v>
      </c>
      <c r="C2066">
        <v>2022</v>
      </c>
      <c r="D2066" t="s">
        <v>3457</v>
      </c>
      <c r="E2066" t="s">
        <v>2603</v>
      </c>
      <c r="F2066" t="s">
        <v>2664</v>
      </c>
      <c r="G2066" t="s">
        <v>2670</v>
      </c>
      <c r="H2066" t="s">
        <v>4603</v>
      </c>
    </row>
    <row r="2067" spans="2:8" x14ac:dyDescent="0.25">
      <c r="B2067" t="s">
        <v>3393</v>
      </c>
      <c r="C2067">
        <v>2022</v>
      </c>
      <c r="D2067" t="s">
        <v>3457</v>
      </c>
      <c r="E2067" t="s">
        <v>2603</v>
      </c>
      <c r="F2067" t="s">
        <v>2664</v>
      </c>
      <c r="G2067" t="s">
        <v>2671</v>
      </c>
      <c r="H2067" t="s">
        <v>4604</v>
      </c>
    </row>
    <row r="2068" spans="2:8" x14ac:dyDescent="0.25">
      <c r="B2068" t="s">
        <v>3393</v>
      </c>
      <c r="C2068">
        <v>2022</v>
      </c>
      <c r="D2068" t="s">
        <v>3457</v>
      </c>
      <c r="E2068" t="s">
        <v>2603</v>
      </c>
      <c r="F2068" t="s">
        <v>2664</v>
      </c>
      <c r="G2068" t="s">
        <v>2672</v>
      </c>
      <c r="H2068" t="s">
        <v>3968</v>
      </c>
    </row>
    <row r="2069" spans="2:8" x14ac:dyDescent="0.25">
      <c r="B2069" t="s">
        <v>3393</v>
      </c>
      <c r="C2069">
        <v>2022</v>
      </c>
      <c r="D2069" t="s">
        <v>3457</v>
      </c>
      <c r="E2069" t="s">
        <v>2603</v>
      </c>
      <c r="F2069" t="s">
        <v>2664</v>
      </c>
      <c r="G2069" t="s">
        <v>2673</v>
      </c>
      <c r="H2069" t="s">
        <v>4605</v>
      </c>
    </row>
    <row r="2070" spans="2:8" x14ac:dyDescent="0.25">
      <c r="B2070" t="s">
        <v>3393</v>
      </c>
      <c r="C2070">
        <v>2022</v>
      </c>
      <c r="D2070" t="s">
        <v>3457</v>
      </c>
      <c r="E2070" t="s">
        <v>2603</v>
      </c>
      <c r="F2070" t="s">
        <v>2664</v>
      </c>
      <c r="G2070" t="s">
        <v>2674</v>
      </c>
      <c r="H2070" t="s">
        <v>4606</v>
      </c>
    </row>
    <row r="2071" spans="2:8" x14ac:dyDescent="0.25">
      <c r="B2071" t="s">
        <v>3393</v>
      </c>
      <c r="C2071">
        <v>2022</v>
      </c>
      <c r="D2071" t="s">
        <v>3457</v>
      </c>
      <c r="E2071" t="s">
        <v>2675</v>
      </c>
      <c r="F2071" t="s">
        <v>2676</v>
      </c>
      <c r="G2071" t="s">
        <v>2677</v>
      </c>
      <c r="H2071" t="s">
        <v>2678</v>
      </c>
    </row>
    <row r="2072" spans="2:8" x14ac:dyDescent="0.25">
      <c r="B2072" t="s">
        <v>3393</v>
      </c>
      <c r="C2072">
        <v>2022</v>
      </c>
      <c r="D2072" t="s">
        <v>3457</v>
      </c>
      <c r="E2072" t="s">
        <v>2675</v>
      </c>
      <c r="F2072" t="s">
        <v>2676</v>
      </c>
      <c r="G2072" t="s">
        <v>2679</v>
      </c>
      <c r="H2072" t="s">
        <v>1993</v>
      </c>
    </row>
    <row r="2073" spans="2:8" x14ac:dyDescent="0.25">
      <c r="B2073" t="s">
        <v>3393</v>
      </c>
      <c r="C2073">
        <v>2022</v>
      </c>
      <c r="D2073" t="s">
        <v>3457</v>
      </c>
      <c r="E2073" t="s">
        <v>2675</v>
      </c>
      <c r="F2073" t="s">
        <v>2676</v>
      </c>
      <c r="G2073" t="s">
        <v>2680</v>
      </c>
      <c r="H2073" t="s">
        <v>4567</v>
      </c>
    </row>
    <row r="2074" spans="2:8" x14ac:dyDescent="0.25">
      <c r="B2074" t="s">
        <v>3393</v>
      </c>
      <c r="C2074">
        <v>2022</v>
      </c>
      <c r="D2074" t="s">
        <v>3457</v>
      </c>
      <c r="E2074" t="s">
        <v>2675</v>
      </c>
      <c r="F2074" t="s">
        <v>2676</v>
      </c>
      <c r="G2074" t="s">
        <v>2681</v>
      </c>
      <c r="H2074" t="s">
        <v>4607</v>
      </c>
    </row>
    <row r="2075" spans="2:8" x14ac:dyDescent="0.25">
      <c r="B2075" t="s">
        <v>3393</v>
      </c>
      <c r="C2075">
        <v>2022</v>
      </c>
      <c r="D2075" t="s">
        <v>3457</v>
      </c>
      <c r="E2075" t="s">
        <v>2675</v>
      </c>
      <c r="F2075" t="s">
        <v>2676</v>
      </c>
      <c r="G2075" t="s">
        <v>2682</v>
      </c>
      <c r="H2075" t="s">
        <v>2678</v>
      </c>
    </row>
    <row r="2076" spans="2:8" x14ac:dyDescent="0.25">
      <c r="B2076" t="s">
        <v>3393</v>
      </c>
      <c r="C2076">
        <v>2022</v>
      </c>
      <c r="D2076" t="s">
        <v>3457</v>
      </c>
      <c r="E2076" t="s">
        <v>2675</v>
      </c>
      <c r="F2076" t="s">
        <v>2676</v>
      </c>
      <c r="G2076" t="s">
        <v>2683</v>
      </c>
      <c r="H2076" t="s">
        <v>1993</v>
      </c>
    </row>
    <row r="2077" spans="2:8" x14ac:dyDescent="0.25">
      <c r="B2077" t="s">
        <v>3393</v>
      </c>
      <c r="C2077">
        <v>2022</v>
      </c>
      <c r="D2077" t="s">
        <v>3457</v>
      </c>
      <c r="E2077" t="s">
        <v>2675</v>
      </c>
      <c r="F2077" t="s">
        <v>2676</v>
      </c>
      <c r="G2077" t="s">
        <v>2684</v>
      </c>
      <c r="H2077" t="s">
        <v>4568</v>
      </c>
    </row>
    <row r="2078" spans="2:8" x14ac:dyDescent="0.25">
      <c r="B2078" t="s">
        <v>3393</v>
      </c>
      <c r="C2078">
        <v>2022</v>
      </c>
      <c r="D2078" t="s">
        <v>3457</v>
      </c>
      <c r="E2078" t="s">
        <v>2675</v>
      </c>
      <c r="F2078" t="s">
        <v>2676</v>
      </c>
      <c r="G2078" t="s">
        <v>2685</v>
      </c>
      <c r="H2078" t="s">
        <v>4607</v>
      </c>
    </row>
    <row r="2079" spans="2:8" x14ac:dyDescent="0.25">
      <c r="B2079" t="s">
        <v>3393</v>
      </c>
      <c r="C2079">
        <v>2022</v>
      </c>
      <c r="D2079" t="s">
        <v>3457</v>
      </c>
      <c r="E2079" t="s">
        <v>2675</v>
      </c>
      <c r="F2079" t="s">
        <v>2676</v>
      </c>
      <c r="G2079" t="s">
        <v>2686</v>
      </c>
      <c r="H2079" t="s">
        <v>2518</v>
      </c>
    </row>
    <row r="2080" spans="2:8" x14ac:dyDescent="0.25">
      <c r="B2080" t="s">
        <v>3393</v>
      </c>
      <c r="C2080">
        <v>2022</v>
      </c>
      <c r="D2080" t="s">
        <v>3457</v>
      </c>
      <c r="E2080" t="s">
        <v>2675</v>
      </c>
      <c r="F2080" t="s">
        <v>2676</v>
      </c>
      <c r="G2080" t="s">
        <v>2687</v>
      </c>
      <c r="H2080" t="s">
        <v>4608</v>
      </c>
    </row>
    <row r="2081" spans="2:8" x14ac:dyDescent="0.25">
      <c r="B2081" t="s">
        <v>3393</v>
      </c>
      <c r="C2081">
        <v>2022</v>
      </c>
      <c r="D2081" t="s">
        <v>3457</v>
      </c>
      <c r="E2081" t="s">
        <v>2675</v>
      </c>
      <c r="F2081" t="s">
        <v>2676</v>
      </c>
      <c r="G2081" t="s">
        <v>2688</v>
      </c>
      <c r="H2081" t="s">
        <v>3300</v>
      </c>
    </row>
    <row r="2082" spans="2:8" x14ac:dyDescent="0.25">
      <c r="B2082" t="s">
        <v>3393</v>
      </c>
      <c r="C2082">
        <v>2022</v>
      </c>
      <c r="D2082" t="s">
        <v>3457</v>
      </c>
      <c r="E2082" t="s">
        <v>2675</v>
      </c>
      <c r="F2082" t="s">
        <v>2676</v>
      </c>
      <c r="G2082" t="s">
        <v>2689</v>
      </c>
      <c r="H2082" t="s">
        <v>4593</v>
      </c>
    </row>
    <row r="2083" spans="2:8" x14ac:dyDescent="0.25">
      <c r="B2083" t="s">
        <v>3393</v>
      </c>
      <c r="C2083">
        <v>2022</v>
      </c>
      <c r="D2083" t="s">
        <v>3457</v>
      </c>
      <c r="E2083" t="s">
        <v>2675</v>
      </c>
      <c r="F2083" t="s">
        <v>2676</v>
      </c>
      <c r="G2083" t="s">
        <v>2690</v>
      </c>
      <c r="H2083" t="s">
        <v>2518</v>
      </c>
    </row>
    <row r="2084" spans="2:8" x14ac:dyDescent="0.25">
      <c r="B2084" t="s">
        <v>3393</v>
      </c>
      <c r="C2084">
        <v>2022</v>
      </c>
      <c r="D2084" t="s">
        <v>3457</v>
      </c>
      <c r="E2084" t="s">
        <v>2675</v>
      </c>
      <c r="F2084" t="s">
        <v>2676</v>
      </c>
      <c r="G2084" t="s">
        <v>2691</v>
      </c>
      <c r="H2084" t="s">
        <v>4609</v>
      </c>
    </row>
    <row r="2085" spans="2:8" x14ac:dyDescent="0.25">
      <c r="B2085" t="s">
        <v>3393</v>
      </c>
      <c r="C2085">
        <v>2022</v>
      </c>
      <c r="D2085" t="s">
        <v>3457</v>
      </c>
      <c r="E2085" t="s">
        <v>2675</v>
      </c>
      <c r="F2085" t="s">
        <v>2676</v>
      </c>
      <c r="G2085" t="s">
        <v>2692</v>
      </c>
      <c r="H2085" t="s">
        <v>4610</v>
      </c>
    </row>
    <row r="2086" spans="2:8" x14ac:dyDescent="0.25">
      <c r="B2086" t="s">
        <v>3393</v>
      </c>
      <c r="C2086">
        <v>2022</v>
      </c>
      <c r="D2086" t="s">
        <v>3457</v>
      </c>
      <c r="E2086" t="s">
        <v>2675</v>
      </c>
      <c r="F2086" t="s">
        <v>2676</v>
      </c>
      <c r="G2086" t="s">
        <v>2693</v>
      </c>
      <c r="H2086" t="s">
        <v>4593</v>
      </c>
    </row>
    <row r="2087" spans="2:8" x14ac:dyDescent="0.25">
      <c r="B2087" t="s">
        <v>3393</v>
      </c>
      <c r="C2087">
        <v>2022</v>
      </c>
      <c r="D2087" t="s">
        <v>3457</v>
      </c>
      <c r="E2087" t="s">
        <v>2675</v>
      </c>
      <c r="F2087" t="s">
        <v>2676</v>
      </c>
      <c r="G2087" t="s">
        <v>2694</v>
      </c>
      <c r="H2087" t="s">
        <v>2518</v>
      </c>
    </row>
    <row r="2088" spans="2:8" x14ac:dyDescent="0.25">
      <c r="B2088" t="s">
        <v>3393</v>
      </c>
      <c r="C2088">
        <v>2022</v>
      </c>
      <c r="D2088" t="s">
        <v>3457</v>
      </c>
      <c r="E2088" t="s">
        <v>2675</v>
      </c>
      <c r="F2088" t="s">
        <v>2676</v>
      </c>
      <c r="G2088" t="s">
        <v>2695</v>
      </c>
      <c r="H2088" t="s">
        <v>1993</v>
      </c>
    </row>
    <row r="2089" spans="2:8" x14ac:dyDescent="0.25">
      <c r="B2089" t="s">
        <v>3393</v>
      </c>
      <c r="C2089">
        <v>2022</v>
      </c>
      <c r="D2089" t="s">
        <v>3457</v>
      </c>
      <c r="E2089" t="s">
        <v>2675</v>
      </c>
      <c r="F2089" t="s">
        <v>2676</v>
      </c>
      <c r="G2089" t="s">
        <v>2696</v>
      </c>
      <c r="H2089" t="s">
        <v>4572</v>
      </c>
    </row>
    <row r="2090" spans="2:8" x14ac:dyDescent="0.25">
      <c r="B2090" t="s">
        <v>3393</v>
      </c>
      <c r="C2090">
        <v>2022</v>
      </c>
      <c r="D2090" t="s">
        <v>3457</v>
      </c>
      <c r="E2090" t="s">
        <v>2675</v>
      </c>
      <c r="F2090" t="s">
        <v>2676</v>
      </c>
      <c r="G2090" t="s">
        <v>2697</v>
      </c>
      <c r="H2090" t="s">
        <v>4593</v>
      </c>
    </row>
    <row r="2091" spans="2:8" x14ac:dyDescent="0.25">
      <c r="B2091" t="s">
        <v>3393</v>
      </c>
      <c r="C2091">
        <v>2022</v>
      </c>
      <c r="D2091" t="s">
        <v>3457</v>
      </c>
      <c r="E2091" t="s">
        <v>2675</v>
      </c>
      <c r="F2091" t="s">
        <v>2676</v>
      </c>
      <c r="G2091" t="s">
        <v>2698</v>
      </c>
      <c r="H2091" t="s">
        <v>2518</v>
      </c>
    </row>
    <row r="2092" spans="2:8" x14ac:dyDescent="0.25">
      <c r="B2092" t="s">
        <v>3393</v>
      </c>
      <c r="C2092">
        <v>2022</v>
      </c>
      <c r="D2092" t="s">
        <v>3457</v>
      </c>
      <c r="E2092" t="s">
        <v>2675</v>
      </c>
      <c r="F2092" t="s">
        <v>2676</v>
      </c>
      <c r="G2092" t="s">
        <v>2699</v>
      </c>
      <c r="H2092" t="s">
        <v>4611</v>
      </c>
    </row>
    <row r="2093" spans="2:8" x14ac:dyDescent="0.25">
      <c r="B2093" t="s">
        <v>3393</v>
      </c>
      <c r="C2093">
        <v>2022</v>
      </c>
      <c r="D2093" t="s">
        <v>3457</v>
      </c>
      <c r="E2093" t="s">
        <v>2675</v>
      </c>
      <c r="F2093" t="s">
        <v>2676</v>
      </c>
      <c r="G2093" t="s">
        <v>2700</v>
      </c>
      <c r="H2093" t="s">
        <v>4612</v>
      </c>
    </row>
    <row r="2094" spans="2:8" x14ac:dyDescent="0.25">
      <c r="B2094" t="s">
        <v>3393</v>
      </c>
      <c r="C2094">
        <v>2022</v>
      </c>
      <c r="D2094" t="s">
        <v>3457</v>
      </c>
      <c r="E2094" t="s">
        <v>2675</v>
      </c>
      <c r="F2094" t="s">
        <v>2676</v>
      </c>
      <c r="G2094" t="s">
        <v>2701</v>
      </c>
      <c r="H2094" t="s">
        <v>4593</v>
      </c>
    </row>
    <row r="2095" spans="2:8" x14ac:dyDescent="0.25">
      <c r="B2095" t="s">
        <v>3393</v>
      </c>
      <c r="C2095">
        <v>2022</v>
      </c>
      <c r="D2095" t="s">
        <v>3457</v>
      </c>
      <c r="E2095" t="s">
        <v>2675</v>
      </c>
      <c r="F2095" t="s">
        <v>2676</v>
      </c>
      <c r="G2095" t="s">
        <v>2702</v>
      </c>
      <c r="H2095" t="s">
        <v>2518</v>
      </c>
    </row>
    <row r="2096" spans="2:8" x14ac:dyDescent="0.25">
      <c r="B2096" t="s">
        <v>3393</v>
      </c>
      <c r="C2096">
        <v>2022</v>
      </c>
      <c r="D2096" t="s">
        <v>3457</v>
      </c>
      <c r="E2096" t="s">
        <v>2675</v>
      </c>
      <c r="F2096" t="s">
        <v>2676</v>
      </c>
      <c r="G2096" t="s">
        <v>2703</v>
      </c>
      <c r="H2096" t="s">
        <v>1993</v>
      </c>
    </row>
    <row r="2097" spans="2:8" x14ac:dyDescent="0.25">
      <c r="B2097" t="s">
        <v>3393</v>
      </c>
      <c r="C2097">
        <v>2022</v>
      </c>
      <c r="D2097" t="s">
        <v>3457</v>
      </c>
      <c r="E2097" t="s">
        <v>2675</v>
      </c>
      <c r="F2097" t="s">
        <v>2676</v>
      </c>
      <c r="G2097" t="s">
        <v>2704</v>
      </c>
      <c r="H2097" t="s">
        <v>4574</v>
      </c>
    </row>
    <row r="2098" spans="2:8" x14ac:dyDescent="0.25">
      <c r="B2098" t="s">
        <v>3393</v>
      </c>
      <c r="C2098">
        <v>2022</v>
      </c>
      <c r="D2098" t="s">
        <v>3457</v>
      </c>
      <c r="E2098" t="s">
        <v>2675</v>
      </c>
      <c r="F2098" t="s">
        <v>2676</v>
      </c>
      <c r="G2098" t="s">
        <v>2705</v>
      </c>
      <c r="H2098" t="s">
        <v>4593</v>
      </c>
    </row>
    <row r="2099" spans="2:8" x14ac:dyDescent="0.25">
      <c r="B2099" t="s">
        <v>3393</v>
      </c>
      <c r="C2099">
        <v>2022</v>
      </c>
      <c r="D2099" t="s">
        <v>3457</v>
      </c>
      <c r="E2099" t="s">
        <v>2675</v>
      </c>
      <c r="F2099" t="s">
        <v>2676</v>
      </c>
      <c r="G2099" t="s">
        <v>2706</v>
      </c>
      <c r="H2099" t="s">
        <v>3003</v>
      </c>
    </row>
    <row r="2100" spans="2:8" x14ac:dyDescent="0.25">
      <c r="B2100" t="s">
        <v>3393</v>
      </c>
      <c r="C2100">
        <v>2022</v>
      </c>
      <c r="D2100" t="s">
        <v>3457</v>
      </c>
      <c r="E2100" t="s">
        <v>2675</v>
      </c>
      <c r="F2100" t="s">
        <v>2676</v>
      </c>
      <c r="G2100" t="s">
        <v>2707</v>
      </c>
      <c r="H2100" t="s">
        <v>4613</v>
      </c>
    </row>
    <row r="2101" spans="2:8" x14ac:dyDescent="0.25">
      <c r="B2101" t="s">
        <v>3393</v>
      </c>
      <c r="C2101">
        <v>2022</v>
      </c>
      <c r="D2101" t="s">
        <v>3457</v>
      </c>
      <c r="E2101" t="s">
        <v>2675</v>
      </c>
      <c r="F2101" t="s">
        <v>2676</v>
      </c>
      <c r="G2101" t="s">
        <v>2708</v>
      </c>
      <c r="H2101" t="s">
        <v>4614</v>
      </c>
    </row>
    <row r="2102" spans="2:8" x14ac:dyDescent="0.25">
      <c r="B2102" t="s">
        <v>3393</v>
      </c>
      <c r="C2102">
        <v>2022</v>
      </c>
      <c r="D2102" t="s">
        <v>3457</v>
      </c>
      <c r="E2102" t="s">
        <v>2675</v>
      </c>
      <c r="F2102" t="s">
        <v>2676</v>
      </c>
      <c r="G2102" t="s">
        <v>2709</v>
      </c>
      <c r="H2102" t="s">
        <v>4615</v>
      </c>
    </row>
    <row r="2103" spans="2:8" x14ac:dyDescent="0.25">
      <c r="B2103" t="s">
        <v>3393</v>
      </c>
      <c r="C2103">
        <v>2022</v>
      </c>
      <c r="D2103" t="s">
        <v>3457</v>
      </c>
      <c r="E2103" t="s">
        <v>2675</v>
      </c>
      <c r="F2103" t="s">
        <v>2676</v>
      </c>
      <c r="G2103" t="s">
        <v>2710</v>
      </c>
      <c r="H2103" t="s">
        <v>2711</v>
      </c>
    </row>
    <row r="2104" spans="2:8" x14ac:dyDescent="0.25">
      <c r="B2104" t="s">
        <v>3393</v>
      </c>
      <c r="C2104">
        <v>2022</v>
      </c>
      <c r="D2104" t="s">
        <v>3457</v>
      </c>
      <c r="E2104" t="s">
        <v>2675</v>
      </c>
      <c r="F2104" t="s">
        <v>2676</v>
      </c>
      <c r="G2104" t="s">
        <v>2712</v>
      </c>
      <c r="H2104" t="s">
        <v>4578</v>
      </c>
    </row>
    <row r="2105" spans="2:8" x14ac:dyDescent="0.25">
      <c r="B2105" t="s">
        <v>3393</v>
      </c>
      <c r="C2105">
        <v>2022</v>
      </c>
      <c r="D2105" t="s">
        <v>3457</v>
      </c>
      <c r="E2105" t="s">
        <v>2675</v>
      </c>
      <c r="F2105" t="s">
        <v>2676</v>
      </c>
      <c r="G2105" t="s">
        <v>2713</v>
      </c>
      <c r="H2105" t="s">
        <v>1993</v>
      </c>
    </row>
    <row r="2106" spans="2:8" x14ac:dyDescent="0.25">
      <c r="B2106" t="s">
        <v>3393</v>
      </c>
      <c r="C2106">
        <v>2022</v>
      </c>
      <c r="D2106" t="s">
        <v>3457</v>
      </c>
      <c r="E2106" t="s">
        <v>2675</v>
      </c>
      <c r="F2106" t="s">
        <v>2676</v>
      </c>
      <c r="G2106" t="s">
        <v>2714</v>
      </c>
      <c r="H2106" t="s">
        <v>4616</v>
      </c>
    </row>
    <row r="2107" spans="2:8" x14ac:dyDescent="0.25">
      <c r="B2107" t="s">
        <v>3393</v>
      </c>
      <c r="C2107">
        <v>2022</v>
      </c>
      <c r="D2107" t="s">
        <v>3457</v>
      </c>
      <c r="E2107" t="s">
        <v>2675</v>
      </c>
      <c r="F2107" t="s">
        <v>2676</v>
      </c>
      <c r="G2107" t="s">
        <v>2715</v>
      </c>
      <c r="H2107" t="s">
        <v>2518</v>
      </c>
    </row>
    <row r="2108" spans="2:8" x14ac:dyDescent="0.25">
      <c r="B2108" t="s">
        <v>3393</v>
      </c>
      <c r="C2108">
        <v>2022</v>
      </c>
      <c r="D2108" t="s">
        <v>3457</v>
      </c>
      <c r="E2108" t="s">
        <v>2675</v>
      </c>
      <c r="F2108" t="s">
        <v>2676</v>
      </c>
      <c r="G2108" t="s">
        <v>2716</v>
      </c>
      <c r="H2108" t="s">
        <v>4579</v>
      </c>
    </row>
    <row r="2109" spans="2:8" x14ac:dyDescent="0.25">
      <c r="B2109" t="s">
        <v>3393</v>
      </c>
      <c r="C2109">
        <v>2022</v>
      </c>
      <c r="D2109" t="s">
        <v>3457</v>
      </c>
      <c r="E2109" t="s">
        <v>2675</v>
      </c>
      <c r="F2109" t="s">
        <v>2676</v>
      </c>
      <c r="G2109" t="s">
        <v>2717</v>
      </c>
      <c r="H2109" t="s">
        <v>1993</v>
      </c>
    </row>
    <row r="2110" spans="2:8" x14ac:dyDescent="0.25">
      <c r="B2110" t="s">
        <v>3393</v>
      </c>
      <c r="C2110">
        <v>2022</v>
      </c>
      <c r="D2110" t="s">
        <v>3457</v>
      </c>
      <c r="E2110" t="s">
        <v>2675</v>
      </c>
      <c r="F2110" t="s">
        <v>2676</v>
      </c>
      <c r="G2110" t="s">
        <v>2718</v>
      </c>
      <c r="H2110" t="s">
        <v>4593</v>
      </c>
    </row>
    <row r="2111" spans="2:8" x14ac:dyDescent="0.25">
      <c r="B2111" t="s">
        <v>3393</v>
      </c>
      <c r="C2111">
        <v>2022</v>
      </c>
      <c r="D2111" t="s">
        <v>3457</v>
      </c>
      <c r="E2111" t="s">
        <v>2675</v>
      </c>
      <c r="F2111" t="s">
        <v>2676</v>
      </c>
      <c r="G2111" t="s">
        <v>2719</v>
      </c>
      <c r="H2111" t="s">
        <v>2518</v>
      </c>
    </row>
    <row r="2112" spans="2:8" x14ac:dyDescent="0.25">
      <c r="B2112" t="s">
        <v>3393</v>
      </c>
      <c r="C2112">
        <v>2022</v>
      </c>
      <c r="D2112" t="s">
        <v>3457</v>
      </c>
      <c r="E2112" t="s">
        <v>2675</v>
      </c>
      <c r="F2112" t="s">
        <v>2676</v>
      </c>
      <c r="G2112" t="s">
        <v>2720</v>
      </c>
      <c r="H2112" t="s">
        <v>4580</v>
      </c>
    </row>
    <row r="2113" spans="2:8" x14ac:dyDescent="0.25">
      <c r="B2113" t="s">
        <v>3393</v>
      </c>
      <c r="C2113">
        <v>2022</v>
      </c>
      <c r="D2113" t="s">
        <v>3457</v>
      </c>
      <c r="E2113" t="s">
        <v>2675</v>
      </c>
      <c r="F2113" t="s">
        <v>2676</v>
      </c>
      <c r="G2113" t="s">
        <v>2721</v>
      </c>
      <c r="H2113" t="s">
        <v>1993</v>
      </c>
    </row>
    <row r="2114" spans="2:8" x14ac:dyDescent="0.25">
      <c r="B2114" t="s">
        <v>3393</v>
      </c>
      <c r="C2114">
        <v>2022</v>
      </c>
      <c r="D2114" t="s">
        <v>3457</v>
      </c>
      <c r="E2114" t="s">
        <v>2675</v>
      </c>
      <c r="F2114" t="s">
        <v>2676</v>
      </c>
      <c r="G2114" t="s">
        <v>2722</v>
      </c>
      <c r="H2114" t="s">
        <v>4593</v>
      </c>
    </row>
    <row r="2115" spans="2:8" x14ac:dyDescent="0.25">
      <c r="B2115" t="s">
        <v>3393</v>
      </c>
      <c r="C2115">
        <v>2022</v>
      </c>
      <c r="D2115" t="s">
        <v>3457</v>
      </c>
      <c r="E2115" t="s">
        <v>2675</v>
      </c>
      <c r="F2115" t="s">
        <v>2676</v>
      </c>
      <c r="G2115" t="s">
        <v>2723</v>
      </c>
      <c r="H2115" t="s">
        <v>2518</v>
      </c>
    </row>
    <row r="2116" spans="2:8" x14ac:dyDescent="0.25">
      <c r="B2116" t="s">
        <v>3393</v>
      </c>
      <c r="C2116">
        <v>2022</v>
      </c>
      <c r="D2116" t="s">
        <v>3457</v>
      </c>
      <c r="E2116" t="s">
        <v>2675</v>
      </c>
      <c r="F2116" t="s">
        <v>2676</v>
      </c>
      <c r="G2116" t="s">
        <v>2724</v>
      </c>
      <c r="H2116" t="s">
        <v>1993</v>
      </c>
    </row>
    <row r="2117" spans="2:8" x14ac:dyDescent="0.25">
      <c r="B2117" t="s">
        <v>3393</v>
      </c>
      <c r="C2117">
        <v>2022</v>
      </c>
      <c r="D2117" t="s">
        <v>3457</v>
      </c>
      <c r="E2117" t="s">
        <v>2675</v>
      </c>
      <c r="F2117" t="s">
        <v>2676</v>
      </c>
      <c r="G2117" t="s">
        <v>2725</v>
      </c>
      <c r="H2117" t="s">
        <v>1993</v>
      </c>
    </row>
    <row r="2118" spans="2:8" x14ac:dyDescent="0.25">
      <c r="B2118" t="s">
        <v>3393</v>
      </c>
      <c r="C2118">
        <v>2022</v>
      </c>
      <c r="D2118" t="s">
        <v>3457</v>
      </c>
      <c r="E2118" t="s">
        <v>2675</v>
      </c>
      <c r="F2118" t="s">
        <v>2676</v>
      </c>
      <c r="G2118" t="s">
        <v>2726</v>
      </c>
      <c r="H2118" t="s">
        <v>4593</v>
      </c>
    </row>
    <row r="2119" spans="2:8" x14ac:dyDescent="0.25">
      <c r="B2119" t="s">
        <v>3393</v>
      </c>
      <c r="C2119">
        <v>2022</v>
      </c>
      <c r="D2119" t="s">
        <v>3457</v>
      </c>
      <c r="E2119" t="s">
        <v>2675</v>
      </c>
      <c r="F2119" t="s">
        <v>2676</v>
      </c>
      <c r="G2119" t="s">
        <v>2727</v>
      </c>
      <c r="H2119" t="s">
        <v>2518</v>
      </c>
    </row>
    <row r="2120" spans="2:8" x14ac:dyDescent="0.25">
      <c r="B2120" t="s">
        <v>3393</v>
      </c>
      <c r="C2120">
        <v>2022</v>
      </c>
      <c r="D2120" t="s">
        <v>3457</v>
      </c>
      <c r="E2120" t="s">
        <v>2675</v>
      </c>
      <c r="F2120" t="s">
        <v>2676</v>
      </c>
      <c r="G2120" t="s">
        <v>2728</v>
      </c>
      <c r="H2120" t="s">
        <v>4581</v>
      </c>
    </row>
    <row r="2121" spans="2:8" x14ac:dyDescent="0.25">
      <c r="B2121" t="s">
        <v>3393</v>
      </c>
      <c r="C2121">
        <v>2022</v>
      </c>
      <c r="D2121" t="s">
        <v>3457</v>
      </c>
      <c r="E2121" t="s">
        <v>2675</v>
      </c>
      <c r="F2121" t="s">
        <v>2676</v>
      </c>
      <c r="G2121" t="s">
        <v>2729</v>
      </c>
      <c r="H2121" t="s">
        <v>1993</v>
      </c>
    </row>
    <row r="2122" spans="2:8" x14ac:dyDescent="0.25">
      <c r="B2122" t="s">
        <v>3393</v>
      </c>
      <c r="C2122">
        <v>2022</v>
      </c>
      <c r="D2122" t="s">
        <v>3457</v>
      </c>
      <c r="E2122" t="s">
        <v>2675</v>
      </c>
      <c r="F2122" t="s">
        <v>2676</v>
      </c>
      <c r="G2122" t="s">
        <v>2730</v>
      </c>
      <c r="H2122" t="s">
        <v>4593</v>
      </c>
    </row>
    <row r="2123" spans="2:8" x14ac:dyDescent="0.25">
      <c r="B2123" t="s">
        <v>3393</v>
      </c>
      <c r="C2123">
        <v>2022</v>
      </c>
      <c r="D2123" t="s">
        <v>3457</v>
      </c>
      <c r="E2123" t="s">
        <v>2675</v>
      </c>
      <c r="F2123" t="s">
        <v>2676</v>
      </c>
      <c r="G2123" t="s">
        <v>2731</v>
      </c>
      <c r="H2123" t="s">
        <v>2518</v>
      </c>
    </row>
    <row r="2124" spans="2:8" x14ac:dyDescent="0.25">
      <c r="B2124" t="s">
        <v>3393</v>
      </c>
      <c r="C2124">
        <v>2022</v>
      </c>
      <c r="D2124" t="s">
        <v>3457</v>
      </c>
      <c r="E2124" t="s">
        <v>2675</v>
      </c>
      <c r="F2124" t="s">
        <v>2676</v>
      </c>
      <c r="G2124" t="s">
        <v>2732</v>
      </c>
      <c r="H2124" t="s">
        <v>4582</v>
      </c>
    </row>
    <row r="2125" spans="2:8" x14ac:dyDescent="0.25">
      <c r="B2125" t="s">
        <v>3393</v>
      </c>
      <c r="C2125">
        <v>2022</v>
      </c>
      <c r="D2125" t="s">
        <v>3457</v>
      </c>
      <c r="E2125" t="s">
        <v>2675</v>
      </c>
      <c r="F2125" t="s">
        <v>2676</v>
      </c>
      <c r="G2125" t="s">
        <v>2733</v>
      </c>
      <c r="H2125" t="s">
        <v>1993</v>
      </c>
    </row>
    <row r="2126" spans="2:8" x14ac:dyDescent="0.25">
      <c r="B2126" t="s">
        <v>3393</v>
      </c>
      <c r="C2126">
        <v>2022</v>
      </c>
      <c r="D2126" t="s">
        <v>3457</v>
      </c>
      <c r="E2126" t="s">
        <v>2675</v>
      </c>
      <c r="F2126" t="s">
        <v>2676</v>
      </c>
      <c r="G2126" t="s">
        <v>2734</v>
      </c>
      <c r="H2126" t="s">
        <v>4593</v>
      </c>
    </row>
    <row r="2127" spans="2:8" x14ac:dyDescent="0.25">
      <c r="B2127" t="s">
        <v>3393</v>
      </c>
      <c r="C2127">
        <v>2022</v>
      </c>
      <c r="D2127" t="s">
        <v>3457</v>
      </c>
      <c r="E2127" t="s">
        <v>2675</v>
      </c>
      <c r="F2127" t="s">
        <v>2676</v>
      </c>
      <c r="G2127" t="s">
        <v>2735</v>
      </c>
      <c r="H2127" t="s">
        <v>2518</v>
      </c>
    </row>
    <row r="2128" spans="2:8" x14ac:dyDescent="0.25">
      <c r="B2128" t="s">
        <v>3393</v>
      </c>
      <c r="C2128">
        <v>2022</v>
      </c>
      <c r="D2128" t="s">
        <v>3457</v>
      </c>
      <c r="E2128" t="s">
        <v>2675</v>
      </c>
      <c r="F2128" t="s">
        <v>2676</v>
      </c>
      <c r="G2128" t="s">
        <v>2736</v>
      </c>
      <c r="H2128" t="s">
        <v>1993</v>
      </c>
    </row>
    <row r="2129" spans="2:8" x14ac:dyDescent="0.25">
      <c r="B2129" t="s">
        <v>3393</v>
      </c>
      <c r="C2129">
        <v>2022</v>
      </c>
      <c r="D2129" t="s">
        <v>3457</v>
      </c>
      <c r="E2129" t="s">
        <v>2675</v>
      </c>
      <c r="F2129" t="s">
        <v>2676</v>
      </c>
      <c r="G2129" t="s">
        <v>2737</v>
      </c>
      <c r="H2129" t="s">
        <v>4585</v>
      </c>
    </row>
    <row r="2130" spans="2:8" x14ac:dyDescent="0.25">
      <c r="B2130" t="s">
        <v>3393</v>
      </c>
      <c r="C2130">
        <v>2022</v>
      </c>
      <c r="D2130" t="s">
        <v>3457</v>
      </c>
      <c r="E2130" t="s">
        <v>2675</v>
      </c>
      <c r="F2130" t="s">
        <v>2676</v>
      </c>
      <c r="G2130" t="s">
        <v>2738</v>
      </c>
      <c r="H2130" t="s">
        <v>4593</v>
      </c>
    </row>
    <row r="2131" spans="2:8" x14ac:dyDescent="0.25">
      <c r="B2131" t="s">
        <v>3393</v>
      </c>
      <c r="C2131">
        <v>2022</v>
      </c>
      <c r="D2131" t="s">
        <v>3457</v>
      </c>
      <c r="E2131" t="s">
        <v>2675</v>
      </c>
      <c r="F2131" t="s">
        <v>2676</v>
      </c>
      <c r="G2131" t="s">
        <v>2739</v>
      </c>
      <c r="H2131" t="s">
        <v>3004</v>
      </c>
    </row>
    <row r="2132" spans="2:8" x14ac:dyDescent="0.25">
      <c r="B2132" t="s">
        <v>3393</v>
      </c>
      <c r="C2132">
        <v>2022</v>
      </c>
      <c r="D2132" t="s">
        <v>3457</v>
      </c>
      <c r="E2132" t="s">
        <v>2675</v>
      </c>
      <c r="F2132" t="s">
        <v>2676</v>
      </c>
      <c r="G2132" t="s">
        <v>2740</v>
      </c>
      <c r="H2132" t="s">
        <v>4617</v>
      </c>
    </row>
    <row r="2133" spans="2:8" x14ac:dyDescent="0.25">
      <c r="B2133" t="s">
        <v>3393</v>
      </c>
      <c r="C2133">
        <v>2022</v>
      </c>
      <c r="D2133" t="s">
        <v>3457</v>
      </c>
      <c r="E2133" t="s">
        <v>2675</v>
      </c>
      <c r="F2133" t="s">
        <v>2676</v>
      </c>
      <c r="G2133" t="s">
        <v>2741</v>
      </c>
      <c r="H2133" t="s">
        <v>4618</v>
      </c>
    </row>
    <row r="2134" spans="2:8" x14ac:dyDescent="0.25">
      <c r="B2134" t="s">
        <v>3393</v>
      </c>
      <c r="C2134">
        <v>2022</v>
      </c>
      <c r="D2134" t="s">
        <v>3457</v>
      </c>
      <c r="E2134" t="s">
        <v>2675</v>
      </c>
      <c r="F2134" t="s">
        <v>2676</v>
      </c>
      <c r="G2134" t="s">
        <v>2742</v>
      </c>
      <c r="H2134" t="s">
        <v>4619</v>
      </c>
    </row>
    <row r="2135" spans="2:8" x14ac:dyDescent="0.25">
      <c r="B2135" t="s">
        <v>3393</v>
      </c>
      <c r="C2135">
        <v>2022</v>
      </c>
      <c r="D2135" t="s">
        <v>3457</v>
      </c>
      <c r="E2135" t="s">
        <v>2675</v>
      </c>
      <c r="F2135" t="s">
        <v>2676</v>
      </c>
      <c r="G2135" t="s">
        <v>2743</v>
      </c>
      <c r="H2135" t="s">
        <v>2744</v>
      </c>
    </row>
    <row r="2136" spans="2:8" x14ac:dyDescent="0.25">
      <c r="B2136" t="s">
        <v>3393</v>
      </c>
      <c r="C2136">
        <v>2022</v>
      </c>
      <c r="D2136" t="s">
        <v>3457</v>
      </c>
      <c r="E2136" t="s">
        <v>2675</v>
      </c>
      <c r="F2136" t="s">
        <v>2676</v>
      </c>
      <c r="G2136" t="s">
        <v>2745</v>
      </c>
      <c r="H2136" t="s">
        <v>4300</v>
      </c>
    </row>
    <row r="2137" spans="2:8" x14ac:dyDescent="0.25">
      <c r="B2137" t="s">
        <v>3393</v>
      </c>
      <c r="C2137">
        <v>2022</v>
      </c>
      <c r="D2137" t="s">
        <v>3457</v>
      </c>
      <c r="E2137" t="s">
        <v>2675</v>
      </c>
      <c r="F2137" t="s">
        <v>2676</v>
      </c>
      <c r="G2137" t="s">
        <v>2746</v>
      </c>
      <c r="H2137" t="s">
        <v>1993</v>
      </c>
    </row>
    <row r="2138" spans="2:8" x14ac:dyDescent="0.25">
      <c r="B2138" t="s">
        <v>3393</v>
      </c>
      <c r="C2138">
        <v>2022</v>
      </c>
      <c r="D2138" t="s">
        <v>3457</v>
      </c>
      <c r="E2138" t="s">
        <v>2675</v>
      </c>
      <c r="F2138" t="s">
        <v>2676</v>
      </c>
      <c r="G2138" t="s">
        <v>2747</v>
      </c>
      <c r="H2138" t="s">
        <v>2748</v>
      </c>
    </row>
    <row r="2139" spans="2:8" x14ac:dyDescent="0.25">
      <c r="B2139" t="s">
        <v>3393</v>
      </c>
      <c r="C2139">
        <v>2022</v>
      </c>
      <c r="D2139" t="s">
        <v>3457</v>
      </c>
      <c r="E2139" t="s">
        <v>2675</v>
      </c>
      <c r="F2139" t="s">
        <v>2676</v>
      </c>
      <c r="G2139" t="s">
        <v>2749</v>
      </c>
      <c r="H2139" t="s">
        <v>2518</v>
      </c>
    </row>
    <row r="2140" spans="2:8" x14ac:dyDescent="0.25">
      <c r="B2140" t="s">
        <v>3393</v>
      </c>
      <c r="C2140">
        <v>2022</v>
      </c>
      <c r="D2140" t="s">
        <v>3457</v>
      </c>
      <c r="E2140" t="s">
        <v>2675</v>
      </c>
      <c r="F2140" t="s">
        <v>2676</v>
      </c>
      <c r="G2140" t="s">
        <v>2750</v>
      </c>
      <c r="H2140" t="s">
        <v>1993</v>
      </c>
    </row>
    <row r="2141" spans="2:8" x14ac:dyDescent="0.25">
      <c r="B2141" t="s">
        <v>3393</v>
      </c>
      <c r="C2141">
        <v>2022</v>
      </c>
      <c r="D2141" t="s">
        <v>3457</v>
      </c>
      <c r="E2141" t="s">
        <v>2675</v>
      </c>
      <c r="F2141" t="s">
        <v>2676</v>
      </c>
      <c r="G2141" t="s">
        <v>2751</v>
      </c>
      <c r="H2141" t="s">
        <v>4587</v>
      </c>
    </row>
    <row r="2142" spans="2:8" x14ac:dyDescent="0.25">
      <c r="B2142" t="s">
        <v>3393</v>
      </c>
      <c r="C2142">
        <v>2022</v>
      </c>
      <c r="D2142" t="s">
        <v>3457</v>
      </c>
      <c r="E2142" t="s">
        <v>2675</v>
      </c>
      <c r="F2142" t="s">
        <v>2676</v>
      </c>
      <c r="G2142" t="s">
        <v>2752</v>
      </c>
      <c r="H2142" t="s">
        <v>4593</v>
      </c>
    </row>
    <row r="2143" spans="2:8" x14ac:dyDescent="0.25">
      <c r="B2143" t="s">
        <v>3393</v>
      </c>
      <c r="C2143">
        <v>2022</v>
      </c>
      <c r="D2143" t="s">
        <v>3457</v>
      </c>
      <c r="E2143" t="s">
        <v>2675</v>
      </c>
      <c r="F2143" t="s">
        <v>2676</v>
      </c>
      <c r="G2143" t="s">
        <v>2753</v>
      </c>
      <c r="H2143" t="s">
        <v>2518</v>
      </c>
    </row>
    <row r="2144" spans="2:8" x14ac:dyDescent="0.25">
      <c r="B2144" t="s">
        <v>3393</v>
      </c>
      <c r="C2144">
        <v>2022</v>
      </c>
      <c r="D2144" t="s">
        <v>3457</v>
      </c>
      <c r="E2144" t="s">
        <v>2675</v>
      </c>
      <c r="F2144" t="s">
        <v>2676</v>
      </c>
      <c r="G2144" t="s">
        <v>2754</v>
      </c>
      <c r="H2144" t="s">
        <v>4620</v>
      </c>
    </row>
    <row r="2145" spans="2:8" x14ac:dyDescent="0.25">
      <c r="B2145" t="s">
        <v>3393</v>
      </c>
      <c r="C2145">
        <v>2022</v>
      </c>
      <c r="D2145" t="s">
        <v>3457</v>
      </c>
      <c r="E2145" t="s">
        <v>2675</v>
      </c>
      <c r="F2145" t="s">
        <v>2676</v>
      </c>
      <c r="G2145" t="s">
        <v>2755</v>
      </c>
      <c r="H2145" t="s">
        <v>3112</v>
      </c>
    </row>
    <row r="2146" spans="2:8" x14ac:dyDescent="0.25">
      <c r="B2146" t="s">
        <v>3393</v>
      </c>
      <c r="C2146">
        <v>2022</v>
      </c>
      <c r="D2146" t="s">
        <v>3457</v>
      </c>
      <c r="E2146" t="s">
        <v>2675</v>
      </c>
      <c r="F2146" t="s">
        <v>2676</v>
      </c>
      <c r="G2146" t="s">
        <v>2756</v>
      </c>
      <c r="H2146" t="s">
        <v>4593</v>
      </c>
    </row>
    <row r="2147" spans="2:8" x14ac:dyDescent="0.25">
      <c r="B2147" t="s">
        <v>3393</v>
      </c>
      <c r="C2147">
        <v>2022</v>
      </c>
      <c r="D2147" t="s">
        <v>3457</v>
      </c>
      <c r="E2147" t="s">
        <v>2757</v>
      </c>
      <c r="F2147" t="s">
        <v>2758</v>
      </c>
      <c r="G2147" t="s">
        <v>1034</v>
      </c>
      <c r="H2147" t="s">
        <v>4621</v>
      </c>
    </row>
    <row r="2148" spans="2:8" x14ac:dyDescent="0.25">
      <c r="B2148" t="s">
        <v>3393</v>
      </c>
      <c r="C2148">
        <v>2022</v>
      </c>
      <c r="D2148" t="s">
        <v>3457</v>
      </c>
      <c r="E2148" t="s">
        <v>2757</v>
      </c>
      <c r="F2148" t="s">
        <v>2758</v>
      </c>
      <c r="G2148" t="s">
        <v>1032</v>
      </c>
      <c r="H2148" t="s">
        <v>4622</v>
      </c>
    </row>
    <row r="2149" spans="2:8" x14ac:dyDescent="0.25">
      <c r="B2149" t="s">
        <v>3393</v>
      </c>
      <c r="C2149">
        <v>2022</v>
      </c>
      <c r="D2149" t="s">
        <v>3457</v>
      </c>
      <c r="E2149" t="s">
        <v>2757</v>
      </c>
      <c r="F2149" t="s">
        <v>2758</v>
      </c>
      <c r="G2149" t="s">
        <v>2759</v>
      </c>
      <c r="H2149" t="s">
        <v>2001</v>
      </c>
    </row>
    <row r="2150" spans="2:8" x14ac:dyDescent="0.25">
      <c r="B2150" t="s">
        <v>3393</v>
      </c>
      <c r="C2150">
        <v>2022</v>
      </c>
      <c r="D2150" t="s">
        <v>3457</v>
      </c>
      <c r="E2150" t="s">
        <v>2760</v>
      </c>
      <c r="F2150" t="s">
        <v>2761</v>
      </c>
      <c r="G2150" t="s">
        <v>2762</v>
      </c>
      <c r="H2150" t="s">
        <v>4623</v>
      </c>
    </row>
    <row r="2151" spans="2:8" x14ac:dyDescent="0.25">
      <c r="B2151" t="s">
        <v>3393</v>
      </c>
      <c r="C2151">
        <v>2022</v>
      </c>
      <c r="D2151" t="s">
        <v>3457</v>
      </c>
      <c r="E2151" t="s">
        <v>2760</v>
      </c>
      <c r="F2151" t="s">
        <v>2761</v>
      </c>
      <c r="G2151" t="s">
        <v>2763</v>
      </c>
      <c r="H2151" t="s">
        <v>4318</v>
      </c>
    </row>
    <row r="2152" spans="2:8" x14ac:dyDescent="0.25">
      <c r="B2152" t="s">
        <v>3393</v>
      </c>
      <c r="C2152">
        <v>2022</v>
      </c>
      <c r="D2152" t="s">
        <v>3457</v>
      </c>
      <c r="E2152" t="s">
        <v>2760</v>
      </c>
      <c r="F2152" t="s">
        <v>2761</v>
      </c>
      <c r="G2152" t="s">
        <v>2764</v>
      </c>
      <c r="H2152" t="s">
        <v>4624</v>
      </c>
    </row>
    <row r="2153" spans="2:8" x14ac:dyDescent="0.25">
      <c r="B2153" t="s">
        <v>3393</v>
      </c>
      <c r="C2153">
        <v>2022</v>
      </c>
      <c r="D2153" t="s">
        <v>3457</v>
      </c>
      <c r="E2153" t="s">
        <v>2760</v>
      </c>
      <c r="F2153" t="s">
        <v>2761</v>
      </c>
      <c r="G2153" t="s">
        <v>2765</v>
      </c>
      <c r="H2153" t="s">
        <v>4625</v>
      </c>
    </row>
    <row r="2154" spans="2:8" x14ac:dyDescent="0.25">
      <c r="B2154" t="s">
        <v>3393</v>
      </c>
      <c r="C2154">
        <v>2022</v>
      </c>
      <c r="D2154" t="s">
        <v>3457</v>
      </c>
      <c r="E2154" t="s">
        <v>2760</v>
      </c>
      <c r="F2154" t="s">
        <v>2761</v>
      </c>
      <c r="G2154" t="s">
        <v>2766</v>
      </c>
      <c r="H2154" t="s">
        <v>4626</v>
      </c>
    </row>
    <row r="2155" spans="2:8" x14ac:dyDescent="0.25">
      <c r="B2155" t="s">
        <v>3393</v>
      </c>
      <c r="C2155">
        <v>2022</v>
      </c>
      <c r="D2155" t="s">
        <v>3457</v>
      </c>
      <c r="E2155" t="s">
        <v>2760</v>
      </c>
      <c r="F2155" t="s">
        <v>2761</v>
      </c>
      <c r="G2155" t="s">
        <v>2767</v>
      </c>
      <c r="H2155" t="s">
        <v>4627</v>
      </c>
    </row>
    <row r="2156" spans="2:8" x14ac:dyDescent="0.25">
      <c r="B2156" t="s">
        <v>3393</v>
      </c>
      <c r="C2156">
        <v>2022</v>
      </c>
      <c r="D2156" t="s">
        <v>3457</v>
      </c>
      <c r="E2156" t="s">
        <v>2760</v>
      </c>
      <c r="F2156" t="s">
        <v>2761</v>
      </c>
      <c r="G2156" t="s">
        <v>2768</v>
      </c>
      <c r="H2156" t="s">
        <v>1995</v>
      </c>
    </row>
    <row r="2157" spans="2:8" x14ac:dyDescent="0.25">
      <c r="B2157" t="s">
        <v>3393</v>
      </c>
      <c r="C2157">
        <v>2022</v>
      </c>
      <c r="D2157" t="s">
        <v>3457</v>
      </c>
      <c r="E2157" t="s">
        <v>2760</v>
      </c>
      <c r="F2157" t="s">
        <v>2761</v>
      </c>
      <c r="G2157" t="s">
        <v>2769</v>
      </c>
      <c r="H2157" t="s">
        <v>4628</v>
      </c>
    </row>
    <row r="2158" spans="2:8" x14ac:dyDescent="0.25">
      <c r="B2158" t="s">
        <v>3393</v>
      </c>
      <c r="C2158">
        <v>2022</v>
      </c>
      <c r="D2158" t="s">
        <v>3457</v>
      </c>
      <c r="E2158" t="s">
        <v>2760</v>
      </c>
      <c r="F2158" t="s">
        <v>2761</v>
      </c>
      <c r="G2158" t="s">
        <v>2770</v>
      </c>
      <c r="H2158" t="s">
        <v>4629</v>
      </c>
    </row>
    <row r="2159" spans="2:8" x14ac:dyDescent="0.25">
      <c r="B2159" t="s">
        <v>3393</v>
      </c>
      <c r="C2159">
        <v>2022</v>
      </c>
      <c r="D2159" t="s">
        <v>3457</v>
      </c>
      <c r="E2159" t="s">
        <v>2760</v>
      </c>
      <c r="F2159" t="s">
        <v>2761</v>
      </c>
      <c r="G2159" t="s">
        <v>2771</v>
      </c>
      <c r="H2159" t="s">
        <v>4630</v>
      </c>
    </row>
    <row r="2160" spans="2:8" x14ac:dyDescent="0.25">
      <c r="B2160" t="s">
        <v>3393</v>
      </c>
      <c r="C2160">
        <v>2022</v>
      </c>
      <c r="D2160" t="s">
        <v>3457</v>
      </c>
      <c r="E2160" t="s">
        <v>2760</v>
      </c>
      <c r="F2160" t="s">
        <v>2761</v>
      </c>
      <c r="G2160" t="s">
        <v>3005</v>
      </c>
      <c r="H2160" t="s">
        <v>4631</v>
      </c>
    </row>
    <row r="2161" spans="2:8" x14ac:dyDescent="0.25">
      <c r="B2161" t="s">
        <v>3393</v>
      </c>
      <c r="C2161">
        <v>2022</v>
      </c>
      <c r="D2161" t="s">
        <v>3457</v>
      </c>
      <c r="E2161" t="s">
        <v>2760</v>
      </c>
      <c r="F2161" t="s">
        <v>2761</v>
      </c>
      <c r="G2161" t="s">
        <v>3006</v>
      </c>
      <c r="H2161" t="s">
        <v>4632</v>
      </c>
    </row>
    <row r="2162" spans="2:8" x14ac:dyDescent="0.25">
      <c r="B2162" t="s">
        <v>3393</v>
      </c>
      <c r="C2162">
        <v>2022</v>
      </c>
      <c r="D2162" t="s">
        <v>3457</v>
      </c>
      <c r="E2162" t="s">
        <v>2760</v>
      </c>
      <c r="F2162" t="s">
        <v>2761</v>
      </c>
      <c r="G2162" t="s">
        <v>3007</v>
      </c>
      <c r="H2162" t="s">
        <v>4633</v>
      </c>
    </row>
    <row r="2163" spans="2:8" x14ac:dyDescent="0.25">
      <c r="B2163" t="s">
        <v>3393</v>
      </c>
      <c r="C2163">
        <v>2022</v>
      </c>
      <c r="D2163" t="s">
        <v>3457</v>
      </c>
      <c r="E2163" t="s">
        <v>2760</v>
      </c>
      <c r="F2163" t="s">
        <v>2761</v>
      </c>
      <c r="G2163" t="s">
        <v>3008</v>
      </c>
      <c r="H2163" t="s">
        <v>4634</v>
      </c>
    </row>
    <row r="2164" spans="2:8" x14ac:dyDescent="0.25">
      <c r="B2164" t="s">
        <v>3393</v>
      </c>
      <c r="C2164">
        <v>2022</v>
      </c>
      <c r="D2164" t="s">
        <v>3457</v>
      </c>
      <c r="E2164" t="s">
        <v>2760</v>
      </c>
      <c r="F2164" t="s">
        <v>2761</v>
      </c>
      <c r="G2164" t="s">
        <v>3009</v>
      </c>
      <c r="H2164" t="s">
        <v>4635</v>
      </c>
    </row>
    <row r="2165" spans="2:8" x14ac:dyDescent="0.25">
      <c r="B2165" t="s">
        <v>3393</v>
      </c>
      <c r="C2165">
        <v>2022</v>
      </c>
      <c r="D2165" t="s">
        <v>3457</v>
      </c>
      <c r="E2165" t="s">
        <v>2760</v>
      </c>
      <c r="F2165" t="s">
        <v>2761</v>
      </c>
      <c r="G2165" t="s">
        <v>2772</v>
      </c>
      <c r="H2165" t="s">
        <v>4636</v>
      </c>
    </row>
    <row r="2166" spans="2:8" x14ac:dyDescent="0.25">
      <c r="B2166" t="s">
        <v>3393</v>
      </c>
      <c r="C2166">
        <v>2022</v>
      </c>
      <c r="D2166" t="s">
        <v>3457</v>
      </c>
      <c r="E2166" t="s">
        <v>2760</v>
      </c>
      <c r="F2166" t="s">
        <v>2761</v>
      </c>
      <c r="G2166" t="s">
        <v>2773</v>
      </c>
      <c r="H2166" t="s">
        <v>4637</v>
      </c>
    </row>
    <row r="2167" spans="2:8" x14ac:dyDescent="0.25">
      <c r="B2167" t="s">
        <v>3393</v>
      </c>
      <c r="C2167">
        <v>2022</v>
      </c>
      <c r="D2167" t="s">
        <v>3457</v>
      </c>
      <c r="E2167" t="s">
        <v>2760</v>
      </c>
      <c r="F2167" t="s">
        <v>2761</v>
      </c>
      <c r="G2167" t="s">
        <v>2774</v>
      </c>
      <c r="H2167" t="s">
        <v>4638</v>
      </c>
    </row>
    <row r="2168" spans="2:8" x14ac:dyDescent="0.25">
      <c r="B2168" t="s">
        <v>3393</v>
      </c>
      <c r="C2168">
        <v>2022</v>
      </c>
      <c r="D2168" t="s">
        <v>3457</v>
      </c>
      <c r="E2168" t="s">
        <v>2760</v>
      </c>
      <c r="F2168" t="s">
        <v>2761</v>
      </c>
      <c r="G2168" t="s">
        <v>2775</v>
      </c>
      <c r="H2168" t="s">
        <v>4639</v>
      </c>
    </row>
    <row r="2169" spans="2:8" x14ac:dyDescent="0.25">
      <c r="B2169" t="s">
        <v>3393</v>
      </c>
      <c r="C2169">
        <v>2022</v>
      </c>
      <c r="D2169" t="s">
        <v>3457</v>
      </c>
      <c r="E2169" t="s">
        <v>2760</v>
      </c>
      <c r="F2169" t="s">
        <v>2761</v>
      </c>
      <c r="G2169" t="s">
        <v>2776</v>
      </c>
      <c r="H2169" t="s">
        <v>4640</v>
      </c>
    </row>
    <row r="2170" spans="2:8" x14ac:dyDescent="0.25">
      <c r="B2170" t="s">
        <v>3393</v>
      </c>
      <c r="C2170">
        <v>2022</v>
      </c>
      <c r="D2170" t="s">
        <v>3457</v>
      </c>
      <c r="E2170" t="s">
        <v>2760</v>
      </c>
      <c r="F2170" t="s">
        <v>2761</v>
      </c>
      <c r="G2170" t="s">
        <v>2777</v>
      </c>
      <c r="H2170" t="s">
        <v>3281</v>
      </c>
    </row>
    <row r="2171" spans="2:8" x14ac:dyDescent="0.25">
      <c r="B2171" t="s">
        <v>3393</v>
      </c>
      <c r="C2171">
        <v>2022</v>
      </c>
      <c r="D2171" t="s">
        <v>3457</v>
      </c>
      <c r="E2171" t="s">
        <v>2760</v>
      </c>
      <c r="F2171" t="s">
        <v>2761</v>
      </c>
      <c r="G2171" t="s">
        <v>2778</v>
      </c>
      <c r="H2171" t="s">
        <v>4641</v>
      </c>
    </row>
    <row r="2172" spans="2:8" x14ac:dyDescent="0.25">
      <c r="B2172" t="s">
        <v>3393</v>
      </c>
      <c r="C2172">
        <v>2022</v>
      </c>
      <c r="D2172" t="s">
        <v>3457</v>
      </c>
      <c r="E2172" t="s">
        <v>2760</v>
      </c>
      <c r="F2172" t="s">
        <v>2761</v>
      </c>
      <c r="G2172" t="s">
        <v>2779</v>
      </c>
      <c r="H2172" t="s">
        <v>4642</v>
      </c>
    </row>
    <row r="2173" spans="2:8" x14ac:dyDescent="0.25">
      <c r="B2173" t="s">
        <v>3393</v>
      </c>
      <c r="C2173">
        <v>2022</v>
      </c>
      <c r="D2173" t="s">
        <v>3457</v>
      </c>
      <c r="E2173" t="s">
        <v>2760</v>
      </c>
      <c r="F2173" t="s">
        <v>2761</v>
      </c>
      <c r="G2173" t="s">
        <v>2780</v>
      </c>
      <c r="H2173" t="s">
        <v>4643</v>
      </c>
    </row>
    <row r="2174" spans="2:8" x14ac:dyDescent="0.25">
      <c r="B2174" t="s">
        <v>3393</v>
      </c>
      <c r="C2174">
        <v>2022</v>
      </c>
      <c r="D2174" t="s">
        <v>3457</v>
      </c>
      <c r="E2174" t="s">
        <v>2760</v>
      </c>
      <c r="F2174" t="s">
        <v>2761</v>
      </c>
      <c r="G2174" t="s">
        <v>2781</v>
      </c>
      <c r="H2174" t="s">
        <v>4644</v>
      </c>
    </row>
    <row r="2175" spans="2:8" x14ac:dyDescent="0.25">
      <c r="B2175" t="s">
        <v>3393</v>
      </c>
      <c r="C2175">
        <v>2022</v>
      </c>
      <c r="D2175" t="s">
        <v>3457</v>
      </c>
      <c r="E2175" t="s">
        <v>2760</v>
      </c>
      <c r="F2175" t="s">
        <v>2761</v>
      </c>
      <c r="G2175" t="s">
        <v>2782</v>
      </c>
      <c r="H2175" t="s">
        <v>4645</v>
      </c>
    </row>
    <row r="2176" spans="2:8" x14ac:dyDescent="0.25">
      <c r="B2176" t="s">
        <v>3393</v>
      </c>
      <c r="C2176">
        <v>2022</v>
      </c>
      <c r="D2176" t="s">
        <v>3457</v>
      </c>
      <c r="E2176" t="s">
        <v>2760</v>
      </c>
      <c r="F2176" t="s">
        <v>2761</v>
      </c>
      <c r="G2176" t="s">
        <v>2783</v>
      </c>
      <c r="H2176" t="s">
        <v>4646</v>
      </c>
    </row>
    <row r="2177" spans="2:8" x14ac:dyDescent="0.25">
      <c r="B2177" t="s">
        <v>3393</v>
      </c>
      <c r="C2177">
        <v>2022</v>
      </c>
      <c r="D2177" t="s">
        <v>3457</v>
      </c>
      <c r="E2177" t="s">
        <v>2760</v>
      </c>
      <c r="F2177" t="s">
        <v>2761</v>
      </c>
      <c r="G2177" t="s">
        <v>2784</v>
      </c>
      <c r="H2177" t="s">
        <v>4647</v>
      </c>
    </row>
    <row r="2178" spans="2:8" x14ac:dyDescent="0.25">
      <c r="B2178" t="s">
        <v>3393</v>
      </c>
      <c r="C2178">
        <v>2022</v>
      </c>
      <c r="D2178" t="s">
        <v>3457</v>
      </c>
      <c r="E2178" t="s">
        <v>2760</v>
      </c>
      <c r="F2178" t="s">
        <v>2761</v>
      </c>
      <c r="G2178" t="s">
        <v>2785</v>
      </c>
      <c r="H2178" t="s">
        <v>4648</v>
      </c>
    </row>
    <row r="2179" spans="2:8" x14ac:dyDescent="0.25">
      <c r="B2179" t="s">
        <v>3393</v>
      </c>
      <c r="C2179">
        <v>2022</v>
      </c>
      <c r="D2179" t="s">
        <v>3457</v>
      </c>
      <c r="E2179" t="s">
        <v>2760</v>
      </c>
      <c r="F2179" t="s">
        <v>2761</v>
      </c>
      <c r="G2179" t="s">
        <v>2786</v>
      </c>
      <c r="H2179" t="s">
        <v>4649</v>
      </c>
    </row>
    <row r="2180" spans="2:8" x14ac:dyDescent="0.25">
      <c r="B2180" t="s">
        <v>3393</v>
      </c>
      <c r="C2180">
        <v>2022</v>
      </c>
      <c r="D2180" t="s">
        <v>3457</v>
      </c>
      <c r="E2180" t="s">
        <v>2760</v>
      </c>
      <c r="F2180" t="s">
        <v>2761</v>
      </c>
      <c r="G2180" t="s">
        <v>2787</v>
      </c>
      <c r="H2180" t="s">
        <v>4650</v>
      </c>
    </row>
    <row r="2181" spans="2:8" x14ac:dyDescent="0.25">
      <c r="B2181" t="s">
        <v>3393</v>
      </c>
      <c r="C2181">
        <v>2022</v>
      </c>
      <c r="D2181" t="s">
        <v>3457</v>
      </c>
      <c r="E2181" t="s">
        <v>2760</v>
      </c>
      <c r="F2181" t="s">
        <v>2761</v>
      </c>
      <c r="G2181" t="s">
        <v>2788</v>
      </c>
      <c r="H2181" t="s">
        <v>4651</v>
      </c>
    </row>
    <row r="2182" spans="2:8" x14ac:dyDescent="0.25">
      <c r="B2182" t="s">
        <v>3393</v>
      </c>
      <c r="C2182">
        <v>2022</v>
      </c>
      <c r="D2182" t="s">
        <v>3457</v>
      </c>
      <c r="E2182" t="s">
        <v>2760</v>
      </c>
      <c r="F2182" t="s">
        <v>2761</v>
      </c>
      <c r="G2182" t="s">
        <v>2789</v>
      </c>
      <c r="H2182" t="s">
        <v>4652</v>
      </c>
    </row>
    <row r="2183" spans="2:8" x14ac:dyDescent="0.25">
      <c r="B2183" t="s">
        <v>3393</v>
      </c>
      <c r="C2183">
        <v>2022</v>
      </c>
      <c r="D2183" t="s">
        <v>3457</v>
      </c>
      <c r="E2183" t="s">
        <v>2760</v>
      </c>
      <c r="F2183" t="s">
        <v>2761</v>
      </c>
      <c r="G2183" t="s">
        <v>2790</v>
      </c>
      <c r="H2183" t="s">
        <v>4653</v>
      </c>
    </row>
    <row r="2184" spans="2:8" x14ac:dyDescent="0.25">
      <c r="B2184" t="s">
        <v>3393</v>
      </c>
      <c r="C2184">
        <v>2022</v>
      </c>
      <c r="D2184" t="s">
        <v>3457</v>
      </c>
      <c r="E2184" t="s">
        <v>2760</v>
      </c>
      <c r="F2184" t="s">
        <v>2761</v>
      </c>
      <c r="G2184" t="s">
        <v>2791</v>
      </c>
      <c r="H2184" t="s">
        <v>4654</v>
      </c>
    </row>
    <row r="2185" spans="2:8" x14ac:dyDescent="0.25">
      <c r="B2185" t="s">
        <v>3393</v>
      </c>
      <c r="C2185">
        <v>2022</v>
      </c>
      <c r="D2185" t="s">
        <v>3457</v>
      </c>
      <c r="E2185" t="s">
        <v>2760</v>
      </c>
      <c r="F2185" t="s">
        <v>2761</v>
      </c>
      <c r="G2185" t="s">
        <v>2792</v>
      </c>
      <c r="H2185" t="s">
        <v>4153</v>
      </c>
    </row>
    <row r="2186" spans="2:8" x14ac:dyDescent="0.25">
      <c r="B2186" t="s">
        <v>3393</v>
      </c>
      <c r="C2186">
        <v>2022</v>
      </c>
      <c r="D2186" t="s">
        <v>3457</v>
      </c>
      <c r="E2186" t="s">
        <v>2760</v>
      </c>
      <c r="F2186" t="s">
        <v>2761</v>
      </c>
      <c r="G2186" t="s">
        <v>2793</v>
      </c>
      <c r="H2186" t="s">
        <v>4655</v>
      </c>
    </row>
    <row r="2187" spans="2:8" x14ac:dyDescent="0.25">
      <c r="B2187" t="s">
        <v>3393</v>
      </c>
      <c r="C2187">
        <v>2022</v>
      </c>
      <c r="D2187" t="s">
        <v>3457</v>
      </c>
      <c r="E2187" t="s">
        <v>2760</v>
      </c>
      <c r="F2187" t="s">
        <v>2761</v>
      </c>
      <c r="G2187" t="s">
        <v>2794</v>
      </c>
      <c r="H2187" t="s">
        <v>4656</v>
      </c>
    </row>
    <row r="2188" spans="2:8" x14ac:dyDescent="0.25">
      <c r="B2188" t="s">
        <v>3393</v>
      </c>
      <c r="C2188">
        <v>2022</v>
      </c>
      <c r="D2188" t="s">
        <v>3457</v>
      </c>
      <c r="E2188" t="s">
        <v>2760</v>
      </c>
      <c r="F2188" t="s">
        <v>2761</v>
      </c>
      <c r="G2188" t="s">
        <v>2795</v>
      </c>
      <c r="H2188" t="s">
        <v>4657</v>
      </c>
    </row>
    <row r="2189" spans="2:8" x14ac:dyDescent="0.25">
      <c r="B2189" t="s">
        <v>3393</v>
      </c>
      <c r="C2189">
        <v>2022</v>
      </c>
      <c r="D2189" t="s">
        <v>3457</v>
      </c>
      <c r="E2189" t="s">
        <v>2760</v>
      </c>
      <c r="F2189" t="s">
        <v>2761</v>
      </c>
      <c r="G2189" t="s">
        <v>2796</v>
      </c>
      <c r="H2189" t="s">
        <v>4658</v>
      </c>
    </row>
    <row r="2190" spans="2:8" x14ac:dyDescent="0.25">
      <c r="B2190" t="s">
        <v>3393</v>
      </c>
      <c r="C2190">
        <v>2022</v>
      </c>
      <c r="D2190" t="s">
        <v>3457</v>
      </c>
      <c r="E2190" t="s">
        <v>2760</v>
      </c>
      <c r="F2190" t="s">
        <v>2761</v>
      </c>
      <c r="G2190" t="s">
        <v>2797</v>
      </c>
      <c r="H2190" t="s">
        <v>4659</v>
      </c>
    </row>
    <row r="2191" spans="2:8" x14ac:dyDescent="0.25">
      <c r="B2191" t="s">
        <v>3393</v>
      </c>
      <c r="C2191">
        <v>2022</v>
      </c>
      <c r="D2191" t="s">
        <v>3457</v>
      </c>
      <c r="E2191" t="s">
        <v>2760</v>
      </c>
      <c r="F2191" t="s">
        <v>2761</v>
      </c>
      <c r="G2191" t="s">
        <v>2798</v>
      </c>
      <c r="H2191" t="s">
        <v>4660</v>
      </c>
    </row>
    <row r="2192" spans="2:8" x14ac:dyDescent="0.25">
      <c r="B2192" t="s">
        <v>3393</v>
      </c>
      <c r="C2192">
        <v>2022</v>
      </c>
      <c r="D2192" t="s">
        <v>3457</v>
      </c>
      <c r="E2192" t="s">
        <v>2760</v>
      </c>
      <c r="F2192" t="s">
        <v>2761</v>
      </c>
      <c r="G2192" t="s">
        <v>2799</v>
      </c>
      <c r="H2192" t="s">
        <v>4661</v>
      </c>
    </row>
    <row r="2193" spans="2:8" x14ac:dyDescent="0.25">
      <c r="B2193" t="s">
        <v>3393</v>
      </c>
      <c r="C2193">
        <v>2022</v>
      </c>
      <c r="D2193" t="s">
        <v>3457</v>
      </c>
      <c r="E2193" t="s">
        <v>2760</v>
      </c>
      <c r="F2193" t="s">
        <v>2761</v>
      </c>
      <c r="G2193" t="s">
        <v>2800</v>
      </c>
      <c r="H2193" t="s">
        <v>4662</v>
      </c>
    </row>
    <row r="2194" spans="2:8" x14ac:dyDescent="0.25">
      <c r="B2194" t="s">
        <v>3393</v>
      </c>
      <c r="C2194">
        <v>2022</v>
      </c>
      <c r="D2194" t="s">
        <v>3457</v>
      </c>
      <c r="E2194" t="s">
        <v>2760</v>
      </c>
      <c r="F2194" t="s">
        <v>2761</v>
      </c>
      <c r="G2194" t="s">
        <v>2801</v>
      </c>
      <c r="H2194" t="s">
        <v>4663</v>
      </c>
    </row>
    <row r="2195" spans="2:8" x14ac:dyDescent="0.25">
      <c r="B2195" t="s">
        <v>3393</v>
      </c>
      <c r="C2195">
        <v>2022</v>
      </c>
      <c r="D2195" t="s">
        <v>3457</v>
      </c>
      <c r="E2195" t="s">
        <v>2760</v>
      </c>
      <c r="F2195" t="s">
        <v>2761</v>
      </c>
      <c r="G2195" t="s">
        <v>2802</v>
      </c>
      <c r="H2195" t="s">
        <v>4664</v>
      </c>
    </row>
    <row r="2196" spans="2:8" x14ac:dyDescent="0.25">
      <c r="B2196" t="s">
        <v>3393</v>
      </c>
      <c r="C2196">
        <v>2022</v>
      </c>
      <c r="D2196" t="s">
        <v>3457</v>
      </c>
      <c r="E2196" t="s">
        <v>2760</v>
      </c>
      <c r="F2196" t="s">
        <v>2761</v>
      </c>
      <c r="G2196" t="s">
        <v>2803</v>
      </c>
      <c r="H2196" t="s">
        <v>4665</v>
      </c>
    </row>
    <row r="2197" spans="2:8" x14ac:dyDescent="0.25">
      <c r="B2197" t="s">
        <v>3393</v>
      </c>
      <c r="C2197">
        <v>2022</v>
      </c>
      <c r="D2197" t="s">
        <v>3457</v>
      </c>
      <c r="E2197" t="s">
        <v>2760</v>
      </c>
      <c r="F2197" t="s">
        <v>2761</v>
      </c>
      <c r="G2197" t="s">
        <v>2804</v>
      </c>
      <c r="H2197" t="s">
        <v>1993</v>
      </c>
    </row>
    <row r="2198" spans="2:8" x14ac:dyDescent="0.25">
      <c r="B2198" t="s">
        <v>3393</v>
      </c>
      <c r="C2198">
        <v>2022</v>
      </c>
      <c r="D2198" t="s">
        <v>3457</v>
      </c>
      <c r="E2198" t="s">
        <v>2760</v>
      </c>
      <c r="F2198" t="s">
        <v>2761</v>
      </c>
      <c r="G2198" t="s">
        <v>2805</v>
      </c>
      <c r="H2198" t="s">
        <v>4666</v>
      </c>
    </row>
    <row r="2199" spans="2:8" x14ac:dyDescent="0.25">
      <c r="B2199" t="s">
        <v>3393</v>
      </c>
      <c r="C2199">
        <v>2022</v>
      </c>
      <c r="D2199" t="s">
        <v>3457</v>
      </c>
      <c r="E2199" t="s">
        <v>2760</v>
      </c>
      <c r="F2199" t="s">
        <v>2761</v>
      </c>
      <c r="G2199" t="s">
        <v>2806</v>
      </c>
      <c r="H2199" t="s">
        <v>4666</v>
      </c>
    </row>
    <row r="2200" spans="2:8" x14ac:dyDescent="0.25">
      <c r="B2200" t="s">
        <v>3393</v>
      </c>
      <c r="C2200">
        <v>2022</v>
      </c>
      <c r="D2200" t="s">
        <v>3457</v>
      </c>
      <c r="E2200" t="s">
        <v>2760</v>
      </c>
      <c r="F2200" t="s">
        <v>2761</v>
      </c>
      <c r="G2200" t="s">
        <v>2807</v>
      </c>
      <c r="H2200" t="s">
        <v>4608</v>
      </c>
    </row>
    <row r="2201" spans="2:8" x14ac:dyDescent="0.25">
      <c r="B2201" t="s">
        <v>3393</v>
      </c>
      <c r="C2201">
        <v>2022</v>
      </c>
      <c r="D2201" t="s">
        <v>3457</v>
      </c>
      <c r="E2201" t="s">
        <v>2760</v>
      </c>
      <c r="F2201" t="s">
        <v>2761</v>
      </c>
      <c r="G2201" t="s">
        <v>2808</v>
      </c>
      <c r="H2201" t="s">
        <v>1993</v>
      </c>
    </row>
    <row r="2202" spans="2:8" x14ac:dyDescent="0.25">
      <c r="B2202" t="s">
        <v>3393</v>
      </c>
      <c r="C2202">
        <v>2022</v>
      </c>
      <c r="D2202" t="s">
        <v>3457</v>
      </c>
      <c r="E2202" t="s">
        <v>2760</v>
      </c>
      <c r="F2202" t="s">
        <v>2761</v>
      </c>
      <c r="G2202" t="s">
        <v>2809</v>
      </c>
      <c r="H2202" t="s">
        <v>4667</v>
      </c>
    </row>
    <row r="2203" spans="2:8" x14ac:dyDescent="0.25">
      <c r="B2203" t="s">
        <v>3393</v>
      </c>
      <c r="C2203">
        <v>2022</v>
      </c>
      <c r="D2203" t="s">
        <v>3457</v>
      </c>
      <c r="E2203" t="s">
        <v>2760</v>
      </c>
      <c r="F2203" t="s">
        <v>2761</v>
      </c>
      <c r="G2203" t="s">
        <v>2810</v>
      </c>
      <c r="H2203" t="s">
        <v>4667</v>
      </c>
    </row>
    <row r="2204" spans="2:8" x14ac:dyDescent="0.25">
      <c r="B2204" t="s">
        <v>3393</v>
      </c>
      <c r="C2204">
        <v>2022</v>
      </c>
      <c r="D2204" t="s">
        <v>3457</v>
      </c>
      <c r="E2204" t="s">
        <v>2760</v>
      </c>
      <c r="F2204" t="s">
        <v>2761</v>
      </c>
      <c r="G2204" t="s">
        <v>2811</v>
      </c>
      <c r="H2204" t="s">
        <v>4668</v>
      </c>
    </row>
    <row r="2205" spans="2:8" x14ac:dyDescent="0.25">
      <c r="B2205" t="s">
        <v>3393</v>
      </c>
      <c r="C2205">
        <v>2022</v>
      </c>
      <c r="D2205" t="s">
        <v>3457</v>
      </c>
      <c r="E2205" t="s">
        <v>2760</v>
      </c>
      <c r="F2205" t="s">
        <v>2761</v>
      </c>
      <c r="G2205" t="s">
        <v>3010</v>
      </c>
      <c r="H2205" t="s">
        <v>4669</v>
      </c>
    </row>
    <row r="2206" spans="2:8" x14ac:dyDescent="0.25">
      <c r="B2206" t="s">
        <v>3393</v>
      </c>
      <c r="C2206">
        <v>2022</v>
      </c>
      <c r="D2206" t="s">
        <v>3457</v>
      </c>
      <c r="E2206" t="s">
        <v>2760</v>
      </c>
      <c r="F2206" t="s">
        <v>2761</v>
      </c>
      <c r="G2206" t="s">
        <v>3011</v>
      </c>
      <c r="H2206" t="s">
        <v>4670</v>
      </c>
    </row>
    <row r="2207" spans="2:8" x14ac:dyDescent="0.25">
      <c r="B2207" t="s">
        <v>3393</v>
      </c>
      <c r="C2207">
        <v>2022</v>
      </c>
      <c r="D2207" t="s">
        <v>3457</v>
      </c>
      <c r="E2207" t="s">
        <v>2760</v>
      </c>
      <c r="F2207" t="s">
        <v>2761</v>
      </c>
      <c r="G2207" t="s">
        <v>3012</v>
      </c>
      <c r="H2207" t="s">
        <v>4671</v>
      </c>
    </row>
    <row r="2208" spans="2:8" x14ac:dyDescent="0.25">
      <c r="B2208" t="s">
        <v>3393</v>
      </c>
      <c r="C2208">
        <v>2022</v>
      </c>
      <c r="D2208" t="s">
        <v>3457</v>
      </c>
      <c r="E2208" t="s">
        <v>2760</v>
      </c>
      <c r="F2208" t="s">
        <v>2761</v>
      </c>
      <c r="G2208" t="s">
        <v>3013</v>
      </c>
      <c r="H2208" t="s">
        <v>4672</v>
      </c>
    </row>
    <row r="2209" spans="2:8" x14ac:dyDescent="0.25">
      <c r="B2209" t="s">
        <v>3393</v>
      </c>
      <c r="C2209">
        <v>2022</v>
      </c>
      <c r="D2209" t="s">
        <v>3457</v>
      </c>
      <c r="E2209" t="s">
        <v>2760</v>
      </c>
      <c r="F2209" t="s">
        <v>2761</v>
      </c>
      <c r="G2209" t="s">
        <v>3014</v>
      </c>
      <c r="H2209" t="s">
        <v>4673</v>
      </c>
    </row>
    <row r="2210" spans="2:8" x14ac:dyDescent="0.25">
      <c r="B2210" t="s">
        <v>3393</v>
      </c>
      <c r="C2210">
        <v>2022</v>
      </c>
      <c r="D2210" t="s">
        <v>3457</v>
      </c>
      <c r="E2210" t="s">
        <v>2760</v>
      </c>
      <c r="F2210" t="s">
        <v>2761</v>
      </c>
      <c r="G2210" t="s">
        <v>2812</v>
      </c>
      <c r="H2210" t="s">
        <v>4674</v>
      </c>
    </row>
    <row r="2211" spans="2:8" x14ac:dyDescent="0.25">
      <c r="B2211" t="s">
        <v>3393</v>
      </c>
      <c r="C2211">
        <v>2022</v>
      </c>
      <c r="D2211" t="s">
        <v>3457</v>
      </c>
      <c r="E2211" t="s">
        <v>2760</v>
      </c>
      <c r="F2211" t="s">
        <v>2761</v>
      </c>
      <c r="G2211" t="s">
        <v>2813</v>
      </c>
      <c r="H2211" t="s">
        <v>1993</v>
      </c>
    </row>
    <row r="2212" spans="2:8" x14ac:dyDescent="0.25">
      <c r="B2212" t="s">
        <v>3393</v>
      </c>
      <c r="C2212">
        <v>2022</v>
      </c>
      <c r="D2212" t="s">
        <v>3457</v>
      </c>
      <c r="E2212" t="s">
        <v>2760</v>
      </c>
      <c r="F2212" t="s">
        <v>2761</v>
      </c>
      <c r="G2212" t="s">
        <v>2814</v>
      </c>
      <c r="H2212" t="s">
        <v>4675</v>
      </c>
    </row>
    <row r="2213" spans="2:8" x14ac:dyDescent="0.25">
      <c r="B2213" t="s">
        <v>3393</v>
      </c>
      <c r="C2213">
        <v>2022</v>
      </c>
      <c r="D2213" t="s">
        <v>3457</v>
      </c>
      <c r="E2213" t="s">
        <v>2760</v>
      </c>
      <c r="F2213" t="s">
        <v>2761</v>
      </c>
      <c r="G2213" t="s">
        <v>2815</v>
      </c>
      <c r="H2213" t="s">
        <v>4675</v>
      </c>
    </row>
    <row r="2214" spans="2:8" x14ac:dyDescent="0.25">
      <c r="B2214" t="s">
        <v>3393</v>
      </c>
      <c r="C2214">
        <v>2022</v>
      </c>
      <c r="D2214" t="s">
        <v>3457</v>
      </c>
      <c r="E2214" t="s">
        <v>2760</v>
      </c>
      <c r="F2214" t="s">
        <v>2761</v>
      </c>
      <c r="G2214" t="s">
        <v>2816</v>
      </c>
      <c r="H2214" t="s">
        <v>4676</v>
      </c>
    </row>
    <row r="2215" spans="2:8" x14ac:dyDescent="0.25">
      <c r="B2215" t="s">
        <v>3393</v>
      </c>
      <c r="C2215">
        <v>2022</v>
      </c>
      <c r="D2215" t="s">
        <v>3457</v>
      </c>
      <c r="E2215" t="s">
        <v>2760</v>
      </c>
      <c r="F2215" t="s">
        <v>2761</v>
      </c>
      <c r="G2215" t="s">
        <v>2817</v>
      </c>
      <c r="H2215" t="s">
        <v>3432</v>
      </c>
    </row>
    <row r="2216" spans="2:8" x14ac:dyDescent="0.25">
      <c r="B2216" t="s">
        <v>3393</v>
      </c>
      <c r="C2216">
        <v>2022</v>
      </c>
      <c r="D2216" t="s">
        <v>3457</v>
      </c>
      <c r="E2216" t="s">
        <v>2760</v>
      </c>
      <c r="F2216" t="s">
        <v>2761</v>
      </c>
      <c r="G2216" t="s">
        <v>2818</v>
      </c>
      <c r="H2216" t="s">
        <v>1993</v>
      </c>
    </row>
    <row r="2217" spans="2:8" x14ac:dyDescent="0.25">
      <c r="B2217" t="s">
        <v>3393</v>
      </c>
      <c r="C2217">
        <v>2022</v>
      </c>
      <c r="D2217" t="s">
        <v>3457</v>
      </c>
      <c r="E2217" t="s">
        <v>2760</v>
      </c>
      <c r="F2217" t="s">
        <v>2761</v>
      </c>
      <c r="G2217" t="s">
        <v>2819</v>
      </c>
      <c r="H2217" t="s">
        <v>4677</v>
      </c>
    </row>
    <row r="2218" spans="2:8" x14ac:dyDescent="0.25">
      <c r="B2218" t="s">
        <v>3393</v>
      </c>
      <c r="C2218">
        <v>2022</v>
      </c>
      <c r="D2218" t="s">
        <v>3457</v>
      </c>
      <c r="E2218" t="s">
        <v>2760</v>
      </c>
      <c r="F2218" t="s">
        <v>2761</v>
      </c>
      <c r="G2218" t="s">
        <v>2820</v>
      </c>
      <c r="H2218" t="s">
        <v>4677</v>
      </c>
    </row>
    <row r="2219" spans="2:8" x14ac:dyDescent="0.25">
      <c r="B2219" t="s">
        <v>3393</v>
      </c>
      <c r="C2219">
        <v>2022</v>
      </c>
      <c r="D2219" t="s">
        <v>3457</v>
      </c>
      <c r="E2219" t="s">
        <v>2760</v>
      </c>
      <c r="F2219" t="s">
        <v>2761</v>
      </c>
      <c r="G2219" t="s">
        <v>2821</v>
      </c>
      <c r="H2219" t="s">
        <v>4678</v>
      </c>
    </row>
    <row r="2220" spans="2:8" x14ac:dyDescent="0.25">
      <c r="B2220" t="s">
        <v>3393</v>
      </c>
      <c r="C2220">
        <v>2022</v>
      </c>
      <c r="D2220" t="s">
        <v>3457</v>
      </c>
      <c r="E2220" t="s">
        <v>2760</v>
      </c>
      <c r="F2220" t="s">
        <v>2761</v>
      </c>
      <c r="G2220" t="s">
        <v>3017</v>
      </c>
      <c r="H2220" t="s">
        <v>4679</v>
      </c>
    </row>
    <row r="2221" spans="2:8" x14ac:dyDescent="0.25">
      <c r="B2221" t="s">
        <v>3393</v>
      </c>
      <c r="C2221">
        <v>2022</v>
      </c>
      <c r="D2221" t="s">
        <v>3457</v>
      </c>
      <c r="E2221" t="s">
        <v>2760</v>
      </c>
      <c r="F2221" t="s">
        <v>2761</v>
      </c>
      <c r="G2221" t="s">
        <v>3018</v>
      </c>
      <c r="H2221" t="s">
        <v>4680</v>
      </c>
    </row>
    <row r="2222" spans="2:8" x14ac:dyDescent="0.25">
      <c r="B2222" t="s">
        <v>3393</v>
      </c>
      <c r="C2222">
        <v>2022</v>
      </c>
      <c r="D2222" t="s">
        <v>3457</v>
      </c>
      <c r="E2222" t="s">
        <v>2760</v>
      </c>
      <c r="F2222" t="s">
        <v>2761</v>
      </c>
      <c r="G2222" t="s">
        <v>3019</v>
      </c>
      <c r="H2222" t="s">
        <v>4681</v>
      </c>
    </row>
    <row r="2223" spans="2:8" x14ac:dyDescent="0.25">
      <c r="B2223" t="s">
        <v>3393</v>
      </c>
      <c r="C2223">
        <v>2022</v>
      </c>
      <c r="D2223" t="s">
        <v>3457</v>
      </c>
      <c r="E2223" t="s">
        <v>2760</v>
      </c>
      <c r="F2223" t="s">
        <v>2761</v>
      </c>
      <c r="G2223" t="s">
        <v>3020</v>
      </c>
      <c r="H2223" t="s">
        <v>4682</v>
      </c>
    </row>
    <row r="2224" spans="2:8" x14ac:dyDescent="0.25">
      <c r="B2224" t="s">
        <v>3393</v>
      </c>
      <c r="C2224">
        <v>2022</v>
      </c>
      <c r="D2224" t="s">
        <v>3457</v>
      </c>
      <c r="E2224" t="s">
        <v>2760</v>
      </c>
      <c r="F2224" t="s">
        <v>2761</v>
      </c>
      <c r="G2224" t="s">
        <v>3021</v>
      </c>
      <c r="H2224" t="s">
        <v>4683</v>
      </c>
    </row>
    <row r="2225" spans="2:8" x14ac:dyDescent="0.25">
      <c r="B2225" t="s">
        <v>3393</v>
      </c>
      <c r="C2225">
        <v>2022</v>
      </c>
      <c r="D2225" t="s">
        <v>3457</v>
      </c>
      <c r="E2225" t="s">
        <v>2760</v>
      </c>
      <c r="F2225" t="s">
        <v>2761</v>
      </c>
      <c r="G2225" t="s">
        <v>3022</v>
      </c>
      <c r="H2225" t="s">
        <v>4684</v>
      </c>
    </row>
    <row r="2226" spans="2:8" x14ac:dyDescent="0.25">
      <c r="B2226" t="s">
        <v>3393</v>
      </c>
      <c r="C2226">
        <v>2022</v>
      </c>
      <c r="D2226" t="s">
        <v>3457</v>
      </c>
      <c r="E2226" t="s">
        <v>2760</v>
      </c>
      <c r="F2226" t="s">
        <v>2761</v>
      </c>
      <c r="G2226" t="s">
        <v>3023</v>
      </c>
      <c r="H2226" t="s">
        <v>1993</v>
      </c>
    </row>
    <row r="2227" spans="2:8" x14ac:dyDescent="0.25">
      <c r="B2227" t="s">
        <v>3393</v>
      </c>
      <c r="C2227">
        <v>2022</v>
      </c>
      <c r="D2227" t="s">
        <v>3457</v>
      </c>
      <c r="E2227" t="s">
        <v>2760</v>
      </c>
      <c r="F2227" t="s">
        <v>2761</v>
      </c>
      <c r="G2227" t="s">
        <v>3024</v>
      </c>
      <c r="H2227" t="s">
        <v>4685</v>
      </c>
    </row>
    <row r="2228" spans="2:8" x14ac:dyDescent="0.25">
      <c r="B2228" t="s">
        <v>3393</v>
      </c>
      <c r="C2228">
        <v>2022</v>
      </c>
      <c r="D2228" t="s">
        <v>3457</v>
      </c>
      <c r="E2228" t="s">
        <v>2760</v>
      </c>
      <c r="F2228" t="s">
        <v>2761</v>
      </c>
      <c r="G2228" t="s">
        <v>3025</v>
      </c>
      <c r="H2228" t="s">
        <v>4685</v>
      </c>
    </row>
    <row r="2229" spans="2:8" x14ac:dyDescent="0.25">
      <c r="B2229" t="s">
        <v>3393</v>
      </c>
      <c r="C2229">
        <v>2022</v>
      </c>
      <c r="D2229" t="s">
        <v>3457</v>
      </c>
      <c r="E2229" t="s">
        <v>2760</v>
      </c>
      <c r="F2229" t="s">
        <v>2761</v>
      </c>
      <c r="G2229" t="s">
        <v>3026</v>
      </c>
      <c r="H2229" t="s">
        <v>4686</v>
      </c>
    </row>
    <row r="2230" spans="2:8" x14ac:dyDescent="0.25">
      <c r="B2230" t="s">
        <v>3393</v>
      </c>
      <c r="C2230">
        <v>2022</v>
      </c>
      <c r="D2230" t="s">
        <v>3457</v>
      </c>
      <c r="E2230" t="s">
        <v>2760</v>
      </c>
      <c r="F2230" t="s">
        <v>2761</v>
      </c>
      <c r="G2230" t="s">
        <v>3027</v>
      </c>
      <c r="H2230" t="s">
        <v>4687</v>
      </c>
    </row>
    <row r="2231" spans="2:8" x14ac:dyDescent="0.25">
      <c r="B2231" t="s">
        <v>3393</v>
      </c>
      <c r="C2231">
        <v>2022</v>
      </c>
      <c r="D2231" t="s">
        <v>3457</v>
      </c>
      <c r="E2231" t="s">
        <v>2760</v>
      </c>
      <c r="F2231" t="s">
        <v>2761</v>
      </c>
      <c r="G2231" t="s">
        <v>3028</v>
      </c>
      <c r="H2231" t="s">
        <v>4688</v>
      </c>
    </row>
    <row r="2232" spans="2:8" x14ac:dyDescent="0.25">
      <c r="B2232" t="s">
        <v>3393</v>
      </c>
      <c r="C2232">
        <v>2022</v>
      </c>
      <c r="D2232" t="s">
        <v>3457</v>
      </c>
      <c r="E2232" t="s">
        <v>2760</v>
      </c>
      <c r="F2232" t="s">
        <v>2761</v>
      </c>
      <c r="G2232" t="s">
        <v>3029</v>
      </c>
      <c r="H2232" t="s">
        <v>4689</v>
      </c>
    </row>
    <row r="2233" spans="2:8" x14ac:dyDescent="0.25">
      <c r="B2233" t="s">
        <v>3393</v>
      </c>
      <c r="C2233">
        <v>2022</v>
      </c>
      <c r="D2233" t="s">
        <v>3457</v>
      </c>
      <c r="E2233" t="s">
        <v>2760</v>
      </c>
      <c r="F2233" t="s">
        <v>2761</v>
      </c>
      <c r="G2233" t="s">
        <v>3030</v>
      </c>
      <c r="H2233" t="s">
        <v>4690</v>
      </c>
    </row>
    <row r="2234" spans="2:8" x14ac:dyDescent="0.25">
      <c r="B2234" t="s">
        <v>3393</v>
      </c>
      <c r="C2234">
        <v>2022</v>
      </c>
      <c r="D2234" t="s">
        <v>3457</v>
      </c>
      <c r="E2234" t="s">
        <v>2760</v>
      </c>
      <c r="F2234" t="s">
        <v>2761</v>
      </c>
      <c r="G2234" t="s">
        <v>3031</v>
      </c>
      <c r="H2234" t="s">
        <v>4691</v>
      </c>
    </row>
    <row r="2235" spans="2:8" x14ac:dyDescent="0.25">
      <c r="B2235" t="s">
        <v>3393</v>
      </c>
      <c r="C2235">
        <v>2022</v>
      </c>
      <c r="D2235" t="s">
        <v>3457</v>
      </c>
      <c r="E2235" t="s">
        <v>2760</v>
      </c>
      <c r="F2235" t="s">
        <v>2761</v>
      </c>
      <c r="G2235" t="s">
        <v>2822</v>
      </c>
      <c r="H2235" t="s">
        <v>4692</v>
      </c>
    </row>
    <row r="2236" spans="2:8" x14ac:dyDescent="0.25">
      <c r="B2236" t="s">
        <v>3393</v>
      </c>
      <c r="C2236">
        <v>2022</v>
      </c>
      <c r="D2236" t="s">
        <v>3457</v>
      </c>
      <c r="E2236" t="s">
        <v>2760</v>
      </c>
      <c r="F2236" t="s">
        <v>2761</v>
      </c>
      <c r="G2236" t="s">
        <v>2823</v>
      </c>
      <c r="H2236" t="s">
        <v>1993</v>
      </c>
    </row>
    <row r="2237" spans="2:8" x14ac:dyDescent="0.25">
      <c r="B2237" t="s">
        <v>3393</v>
      </c>
      <c r="C2237">
        <v>2022</v>
      </c>
      <c r="D2237" t="s">
        <v>3457</v>
      </c>
      <c r="E2237" t="s">
        <v>2760</v>
      </c>
      <c r="F2237" t="s">
        <v>2761</v>
      </c>
      <c r="G2237" t="s">
        <v>2824</v>
      </c>
      <c r="H2237" t="s">
        <v>4693</v>
      </c>
    </row>
    <row r="2238" spans="2:8" x14ac:dyDescent="0.25">
      <c r="B2238" t="s">
        <v>3393</v>
      </c>
      <c r="C2238">
        <v>2022</v>
      </c>
      <c r="D2238" t="s">
        <v>3457</v>
      </c>
      <c r="E2238" t="s">
        <v>2760</v>
      </c>
      <c r="F2238" t="s">
        <v>2761</v>
      </c>
      <c r="G2238" t="s">
        <v>2825</v>
      </c>
      <c r="H2238" t="s">
        <v>4694</v>
      </c>
    </row>
    <row r="2239" spans="2:8" x14ac:dyDescent="0.25">
      <c r="B2239" t="s">
        <v>3393</v>
      </c>
      <c r="C2239">
        <v>2022</v>
      </c>
      <c r="D2239" t="s">
        <v>3457</v>
      </c>
      <c r="E2239" t="s">
        <v>2760</v>
      </c>
      <c r="F2239" t="s">
        <v>2761</v>
      </c>
      <c r="G2239" t="s">
        <v>2826</v>
      </c>
      <c r="H2239" t="s">
        <v>4695</v>
      </c>
    </row>
    <row r="2240" spans="2:8" x14ac:dyDescent="0.25">
      <c r="B2240" t="s">
        <v>3393</v>
      </c>
      <c r="C2240">
        <v>2022</v>
      </c>
      <c r="D2240" t="s">
        <v>3457</v>
      </c>
      <c r="E2240" t="s">
        <v>2760</v>
      </c>
      <c r="F2240" t="s">
        <v>2761</v>
      </c>
      <c r="G2240" t="s">
        <v>2827</v>
      </c>
      <c r="H2240" t="s">
        <v>1993</v>
      </c>
    </row>
    <row r="2241" spans="2:8" x14ac:dyDescent="0.25">
      <c r="B2241" t="s">
        <v>3393</v>
      </c>
      <c r="C2241">
        <v>2022</v>
      </c>
      <c r="D2241" t="s">
        <v>3457</v>
      </c>
      <c r="E2241" t="s">
        <v>2760</v>
      </c>
      <c r="F2241" t="s">
        <v>2761</v>
      </c>
      <c r="G2241" t="s">
        <v>2828</v>
      </c>
      <c r="H2241" t="s">
        <v>1993</v>
      </c>
    </row>
    <row r="2242" spans="2:8" x14ac:dyDescent="0.25">
      <c r="B2242" t="s">
        <v>3393</v>
      </c>
      <c r="C2242">
        <v>2022</v>
      </c>
      <c r="D2242" t="s">
        <v>3457</v>
      </c>
      <c r="E2242" t="s">
        <v>2760</v>
      </c>
      <c r="F2242" t="s">
        <v>2761</v>
      </c>
      <c r="G2242" t="s">
        <v>2829</v>
      </c>
      <c r="H2242" t="s">
        <v>1993</v>
      </c>
    </row>
    <row r="2243" spans="2:8" x14ac:dyDescent="0.25">
      <c r="B2243" t="s">
        <v>3393</v>
      </c>
      <c r="C2243">
        <v>2022</v>
      </c>
      <c r="D2243" t="s">
        <v>3457</v>
      </c>
      <c r="E2243" t="s">
        <v>2760</v>
      </c>
      <c r="F2243" t="s">
        <v>2761</v>
      </c>
      <c r="G2243" t="s">
        <v>2830</v>
      </c>
      <c r="H2243" t="s">
        <v>1993</v>
      </c>
    </row>
    <row r="2244" spans="2:8" x14ac:dyDescent="0.25">
      <c r="B2244" t="s">
        <v>3393</v>
      </c>
      <c r="C2244">
        <v>2022</v>
      </c>
      <c r="D2244" t="s">
        <v>3457</v>
      </c>
      <c r="E2244" t="s">
        <v>2760</v>
      </c>
      <c r="F2244" t="s">
        <v>2761</v>
      </c>
      <c r="G2244" t="s">
        <v>2831</v>
      </c>
      <c r="H2244" t="s">
        <v>1993</v>
      </c>
    </row>
    <row r="2245" spans="2:8" x14ac:dyDescent="0.25">
      <c r="B2245" t="s">
        <v>3393</v>
      </c>
      <c r="C2245">
        <v>2022</v>
      </c>
      <c r="D2245" t="s">
        <v>3457</v>
      </c>
      <c r="E2245" t="s">
        <v>2760</v>
      </c>
      <c r="F2245" t="s">
        <v>2761</v>
      </c>
      <c r="G2245" t="s">
        <v>2832</v>
      </c>
      <c r="H2245" t="s">
        <v>4696</v>
      </c>
    </row>
    <row r="2246" spans="2:8" x14ac:dyDescent="0.25">
      <c r="B2246" t="s">
        <v>3393</v>
      </c>
      <c r="C2246">
        <v>2022</v>
      </c>
      <c r="D2246" t="s">
        <v>3457</v>
      </c>
      <c r="E2246" t="s">
        <v>2760</v>
      </c>
      <c r="F2246" t="s">
        <v>2761</v>
      </c>
      <c r="G2246" t="s">
        <v>2833</v>
      </c>
      <c r="H2246" t="s">
        <v>4697</v>
      </c>
    </row>
    <row r="2247" spans="2:8" x14ac:dyDescent="0.25">
      <c r="B2247" t="s">
        <v>3393</v>
      </c>
      <c r="C2247">
        <v>2022</v>
      </c>
      <c r="D2247" t="s">
        <v>3457</v>
      </c>
      <c r="E2247" t="s">
        <v>2760</v>
      </c>
      <c r="F2247" t="s">
        <v>2761</v>
      </c>
      <c r="G2247" t="s">
        <v>2834</v>
      </c>
      <c r="H2247" t="s">
        <v>4698</v>
      </c>
    </row>
    <row r="2248" spans="2:8" x14ac:dyDescent="0.25">
      <c r="B2248" t="s">
        <v>3393</v>
      </c>
      <c r="C2248">
        <v>2022</v>
      </c>
      <c r="D2248" t="s">
        <v>3457</v>
      </c>
      <c r="E2248" t="s">
        <v>2760</v>
      </c>
      <c r="F2248" t="s">
        <v>2761</v>
      </c>
      <c r="G2248" t="s">
        <v>2835</v>
      </c>
      <c r="H2248" t="s">
        <v>4699</v>
      </c>
    </row>
    <row r="2249" spans="2:8" x14ac:dyDescent="0.25">
      <c r="B2249" t="s">
        <v>3393</v>
      </c>
      <c r="C2249">
        <v>2022</v>
      </c>
      <c r="D2249" t="s">
        <v>3457</v>
      </c>
      <c r="E2249" t="s">
        <v>2760</v>
      </c>
      <c r="F2249" t="s">
        <v>2761</v>
      </c>
      <c r="G2249" t="s">
        <v>2836</v>
      </c>
      <c r="H2249" t="s">
        <v>4700</v>
      </c>
    </row>
    <row r="2250" spans="2:8" x14ac:dyDescent="0.25">
      <c r="B2250" t="s">
        <v>3393</v>
      </c>
      <c r="C2250">
        <v>2022</v>
      </c>
      <c r="D2250" t="s">
        <v>3457</v>
      </c>
      <c r="E2250" t="s">
        <v>2760</v>
      </c>
      <c r="F2250" t="s">
        <v>2761</v>
      </c>
      <c r="G2250" t="s">
        <v>2837</v>
      </c>
      <c r="H2250" t="s">
        <v>4701</v>
      </c>
    </row>
    <row r="2251" spans="2:8" x14ac:dyDescent="0.25">
      <c r="B2251" t="s">
        <v>3393</v>
      </c>
      <c r="C2251">
        <v>2022</v>
      </c>
      <c r="D2251" t="s">
        <v>3457</v>
      </c>
      <c r="E2251" t="s">
        <v>2760</v>
      </c>
      <c r="F2251" t="s">
        <v>2761</v>
      </c>
      <c r="G2251" t="s">
        <v>2838</v>
      </c>
      <c r="H2251" t="s">
        <v>4702</v>
      </c>
    </row>
    <row r="2252" spans="2:8" x14ac:dyDescent="0.25">
      <c r="B2252" t="s">
        <v>3393</v>
      </c>
      <c r="C2252">
        <v>2022</v>
      </c>
      <c r="D2252" t="s">
        <v>3457</v>
      </c>
      <c r="E2252" t="s">
        <v>2760</v>
      </c>
      <c r="F2252" t="s">
        <v>2761</v>
      </c>
      <c r="G2252" t="s">
        <v>2839</v>
      </c>
      <c r="H2252" t="s">
        <v>4703</v>
      </c>
    </row>
    <row r="2253" spans="2:8" x14ac:dyDescent="0.25">
      <c r="B2253" t="s">
        <v>3393</v>
      </c>
      <c r="C2253">
        <v>2022</v>
      </c>
      <c r="D2253" t="s">
        <v>3457</v>
      </c>
      <c r="E2253" t="s">
        <v>2760</v>
      </c>
      <c r="F2253" t="s">
        <v>2761</v>
      </c>
      <c r="G2253" t="s">
        <v>2840</v>
      </c>
      <c r="H2253" t="s">
        <v>4704</v>
      </c>
    </row>
    <row r="2254" spans="2:8" x14ac:dyDescent="0.25">
      <c r="B2254" t="s">
        <v>3393</v>
      </c>
      <c r="C2254">
        <v>2022</v>
      </c>
      <c r="D2254" t="s">
        <v>3457</v>
      </c>
      <c r="E2254" t="s">
        <v>2760</v>
      </c>
      <c r="F2254" t="s">
        <v>2761</v>
      </c>
      <c r="G2254" t="s">
        <v>2841</v>
      </c>
      <c r="H2254" t="s">
        <v>4705</v>
      </c>
    </row>
    <row r="2255" spans="2:8" x14ac:dyDescent="0.25">
      <c r="B2255" t="s">
        <v>3393</v>
      </c>
      <c r="C2255">
        <v>2022</v>
      </c>
      <c r="D2255" t="s">
        <v>3457</v>
      </c>
      <c r="E2255" t="s">
        <v>2760</v>
      </c>
      <c r="F2255" t="s">
        <v>2761</v>
      </c>
      <c r="G2255" t="s">
        <v>2842</v>
      </c>
      <c r="H2255" t="s">
        <v>4706</v>
      </c>
    </row>
    <row r="2256" spans="2:8" x14ac:dyDescent="0.25">
      <c r="B2256" t="s">
        <v>3393</v>
      </c>
      <c r="C2256">
        <v>2022</v>
      </c>
      <c r="D2256" t="s">
        <v>3457</v>
      </c>
      <c r="E2256" t="s">
        <v>2760</v>
      </c>
      <c r="F2256" t="s">
        <v>2761</v>
      </c>
      <c r="G2256" t="s">
        <v>2843</v>
      </c>
      <c r="H2256" t="s">
        <v>3113</v>
      </c>
    </row>
    <row r="2257" spans="2:8" x14ac:dyDescent="0.25">
      <c r="B2257" t="s">
        <v>3393</v>
      </c>
      <c r="C2257">
        <v>2022</v>
      </c>
      <c r="D2257" t="s">
        <v>3457</v>
      </c>
      <c r="E2257" t="s">
        <v>2760</v>
      </c>
      <c r="F2257" t="s">
        <v>2761</v>
      </c>
      <c r="G2257" t="s">
        <v>2844</v>
      </c>
      <c r="H2257" t="s">
        <v>4707</v>
      </c>
    </row>
    <row r="2258" spans="2:8" x14ac:dyDescent="0.25">
      <c r="B2258" t="s">
        <v>3393</v>
      </c>
      <c r="C2258">
        <v>2022</v>
      </c>
      <c r="D2258" t="s">
        <v>3457</v>
      </c>
      <c r="E2258" t="s">
        <v>2760</v>
      </c>
      <c r="F2258" t="s">
        <v>2761</v>
      </c>
      <c r="G2258" t="s">
        <v>2845</v>
      </c>
      <c r="H2258" t="s">
        <v>4708</v>
      </c>
    </row>
    <row r="2259" spans="2:8" x14ac:dyDescent="0.25">
      <c r="B2259" t="s">
        <v>3393</v>
      </c>
      <c r="C2259">
        <v>2022</v>
      </c>
      <c r="D2259" t="s">
        <v>3457</v>
      </c>
      <c r="E2259" t="s">
        <v>2760</v>
      </c>
      <c r="F2259" t="s">
        <v>2761</v>
      </c>
      <c r="G2259" t="s">
        <v>2846</v>
      </c>
      <c r="H2259" t="s">
        <v>4709</v>
      </c>
    </row>
    <row r="2260" spans="2:8" x14ac:dyDescent="0.25">
      <c r="B2260" t="s">
        <v>3393</v>
      </c>
      <c r="C2260">
        <v>2022</v>
      </c>
      <c r="D2260" t="s">
        <v>3457</v>
      </c>
      <c r="E2260" t="s">
        <v>2847</v>
      </c>
      <c r="F2260" t="s">
        <v>2848</v>
      </c>
      <c r="G2260" t="s">
        <v>2849</v>
      </c>
      <c r="H2260" t="s">
        <v>4705</v>
      </c>
    </row>
    <row r="2261" spans="2:8" x14ac:dyDescent="0.25">
      <c r="B2261" t="s">
        <v>3393</v>
      </c>
      <c r="C2261">
        <v>2022</v>
      </c>
      <c r="D2261" t="s">
        <v>3457</v>
      </c>
      <c r="E2261" t="s">
        <v>2847</v>
      </c>
      <c r="F2261" t="s">
        <v>2848</v>
      </c>
      <c r="G2261" t="s">
        <v>2850</v>
      </c>
      <c r="H2261" t="s">
        <v>4710</v>
      </c>
    </row>
    <row r="2262" spans="2:8" x14ac:dyDescent="0.25">
      <c r="B2262" t="s">
        <v>3393</v>
      </c>
      <c r="C2262">
        <v>2022</v>
      </c>
      <c r="D2262" t="s">
        <v>3457</v>
      </c>
      <c r="E2262" t="s">
        <v>2851</v>
      </c>
      <c r="F2262" t="s">
        <v>2852</v>
      </c>
      <c r="G2262" t="s">
        <v>2853</v>
      </c>
      <c r="H2262" t="s">
        <v>4711</v>
      </c>
    </row>
    <row r="2263" spans="2:8" x14ac:dyDescent="0.25">
      <c r="B2263" t="s">
        <v>3393</v>
      </c>
      <c r="C2263">
        <v>2022</v>
      </c>
      <c r="D2263" t="s">
        <v>3457</v>
      </c>
      <c r="E2263" t="s">
        <v>2854</v>
      </c>
      <c r="F2263" t="s">
        <v>2855</v>
      </c>
      <c r="G2263" t="s">
        <v>2856</v>
      </c>
      <c r="H2263" t="s">
        <v>4712</v>
      </c>
    </row>
    <row r="2264" spans="2:8" x14ac:dyDescent="0.25">
      <c r="B2264" t="s">
        <v>3393</v>
      </c>
      <c r="C2264">
        <v>2022</v>
      </c>
      <c r="D2264" t="s">
        <v>3457</v>
      </c>
      <c r="E2264" t="s">
        <v>2857</v>
      </c>
      <c r="F2264" t="s">
        <v>2858</v>
      </c>
      <c r="G2264" t="s">
        <v>2859</v>
      </c>
      <c r="H2264" t="s">
        <v>4702</v>
      </c>
    </row>
    <row r="2265" spans="2:8" x14ac:dyDescent="0.25">
      <c r="B2265" t="s">
        <v>3393</v>
      </c>
      <c r="C2265">
        <v>2022</v>
      </c>
      <c r="D2265" t="s">
        <v>3457</v>
      </c>
      <c r="E2265" t="s">
        <v>2860</v>
      </c>
      <c r="F2265" t="s">
        <v>2861</v>
      </c>
      <c r="G2265" t="s">
        <v>2862</v>
      </c>
      <c r="H2265" t="s">
        <v>1993</v>
      </c>
    </row>
    <row r="2266" spans="2:8" x14ac:dyDescent="0.25">
      <c r="B2266" t="s">
        <v>3393</v>
      </c>
      <c r="C2266">
        <v>2022</v>
      </c>
      <c r="D2266" t="s">
        <v>3457</v>
      </c>
      <c r="E2266" t="s">
        <v>2860</v>
      </c>
      <c r="F2266" t="s">
        <v>2861</v>
      </c>
      <c r="G2266" t="s">
        <v>2863</v>
      </c>
      <c r="H2266" t="s">
        <v>4713</v>
      </c>
    </row>
    <row r="2267" spans="2:8" x14ac:dyDescent="0.25">
      <c r="B2267" t="s">
        <v>3393</v>
      </c>
      <c r="C2267">
        <v>2022</v>
      </c>
      <c r="D2267" t="s">
        <v>3457</v>
      </c>
      <c r="E2267" t="s">
        <v>3286</v>
      </c>
      <c r="F2267" t="s">
        <v>3287</v>
      </c>
      <c r="G2267" t="s">
        <v>3288</v>
      </c>
      <c r="H2267" t="s">
        <v>1993</v>
      </c>
    </row>
    <row r="2268" spans="2:8" x14ac:dyDescent="0.25">
      <c r="B2268" t="s">
        <v>3393</v>
      </c>
      <c r="C2268">
        <v>2022</v>
      </c>
      <c r="D2268" t="s">
        <v>3457</v>
      </c>
      <c r="E2268" t="s">
        <v>3286</v>
      </c>
      <c r="F2268" t="s">
        <v>3287</v>
      </c>
      <c r="G2268" t="s">
        <v>3312</v>
      </c>
      <c r="H2268" t="s">
        <v>4714</v>
      </c>
    </row>
    <row r="2269" spans="2:8" x14ac:dyDescent="0.25">
      <c r="B2269" t="s">
        <v>3393</v>
      </c>
      <c r="C2269">
        <v>2022</v>
      </c>
      <c r="D2269" t="s">
        <v>3457</v>
      </c>
      <c r="E2269" t="s">
        <v>2864</v>
      </c>
      <c r="F2269" t="s">
        <v>2865</v>
      </c>
      <c r="G2269" t="s">
        <v>2866</v>
      </c>
      <c r="H2269" t="s">
        <v>4715</v>
      </c>
    </row>
    <row r="2270" spans="2:8" x14ac:dyDescent="0.25">
      <c r="B2270" t="s">
        <v>3393</v>
      </c>
      <c r="C2270">
        <v>2022</v>
      </c>
      <c r="D2270" t="s">
        <v>3457</v>
      </c>
      <c r="E2270" t="s">
        <v>2864</v>
      </c>
      <c r="F2270" t="s">
        <v>2865</v>
      </c>
      <c r="G2270" t="s">
        <v>2409</v>
      </c>
      <c r="H2270" t="s">
        <v>4716</v>
      </c>
    </row>
    <row r="2271" spans="2:8" x14ac:dyDescent="0.25">
      <c r="B2271" t="s">
        <v>3393</v>
      </c>
      <c r="C2271">
        <v>2022</v>
      </c>
      <c r="D2271" t="s">
        <v>3457</v>
      </c>
      <c r="E2271" t="s">
        <v>2864</v>
      </c>
      <c r="F2271" t="s">
        <v>2865</v>
      </c>
      <c r="G2271" t="s">
        <v>2867</v>
      </c>
      <c r="H2271" t="s">
        <v>4717</v>
      </c>
    </row>
    <row r="2272" spans="2:8" x14ac:dyDescent="0.25">
      <c r="B2272" t="s">
        <v>3393</v>
      </c>
      <c r="C2272">
        <v>2022</v>
      </c>
      <c r="D2272" t="s">
        <v>3457</v>
      </c>
      <c r="E2272" t="s">
        <v>2868</v>
      </c>
      <c r="F2272" t="s">
        <v>2869</v>
      </c>
      <c r="G2272" t="s">
        <v>2870</v>
      </c>
      <c r="H2272" t="s">
        <v>3727</v>
      </c>
    </row>
    <row r="2273" spans="2:8" x14ac:dyDescent="0.25">
      <c r="B2273" t="s">
        <v>3393</v>
      </c>
      <c r="C2273">
        <v>2022</v>
      </c>
      <c r="D2273" t="s">
        <v>3457</v>
      </c>
      <c r="E2273" t="s">
        <v>2871</v>
      </c>
      <c r="F2273" t="s">
        <v>2872</v>
      </c>
      <c r="G2273" t="s">
        <v>2873</v>
      </c>
      <c r="H2273" t="s">
        <v>4718</v>
      </c>
    </row>
    <row r="2274" spans="2:8" x14ac:dyDescent="0.25">
      <c r="B2274" t="s">
        <v>3393</v>
      </c>
      <c r="C2274">
        <v>2022</v>
      </c>
      <c r="D2274" t="s">
        <v>3457</v>
      </c>
      <c r="E2274" t="s">
        <v>2871</v>
      </c>
      <c r="F2274" t="s">
        <v>2872</v>
      </c>
      <c r="G2274" t="s">
        <v>2874</v>
      </c>
      <c r="H2274" t="s">
        <v>4719</v>
      </c>
    </row>
    <row r="2275" spans="2:8" x14ac:dyDescent="0.25">
      <c r="B2275" t="s">
        <v>3393</v>
      </c>
      <c r="C2275">
        <v>2022</v>
      </c>
      <c r="D2275" t="s">
        <v>3457</v>
      </c>
      <c r="E2275" t="s">
        <v>2871</v>
      </c>
      <c r="F2275" t="s">
        <v>2872</v>
      </c>
      <c r="G2275" t="s">
        <v>2875</v>
      </c>
      <c r="H2275" t="s">
        <v>3730</v>
      </c>
    </row>
    <row r="2276" spans="2:8" x14ac:dyDescent="0.25">
      <c r="B2276" t="s">
        <v>3393</v>
      </c>
      <c r="C2276">
        <v>2022</v>
      </c>
      <c r="D2276" t="s">
        <v>3457</v>
      </c>
      <c r="E2276" t="s">
        <v>2871</v>
      </c>
      <c r="F2276" t="s">
        <v>2872</v>
      </c>
      <c r="G2276" t="s">
        <v>2876</v>
      </c>
      <c r="H2276" t="s">
        <v>4720</v>
      </c>
    </row>
    <row r="2277" spans="2:8" x14ac:dyDescent="0.25">
      <c r="B2277" t="s">
        <v>3393</v>
      </c>
      <c r="C2277">
        <v>2022</v>
      </c>
      <c r="D2277" t="s">
        <v>3457</v>
      </c>
      <c r="E2277" t="s">
        <v>2871</v>
      </c>
      <c r="F2277" t="s">
        <v>2872</v>
      </c>
      <c r="G2277" t="s">
        <v>2877</v>
      </c>
      <c r="H2277" t="s">
        <v>4721</v>
      </c>
    </row>
    <row r="2278" spans="2:8" x14ac:dyDescent="0.25">
      <c r="B2278" t="s">
        <v>3393</v>
      </c>
      <c r="C2278">
        <v>2022</v>
      </c>
      <c r="D2278" t="s">
        <v>3457</v>
      </c>
      <c r="E2278" t="s">
        <v>2871</v>
      </c>
      <c r="F2278" t="s">
        <v>2872</v>
      </c>
      <c r="G2278" t="s">
        <v>608</v>
      </c>
      <c r="H2278" t="s">
        <v>4722</v>
      </c>
    </row>
    <row r="2279" spans="2:8" x14ac:dyDescent="0.25">
      <c r="B2279" t="s">
        <v>3393</v>
      </c>
      <c r="C2279">
        <v>2022</v>
      </c>
      <c r="D2279" t="s">
        <v>3457</v>
      </c>
      <c r="E2279" t="s">
        <v>2878</v>
      </c>
      <c r="F2279" t="s">
        <v>2879</v>
      </c>
      <c r="G2279" t="s">
        <v>2880</v>
      </c>
      <c r="H2279" t="s">
        <v>4723</v>
      </c>
    </row>
    <row r="2280" spans="2:8" x14ac:dyDescent="0.25">
      <c r="B2280" t="s">
        <v>3393</v>
      </c>
      <c r="C2280">
        <v>2022</v>
      </c>
      <c r="D2280" t="s">
        <v>3457</v>
      </c>
      <c r="E2280" t="s">
        <v>2878</v>
      </c>
      <c r="F2280" t="s">
        <v>2879</v>
      </c>
      <c r="G2280" t="s">
        <v>2881</v>
      </c>
      <c r="H2280" t="s">
        <v>4724</v>
      </c>
    </row>
    <row r="2281" spans="2:8" x14ac:dyDescent="0.25">
      <c r="B2281" t="s">
        <v>3393</v>
      </c>
      <c r="C2281">
        <v>2022</v>
      </c>
      <c r="D2281" t="s">
        <v>3457</v>
      </c>
      <c r="E2281" t="s">
        <v>2878</v>
      </c>
      <c r="F2281" t="s">
        <v>2879</v>
      </c>
      <c r="G2281" t="s">
        <v>2882</v>
      </c>
      <c r="H2281" t="s">
        <v>4725</v>
      </c>
    </row>
    <row r="2282" spans="2:8" x14ac:dyDescent="0.25">
      <c r="B2282" t="s">
        <v>3393</v>
      </c>
      <c r="C2282">
        <v>2022</v>
      </c>
      <c r="D2282" t="s">
        <v>3457</v>
      </c>
      <c r="E2282" t="s">
        <v>2878</v>
      </c>
      <c r="F2282" t="s">
        <v>2879</v>
      </c>
      <c r="G2282" t="s">
        <v>281</v>
      </c>
      <c r="H2282" t="s">
        <v>3284</v>
      </c>
    </row>
    <row r="2283" spans="2:8" x14ac:dyDescent="0.25">
      <c r="B2283" t="s">
        <v>3393</v>
      </c>
      <c r="C2283">
        <v>2022</v>
      </c>
      <c r="D2283" t="s">
        <v>3457</v>
      </c>
      <c r="E2283" t="s">
        <v>2878</v>
      </c>
      <c r="F2283" t="s">
        <v>2879</v>
      </c>
      <c r="G2283" t="s">
        <v>2883</v>
      </c>
      <c r="H2283" t="s">
        <v>4726</v>
      </c>
    </row>
    <row r="2284" spans="2:8" x14ac:dyDescent="0.25">
      <c r="B2284" t="s">
        <v>3393</v>
      </c>
      <c r="C2284">
        <v>2022</v>
      </c>
      <c r="D2284" t="s">
        <v>3457</v>
      </c>
      <c r="E2284" t="s">
        <v>2878</v>
      </c>
      <c r="F2284" t="s">
        <v>2879</v>
      </c>
      <c r="G2284" t="s">
        <v>2884</v>
      </c>
      <c r="H2284" t="s">
        <v>4727</v>
      </c>
    </row>
    <row r="2285" spans="2:8" x14ac:dyDescent="0.25">
      <c r="B2285" t="s">
        <v>3393</v>
      </c>
      <c r="C2285">
        <v>2022</v>
      </c>
      <c r="D2285" t="s">
        <v>3457</v>
      </c>
      <c r="E2285" t="s">
        <v>2878</v>
      </c>
      <c r="F2285" t="s">
        <v>2879</v>
      </c>
      <c r="G2285" t="s">
        <v>2885</v>
      </c>
      <c r="H2285" t="s">
        <v>4728</v>
      </c>
    </row>
    <row r="2286" spans="2:8" x14ac:dyDescent="0.25">
      <c r="B2286" t="s">
        <v>3393</v>
      </c>
      <c r="C2286">
        <v>2022</v>
      </c>
      <c r="D2286" t="s">
        <v>3457</v>
      </c>
      <c r="E2286" t="s">
        <v>2886</v>
      </c>
      <c r="F2286" t="s">
        <v>2887</v>
      </c>
      <c r="G2286" t="s">
        <v>2888</v>
      </c>
      <c r="H2286" t="s">
        <v>4729</v>
      </c>
    </row>
    <row r="2287" spans="2:8" x14ac:dyDescent="0.25">
      <c r="B2287" t="s">
        <v>3393</v>
      </c>
      <c r="C2287">
        <v>2022</v>
      </c>
      <c r="D2287" t="s">
        <v>3457</v>
      </c>
      <c r="E2287" t="s">
        <v>2886</v>
      </c>
      <c r="F2287" t="s">
        <v>2887</v>
      </c>
      <c r="G2287" t="s">
        <v>2873</v>
      </c>
      <c r="H2287" t="s">
        <v>4730</v>
      </c>
    </row>
    <row r="2288" spans="2:8" x14ac:dyDescent="0.25">
      <c r="B2288" t="s">
        <v>3393</v>
      </c>
      <c r="C2288">
        <v>2022</v>
      </c>
      <c r="D2288" t="s">
        <v>3457</v>
      </c>
      <c r="E2288" t="s">
        <v>2886</v>
      </c>
      <c r="F2288" t="s">
        <v>2887</v>
      </c>
      <c r="G2288" t="s">
        <v>2874</v>
      </c>
      <c r="H2288" t="s">
        <v>4731</v>
      </c>
    </row>
    <row r="2289" spans="2:8" x14ac:dyDescent="0.25">
      <c r="B2289" t="s">
        <v>3393</v>
      </c>
      <c r="C2289">
        <v>2022</v>
      </c>
      <c r="D2289" t="s">
        <v>3457</v>
      </c>
      <c r="E2289" t="s">
        <v>2886</v>
      </c>
      <c r="F2289" t="s">
        <v>2887</v>
      </c>
      <c r="G2289" t="s">
        <v>2875</v>
      </c>
      <c r="H2289" t="s">
        <v>4732</v>
      </c>
    </row>
    <row r="2290" spans="2:8" x14ac:dyDescent="0.25">
      <c r="B2290" t="s">
        <v>3393</v>
      </c>
      <c r="C2290">
        <v>2022</v>
      </c>
      <c r="D2290" t="s">
        <v>3457</v>
      </c>
      <c r="E2290" t="s">
        <v>2886</v>
      </c>
      <c r="F2290" t="s">
        <v>2887</v>
      </c>
      <c r="G2290" t="s">
        <v>2876</v>
      </c>
      <c r="H2290" t="s">
        <v>4733</v>
      </c>
    </row>
    <row r="2291" spans="2:8" x14ac:dyDescent="0.25">
      <c r="B2291" t="s">
        <v>3393</v>
      </c>
      <c r="C2291">
        <v>2022</v>
      </c>
      <c r="D2291" t="s">
        <v>3457</v>
      </c>
      <c r="E2291" t="s">
        <v>2886</v>
      </c>
      <c r="F2291" t="s">
        <v>2887</v>
      </c>
      <c r="G2291" t="s">
        <v>2889</v>
      </c>
      <c r="H2291" t="s">
        <v>4734</v>
      </c>
    </row>
    <row r="2292" spans="2:8" x14ac:dyDescent="0.25">
      <c r="B2292" t="s">
        <v>3393</v>
      </c>
      <c r="C2292">
        <v>2022</v>
      </c>
      <c r="D2292" t="s">
        <v>3457</v>
      </c>
      <c r="E2292" t="s">
        <v>2886</v>
      </c>
      <c r="F2292" t="s">
        <v>2887</v>
      </c>
      <c r="G2292" t="s">
        <v>611</v>
      </c>
      <c r="H2292" t="s">
        <v>4735</v>
      </c>
    </row>
    <row r="2293" spans="2:8" x14ac:dyDescent="0.25">
      <c r="B2293" t="s">
        <v>3393</v>
      </c>
      <c r="C2293">
        <v>2022</v>
      </c>
      <c r="D2293" t="s">
        <v>3457</v>
      </c>
      <c r="E2293" t="s">
        <v>2890</v>
      </c>
      <c r="F2293" t="s">
        <v>2891</v>
      </c>
      <c r="G2293" t="s">
        <v>2892</v>
      </c>
      <c r="H2293" t="s">
        <v>3744</v>
      </c>
    </row>
    <row r="2294" spans="2:8" x14ac:dyDescent="0.25">
      <c r="B2294" t="s">
        <v>3393</v>
      </c>
      <c r="C2294">
        <v>2022</v>
      </c>
      <c r="D2294" t="s">
        <v>3457</v>
      </c>
      <c r="E2294" t="s">
        <v>2890</v>
      </c>
      <c r="F2294" t="s">
        <v>2891</v>
      </c>
      <c r="G2294" t="s">
        <v>2893</v>
      </c>
      <c r="H2294" t="s">
        <v>4736</v>
      </c>
    </row>
    <row r="2295" spans="2:8" x14ac:dyDescent="0.25">
      <c r="B2295" t="s">
        <v>3393</v>
      </c>
      <c r="C2295">
        <v>2022</v>
      </c>
      <c r="D2295" t="s">
        <v>3457</v>
      </c>
      <c r="E2295" t="s">
        <v>2894</v>
      </c>
      <c r="F2295" t="s">
        <v>2895</v>
      </c>
      <c r="G2295" t="s">
        <v>2896</v>
      </c>
      <c r="H2295" t="s">
        <v>4737</v>
      </c>
    </row>
    <row r="2296" spans="2:8" x14ac:dyDescent="0.25">
      <c r="B2296" t="s">
        <v>3393</v>
      </c>
      <c r="C2296">
        <v>2022</v>
      </c>
      <c r="D2296" t="s">
        <v>3457</v>
      </c>
      <c r="E2296" t="s">
        <v>2894</v>
      </c>
      <c r="F2296" t="s">
        <v>2895</v>
      </c>
      <c r="G2296" t="s">
        <v>2897</v>
      </c>
      <c r="H2296" t="s">
        <v>4738</v>
      </c>
    </row>
    <row r="2297" spans="2:8" x14ac:dyDescent="0.25">
      <c r="B2297" t="s">
        <v>3393</v>
      </c>
      <c r="C2297">
        <v>2022</v>
      </c>
      <c r="D2297" t="s">
        <v>3457</v>
      </c>
      <c r="E2297" t="s">
        <v>2894</v>
      </c>
      <c r="F2297" t="s">
        <v>2895</v>
      </c>
      <c r="G2297" t="s">
        <v>2898</v>
      </c>
      <c r="H2297" t="s">
        <v>4739</v>
      </c>
    </row>
    <row r="2298" spans="2:8" x14ac:dyDescent="0.25">
      <c r="B2298" t="s">
        <v>3393</v>
      </c>
      <c r="C2298">
        <v>2022</v>
      </c>
      <c r="D2298" t="s">
        <v>3457</v>
      </c>
      <c r="E2298" t="s">
        <v>2894</v>
      </c>
      <c r="F2298" t="s">
        <v>2895</v>
      </c>
      <c r="G2298" t="s">
        <v>2899</v>
      </c>
      <c r="H2298" t="s">
        <v>4740</v>
      </c>
    </row>
    <row r="2299" spans="2:8" x14ac:dyDescent="0.25">
      <c r="B2299" t="s">
        <v>3393</v>
      </c>
      <c r="C2299">
        <v>2022</v>
      </c>
      <c r="D2299" t="s">
        <v>3457</v>
      </c>
      <c r="E2299" t="s">
        <v>2894</v>
      </c>
      <c r="F2299" t="s">
        <v>2895</v>
      </c>
      <c r="G2299" t="s">
        <v>2900</v>
      </c>
      <c r="H2299" t="s">
        <v>4741</v>
      </c>
    </row>
    <row r="2300" spans="2:8" x14ac:dyDescent="0.25">
      <c r="B2300" t="s">
        <v>3393</v>
      </c>
      <c r="C2300">
        <v>2022</v>
      </c>
      <c r="D2300" t="s">
        <v>3457</v>
      </c>
      <c r="E2300" t="s">
        <v>2894</v>
      </c>
      <c r="F2300" t="s">
        <v>2895</v>
      </c>
      <c r="G2300" t="s">
        <v>2901</v>
      </c>
      <c r="H2300" t="s">
        <v>4742</v>
      </c>
    </row>
    <row r="2301" spans="2:8" x14ac:dyDescent="0.25">
      <c r="B2301" t="s">
        <v>3393</v>
      </c>
      <c r="C2301">
        <v>2022</v>
      </c>
      <c r="D2301" t="s">
        <v>3457</v>
      </c>
      <c r="E2301" t="s">
        <v>2894</v>
      </c>
      <c r="F2301" t="s">
        <v>2895</v>
      </c>
      <c r="G2301" t="s">
        <v>2902</v>
      </c>
      <c r="H2301" t="s">
        <v>4743</v>
      </c>
    </row>
    <row r="2302" spans="2:8" x14ac:dyDescent="0.25">
      <c r="B2302" t="s">
        <v>3393</v>
      </c>
      <c r="C2302">
        <v>2022</v>
      </c>
      <c r="D2302" t="s">
        <v>3457</v>
      </c>
      <c r="E2302" t="s">
        <v>2894</v>
      </c>
      <c r="F2302" t="s">
        <v>2895</v>
      </c>
      <c r="G2302" t="s">
        <v>2903</v>
      </c>
      <c r="H2302" t="s">
        <v>4744</v>
      </c>
    </row>
    <row r="2303" spans="2:8" x14ac:dyDescent="0.25">
      <c r="B2303" t="s">
        <v>3393</v>
      </c>
      <c r="C2303">
        <v>2022</v>
      </c>
      <c r="D2303" t="s">
        <v>3457</v>
      </c>
      <c r="E2303" t="s">
        <v>2894</v>
      </c>
      <c r="F2303" t="s">
        <v>2895</v>
      </c>
      <c r="G2303" t="s">
        <v>2904</v>
      </c>
      <c r="H2303" t="s">
        <v>4745</v>
      </c>
    </row>
    <row r="2304" spans="2:8" x14ac:dyDescent="0.25">
      <c r="B2304" t="s">
        <v>3393</v>
      </c>
      <c r="C2304">
        <v>2022</v>
      </c>
      <c r="D2304" t="s">
        <v>3457</v>
      </c>
      <c r="E2304" t="s">
        <v>2894</v>
      </c>
      <c r="F2304" t="s">
        <v>2895</v>
      </c>
      <c r="G2304" t="s">
        <v>2905</v>
      </c>
      <c r="H2304" t="s">
        <v>4746</v>
      </c>
    </row>
    <row r="2305" spans="2:8" x14ac:dyDescent="0.25">
      <c r="B2305" t="s">
        <v>3393</v>
      </c>
      <c r="C2305">
        <v>2022</v>
      </c>
      <c r="D2305" t="s">
        <v>3457</v>
      </c>
      <c r="E2305" t="s">
        <v>2894</v>
      </c>
      <c r="F2305" t="s">
        <v>2895</v>
      </c>
      <c r="G2305" t="s">
        <v>2906</v>
      </c>
      <c r="H2305" t="s">
        <v>4747</v>
      </c>
    </row>
    <row r="2306" spans="2:8" x14ac:dyDescent="0.25">
      <c r="B2306" t="s">
        <v>3393</v>
      </c>
      <c r="C2306">
        <v>2022</v>
      </c>
      <c r="D2306" t="s">
        <v>3457</v>
      </c>
      <c r="E2306" t="s">
        <v>2894</v>
      </c>
      <c r="F2306" t="s">
        <v>2895</v>
      </c>
      <c r="G2306" t="s">
        <v>2907</v>
      </c>
      <c r="H2306" t="s">
        <v>3032</v>
      </c>
    </row>
    <row r="2307" spans="2:8" x14ac:dyDescent="0.25">
      <c r="B2307" t="s">
        <v>3393</v>
      </c>
      <c r="C2307">
        <v>2022</v>
      </c>
      <c r="D2307" t="s">
        <v>3457</v>
      </c>
      <c r="E2307" t="s">
        <v>2894</v>
      </c>
      <c r="F2307" t="s">
        <v>2895</v>
      </c>
      <c r="G2307" t="s">
        <v>2908</v>
      </c>
      <c r="H2307" t="s">
        <v>4748</v>
      </c>
    </row>
    <row r="2308" spans="2:8" x14ac:dyDescent="0.25">
      <c r="B2308" t="s">
        <v>3393</v>
      </c>
      <c r="C2308">
        <v>2022</v>
      </c>
      <c r="D2308" t="s">
        <v>3457</v>
      </c>
      <c r="E2308" t="s">
        <v>2894</v>
      </c>
      <c r="F2308" t="s">
        <v>2895</v>
      </c>
      <c r="G2308" t="s">
        <v>2909</v>
      </c>
      <c r="H2308" t="s">
        <v>4749</v>
      </c>
    </row>
    <row r="2309" spans="2:8" x14ac:dyDescent="0.25">
      <c r="B2309" t="s">
        <v>3393</v>
      </c>
      <c r="C2309">
        <v>2022</v>
      </c>
      <c r="D2309" t="s">
        <v>3457</v>
      </c>
      <c r="E2309" t="s">
        <v>2894</v>
      </c>
      <c r="F2309" t="s">
        <v>2895</v>
      </c>
      <c r="G2309" t="s">
        <v>2910</v>
      </c>
      <c r="H2309" t="s">
        <v>4750</v>
      </c>
    </row>
    <row r="2310" spans="2:8" x14ac:dyDescent="0.25">
      <c r="B2310" t="s">
        <v>3393</v>
      </c>
      <c r="C2310">
        <v>2022</v>
      </c>
      <c r="D2310" t="s">
        <v>3457</v>
      </c>
      <c r="E2310" t="s">
        <v>2911</v>
      </c>
      <c r="F2310" t="s">
        <v>2912</v>
      </c>
      <c r="G2310" t="s">
        <v>113</v>
      </c>
      <c r="H2310" t="s">
        <v>1993</v>
      </c>
    </row>
    <row r="2311" spans="2:8" x14ac:dyDescent="0.25">
      <c r="B2311" t="s">
        <v>3393</v>
      </c>
      <c r="C2311">
        <v>2022</v>
      </c>
      <c r="D2311" t="s">
        <v>3457</v>
      </c>
      <c r="E2311" t="s">
        <v>2911</v>
      </c>
      <c r="F2311" t="s">
        <v>2912</v>
      </c>
      <c r="G2311" t="s">
        <v>2913</v>
      </c>
      <c r="H2311" t="s">
        <v>2914</v>
      </c>
    </row>
    <row r="2312" spans="2:8" x14ac:dyDescent="0.25">
      <c r="B2312" t="s">
        <v>3393</v>
      </c>
      <c r="C2312">
        <v>2022</v>
      </c>
      <c r="D2312" t="s">
        <v>3457</v>
      </c>
      <c r="E2312" t="s">
        <v>2911</v>
      </c>
      <c r="F2312" t="s">
        <v>2912</v>
      </c>
      <c r="G2312" t="s">
        <v>890</v>
      </c>
      <c r="H2312" t="s">
        <v>4751</v>
      </c>
    </row>
    <row r="2313" spans="2:8" x14ac:dyDescent="0.25">
      <c r="B2313" t="s">
        <v>3393</v>
      </c>
      <c r="C2313">
        <v>2022</v>
      </c>
      <c r="D2313" t="s">
        <v>3457</v>
      </c>
      <c r="E2313" t="s">
        <v>2911</v>
      </c>
      <c r="F2313" t="s">
        <v>2912</v>
      </c>
      <c r="G2313" t="s">
        <v>892</v>
      </c>
      <c r="H2313" t="s">
        <v>4752</v>
      </c>
    </row>
    <row r="2314" spans="2:8" x14ac:dyDescent="0.25">
      <c r="B2314" t="s">
        <v>3393</v>
      </c>
      <c r="C2314">
        <v>2022</v>
      </c>
      <c r="D2314" t="s">
        <v>3457</v>
      </c>
      <c r="E2314" t="s">
        <v>2911</v>
      </c>
      <c r="F2314" t="s">
        <v>2912</v>
      </c>
      <c r="G2314" t="s">
        <v>891</v>
      </c>
      <c r="H2314" t="s">
        <v>4753</v>
      </c>
    </row>
    <row r="2315" spans="2:8" x14ac:dyDescent="0.25">
      <c r="B2315" t="s">
        <v>3393</v>
      </c>
      <c r="C2315">
        <v>2022</v>
      </c>
      <c r="D2315" t="s">
        <v>3457</v>
      </c>
      <c r="E2315" t="s">
        <v>2911</v>
      </c>
      <c r="F2315" t="s">
        <v>2912</v>
      </c>
      <c r="G2315" t="s">
        <v>115</v>
      </c>
      <c r="H2315" t="s">
        <v>4754</v>
      </c>
    </row>
    <row r="2316" spans="2:8" x14ac:dyDescent="0.25">
      <c r="B2316" t="s">
        <v>3393</v>
      </c>
      <c r="C2316">
        <v>2022</v>
      </c>
      <c r="D2316" t="s">
        <v>3457</v>
      </c>
      <c r="E2316" t="s">
        <v>2911</v>
      </c>
      <c r="F2316" t="s">
        <v>2912</v>
      </c>
      <c r="G2316" t="s">
        <v>888</v>
      </c>
      <c r="H2316" t="s">
        <v>1993</v>
      </c>
    </row>
    <row r="2317" spans="2:8" x14ac:dyDescent="0.25">
      <c r="B2317" t="s">
        <v>3393</v>
      </c>
      <c r="C2317">
        <v>2022</v>
      </c>
      <c r="D2317" t="s">
        <v>3457</v>
      </c>
      <c r="E2317" t="s">
        <v>2911</v>
      </c>
      <c r="F2317" t="s">
        <v>2912</v>
      </c>
      <c r="G2317" t="s">
        <v>182</v>
      </c>
      <c r="H2317" t="s">
        <v>4754</v>
      </c>
    </row>
    <row r="2318" spans="2:8" x14ac:dyDescent="0.25">
      <c r="B2318" t="s">
        <v>3393</v>
      </c>
      <c r="C2318">
        <v>2022</v>
      </c>
      <c r="D2318" t="s">
        <v>3457</v>
      </c>
      <c r="E2318" t="s">
        <v>2915</v>
      </c>
      <c r="F2318" t="s">
        <v>2916</v>
      </c>
      <c r="G2318" t="s">
        <v>113</v>
      </c>
      <c r="H2318" t="s">
        <v>1993</v>
      </c>
    </row>
    <row r="2319" spans="2:8" x14ac:dyDescent="0.25">
      <c r="B2319" t="s">
        <v>3393</v>
      </c>
      <c r="C2319">
        <v>2022</v>
      </c>
      <c r="D2319" t="s">
        <v>3457</v>
      </c>
      <c r="E2319" t="s">
        <v>2915</v>
      </c>
      <c r="F2319" t="s">
        <v>2916</v>
      </c>
      <c r="G2319" t="s">
        <v>2913</v>
      </c>
      <c r="H2319" t="s">
        <v>2914</v>
      </c>
    </row>
    <row r="2320" spans="2:8" x14ac:dyDescent="0.25">
      <c r="B2320" t="s">
        <v>3393</v>
      </c>
      <c r="C2320">
        <v>2022</v>
      </c>
      <c r="D2320" t="s">
        <v>3457</v>
      </c>
      <c r="E2320" t="s">
        <v>2915</v>
      </c>
      <c r="F2320" t="s">
        <v>2916</v>
      </c>
      <c r="G2320" t="s">
        <v>890</v>
      </c>
      <c r="H2320" t="s">
        <v>4755</v>
      </c>
    </row>
    <row r="2321" spans="2:8" x14ac:dyDescent="0.25">
      <c r="B2321" t="s">
        <v>3393</v>
      </c>
      <c r="C2321">
        <v>2022</v>
      </c>
      <c r="D2321" t="s">
        <v>3457</v>
      </c>
      <c r="E2321" t="s">
        <v>2915</v>
      </c>
      <c r="F2321" t="s">
        <v>2916</v>
      </c>
      <c r="G2321" t="s">
        <v>892</v>
      </c>
      <c r="H2321" t="s">
        <v>4756</v>
      </c>
    </row>
    <row r="2322" spans="2:8" x14ac:dyDescent="0.25">
      <c r="B2322" t="s">
        <v>3393</v>
      </c>
      <c r="C2322">
        <v>2022</v>
      </c>
      <c r="D2322" t="s">
        <v>3457</v>
      </c>
      <c r="E2322" t="s">
        <v>2915</v>
      </c>
      <c r="F2322" t="s">
        <v>2916</v>
      </c>
      <c r="G2322" t="s">
        <v>891</v>
      </c>
      <c r="H2322" t="s">
        <v>3863</v>
      </c>
    </row>
    <row r="2323" spans="2:8" x14ac:dyDescent="0.25">
      <c r="B2323" t="s">
        <v>3393</v>
      </c>
      <c r="C2323">
        <v>2022</v>
      </c>
      <c r="D2323" t="s">
        <v>3457</v>
      </c>
      <c r="E2323" t="s">
        <v>2915</v>
      </c>
      <c r="F2323" t="s">
        <v>2916</v>
      </c>
      <c r="G2323" t="s">
        <v>115</v>
      </c>
      <c r="H2323" t="s">
        <v>4757</v>
      </c>
    </row>
    <row r="2324" spans="2:8" x14ac:dyDescent="0.25">
      <c r="B2324" t="s">
        <v>3393</v>
      </c>
      <c r="C2324">
        <v>2022</v>
      </c>
      <c r="D2324" t="s">
        <v>3457</v>
      </c>
      <c r="E2324" t="s">
        <v>2915</v>
      </c>
      <c r="F2324" t="s">
        <v>2916</v>
      </c>
      <c r="G2324" t="s">
        <v>888</v>
      </c>
      <c r="H2324" t="s">
        <v>4758</v>
      </c>
    </row>
    <row r="2325" spans="2:8" x14ac:dyDescent="0.25">
      <c r="B2325" t="s">
        <v>3393</v>
      </c>
      <c r="C2325">
        <v>2022</v>
      </c>
      <c r="D2325" t="s">
        <v>3457</v>
      </c>
      <c r="E2325" t="s">
        <v>2915</v>
      </c>
      <c r="F2325" t="s">
        <v>2916</v>
      </c>
      <c r="G2325" t="s">
        <v>182</v>
      </c>
      <c r="H2325" t="s">
        <v>4759</v>
      </c>
    </row>
    <row r="2326" spans="2:8" x14ac:dyDescent="0.25">
      <c r="B2326" t="s">
        <v>3393</v>
      </c>
      <c r="C2326">
        <v>2022</v>
      </c>
      <c r="D2326" t="s">
        <v>3457</v>
      </c>
      <c r="E2326" t="s">
        <v>2917</v>
      </c>
      <c r="F2326" t="s">
        <v>2918</v>
      </c>
      <c r="G2326" t="s">
        <v>2919</v>
      </c>
      <c r="H2326" t="s">
        <v>3438</v>
      </c>
    </row>
    <row r="2327" spans="2:8" x14ac:dyDescent="0.25">
      <c r="B2327" t="s">
        <v>3393</v>
      </c>
      <c r="C2327">
        <v>2022</v>
      </c>
      <c r="D2327" t="s">
        <v>3457</v>
      </c>
      <c r="E2327" t="s">
        <v>2917</v>
      </c>
      <c r="F2327" t="s">
        <v>2918</v>
      </c>
      <c r="G2327" t="s">
        <v>2920</v>
      </c>
      <c r="H2327" t="s">
        <v>4760</v>
      </c>
    </row>
    <row r="2328" spans="2:8" x14ac:dyDescent="0.25">
      <c r="B2328" t="s">
        <v>3393</v>
      </c>
      <c r="C2328">
        <v>2022</v>
      </c>
      <c r="D2328" t="s">
        <v>3457</v>
      </c>
      <c r="E2328" t="s">
        <v>2917</v>
      </c>
      <c r="F2328" t="s">
        <v>2918</v>
      </c>
      <c r="G2328" t="s">
        <v>719</v>
      </c>
      <c r="H2328" t="s">
        <v>4761</v>
      </c>
    </row>
    <row r="2329" spans="2:8" x14ac:dyDescent="0.25">
      <c r="B2329" t="s">
        <v>3393</v>
      </c>
      <c r="C2329">
        <v>2022</v>
      </c>
      <c r="D2329" t="s">
        <v>3457</v>
      </c>
      <c r="E2329" t="s">
        <v>2917</v>
      </c>
      <c r="F2329" t="s">
        <v>2918</v>
      </c>
      <c r="G2329" t="s">
        <v>2921</v>
      </c>
      <c r="H2329" t="s">
        <v>3319</v>
      </c>
    </row>
    <row r="2330" spans="2:8" x14ac:dyDescent="0.25">
      <c r="B2330" t="s">
        <v>3393</v>
      </c>
      <c r="C2330">
        <v>2022</v>
      </c>
      <c r="D2330" t="s">
        <v>3457</v>
      </c>
      <c r="E2330" t="s">
        <v>2917</v>
      </c>
      <c r="F2330" t="s">
        <v>2918</v>
      </c>
      <c r="G2330" t="s">
        <v>2922</v>
      </c>
      <c r="H2330" t="s">
        <v>3297</v>
      </c>
    </row>
    <row r="2331" spans="2:8" x14ac:dyDescent="0.25">
      <c r="B2331" t="s">
        <v>3393</v>
      </c>
      <c r="C2331">
        <v>2022</v>
      </c>
      <c r="D2331" t="s">
        <v>3457</v>
      </c>
      <c r="E2331" t="s">
        <v>2917</v>
      </c>
      <c r="F2331" t="s">
        <v>2918</v>
      </c>
      <c r="G2331" t="s">
        <v>716</v>
      </c>
      <c r="H2331" t="s">
        <v>3319</v>
      </c>
    </row>
    <row r="2332" spans="2:8" x14ac:dyDescent="0.25">
      <c r="B2332" t="s">
        <v>3393</v>
      </c>
      <c r="C2332">
        <v>2022</v>
      </c>
      <c r="D2332" t="s">
        <v>3457</v>
      </c>
      <c r="E2332" t="s">
        <v>2917</v>
      </c>
      <c r="F2332" t="s">
        <v>2918</v>
      </c>
      <c r="G2332" t="s">
        <v>2923</v>
      </c>
      <c r="H2332" t="s">
        <v>3052</v>
      </c>
    </row>
    <row r="2333" spans="2:8" x14ac:dyDescent="0.25">
      <c r="B2333" t="s">
        <v>3393</v>
      </c>
      <c r="C2333">
        <v>2022</v>
      </c>
      <c r="D2333" t="s">
        <v>3457</v>
      </c>
      <c r="E2333" t="s">
        <v>2917</v>
      </c>
      <c r="F2333" t="s">
        <v>2918</v>
      </c>
      <c r="G2333" t="s">
        <v>2924</v>
      </c>
      <c r="H2333" t="s">
        <v>3041</v>
      </c>
    </row>
    <row r="2334" spans="2:8" x14ac:dyDescent="0.25">
      <c r="B2334" t="s">
        <v>3393</v>
      </c>
      <c r="C2334">
        <v>2022</v>
      </c>
      <c r="D2334" t="s">
        <v>3457</v>
      </c>
      <c r="E2334" t="s">
        <v>2917</v>
      </c>
      <c r="F2334" t="s">
        <v>2918</v>
      </c>
      <c r="G2334" t="s">
        <v>720</v>
      </c>
      <c r="H2334" t="s">
        <v>4762</v>
      </c>
    </row>
    <row r="2335" spans="2:8" x14ac:dyDescent="0.25">
      <c r="B2335" t="s">
        <v>3393</v>
      </c>
      <c r="C2335">
        <v>2022</v>
      </c>
      <c r="D2335" t="s">
        <v>3457</v>
      </c>
      <c r="E2335" t="s">
        <v>2925</v>
      </c>
      <c r="F2335" t="s">
        <v>2926</v>
      </c>
      <c r="G2335" t="s">
        <v>2866</v>
      </c>
      <c r="H2335" t="s">
        <v>4763</v>
      </c>
    </row>
    <row r="2336" spans="2:8" x14ac:dyDescent="0.25">
      <c r="B2336" t="s">
        <v>3393</v>
      </c>
      <c r="C2336">
        <v>2022</v>
      </c>
      <c r="D2336" t="s">
        <v>3457</v>
      </c>
      <c r="E2336" t="s">
        <v>2925</v>
      </c>
      <c r="F2336" t="s">
        <v>2926</v>
      </c>
      <c r="G2336" t="s">
        <v>2409</v>
      </c>
      <c r="H2336" t="s">
        <v>4764</v>
      </c>
    </row>
    <row r="2337" spans="2:8" x14ac:dyDescent="0.25">
      <c r="B2337" t="s">
        <v>3393</v>
      </c>
      <c r="C2337">
        <v>2022</v>
      </c>
      <c r="D2337" t="s">
        <v>3457</v>
      </c>
      <c r="E2337" t="s">
        <v>2925</v>
      </c>
      <c r="F2337" t="s">
        <v>2926</v>
      </c>
      <c r="G2337" t="s">
        <v>2867</v>
      </c>
      <c r="H2337" t="s">
        <v>4765</v>
      </c>
    </row>
    <row r="2338" spans="2:8" x14ac:dyDescent="0.25">
      <c r="B2338" t="s">
        <v>3393</v>
      </c>
      <c r="C2338">
        <v>2022</v>
      </c>
      <c r="D2338" t="s">
        <v>3457</v>
      </c>
      <c r="E2338" t="s">
        <v>2927</v>
      </c>
      <c r="F2338" t="s">
        <v>2928</v>
      </c>
      <c r="G2338" t="s">
        <v>724</v>
      </c>
      <c r="H2338" t="s">
        <v>4766</v>
      </c>
    </row>
    <row r="2339" spans="2:8" x14ac:dyDescent="0.25">
      <c r="B2339" t="s">
        <v>3393</v>
      </c>
      <c r="C2339">
        <v>2022</v>
      </c>
      <c r="D2339" t="s">
        <v>3457</v>
      </c>
      <c r="E2339" t="s">
        <v>2927</v>
      </c>
      <c r="F2339" t="s">
        <v>2928</v>
      </c>
      <c r="G2339" t="s">
        <v>2929</v>
      </c>
      <c r="H2339" t="s">
        <v>4767</v>
      </c>
    </row>
    <row r="2340" spans="2:8" x14ac:dyDescent="0.25">
      <c r="B2340" t="s">
        <v>3393</v>
      </c>
      <c r="C2340">
        <v>2022</v>
      </c>
      <c r="D2340" t="s">
        <v>3457</v>
      </c>
      <c r="E2340" t="s">
        <v>2927</v>
      </c>
      <c r="F2340" t="s">
        <v>2928</v>
      </c>
      <c r="G2340" t="s">
        <v>2930</v>
      </c>
      <c r="H2340" t="s">
        <v>3437</v>
      </c>
    </row>
    <row r="2341" spans="2:8" x14ac:dyDescent="0.25">
      <c r="B2341" t="s">
        <v>3393</v>
      </c>
      <c r="C2341">
        <v>2022</v>
      </c>
      <c r="D2341" t="s">
        <v>3457</v>
      </c>
      <c r="E2341" t="s">
        <v>2927</v>
      </c>
      <c r="F2341" t="s">
        <v>2928</v>
      </c>
      <c r="G2341" t="s">
        <v>727</v>
      </c>
      <c r="H2341" t="s">
        <v>2005</v>
      </c>
    </row>
    <row r="2342" spans="2:8" x14ac:dyDescent="0.25">
      <c r="B2342" t="s">
        <v>3393</v>
      </c>
      <c r="C2342">
        <v>2022</v>
      </c>
      <c r="D2342" t="s">
        <v>3457</v>
      </c>
      <c r="E2342" t="s">
        <v>2931</v>
      </c>
      <c r="F2342" t="s">
        <v>2544</v>
      </c>
      <c r="G2342" t="s">
        <v>2932</v>
      </c>
      <c r="H2342" t="s">
        <v>2748</v>
      </c>
    </row>
    <row r="2343" spans="2:8" x14ac:dyDescent="0.25">
      <c r="B2343" t="s">
        <v>3393</v>
      </c>
      <c r="C2343">
        <v>2022</v>
      </c>
      <c r="D2343" t="s">
        <v>3457</v>
      </c>
      <c r="E2343" t="s">
        <v>2931</v>
      </c>
      <c r="F2343" t="s">
        <v>2544</v>
      </c>
      <c r="G2343" t="s">
        <v>2545</v>
      </c>
      <c r="H2343" t="s">
        <v>2157</v>
      </c>
    </row>
    <row r="2344" spans="2:8" x14ac:dyDescent="0.25">
      <c r="B2344" t="s">
        <v>3393</v>
      </c>
      <c r="C2344">
        <v>2022</v>
      </c>
      <c r="D2344" t="s">
        <v>3457</v>
      </c>
      <c r="E2344" t="s">
        <v>2931</v>
      </c>
      <c r="F2344" t="s">
        <v>2544</v>
      </c>
      <c r="G2344" t="s">
        <v>2933</v>
      </c>
      <c r="H2344" t="s">
        <v>4768</v>
      </c>
    </row>
    <row r="2345" spans="2:8" x14ac:dyDescent="0.25">
      <c r="B2345" t="s">
        <v>3393</v>
      </c>
      <c r="C2345">
        <v>2022</v>
      </c>
      <c r="D2345" t="s">
        <v>3457</v>
      </c>
      <c r="E2345" t="s">
        <v>2931</v>
      </c>
      <c r="F2345" t="s">
        <v>2544</v>
      </c>
      <c r="G2345" t="s">
        <v>714</v>
      </c>
      <c r="H2345" t="s">
        <v>4511</v>
      </c>
    </row>
    <row r="2346" spans="2:8" x14ac:dyDescent="0.25">
      <c r="B2346" t="s">
        <v>3393</v>
      </c>
      <c r="C2346">
        <v>2022</v>
      </c>
      <c r="D2346" t="s">
        <v>3457</v>
      </c>
      <c r="E2346" t="s">
        <v>2931</v>
      </c>
      <c r="F2346" t="s">
        <v>2544</v>
      </c>
      <c r="G2346" t="s">
        <v>2934</v>
      </c>
      <c r="H2346" t="s">
        <v>1993</v>
      </c>
    </row>
    <row r="2347" spans="2:8" x14ac:dyDescent="0.25">
      <c r="B2347" t="s">
        <v>3393</v>
      </c>
      <c r="C2347">
        <v>2022</v>
      </c>
      <c r="D2347" t="s">
        <v>3457</v>
      </c>
      <c r="E2347" t="s">
        <v>2931</v>
      </c>
      <c r="F2347" t="s">
        <v>2544</v>
      </c>
      <c r="G2347" t="s">
        <v>2935</v>
      </c>
      <c r="H2347" t="s">
        <v>4769</v>
      </c>
    </row>
    <row r="2348" spans="2:8" x14ac:dyDescent="0.25">
      <c r="B2348" t="s">
        <v>3393</v>
      </c>
      <c r="C2348">
        <v>2022</v>
      </c>
      <c r="D2348" t="s">
        <v>3457</v>
      </c>
      <c r="E2348" t="s">
        <v>2936</v>
      </c>
      <c r="F2348" t="s">
        <v>2937</v>
      </c>
      <c r="G2348" t="s">
        <v>2938</v>
      </c>
      <c r="H2348" t="s">
        <v>4154</v>
      </c>
    </row>
    <row r="2349" spans="2:8" x14ac:dyDescent="0.25">
      <c r="B2349" t="s">
        <v>3393</v>
      </c>
      <c r="C2349">
        <v>2022</v>
      </c>
      <c r="D2349" t="s">
        <v>3457</v>
      </c>
      <c r="E2349" t="s">
        <v>2936</v>
      </c>
      <c r="F2349" t="s">
        <v>2937</v>
      </c>
      <c r="G2349" t="s">
        <v>2939</v>
      </c>
      <c r="H2349" t="s">
        <v>4770</v>
      </c>
    </row>
    <row r="2350" spans="2:8" x14ac:dyDescent="0.25">
      <c r="B2350" t="s">
        <v>3393</v>
      </c>
      <c r="C2350">
        <v>2022</v>
      </c>
      <c r="D2350" t="s">
        <v>3457</v>
      </c>
      <c r="E2350" t="s">
        <v>2941</v>
      </c>
      <c r="F2350" t="s">
        <v>2942</v>
      </c>
      <c r="G2350" t="s">
        <v>2943</v>
      </c>
      <c r="H2350" t="s">
        <v>4771</v>
      </c>
    </row>
    <row r="2351" spans="2:8" x14ac:dyDescent="0.25">
      <c r="B2351" t="s">
        <v>3393</v>
      </c>
      <c r="C2351">
        <v>2022</v>
      </c>
      <c r="D2351" t="s">
        <v>3457</v>
      </c>
      <c r="E2351" t="s">
        <v>2941</v>
      </c>
      <c r="F2351" t="s">
        <v>2942</v>
      </c>
      <c r="G2351" t="s">
        <v>2944</v>
      </c>
      <c r="H2351" t="s">
        <v>4596</v>
      </c>
    </row>
    <row r="2352" spans="2:8" x14ac:dyDescent="0.25">
      <c r="B2352" t="s">
        <v>3393</v>
      </c>
      <c r="C2352">
        <v>2022</v>
      </c>
      <c r="D2352" t="s">
        <v>3457</v>
      </c>
      <c r="E2352" t="s">
        <v>2945</v>
      </c>
      <c r="F2352" t="s">
        <v>2946</v>
      </c>
      <c r="G2352" t="s">
        <v>2245</v>
      </c>
      <c r="H2352" t="s">
        <v>2552</v>
      </c>
    </row>
    <row r="2353" spans="2:8" x14ac:dyDescent="0.25">
      <c r="B2353" t="s">
        <v>3393</v>
      </c>
      <c r="C2353">
        <v>2022</v>
      </c>
      <c r="D2353" t="s">
        <v>3457</v>
      </c>
      <c r="E2353" t="s">
        <v>2945</v>
      </c>
      <c r="F2353" t="s">
        <v>2946</v>
      </c>
      <c r="G2353" t="s">
        <v>2248</v>
      </c>
      <c r="H2353" t="s">
        <v>3415</v>
      </c>
    </row>
    <row r="2354" spans="2:8" x14ac:dyDescent="0.25">
      <c r="B2354" t="s">
        <v>3393</v>
      </c>
      <c r="C2354">
        <v>2022</v>
      </c>
      <c r="D2354" t="s">
        <v>3457</v>
      </c>
      <c r="E2354" t="s">
        <v>2945</v>
      </c>
      <c r="F2354" t="s">
        <v>2946</v>
      </c>
      <c r="G2354" t="s">
        <v>2250</v>
      </c>
      <c r="H2354" t="s">
        <v>3416</v>
      </c>
    </row>
    <row r="2355" spans="2:8" x14ac:dyDescent="0.25">
      <c r="B2355" t="s">
        <v>3393</v>
      </c>
      <c r="C2355">
        <v>2022</v>
      </c>
      <c r="D2355" t="s">
        <v>3457</v>
      </c>
      <c r="E2355" t="s">
        <v>2945</v>
      </c>
      <c r="F2355" t="s">
        <v>2946</v>
      </c>
      <c r="G2355" t="s">
        <v>2252</v>
      </c>
      <c r="H2355" t="s">
        <v>3417</v>
      </c>
    </row>
    <row r="2356" spans="2:8" x14ac:dyDescent="0.25">
      <c r="B2356" t="s">
        <v>3393</v>
      </c>
      <c r="C2356">
        <v>2022</v>
      </c>
      <c r="D2356" t="s">
        <v>3457</v>
      </c>
      <c r="E2356" t="s">
        <v>2945</v>
      </c>
      <c r="F2356" t="s">
        <v>2946</v>
      </c>
      <c r="G2356" t="s">
        <v>2254</v>
      </c>
      <c r="H2356" t="s">
        <v>2069</v>
      </c>
    </row>
    <row r="2357" spans="2:8" x14ac:dyDescent="0.25">
      <c r="B2357" t="s">
        <v>3393</v>
      </c>
      <c r="C2357">
        <v>2022</v>
      </c>
      <c r="D2357" t="s">
        <v>3457</v>
      </c>
      <c r="E2357" t="s">
        <v>2945</v>
      </c>
      <c r="F2357" t="s">
        <v>2946</v>
      </c>
      <c r="G2357" t="s">
        <v>2255</v>
      </c>
      <c r="H2357" t="s">
        <v>1999</v>
      </c>
    </row>
    <row r="2358" spans="2:8" x14ac:dyDescent="0.25">
      <c r="B2358" t="s">
        <v>3393</v>
      </c>
      <c r="C2358">
        <v>2022</v>
      </c>
      <c r="D2358" t="s">
        <v>3457</v>
      </c>
      <c r="E2358" t="s">
        <v>2945</v>
      </c>
      <c r="F2358" t="s">
        <v>2946</v>
      </c>
      <c r="G2358" t="s">
        <v>2256</v>
      </c>
      <c r="H2358" t="s">
        <v>4772</v>
      </c>
    </row>
    <row r="2359" spans="2:8" x14ac:dyDescent="0.25">
      <c r="B2359" t="s">
        <v>3393</v>
      </c>
      <c r="C2359">
        <v>2022</v>
      </c>
      <c r="D2359" t="s">
        <v>3457</v>
      </c>
      <c r="E2359" t="s">
        <v>2947</v>
      </c>
      <c r="F2359" t="s">
        <v>2948</v>
      </c>
      <c r="G2359" t="s">
        <v>2949</v>
      </c>
      <c r="H2359" t="s">
        <v>4773</v>
      </c>
    </row>
    <row r="2360" spans="2:8" x14ac:dyDescent="0.25">
      <c r="B2360" t="s">
        <v>3393</v>
      </c>
      <c r="C2360">
        <v>2022</v>
      </c>
      <c r="D2360" t="s">
        <v>3457</v>
      </c>
      <c r="E2360" t="s">
        <v>2947</v>
      </c>
      <c r="F2360" t="s">
        <v>2948</v>
      </c>
      <c r="G2360" t="s">
        <v>2950</v>
      </c>
      <c r="H2360" t="s">
        <v>2137</v>
      </c>
    </row>
    <row r="2361" spans="2:8" x14ac:dyDescent="0.25">
      <c r="B2361" t="s">
        <v>3393</v>
      </c>
      <c r="C2361">
        <v>2022</v>
      </c>
      <c r="D2361" t="s">
        <v>3457</v>
      </c>
      <c r="E2361" t="s">
        <v>2951</v>
      </c>
      <c r="F2361" t="s">
        <v>2952</v>
      </c>
      <c r="G2361" t="s">
        <v>2953</v>
      </c>
      <c r="H2361" t="s">
        <v>2017</v>
      </c>
    </row>
    <row r="2362" spans="2:8" x14ac:dyDescent="0.25">
      <c r="B2362" t="s">
        <v>3393</v>
      </c>
      <c r="C2362">
        <v>2022</v>
      </c>
      <c r="D2362" t="s">
        <v>3457</v>
      </c>
      <c r="E2362" t="s">
        <v>2951</v>
      </c>
      <c r="F2362" t="s">
        <v>2952</v>
      </c>
      <c r="G2362" t="s">
        <v>2954</v>
      </c>
      <c r="H2362" t="s">
        <v>4774</v>
      </c>
    </row>
    <row r="2363" spans="2:8" x14ac:dyDescent="0.25">
      <c r="B2363" t="s">
        <v>3393</v>
      </c>
      <c r="C2363">
        <v>2022</v>
      </c>
      <c r="D2363" t="s">
        <v>3457</v>
      </c>
      <c r="E2363" t="s">
        <v>2955</v>
      </c>
      <c r="F2363" t="s">
        <v>2956</v>
      </c>
      <c r="G2363" t="s">
        <v>2953</v>
      </c>
      <c r="H2363" t="s">
        <v>1993</v>
      </c>
    </row>
    <row r="2364" spans="2:8" x14ac:dyDescent="0.25">
      <c r="B2364" t="s">
        <v>3393</v>
      </c>
      <c r="C2364">
        <v>2022</v>
      </c>
      <c r="D2364" t="s">
        <v>3457</v>
      </c>
      <c r="E2364" t="s">
        <v>2955</v>
      </c>
      <c r="F2364" t="s">
        <v>2956</v>
      </c>
      <c r="G2364" t="s">
        <v>2954</v>
      </c>
      <c r="H2364" t="s">
        <v>3033</v>
      </c>
    </row>
    <row r="2365" spans="2:8" x14ac:dyDescent="0.25">
      <c r="B2365" t="s">
        <v>3393</v>
      </c>
      <c r="C2365">
        <v>2022</v>
      </c>
      <c r="D2365" t="s">
        <v>3457</v>
      </c>
      <c r="E2365" t="s">
        <v>2957</v>
      </c>
      <c r="F2365" t="s">
        <v>2958</v>
      </c>
      <c r="G2365" t="s">
        <v>2959</v>
      </c>
      <c r="H2365" t="s">
        <v>2059</v>
      </c>
    </row>
    <row r="2366" spans="2:8" x14ac:dyDescent="0.25">
      <c r="B2366" t="s">
        <v>3393</v>
      </c>
      <c r="C2366">
        <v>2022</v>
      </c>
      <c r="D2366" t="s">
        <v>3457</v>
      </c>
      <c r="E2366" t="s">
        <v>2957</v>
      </c>
      <c r="F2366" t="s">
        <v>2958</v>
      </c>
      <c r="G2366" t="s">
        <v>2960</v>
      </c>
      <c r="H2366" t="s">
        <v>4437</v>
      </c>
    </row>
    <row r="2367" spans="2:8" x14ac:dyDescent="0.25">
      <c r="B2367" t="s">
        <v>3393</v>
      </c>
      <c r="C2367">
        <v>2022</v>
      </c>
      <c r="D2367" t="s">
        <v>3457</v>
      </c>
      <c r="E2367" t="s">
        <v>2957</v>
      </c>
      <c r="F2367" t="s">
        <v>2958</v>
      </c>
      <c r="G2367" t="s">
        <v>2961</v>
      </c>
      <c r="H2367" t="s">
        <v>2091</v>
      </c>
    </row>
    <row r="2368" spans="2:8" x14ac:dyDescent="0.25">
      <c r="B2368" t="s">
        <v>3393</v>
      </c>
      <c r="C2368">
        <v>2022</v>
      </c>
      <c r="D2368" t="s">
        <v>3457</v>
      </c>
      <c r="E2368" t="s">
        <v>2957</v>
      </c>
      <c r="F2368" t="s">
        <v>2958</v>
      </c>
      <c r="G2368" t="s">
        <v>2962</v>
      </c>
      <c r="H2368" t="s">
        <v>2039</v>
      </c>
    </row>
    <row r="2369" spans="2:8" x14ac:dyDescent="0.25">
      <c r="B2369" t="s">
        <v>3393</v>
      </c>
      <c r="C2369">
        <v>2022</v>
      </c>
      <c r="D2369" t="s">
        <v>3457</v>
      </c>
      <c r="E2369" t="s">
        <v>2963</v>
      </c>
      <c r="F2369" t="s">
        <v>2964</v>
      </c>
      <c r="G2369" t="s">
        <v>2965</v>
      </c>
      <c r="H2369" t="s">
        <v>4775</v>
      </c>
    </row>
    <row r="2370" spans="2:8" x14ac:dyDescent="0.25">
      <c r="B2370" t="s">
        <v>3393</v>
      </c>
      <c r="C2370">
        <v>2022</v>
      </c>
      <c r="D2370" t="s">
        <v>3457</v>
      </c>
      <c r="E2370" t="s">
        <v>2966</v>
      </c>
      <c r="F2370" t="s">
        <v>2967</v>
      </c>
      <c r="G2370" t="s">
        <v>2866</v>
      </c>
      <c r="H2370" t="s">
        <v>4776</v>
      </c>
    </row>
    <row r="2371" spans="2:8" x14ac:dyDescent="0.25">
      <c r="B2371" t="s">
        <v>3393</v>
      </c>
      <c r="C2371">
        <v>2022</v>
      </c>
      <c r="D2371" t="s">
        <v>3457</v>
      </c>
      <c r="E2371" t="s">
        <v>2966</v>
      </c>
      <c r="F2371" t="s">
        <v>2967</v>
      </c>
      <c r="G2371" t="s">
        <v>2409</v>
      </c>
      <c r="H2371" t="s">
        <v>4777</v>
      </c>
    </row>
    <row r="2372" spans="2:8" x14ac:dyDescent="0.25">
      <c r="B2372" t="s">
        <v>3393</v>
      </c>
      <c r="C2372">
        <v>2022</v>
      </c>
      <c r="D2372" t="s">
        <v>3457</v>
      </c>
      <c r="E2372" t="s">
        <v>2966</v>
      </c>
      <c r="F2372" t="s">
        <v>2967</v>
      </c>
      <c r="G2372" t="s">
        <v>2867</v>
      </c>
      <c r="H2372" t="s">
        <v>4778</v>
      </c>
    </row>
    <row r="2373" spans="2:8" x14ac:dyDescent="0.25">
      <c r="B2373" t="s">
        <v>3393</v>
      </c>
      <c r="C2373">
        <v>2022</v>
      </c>
      <c r="D2373" t="s">
        <v>3457</v>
      </c>
      <c r="E2373" t="s">
        <v>2968</v>
      </c>
      <c r="F2373" t="s">
        <v>2969</v>
      </c>
      <c r="G2373" t="s">
        <v>2970</v>
      </c>
      <c r="H2373" t="s">
        <v>4779</v>
      </c>
    </row>
    <row r="2374" spans="2:8" x14ac:dyDescent="0.25">
      <c r="B2374" t="s">
        <v>3393</v>
      </c>
      <c r="C2374">
        <v>2022</v>
      </c>
      <c r="D2374" t="s">
        <v>3457</v>
      </c>
      <c r="E2374" t="s">
        <v>2968</v>
      </c>
      <c r="F2374" t="s">
        <v>2969</v>
      </c>
      <c r="G2374" t="s">
        <v>2971</v>
      </c>
      <c r="H2374" t="s">
        <v>4780</v>
      </c>
    </row>
    <row r="2375" spans="2:8" x14ac:dyDescent="0.25">
      <c r="B2375" t="s">
        <v>3393</v>
      </c>
      <c r="C2375">
        <v>2022</v>
      </c>
      <c r="D2375" t="s">
        <v>3457</v>
      </c>
      <c r="E2375" t="s">
        <v>2972</v>
      </c>
      <c r="F2375" t="s">
        <v>2973</v>
      </c>
      <c r="G2375" t="s">
        <v>2866</v>
      </c>
      <c r="H2375" t="s">
        <v>4781</v>
      </c>
    </row>
    <row r="2376" spans="2:8" x14ac:dyDescent="0.25">
      <c r="B2376" t="s">
        <v>3393</v>
      </c>
      <c r="C2376">
        <v>2022</v>
      </c>
      <c r="D2376" t="s">
        <v>3457</v>
      </c>
      <c r="E2376" t="s">
        <v>2972</v>
      </c>
      <c r="F2376" t="s">
        <v>2973</v>
      </c>
      <c r="G2376" t="s">
        <v>2409</v>
      </c>
      <c r="H2376" t="s">
        <v>3296</v>
      </c>
    </row>
    <row r="2377" spans="2:8" x14ac:dyDescent="0.25">
      <c r="B2377" t="s">
        <v>3393</v>
      </c>
      <c r="C2377">
        <v>2022</v>
      </c>
      <c r="D2377" t="s">
        <v>3457</v>
      </c>
      <c r="E2377" t="s">
        <v>2972</v>
      </c>
      <c r="F2377" t="s">
        <v>2973</v>
      </c>
      <c r="G2377" t="s">
        <v>2867</v>
      </c>
      <c r="H2377" t="s">
        <v>4782</v>
      </c>
    </row>
    <row r="2378" spans="2:8" x14ac:dyDescent="0.25">
      <c r="B2378" t="s">
        <v>3393</v>
      </c>
      <c r="C2378">
        <v>2022</v>
      </c>
      <c r="D2378" t="s">
        <v>3457</v>
      </c>
      <c r="E2378" t="s">
        <v>2974</v>
      </c>
      <c r="F2378" t="s">
        <v>2412</v>
      </c>
      <c r="G2378" t="s">
        <v>2408</v>
      </c>
      <c r="H2378" t="s">
        <v>4460</v>
      </c>
    </row>
    <row r="2379" spans="2:8" x14ac:dyDescent="0.25">
      <c r="B2379" t="s">
        <v>3393</v>
      </c>
      <c r="C2379">
        <v>2022</v>
      </c>
      <c r="D2379" t="s">
        <v>3457</v>
      </c>
      <c r="E2379" t="s">
        <v>2974</v>
      </c>
      <c r="F2379" t="s">
        <v>2412</v>
      </c>
      <c r="G2379" t="s">
        <v>2409</v>
      </c>
      <c r="H2379" t="s">
        <v>4461</v>
      </c>
    </row>
    <row r="2380" spans="2:8" x14ac:dyDescent="0.25">
      <c r="B2380" t="s">
        <v>3393</v>
      </c>
      <c r="C2380">
        <v>2022</v>
      </c>
      <c r="D2380" t="s">
        <v>3457</v>
      </c>
      <c r="E2380" t="s">
        <v>2974</v>
      </c>
      <c r="F2380" t="s">
        <v>2412</v>
      </c>
      <c r="G2380" t="s">
        <v>2410</v>
      </c>
      <c r="H2380" t="s">
        <v>4462</v>
      </c>
    </row>
    <row r="2381" spans="2:8" x14ac:dyDescent="0.25">
      <c r="B2381" t="s">
        <v>3393</v>
      </c>
      <c r="C2381">
        <v>2022</v>
      </c>
      <c r="D2381" t="s">
        <v>3457</v>
      </c>
      <c r="E2381" t="s">
        <v>2975</v>
      </c>
      <c r="F2381" t="s">
        <v>2506</v>
      </c>
      <c r="G2381" t="s">
        <v>2408</v>
      </c>
      <c r="H2381" t="s">
        <v>4491</v>
      </c>
    </row>
    <row r="2382" spans="2:8" x14ac:dyDescent="0.25">
      <c r="B2382" t="s">
        <v>3393</v>
      </c>
      <c r="C2382">
        <v>2022</v>
      </c>
      <c r="D2382" t="s">
        <v>3457</v>
      </c>
      <c r="E2382" t="s">
        <v>2975</v>
      </c>
      <c r="F2382" t="s">
        <v>2506</v>
      </c>
      <c r="G2382" t="s">
        <v>2409</v>
      </c>
      <c r="H2382" t="s">
        <v>4492</v>
      </c>
    </row>
    <row r="2383" spans="2:8" x14ac:dyDescent="0.25">
      <c r="B2383" t="s">
        <v>3393</v>
      </c>
      <c r="C2383">
        <v>2022</v>
      </c>
      <c r="D2383" t="s">
        <v>3457</v>
      </c>
      <c r="E2383" t="s">
        <v>2975</v>
      </c>
      <c r="F2383" t="s">
        <v>2506</v>
      </c>
      <c r="G2383" t="s">
        <v>2410</v>
      </c>
      <c r="H2383" t="s">
        <v>4493</v>
      </c>
    </row>
    <row r="2384" spans="2:8" x14ac:dyDescent="0.25">
      <c r="B2384" t="s">
        <v>3393</v>
      </c>
      <c r="C2384">
        <v>2023</v>
      </c>
      <c r="D2384" t="s">
        <v>3457</v>
      </c>
      <c r="E2384" t="s">
        <v>2406</v>
      </c>
      <c r="F2384" t="s">
        <v>2407</v>
      </c>
      <c r="G2384" t="s">
        <v>2408</v>
      </c>
      <c r="H2384" t="s">
        <v>4783</v>
      </c>
    </row>
    <row r="2385" spans="2:8" x14ac:dyDescent="0.25">
      <c r="B2385" t="s">
        <v>3393</v>
      </c>
      <c r="C2385">
        <v>2023</v>
      </c>
      <c r="D2385" t="s">
        <v>3457</v>
      </c>
      <c r="E2385" t="s">
        <v>2406</v>
      </c>
      <c r="F2385" t="s">
        <v>2407</v>
      </c>
      <c r="G2385" t="s">
        <v>2409</v>
      </c>
      <c r="H2385" t="s">
        <v>4784</v>
      </c>
    </row>
    <row r="2386" spans="2:8" x14ac:dyDescent="0.25">
      <c r="B2386" t="s">
        <v>3393</v>
      </c>
      <c r="C2386">
        <v>2023</v>
      </c>
      <c r="D2386" t="s">
        <v>3457</v>
      </c>
      <c r="E2386" t="s">
        <v>2406</v>
      </c>
      <c r="F2386" t="s">
        <v>2407</v>
      </c>
      <c r="G2386" t="s">
        <v>2410</v>
      </c>
      <c r="H2386" t="s">
        <v>4785</v>
      </c>
    </row>
    <row r="2387" spans="2:8" x14ac:dyDescent="0.25">
      <c r="B2387" t="s">
        <v>3393</v>
      </c>
      <c r="C2387">
        <v>2023</v>
      </c>
      <c r="D2387" t="s">
        <v>3457</v>
      </c>
      <c r="E2387" t="s">
        <v>2411</v>
      </c>
      <c r="F2387" t="s">
        <v>2412</v>
      </c>
      <c r="G2387" t="s">
        <v>2408</v>
      </c>
      <c r="H2387" t="s">
        <v>4786</v>
      </c>
    </row>
    <row r="2388" spans="2:8" x14ac:dyDescent="0.25">
      <c r="B2388" t="s">
        <v>3393</v>
      </c>
      <c r="C2388">
        <v>2023</v>
      </c>
      <c r="D2388" t="s">
        <v>3457</v>
      </c>
      <c r="E2388" t="s">
        <v>2411</v>
      </c>
      <c r="F2388" t="s">
        <v>2412</v>
      </c>
      <c r="G2388" t="s">
        <v>2409</v>
      </c>
      <c r="H2388" t="s">
        <v>4787</v>
      </c>
    </row>
    <row r="2389" spans="2:8" x14ac:dyDescent="0.25">
      <c r="B2389" t="s">
        <v>3393</v>
      </c>
      <c r="C2389">
        <v>2023</v>
      </c>
      <c r="D2389" t="s">
        <v>3457</v>
      </c>
      <c r="E2389" t="s">
        <v>2411</v>
      </c>
      <c r="F2389" t="s">
        <v>2412</v>
      </c>
      <c r="G2389" t="s">
        <v>2410</v>
      </c>
      <c r="H2389" t="s">
        <v>4788</v>
      </c>
    </row>
    <row r="2390" spans="2:8" x14ac:dyDescent="0.25">
      <c r="B2390" t="s">
        <v>3393</v>
      </c>
      <c r="C2390">
        <v>2023</v>
      </c>
      <c r="D2390" t="s">
        <v>3457</v>
      </c>
      <c r="E2390" t="s">
        <v>2413</v>
      </c>
      <c r="F2390" t="s">
        <v>2414</v>
      </c>
      <c r="G2390" t="s">
        <v>2415</v>
      </c>
      <c r="H2390" t="s">
        <v>4789</v>
      </c>
    </row>
    <row r="2391" spans="2:8" x14ac:dyDescent="0.25">
      <c r="B2391" t="s">
        <v>3393</v>
      </c>
      <c r="C2391">
        <v>2023</v>
      </c>
      <c r="D2391" t="s">
        <v>3457</v>
      </c>
      <c r="E2391" t="s">
        <v>2413</v>
      </c>
      <c r="F2391" t="s">
        <v>2414</v>
      </c>
      <c r="G2391" t="s">
        <v>2416</v>
      </c>
      <c r="H2391" t="s">
        <v>4790</v>
      </c>
    </row>
    <row r="2392" spans="2:8" x14ac:dyDescent="0.25">
      <c r="B2392" t="s">
        <v>3393</v>
      </c>
      <c r="C2392">
        <v>2023</v>
      </c>
      <c r="D2392" t="s">
        <v>3457</v>
      </c>
      <c r="E2392" t="s">
        <v>2413</v>
      </c>
      <c r="F2392" t="s">
        <v>2414</v>
      </c>
      <c r="G2392" t="s">
        <v>2417</v>
      </c>
      <c r="H2392" t="s">
        <v>4791</v>
      </c>
    </row>
    <row r="2393" spans="2:8" x14ac:dyDescent="0.25">
      <c r="B2393" t="s">
        <v>3393</v>
      </c>
      <c r="C2393">
        <v>2023</v>
      </c>
      <c r="D2393" t="s">
        <v>3457</v>
      </c>
      <c r="E2393" t="s">
        <v>2413</v>
      </c>
      <c r="F2393" t="s">
        <v>2414</v>
      </c>
      <c r="G2393" t="s">
        <v>2418</v>
      </c>
      <c r="H2393" t="s">
        <v>4792</v>
      </c>
    </row>
    <row r="2394" spans="2:8" x14ac:dyDescent="0.25">
      <c r="B2394" t="s">
        <v>3393</v>
      </c>
      <c r="C2394">
        <v>2023</v>
      </c>
      <c r="D2394" t="s">
        <v>3457</v>
      </c>
      <c r="E2394" t="s">
        <v>2413</v>
      </c>
      <c r="F2394" t="s">
        <v>2414</v>
      </c>
      <c r="G2394" t="s">
        <v>182</v>
      </c>
      <c r="H2394" t="s">
        <v>4793</v>
      </c>
    </row>
    <row r="2395" spans="2:8" x14ac:dyDescent="0.25">
      <c r="B2395" t="s">
        <v>3393</v>
      </c>
      <c r="C2395">
        <v>2023</v>
      </c>
      <c r="D2395" t="s">
        <v>3457</v>
      </c>
      <c r="E2395" t="s">
        <v>2419</v>
      </c>
      <c r="F2395" t="s">
        <v>2420</v>
      </c>
      <c r="G2395" t="s">
        <v>2415</v>
      </c>
      <c r="H2395" t="s">
        <v>4794</v>
      </c>
    </row>
    <row r="2396" spans="2:8" x14ac:dyDescent="0.25">
      <c r="B2396" t="s">
        <v>3393</v>
      </c>
      <c r="C2396">
        <v>2023</v>
      </c>
      <c r="D2396" t="s">
        <v>3457</v>
      </c>
      <c r="E2396" t="s">
        <v>2419</v>
      </c>
      <c r="F2396" t="s">
        <v>2420</v>
      </c>
      <c r="G2396" t="s">
        <v>2416</v>
      </c>
      <c r="H2396" t="s">
        <v>4795</v>
      </c>
    </row>
    <row r="2397" spans="2:8" x14ac:dyDescent="0.25">
      <c r="B2397" t="s">
        <v>3393</v>
      </c>
      <c r="C2397">
        <v>2023</v>
      </c>
      <c r="D2397" t="s">
        <v>3457</v>
      </c>
      <c r="E2397" t="s">
        <v>2419</v>
      </c>
      <c r="F2397" t="s">
        <v>2420</v>
      </c>
      <c r="G2397" t="s">
        <v>2417</v>
      </c>
      <c r="H2397" t="s">
        <v>4796</v>
      </c>
    </row>
    <row r="2398" spans="2:8" x14ac:dyDescent="0.25">
      <c r="B2398" t="s">
        <v>3393</v>
      </c>
      <c r="C2398">
        <v>2023</v>
      </c>
      <c r="D2398" t="s">
        <v>3457</v>
      </c>
      <c r="E2398" t="s">
        <v>2419</v>
      </c>
      <c r="F2398" t="s">
        <v>2420</v>
      </c>
      <c r="G2398" t="s">
        <v>2418</v>
      </c>
      <c r="H2398" t="s">
        <v>4797</v>
      </c>
    </row>
    <row r="2399" spans="2:8" x14ac:dyDescent="0.25">
      <c r="B2399" t="s">
        <v>3393</v>
      </c>
      <c r="C2399">
        <v>2023</v>
      </c>
      <c r="D2399" t="s">
        <v>3457</v>
      </c>
      <c r="E2399" t="s">
        <v>2419</v>
      </c>
      <c r="F2399" t="s">
        <v>2420</v>
      </c>
      <c r="G2399" t="s">
        <v>182</v>
      </c>
      <c r="H2399" t="s">
        <v>4798</v>
      </c>
    </row>
    <row r="2400" spans="2:8" x14ac:dyDescent="0.25">
      <c r="B2400" t="s">
        <v>3393</v>
      </c>
      <c r="C2400">
        <v>2023</v>
      </c>
      <c r="D2400" t="s">
        <v>3457</v>
      </c>
      <c r="E2400" t="s">
        <v>2976</v>
      </c>
      <c r="F2400" t="s">
        <v>2977</v>
      </c>
      <c r="G2400" t="s">
        <v>2409</v>
      </c>
      <c r="H2400" t="s">
        <v>4799</v>
      </c>
    </row>
    <row r="2401" spans="2:8" x14ac:dyDescent="0.25">
      <c r="B2401" t="s">
        <v>3393</v>
      </c>
      <c r="C2401">
        <v>2023</v>
      </c>
      <c r="D2401" t="s">
        <v>3457</v>
      </c>
      <c r="E2401" t="s">
        <v>2421</v>
      </c>
      <c r="F2401" t="s">
        <v>2422</v>
      </c>
      <c r="G2401" t="s">
        <v>2423</v>
      </c>
      <c r="H2401" t="s">
        <v>2001</v>
      </c>
    </row>
    <row r="2402" spans="2:8" x14ac:dyDescent="0.25">
      <c r="B2402" t="s">
        <v>3393</v>
      </c>
      <c r="C2402">
        <v>2023</v>
      </c>
      <c r="D2402" t="s">
        <v>3457</v>
      </c>
      <c r="E2402" t="s">
        <v>2421</v>
      </c>
      <c r="F2402" t="s">
        <v>2422</v>
      </c>
      <c r="G2402" t="s">
        <v>2424</v>
      </c>
      <c r="H2402" t="s">
        <v>4800</v>
      </c>
    </row>
    <row r="2403" spans="2:8" x14ac:dyDescent="0.25">
      <c r="B2403" t="s">
        <v>3393</v>
      </c>
      <c r="C2403">
        <v>2023</v>
      </c>
      <c r="D2403" t="s">
        <v>3457</v>
      </c>
      <c r="E2403" t="s">
        <v>2425</v>
      </c>
      <c r="F2403" t="s">
        <v>2426</v>
      </c>
      <c r="G2403" t="s">
        <v>2427</v>
      </c>
      <c r="H2403" t="s">
        <v>2979</v>
      </c>
    </row>
    <row r="2404" spans="2:8" x14ac:dyDescent="0.25">
      <c r="B2404" t="s">
        <v>3393</v>
      </c>
      <c r="C2404">
        <v>2023</v>
      </c>
      <c r="D2404" t="s">
        <v>3457</v>
      </c>
      <c r="E2404" t="s">
        <v>2429</v>
      </c>
      <c r="F2404" t="s">
        <v>2430</v>
      </c>
      <c r="G2404" t="s">
        <v>2427</v>
      </c>
      <c r="H2404" t="s">
        <v>2978</v>
      </c>
    </row>
    <row r="2405" spans="2:8" x14ac:dyDescent="0.25">
      <c r="B2405" t="s">
        <v>3393</v>
      </c>
      <c r="C2405">
        <v>2023</v>
      </c>
      <c r="D2405" t="s">
        <v>3457</v>
      </c>
      <c r="E2405" t="s">
        <v>2432</v>
      </c>
      <c r="F2405" t="s">
        <v>2433</v>
      </c>
      <c r="G2405" t="s">
        <v>2427</v>
      </c>
      <c r="H2405" t="s">
        <v>3349</v>
      </c>
    </row>
    <row r="2406" spans="2:8" x14ac:dyDescent="0.25">
      <c r="B2406" t="s">
        <v>3393</v>
      </c>
      <c r="C2406">
        <v>2023</v>
      </c>
      <c r="D2406" t="s">
        <v>3457</v>
      </c>
      <c r="E2406" t="s">
        <v>2435</v>
      </c>
      <c r="F2406" t="s">
        <v>2436</v>
      </c>
      <c r="G2406" t="s">
        <v>2427</v>
      </c>
      <c r="H2406" t="s">
        <v>3363</v>
      </c>
    </row>
    <row r="2407" spans="2:8" x14ac:dyDescent="0.25">
      <c r="B2407" t="s">
        <v>3393</v>
      </c>
      <c r="C2407">
        <v>2023</v>
      </c>
      <c r="D2407" t="s">
        <v>3457</v>
      </c>
      <c r="E2407" t="s">
        <v>2438</v>
      </c>
      <c r="F2407" t="s">
        <v>2439</v>
      </c>
      <c r="G2407" t="s">
        <v>2440</v>
      </c>
      <c r="H2407" t="s">
        <v>3034</v>
      </c>
    </row>
    <row r="2408" spans="2:8" x14ac:dyDescent="0.25">
      <c r="B2408" t="s">
        <v>3393</v>
      </c>
      <c r="C2408">
        <v>2023</v>
      </c>
      <c r="D2408" t="s">
        <v>3457</v>
      </c>
      <c r="E2408" t="s">
        <v>2442</v>
      </c>
      <c r="F2408" t="s">
        <v>2443</v>
      </c>
      <c r="G2408" t="s">
        <v>3035</v>
      </c>
      <c r="H2408" t="s">
        <v>3036</v>
      </c>
    </row>
    <row r="2409" spans="2:8" x14ac:dyDescent="0.25">
      <c r="B2409" t="s">
        <v>3393</v>
      </c>
      <c r="C2409">
        <v>2023</v>
      </c>
      <c r="D2409" t="s">
        <v>3457</v>
      </c>
      <c r="E2409" t="s">
        <v>2446</v>
      </c>
      <c r="F2409" t="s">
        <v>2447</v>
      </c>
      <c r="G2409" t="s">
        <v>2448</v>
      </c>
      <c r="H2409" t="s">
        <v>3037</v>
      </c>
    </row>
    <row r="2410" spans="2:8" x14ac:dyDescent="0.25">
      <c r="B2410" t="s">
        <v>3393</v>
      </c>
      <c r="C2410">
        <v>2023</v>
      </c>
      <c r="D2410" t="s">
        <v>3457</v>
      </c>
      <c r="E2410" t="s">
        <v>2450</v>
      </c>
      <c r="F2410" t="s">
        <v>2451</v>
      </c>
      <c r="G2410" t="s">
        <v>2452</v>
      </c>
      <c r="H2410" t="s">
        <v>4801</v>
      </c>
    </row>
    <row r="2411" spans="2:8" x14ac:dyDescent="0.25">
      <c r="B2411" t="s">
        <v>3393</v>
      </c>
      <c r="C2411">
        <v>2023</v>
      </c>
      <c r="D2411" t="s">
        <v>3457</v>
      </c>
      <c r="E2411" t="s">
        <v>2453</v>
      </c>
      <c r="F2411" t="s">
        <v>2454</v>
      </c>
      <c r="G2411" t="s">
        <v>2455</v>
      </c>
      <c r="H2411" t="s">
        <v>4802</v>
      </c>
    </row>
    <row r="2412" spans="2:8" x14ac:dyDescent="0.25">
      <c r="B2412" t="s">
        <v>3393</v>
      </c>
      <c r="C2412">
        <v>2023</v>
      </c>
      <c r="D2412" t="s">
        <v>3457</v>
      </c>
      <c r="E2412" t="s">
        <v>2453</v>
      </c>
      <c r="F2412" t="s">
        <v>2454</v>
      </c>
      <c r="G2412" t="s">
        <v>2456</v>
      </c>
      <c r="H2412" t="s">
        <v>4803</v>
      </c>
    </row>
    <row r="2413" spans="2:8" x14ac:dyDescent="0.25">
      <c r="B2413" t="s">
        <v>3393</v>
      </c>
      <c r="C2413">
        <v>2023</v>
      </c>
      <c r="D2413" t="s">
        <v>3457</v>
      </c>
      <c r="E2413" t="s">
        <v>2457</v>
      </c>
      <c r="F2413" t="s">
        <v>2458</v>
      </c>
      <c r="G2413" t="s">
        <v>2459</v>
      </c>
      <c r="H2413" t="s">
        <v>4804</v>
      </c>
    </row>
    <row r="2414" spans="2:8" x14ac:dyDescent="0.25">
      <c r="B2414" t="s">
        <v>3393</v>
      </c>
      <c r="C2414">
        <v>2023</v>
      </c>
      <c r="D2414" t="s">
        <v>3457</v>
      </c>
      <c r="E2414" t="s">
        <v>2457</v>
      </c>
      <c r="F2414" t="s">
        <v>2458</v>
      </c>
      <c r="G2414" t="s">
        <v>2460</v>
      </c>
      <c r="H2414" t="s">
        <v>4235</v>
      </c>
    </row>
    <row r="2415" spans="2:8" x14ac:dyDescent="0.25">
      <c r="B2415" t="s">
        <v>3393</v>
      </c>
      <c r="C2415">
        <v>2023</v>
      </c>
      <c r="D2415" t="s">
        <v>3457</v>
      </c>
      <c r="E2415" t="s">
        <v>2457</v>
      </c>
      <c r="F2415" t="s">
        <v>2458</v>
      </c>
      <c r="G2415" t="s">
        <v>2461</v>
      </c>
      <c r="H2415" t="s">
        <v>4256</v>
      </c>
    </row>
    <row r="2416" spans="2:8" x14ac:dyDescent="0.25">
      <c r="B2416" t="s">
        <v>3393</v>
      </c>
      <c r="C2416">
        <v>2023</v>
      </c>
      <c r="D2416" t="s">
        <v>3457</v>
      </c>
      <c r="E2416" t="s">
        <v>2457</v>
      </c>
      <c r="F2416" t="s">
        <v>2458</v>
      </c>
      <c r="G2416" t="s">
        <v>2462</v>
      </c>
      <c r="H2416" t="s">
        <v>4805</v>
      </c>
    </row>
    <row r="2417" spans="2:8" x14ac:dyDescent="0.25">
      <c r="B2417" t="s">
        <v>3393</v>
      </c>
      <c r="C2417">
        <v>2023</v>
      </c>
      <c r="D2417" t="s">
        <v>3457</v>
      </c>
      <c r="E2417" t="s">
        <v>2463</v>
      </c>
      <c r="F2417" t="s">
        <v>2464</v>
      </c>
      <c r="G2417" t="s">
        <v>2465</v>
      </c>
      <c r="H2417" t="s">
        <v>4806</v>
      </c>
    </row>
    <row r="2418" spans="2:8" x14ac:dyDescent="0.25">
      <c r="B2418" t="s">
        <v>3393</v>
      </c>
      <c r="C2418">
        <v>2023</v>
      </c>
      <c r="D2418" t="s">
        <v>3457</v>
      </c>
      <c r="E2418" t="s">
        <v>2466</v>
      </c>
      <c r="F2418" t="s">
        <v>2454</v>
      </c>
      <c r="G2418" t="s">
        <v>2455</v>
      </c>
      <c r="H2418" t="s">
        <v>4807</v>
      </c>
    </row>
    <row r="2419" spans="2:8" x14ac:dyDescent="0.25">
      <c r="B2419" t="s">
        <v>3393</v>
      </c>
      <c r="C2419">
        <v>2023</v>
      </c>
      <c r="D2419" t="s">
        <v>3457</v>
      </c>
      <c r="E2419" t="s">
        <v>2466</v>
      </c>
      <c r="F2419" t="s">
        <v>2454</v>
      </c>
      <c r="G2419" t="s">
        <v>2456</v>
      </c>
      <c r="H2419" t="s">
        <v>4808</v>
      </c>
    </row>
    <row r="2420" spans="2:8" x14ac:dyDescent="0.25">
      <c r="B2420" t="s">
        <v>3393</v>
      </c>
      <c r="C2420">
        <v>2023</v>
      </c>
      <c r="D2420" t="s">
        <v>3457</v>
      </c>
      <c r="E2420" t="s">
        <v>2467</v>
      </c>
      <c r="F2420" t="s">
        <v>2458</v>
      </c>
      <c r="G2420" t="s">
        <v>2459</v>
      </c>
      <c r="H2420" t="s">
        <v>4809</v>
      </c>
    </row>
    <row r="2421" spans="2:8" x14ac:dyDescent="0.25">
      <c r="B2421" t="s">
        <v>3393</v>
      </c>
      <c r="C2421">
        <v>2023</v>
      </c>
      <c r="D2421" t="s">
        <v>3457</v>
      </c>
      <c r="E2421" t="s">
        <v>2467</v>
      </c>
      <c r="F2421" t="s">
        <v>2458</v>
      </c>
      <c r="G2421" t="s">
        <v>2460</v>
      </c>
      <c r="H2421" t="s">
        <v>4188</v>
      </c>
    </row>
    <row r="2422" spans="2:8" x14ac:dyDescent="0.25">
      <c r="B2422" t="s">
        <v>3393</v>
      </c>
      <c r="C2422">
        <v>2023</v>
      </c>
      <c r="D2422" t="s">
        <v>3457</v>
      </c>
      <c r="E2422" t="s">
        <v>2467</v>
      </c>
      <c r="F2422" t="s">
        <v>2458</v>
      </c>
      <c r="G2422" t="s">
        <v>2461</v>
      </c>
      <c r="H2422" t="s">
        <v>4308</v>
      </c>
    </row>
    <row r="2423" spans="2:8" x14ac:dyDescent="0.25">
      <c r="B2423" t="s">
        <v>3393</v>
      </c>
      <c r="C2423">
        <v>2023</v>
      </c>
      <c r="D2423" t="s">
        <v>3457</v>
      </c>
      <c r="E2423" t="s">
        <v>2467</v>
      </c>
      <c r="F2423" t="s">
        <v>2458</v>
      </c>
      <c r="G2423" t="s">
        <v>2462</v>
      </c>
      <c r="H2423" t="s">
        <v>4810</v>
      </c>
    </row>
    <row r="2424" spans="2:8" x14ac:dyDescent="0.25">
      <c r="B2424" t="s">
        <v>3393</v>
      </c>
      <c r="C2424">
        <v>2023</v>
      </c>
      <c r="D2424" t="s">
        <v>3457</v>
      </c>
      <c r="E2424" t="s">
        <v>2468</v>
      </c>
      <c r="F2424" t="s">
        <v>2464</v>
      </c>
      <c r="G2424" t="s">
        <v>2465</v>
      </c>
      <c r="H2424" t="s">
        <v>4811</v>
      </c>
    </row>
    <row r="2425" spans="2:8" x14ac:dyDescent="0.25">
      <c r="B2425" t="s">
        <v>3393</v>
      </c>
      <c r="C2425">
        <v>2023</v>
      </c>
      <c r="D2425" t="s">
        <v>3457</v>
      </c>
      <c r="E2425" t="s">
        <v>2469</v>
      </c>
      <c r="F2425" t="s">
        <v>2470</v>
      </c>
      <c r="G2425" t="s">
        <v>2465</v>
      </c>
      <c r="H2425" t="s">
        <v>4812</v>
      </c>
    </row>
    <row r="2426" spans="2:8" x14ac:dyDescent="0.25">
      <c r="B2426" t="s">
        <v>3393</v>
      </c>
      <c r="C2426">
        <v>2023</v>
      </c>
      <c r="D2426" t="s">
        <v>3457</v>
      </c>
      <c r="E2426" t="s">
        <v>2471</v>
      </c>
      <c r="F2426" t="s">
        <v>2472</v>
      </c>
      <c r="G2426" t="s">
        <v>2473</v>
      </c>
      <c r="H2426" t="s">
        <v>4813</v>
      </c>
    </row>
    <row r="2427" spans="2:8" x14ac:dyDescent="0.25">
      <c r="B2427" t="s">
        <v>3393</v>
      </c>
      <c r="C2427">
        <v>2023</v>
      </c>
      <c r="D2427" t="s">
        <v>3457</v>
      </c>
      <c r="E2427" t="s">
        <v>2474</v>
      </c>
      <c r="F2427" t="s">
        <v>2475</v>
      </c>
      <c r="G2427" t="s">
        <v>1173</v>
      </c>
      <c r="H2427" t="s">
        <v>3432</v>
      </c>
    </row>
    <row r="2428" spans="2:8" x14ac:dyDescent="0.25">
      <c r="B2428" t="s">
        <v>3393</v>
      </c>
      <c r="C2428">
        <v>2023</v>
      </c>
      <c r="D2428" t="s">
        <v>3457</v>
      </c>
      <c r="E2428" t="s">
        <v>2474</v>
      </c>
      <c r="F2428" t="s">
        <v>2475</v>
      </c>
      <c r="G2428" t="s">
        <v>1172</v>
      </c>
      <c r="H2428" t="s">
        <v>4626</v>
      </c>
    </row>
    <row r="2429" spans="2:8" x14ac:dyDescent="0.25">
      <c r="B2429" t="s">
        <v>3393</v>
      </c>
      <c r="C2429">
        <v>2023</v>
      </c>
      <c r="D2429" t="s">
        <v>3457</v>
      </c>
      <c r="E2429" t="s">
        <v>2474</v>
      </c>
      <c r="F2429" t="s">
        <v>2475</v>
      </c>
      <c r="G2429" t="s">
        <v>1171</v>
      </c>
      <c r="H2429" t="s">
        <v>3434</v>
      </c>
    </row>
    <row r="2430" spans="2:8" x14ac:dyDescent="0.25">
      <c r="B2430" t="s">
        <v>3393</v>
      </c>
      <c r="C2430">
        <v>2023</v>
      </c>
      <c r="D2430" t="s">
        <v>3457</v>
      </c>
      <c r="E2430" t="s">
        <v>2476</v>
      </c>
      <c r="F2430" t="s">
        <v>2477</v>
      </c>
      <c r="G2430" t="s">
        <v>2478</v>
      </c>
      <c r="H2430" t="s">
        <v>1993</v>
      </c>
    </row>
    <row r="2431" spans="2:8" x14ac:dyDescent="0.25">
      <c r="B2431" t="s">
        <v>3393</v>
      </c>
      <c r="C2431">
        <v>2023</v>
      </c>
      <c r="D2431" t="s">
        <v>3457</v>
      </c>
      <c r="E2431" t="s">
        <v>2476</v>
      </c>
      <c r="F2431" t="s">
        <v>2477</v>
      </c>
      <c r="G2431" t="s">
        <v>2479</v>
      </c>
      <c r="H2431" t="s">
        <v>1993</v>
      </c>
    </row>
    <row r="2432" spans="2:8" x14ac:dyDescent="0.25">
      <c r="B2432" t="s">
        <v>3393</v>
      </c>
      <c r="C2432">
        <v>2023</v>
      </c>
      <c r="D2432" t="s">
        <v>3457</v>
      </c>
      <c r="E2432" t="s">
        <v>2481</v>
      </c>
      <c r="F2432" t="s">
        <v>2482</v>
      </c>
      <c r="G2432" t="s">
        <v>2483</v>
      </c>
      <c r="H2432" t="s">
        <v>3408</v>
      </c>
    </row>
    <row r="2433" spans="2:8" x14ac:dyDescent="0.25">
      <c r="B2433" t="s">
        <v>3393</v>
      </c>
      <c r="C2433">
        <v>2023</v>
      </c>
      <c r="D2433" t="s">
        <v>3457</v>
      </c>
      <c r="E2433" t="s">
        <v>2484</v>
      </c>
      <c r="F2433" t="s">
        <v>2485</v>
      </c>
      <c r="G2433" t="s">
        <v>2486</v>
      </c>
      <c r="H2433" t="s">
        <v>3442</v>
      </c>
    </row>
    <row r="2434" spans="2:8" x14ac:dyDescent="0.25">
      <c r="B2434" t="s">
        <v>3393</v>
      </c>
      <c r="C2434">
        <v>2023</v>
      </c>
      <c r="D2434" t="s">
        <v>3457</v>
      </c>
      <c r="E2434" t="s">
        <v>2487</v>
      </c>
      <c r="F2434" t="s">
        <v>2488</v>
      </c>
      <c r="G2434" t="s">
        <v>2489</v>
      </c>
      <c r="H2434" t="s">
        <v>4814</v>
      </c>
    </row>
    <row r="2435" spans="2:8" x14ac:dyDescent="0.25">
      <c r="B2435" t="s">
        <v>3393</v>
      </c>
      <c r="C2435">
        <v>2023</v>
      </c>
      <c r="D2435" t="s">
        <v>3457</v>
      </c>
      <c r="E2435" t="s">
        <v>2487</v>
      </c>
      <c r="F2435" t="s">
        <v>2488</v>
      </c>
      <c r="G2435" t="s">
        <v>2490</v>
      </c>
      <c r="H2435" t="s">
        <v>3357</v>
      </c>
    </row>
    <row r="2436" spans="2:8" x14ac:dyDescent="0.25">
      <c r="B2436" t="s">
        <v>3393</v>
      </c>
      <c r="C2436">
        <v>2023</v>
      </c>
      <c r="D2436" t="s">
        <v>3457</v>
      </c>
      <c r="E2436" t="s">
        <v>2491</v>
      </c>
      <c r="F2436" t="s">
        <v>2492</v>
      </c>
      <c r="G2436" t="s">
        <v>2493</v>
      </c>
      <c r="H2436" t="s">
        <v>2978</v>
      </c>
    </row>
    <row r="2437" spans="2:8" x14ac:dyDescent="0.25">
      <c r="B2437" t="s">
        <v>3393</v>
      </c>
      <c r="C2437">
        <v>2023</v>
      </c>
      <c r="D2437" t="s">
        <v>3457</v>
      </c>
      <c r="E2437" t="s">
        <v>2491</v>
      </c>
      <c r="F2437" t="s">
        <v>2492</v>
      </c>
      <c r="G2437" t="s">
        <v>2494</v>
      </c>
      <c r="H2437" t="s">
        <v>2979</v>
      </c>
    </row>
    <row r="2438" spans="2:8" x14ac:dyDescent="0.25">
      <c r="B2438" t="s">
        <v>3393</v>
      </c>
      <c r="C2438">
        <v>2023</v>
      </c>
      <c r="D2438" t="s">
        <v>3457</v>
      </c>
      <c r="E2438" t="s">
        <v>2495</v>
      </c>
      <c r="F2438" t="s">
        <v>2496</v>
      </c>
      <c r="G2438" t="s">
        <v>1116</v>
      </c>
      <c r="H2438" t="s">
        <v>4815</v>
      </c>
    </row>
    <row r="2439" spans="2:8" x14ac:dyDescent="0.25">
      <c r="B2439" t="s">
        <v>3393</v>
      </c>
      <c r="C2439">
        <v>2023</v>
      </c>
      <c r="D2439" t="s">
        <v>3457</v>
      </c>
      <c r="E2439" t="s">
        <v>2497</v>
      </c>
      <c r="F2439" t="s">
        <v>2498</v>
      </c>
      <c r="G2439" t="s">
        <v>1176</v>
      </c>
      <c r="H2439" t="s">
        <v>4816</v>
      </c>
    </row>
    <row r="2440" spans="2:8" x14ac:dyDescent="0.25">
      <c r="B2440" t="s">
        <v>3393</v>
      </c>
      <c r="C2440">
        <v>2023</v>
      </c>
      <c r="D2440" t="s">
        <v>3457</v>
      </c>
      <c r="E2440" t="s">
        <v>2499</v>
      </c>
      <c r="F2440" t="s">
        <v>2500</v>
      </c>
      <c r="G2440" t="s">
        <v>2501</v>
      </c>
      <c r="H2440" t="s">
        <v>3494</v>
      </c>
    </row>
    <row r="2441" spans="2:8" x14ac:dyDescent="0.25">
      <c r="B2441" t="s">
        <v>3393</v>
      </c>
      <c r="C2441">
        <v>2023</v>
      </c>
      <c r="D2441" t="s">
        <v>3457</v>
      </c>
      <c r="E2441" t="s">
        <v>2502</v>
      </c>
      <c r="F2441" t="s">
        <v>2503</v>
      </c>
      <c r="G2441" t="s">
        <v>2504</v>
      </c>
      <c r="H2441" t="s">
        <v>4815</v>
      </c>
    </row>
    <row r="2442" spans="2:8" x14ac:dyDescent="0.25">
      <c r="B2442" t="s">
        <v>3393</v>
      </c>
      <c r="C2442">
        <v>2023</v>
      </c>
      <c r="D2442" t="s">
        <v>3457</v>
      </c>
      <c r="E2442" t="s">
        <v>2505</v>
      </c>
      <c r="F2442" t="s">
        <v>2506</v>
      </c>
      <c r="G2442" t="s">
        <v>2408</v>
      </c>
      <c r="H2442" t="s">
        <v>4817</v>
      </c>
    </row>
    <row r="2443" spans="2:8" x14ac:dyDescent="0.25">
      <c r="B2443" t="s">
        <v>3393</v>
      </c>
      <c r="C2443">
        <v>2023</v>
      </c>
      <c r="D2443" t="s">
        <v>3457</v>
      </c>
      <c r="E2443" t="s">
        <v>2505</v>
      </c>
      <c r="F2443" t="s">
        <v>2506</v>
      </c>
      <c r="G2443" t="s">
        <v>2409</v>
      </c>
      <c r="H2443" t="s">
        <v>4818</v>
      </c>
    </row>
    <row r="2444" spans="2:8" x14ac:dyDescent="0.25">
      <c r="B2444" t="s">
        <v>3393</v>
      </c>
      <c r="C2444">
        <v>2023</v>
      </c>
      <c r="D2444" t="s">
        <v>3457</v>
      </c>
      <c r="E2444" t="s">
        <v>2505</v>
      </c>
      <c r="F2444" t="s">
        <v>2506</v>
      </c>
      <c r="G2444" t="s">
        <v>2410</v>
      </c>
      <c r="H2444" t="s">
        <v>4819</v>
      </c>
    </row>
    <row r="2445" spans="2:8" x14ac:dyDescent="0.25">
      <c r="B2445" t="s">
        <v>3393</v>
      </c>
      <c r="C2445">
        <v>2023</v>
      </c>
      <c r="D2445" t="s">
        <v>3457</v>
      </c>
      <c r="E2445" t="s">
        <v>2507</v>
      </c>
      <c r="F2445" t="s">
        <v>2407</v>
      </c>
      <c r="G2445" t="s">
        <v>2408</v>
      </c>
      <c r="H2445" t="s">
        <v>4783</v>
      </c>
    </row>
    <row r="2446" spans="2:8" x14ac:dyDescent="0.25">
      <c r="B2446" t="s">
        <v>3393</v>
      </c>
      <c r="C2446">
        <v>2023</v>
      </c>
      <c r="D2446" t="s">
        <v>3457</v>
      </c>
      <c r="E2446" t="s">
        <v>2507</v>
      </c>
      <c r="F2446" t="s">
        <v>2407</v>
      </c>
      <c r="G2446" t="s">
        <v>2409</v>
      </c>
      <c r="H2446" t="s">
        <v>4784</v>
      </c>
    </row>
    <row r="2447" spans="2:8" x14ac:dyDescent="0.25">
      <c r="B2447" t="s">
        <v>3393</v>
      </c>
      <c r="C2447">
        <v>2023</v>
      </c>
      <c r="D2447" t="s">
        <v>3457</v>
      </c>
      <c r="E2447" t="s">
        <v>2507</v>
      </c>
      <c r="F2447" t="s">
        <v>2407</v>
      </c>
      <c r="G2447" t="s">
        <v>2410</v>
      </c>
      <c r="H2447" t="s">
        <v>4785</v>
      </c>
    </row>
    <row r="2448" spans="2:8" x14ac:dyDescent="0.25">
      <c r="B2448" t="s">
        <v>3393</v>
      </c>
      <c r="C2448">
        <v>2023</v>
      </c>
      <c r="D2448" t="s">
        <v>3457</v>
      </c>
      <c r="E2448" t="s">
        <v>2508</v>
      </c>
      <c r="F2448" t="s">
        <v>2509</v>
      </c>
      <c r="G2448" t="s">
        <v>2510</v>
      </c>
      <c r="H2448" t="s">
        <v>3038</v>
      </c>
    </row>
    <row r="2449" spans="2:8" x14ac:dyDescent="0.25">
      <c r="B2449" t="s">
        <v>3393</v>
      </c>
      <c r="C2449">
        <v>2023</v>
      </c>
      <c r="D2449" t="s">
        <v>3457</v>
      </c>
      <c r="E2449" t="s">
        <v>2508</v>
      </c>
      <c r="F2449" t="s">
        <v>2509</v>
      </c>
      <c r="G2449" t="s">
        <v>2512</v>
      </c>
      <c r="H2449" t="s">
        <v>3039</v>
      </c>
    </row>
    <row r="2450" spans="2:8" x14ac:dyDescent="0.25">
      <c r="B2450" t="s">
        <v>3393</v>
      </c>
      <c r="C2450">
        <v>2023</v>
      </c>
      <c r="D2450" t="s">
        <v>3457</v>
      </c>
      <c r="E2450" t="s">
        <v>2508</v>
      </c>
      <c r="F2450" t="s">
        <v>2509</v>
      </c>
      <c r="G2450" t="s">
        <v>2514</v>
      </c>
      <c r="H2450" t="s">
        <v>3040</v>
      </c>
    </row>
    <row r="2451" spans="2:8" x14ac:dyDescent="0.25">
      <c r="B2451" t="s">
        <v>3393</v>
      </c>
      <c r="C2451">
        <v>2023</v>
      </c>
      <c r="D2451" t="s">
        <v>3457</v>
      </c>
      <c r="E2451" t="s">
        <v>2516</v>
      </c>
      <c r="F2451" t="s">
        <v>2517</v>
      </c>
      <c r="G2451" t="s">
        <v>2518</v>
      </c>
      <c r="H2451" t="s">
        <v>4820</v>
      </c>
    </row>
    <row r="2452" spans="2:8" x14ac:dyDescent="0.25">
      <c r="B2452" t="s">
        <v>3393</v>
      </c>
      <c r="C2452">
        <v>2023</v>
      </c>
      <c r="D2452" t="s">
        <v>3457</v>
      </c>
      <c r="E2452" t="s">
        <v>2516</v>
      </c>
      <c r="F2452" t="s">
        <v>2517</v>
      </c>
      <c r="G2452" t="s">
        <v>2519</v>
      </c>
      <c r="H2452" t="s">
        <v>4821</v>
      </c>
    </row>
    <row r="2453" spans="2:8" x14ac:dyDescent="0.25">
      <c r="B2453" t="s">
        <v>3393</v>
      </c>
      <c r="C2453">
        <v>2023</v>
      </c>
      <c r="D2453" t="s">
        <v>3457</v>
      </c>
      <c r="E2453" t="s">
        <v>2520</v>
      </c>
      <c r="F2453" t="s">
        <v>2521</v>
      </c>
      <c r="G2453" t="s">
        <v>2518</v>
      </c>
      <c r="H2453" t="s">
        <v>4822</v>
      </c>
    </row>
    <row r="2454" spans="2:8" x14ac:dyDescent="0.25">
      <c r="B2454" t="s">
        <v>3393</v>
      </c>
      <c r="C2454">
        <v>2023</v>
      </c>
      <c r="D2454" t="s">
        <v>3457</v>
      </c>
      <c r="E2454" t="s">
        <v>2520</v>
      </c>
      <c r="F2454" t="s">
        <v>2521</v>
      </c>
      <c r="G2454" t="s">
        <v>2519</v>
      </c>
      <c r="H2454" t="s">
        <v>4823</v>
      </c>
    </row>
    <row r="2455" spans="2:8" x14ac:dyDescent="0.25">
      <c r="B2455" t="s">
        <v>3393</v>
      </c>
      <c r="C2455">
        <v>2023</v>
      </c>
      <c r="D2455" t="s">
        <v>3457</v>
      </c>
      <c r="E2455" t="s">
        <v>2522</v>
      </c>
      <c r="F2455" t="s">
        <v>2523</v>
      </c>
      <c r="G2455" t="s">
        <v>2524</v>
      </c>
      <c r="H2455" t="s">
        <v>3364</v>
      </c>
    </row>
    <row r="2456" spans="2:8" x14ac:dyDescent="0.25">
      <c r="B2456" t="s">
        <v>3393</v>
      </c>
      <c r="C2456">
        <v>2023</v>
      </c>
      <c r="D2456" t="s">
        <v>3457</v>
      </c>
      <c r="E2456" t="s">
        <v>2522</v>
      </c>
      <c r="F2456" t="s">
        <v>2523</v>
      </c>
      <c r="G2456" t="s">
        <v>2525</v>
      </c>
      <c r="H2456" t="s">
        <v>2748</v>
      </c>
    </row>
    <row r="2457" spans="2:8" x14ac:dyDescent="0.25">
      <c r="B2457" t="s">
        <v>3393</v>
      </c>
      <c r="C2457">
        <v>2023</v>
      </c>
      <c r="D2457" t="s">
        <v>3457</v>
      </c>
      <c r="E2457" t="s">
        <v>2522</v>
      </c>
      <c r="F2457" t="s">
        <v>2523</v>
      </c>
      <c r="G2457" t="s">
        <v>2527</v>
      </c>
      <c r="H2457" t="s">
        <v>2987</v>
      </c>
    </row>
    <row r="2458" spans="2:8" x14ac:dyDescent="0.25">
      <c r="B2458" t="s">
        <v>3393</v>
      </c>
      <c r="C2458">
        <v>2023</v>
      </c>
      <c r="D2458" t="s">
        <v>3457</v>
      </c>
      <c r="E2458" t="s">
        <v>2522</v>
      </c>
      <c r="F2458" t="s">
        <v>2523</v>
      </c>
      <c r="G2458" t="s">
        <v>182</v>
      </c>
      <c r="H2458" t="s">
        <v>4824</v>
      </c>
    </row>
    <row r="2459" spans="2:8" x14ac:dyDescent="0.25">
      <c r="B2459" t="s">
        <v>3393</v>
      </c>
      <c r="C2459">
        <v>2023</v>
      </c>
      <c r="D2459" t="s">
        <v>3457</v>
      </c>
      <c r="E2459" t="s">
        <v>2528</v>
      </c>
      <c r="F2459" t="s">
        <v>2529</v>
      </c>
      <c r="G2459" t="s">
        <v>2510</v>
      </c>
      <c r="H2459" t="s">
        <v>4825</v>
      </c>
    </row>
    <row r="2460" spans="2:8" x14ac:dyDescent="0.25">
      <c r="B2460" t="s">
        <v>3393</v>
      </c>
      <c r="C2460">
        <v>2023</v>
      </c>
      <c r="D2460" t="s">
        <v>3457</v>
      </c>
      <c r="E2460" t="s">
        <v>2528</v>
      </c>
      <c r="F2460" t="s">
        <v>2529</v>
      </c>
      <c r="G2460" t="s">
        <v>2512</v>
      </c>
      <c r="H2460" t="s">
        <v>4826</v>
      </c>
    </row>
    <row r="2461" spans="2:8" x14ac:dyDescent="0.25">
      <c r="B2461" t="s">
        <v>3393</v>
      </c>
      <c r="C2461">
        <v>2023</v>
      </c>
      <c r="D2461" t="s">
        <v>3457</v>
      </c>
      <c r="E2461" t="s">
        <v>2528</v>
      </c>
      <c r="F2461" t="s">
        <v>2529</v>
      </c>
      <c r="G2461" t="s">
        <v>2514</v>
      </c>
      <c r="H2461" t="s">
        <v>4827</v>
      </c>
    </row>
    <row r="2462" spans="2:8" x14ac:dyDescent="0.25">
      <c r="B2462" t="s">
        <v>3393</v>
      </c>
      <c r="C2462">
        <v>2023</v>
      </c>
      <c r="D2462" t="s">
        <v>3457</v>
      </c>
      <c r="E2462" t="s">
        <v>2530</v>
      </c>
      <c r="F2462" t="s">
        <v>2531</v>
      </c>
      <c r="G2462" t="s">
        <v>2408</v>
      </c>
      <c r="H2462" t="s">
        <v>4828</v>
      </c>
    </row>
    <row r="2463" spans="2:8" x14ac:dyDescent="0.25">
      <c r="B2463" t="s">
        <v>3393</v>
      </c>
      <c r="C2463">
        <v>2023</v>
      </c>
      <c r="D2463" t="s">
        <v>3457</v>
      </c>
      <c r="E2463" t="s">
        <v>2530</v>
      </c>
      <c r="F2463" t="s">
        <v>2531</v>
      </c>
      <c r="G2463" t="s">
        <v>2409</v>
      </c>
      <c r="H2463" t="s">
        <v>2147</v>
      </c>
    </row>
    <row r="2464" spans="2:8" x14ac:dyDescent="0.25">
      <c r="B2464" t="s">
        <v>3393</v>
      </c>
      <c r="C2464">
        <v>2023</v>
      </c>
      <c r="D2464" t="s">
        <v>3457</v>
      </c>
      <c r="E2464" t="s">
        <v>2530</v>
      </c>
      <c r="F2464" t="s">
        <v>2531</v>
      </c>
      <c r="G2464" t="s">
        <v>2410</v>
      </c>
      <c r="H2464" t="s">
        <v>4829</v>
      </c>
    </row>
    <row r="2465" spans="2:8" x14ac:dyDescent="0.25">
      <c r="B2465" t="s">
        <v>3393</v>
      </c>
      <c r="C2465">
        <v>2023</v>
      </c>
      <c r="D2465" t="s">
        <v>3457</v>
      </c>
      <c r="E2465" t="s">
        <v>2532</v>
      </c>
      <c r="F2465" t="s">
        <v>2533</v>
      </c>
      <c r="G2465" t="s">
        <v>2408</v>
      </c>
      <c r="H2465" t="s">
        <v>4830</v>
      </c>
    </row>
    <row r="2466" spans="2:8" x14ac:dyDescent="0.25">
      <c r="B2466" t="s">
        <v>3393</v>
      </c>
      <c r="C2466">
        <v>2023</v>
      </c>
      <c r="D2466" t="s">
        <v>3457</v>
      </c>
      <c r="E2466" t="s">
        <v>2532</v>
      </c>
      <c r="F2466" t="s">
        <v>2533</v>
      </c>
      <c r="G2466" t="s">
        <v>2409</v>
      </c>
      <c r="H2466" t="s">
        <v>2147</v>
      </c>
    </row>
    <row r="2467" spans="2:8" x14ac:dyDescent="0.25">
      <c r="B2467" t="s">
        <v>3393</v>
      </c>
      <c r="C2467">
        <v>2023</v>
      </c>
      <c r="D2467" t="s">
        <v>3457</v>
      </c>
      <c r="E2467" t="s">
        <v>2532</v>
      </c>
      <c r="F2467" t="s">
        <v>2533</v>
      </c>
      <c r="G2467" t="s">
        <v>2410</v>
      </c>
      <c r="H2467" t="s">
        <v>4831</v>
      </c>
    </row>
    <row r="2468" spans="2:8" x14ac:dyDescent="0.25">
      <c r="B2468" t="s">
        <v>3393</v>
      </c>
      <c r="C2468">
        <v>2023</v>
      </c>
      <c r="D2468" t="s">
        <v>3457</v>
      </c>
      <c r="E2468" t="s">
        <v>2534</v>
      </c>
      <c r="F2468" t="s">
        <v>2535</v>
      </c>
      <c r="G2468" t="s">
        <v>626</v>
      </c>
      <c r="H2468" t="s">
        <v>3320</v>
      </c>
    </row>
    <row r="2469" spans="2:8" x14ac:dyDescent="0.25">
      <c r="B2469" t="s">
        <v>3393</v>
      </c>
      <c r="C2469">
        <v>2023</v>
      </c>
      <c r="D2469" t="s">
        <v>3457</v>
      </c>
      <c r="E2469" t="s">
        <v>2534</v>
      </c>
      <c r="F2469" t="s">
        <v>2535</v>
      </c>
      <c r="G2469" t="s">
        <v>628</v>
      </c>
      <c r="H2469" t="s">
        <v>3515</v>
      </c>
    </row>
    <row r="2470" spans="2:8" x14ac:dyDescent="0.25">
      <c r="B2470" t="s">
        <v>3393</v>
      </c>
      <c r="C2470">
        <v>2023</v>
      </c>
      <c r="D2470" t="s">
        <v>3457</v>
      </c>
      <c r="E2470" t="s">
        <v>2534</v>
      </c>
      <c r="F2470" t="s">
        <v>2535</v>
      </c>
      <c r="G2470" t="s">
        <v>627</v>
      </c>
      <c r="H2470" t="s">
        <v>4832</v>
      </c>
    </row>
    <row r="2471" spans="2:8" x14ac:dyDescent="0.25">
      <c r="B2471" t="s">
        <v>3393</v>
      </c>
      <c r="C2471">
        <v>2023</v>
      </c>
      <c r="D2471" t="s">
        <v>3457</v>
      </c>
      <c r="E2471" t="s">
        <v>2534</v>
      </c>
      <c r="F2471" t="s">
        <v>2535</v>
      </c>
      <c r="G2471" t="s">
        <v>2536</v>
      </c>
      <c r="H2471" t="s">
        <v>4833</v>
      </c>
    </row>
    <row r="2472" spans="2:8" x14ac:dyDescent="0.25">
      <c r="B2472" t="s">
        <v>3393</v>
      </c>
      <c r="C2472">
        <v>2023</v>
      </c>
      <c r="D2472" t="s">
        <v>3457</v>
      </c>
      <c r="E2472" t="s">
        <v>2534</v>
      </c>
      <c r="F2472" t="s">
        <v>2535</v>
      </c>
      <c r="G2472" t="s">
        <v>2537</v>
      </c>
      <c r="H2472" t="s">
        <v>2988</v>
      </c>
    </row>
    <row r="2473" spans="2:8" x14ac:dyDescent="0.25">
      <c r="B2473" t="s">
        <v>3393</v>
      </c>
      <c r="C2473">
        <v>2023</v>
      </c>
      <c r="D2473" t="s">
        <v>3457</v>
      </c>
      <c r="E2473" t="s">
        <v>2534</v>
      </c>
      <c r="F2473" t="s">
        <v>2535</v>
      </c>
      <c r="G2473" t="s">
        <v>2539</v>
      </c>
      <c r="H2473" t="s">
        <v>4221</v>
      </c>
    </row>
    <row r="2474" spans="2:8" x14ac:dyDescent="0.25">
      <c r="B2474" t="s">
        <v>3393</v>
      </c>
      <c r="C2474">
        <v>2023</v>
      </c>
      <c r="D2474" t="s">
        <v>3457</v>
      </c>
      <c r="E2474" t="s">
        <v>2534</v>
      </c>
      <c r="F2474" t="s">
        <v>2535</v>
      </c>
      <c r="G2474" t="s">
        <v>629</v>
      </c>
      <c r="H2474" t="s">
        <v>4834</v>
      </c>
    </row>
    <row r="2475" spans="2:8" x14ac:dyDescent="0.25">
      <c r="B2475" t="s">
        <v>3393</v>
      </c>
      <c r="C2475">
        <v>2023</v>
      </c>
      <c r="D2475" t="s">
        <v>3457</v>
      </c>
      <c r="E2475" t="s">
        <v>2534</v>
      </c>
      <c r="F2475" t="s">
        <v>2535</v>
      </c>
      <c r="G2475" t="s">
        <v>2540</v>
      </c>
      <c r="H2475" t="s">
        <v>4835</v>
      </c>
    </row>
    <row r="2476" spans="2:8" x14ac:dyDescent="0.25">
      <c r="B2476" t="s">
        <v>3393</v>
      </c>
      <c r="C2476">
        <v>2023</v>
      </c>
      <c r="D2476" t="s">
        <v>3457</v>
      </c>
      <c r="E2476" t="s">
        <v>2534</v>
      </c>
      <c r="F2476" t="s">
        <v>2535</v>
      </c>
      <c r="G2476" t="s">
        <v>2541</v>
      </c>
      <c r="H2476" t="s">
        <v>4836</v>
      </c>
    </row>
    <row r="2477" spans="2:8" x14ac:dyDescent="0.25">
      <c r="B2477" t="s">
        <v>3393</v>
      </c>
      <c r="C2477">
        <v>2023</v>
      </c>
      <c r="D2477" t="s">
        <v>3457</v>
      </c>
      <c r="E2477" t="s">
        <v>2534</v>
      </c>
      <c r="F2477" t="s">
        <v>2535</v>
      </c>
      <c r="G2477" t="s">
        <v>2542</v>
      </c>
      <c r="H2477" t="s">
        <v>4837</v>
      </c>
    </row>
    <row r="2478" spans="2:8" x14ac:dyDescent="0.25">
      <c r="B2478" t="s">
        <v>3393</v>
      </c>
      <c r="C2478">
        <v>2023</v>
      </c>
      <c r="D2478" t="s">
        <v>3457</v>
      </c>
      <c r="E2478" t="s">
        <v>2543</v>
      </c>
      <c r="F2478" t="s">
        <v>2544</v>
      </c>
      <c r="G2478" t="s">
        <v>2545</v>
      </c>
      <c r="H2478" t="s">
        <v>2109</v>
      </c>
    </row>
    <row r="2479" spans="2:8" x14ac:dyDescent="0.25">
      <c r="B2479" t="s">
        <v>3393</v>
      </c>
      <c r="C2479">
        <v>2023</v>
      </c>
      <c r="D2479" t="s">
        <v>3457</v>
      </c>
      <c r="E2479" t="s">
        <v>2543</v>
      </c>
      <c r="F2479" t="s">
        <v>2544</v>
      </c>
      <c r="G2479" t="s">
        <v>714</v>
      </c>
      <c r="H2479" t="s">
        <v>4838</v>
      </c>
    </row>
    <row r="2480" spans="2:8" x14ac:dyDescent="0.25">
      <c r="B2480" t="s">
        <v>3393</v>
      </c>
      <c r="C2480">
        <v>2023</v>
      </c>
      <c r="D2480" t="s">
        <v>3457</v>
      </c>
      <c r="E2480" t="s">
        <v>2546</v>
      </c>
      <c r="F2480" t="s">
        <v>2547</v>
      </c>
      <c r="G2480" t="s">
        <v>2548</v>
      </c>
      <c r="H2480" t="s">
        <v>4627</v>
      </c>
    </row>
    <row r="2481" spans="2:8" x14ac:dyDescent="0.25">
      <c r="B2481" t="s">
        <v>3393</v>
      </c>
      <c r="C2481">
        <v>2023</v>
      </c>
      <c r="D2481" t="s">
        <v>3457</v>
      </c>
      <c r="E2481" t="s">
        <v>2546</v>
      </c>
      <c r="F2481" t="s">
        <v>2547</v>
      </c>
      <c r="G2481" t="s">
        <v>2549</v>
      </c>
      <c r="H2481" t="s">
        <v>4839</v>
      </c>
    </row>
    <row r="2482" spans="2:8" x14ac:dyDescent="0.25">
      <c r="B2482" t="s">
        <v>3393</v>
      </c>
      <c r="C2482">
        <v>2023</v>
      </c>
      <c r="D2482" t="s">
        <v>3457</v>
      </c>
      <c r="E2482" t="s">
        <v>2550</v>
      </c>
      <c r="F2482" t="s">
        <v>2551</v>
      </c>
      <c r="G2482" t="s">
        <v>858</v>
      </c>
      <c r="H2482" t="s">
        <v>4840</v>
      </c>
    </row>
    <row r="2483" spans="2:8" x14ac:dyDescent="0.25">
      <c r="B2483" t="s">
        <v>3393</v>
      </c>
      <c r="C2483">
        <v>2023</v>
      </c>
      <c r="D2483" t="s">
        <v>3457</v>
      </c>
      <c r="E2483" t="s">
        <v>2550</v>
      </c>
      <c r="F2483" t="s">
        <v>2551</v>
      </c>
      <c r="G2483" t="s">
        <v>859</v>
      </c>
      <c r="H2483" t="s">
        <v>3318</v>
      </c>
    </row>
    <row r="2484" spans="2:8" x14ac:dyDescent="0.25">
      <c r="B2484" t="s">
        <v>3393</v>
      </c>
      <c r="C2484">
        <v>2023</v>
      </c>
      <c r="D2484" t="s">
        <v>3457</v>
      </c>
      <c r="E2484" t="s">
        <v>2550</v>
      </c>
      <c r="F2484" t="s">
        <v>2551</v>
      </c>
      <c r="G2484" t="s">
        <v>857</v>
      </c>
      <c r="H2484" t="s">
        <v>4841</v>
      </c>
    </row>
    <row r="2485" spans="2:8" x14ac:dyDescent="0.25">
      <c r="B2485" t="s">
        <v>3393</v>
      </c>
      <c r="C2485">
        <v>2023</v>
      </c>
      <c r="D2485" t="s">
        <v>3457</v>
      </c>
      <c r="E2485" t="s">
        <v>2550</v>
      </c>
      <c r="F2485" t="s">
        <v>2551</v>
      </c>
      <c r="G2485" t="s">
        <v>862</v>
      </c>
      <c r="H2485" t="s">
        <v>1993</v>
      </c>
    </row>
    <row r="2486" spans="2:8" x14ac:dyDescent="0.25">
      <c r="B2486" t="s">
        <v>3393</v>
      </c>
      <c r="C2486">
        <v>2023</v>
      </c>
      <c r="D2486" t="s">
        <v>3457</v>
      </c>
      <c r="E2486" t="s">
        <v>2550</v>
      </c>
      <c r="F2486" t="s">
        <v>2551</v>
      </c>
      <c r="G2486" t="s">
        <v>872</v>
      </c>
      <c r="H2486" t="s">
        <v>1993</v>
      </c>
    </row>
    <row r="2487" spans="2:8" x14ac:dyDescent="0.25">
      <c r="B2487" t="s">
        <v>3393</v>
      </c>
      <c r="C2487">
        <v>2023</v>
      </c>
      <c r="D2487" t="s">
        <v>3457</v>
      </c>
      <c r="E2487" t="s">
        <v>2550</v>
      </c>
      <c r="F2487" t="s">
        <v>2551</v>
      </c>
      <c r="G2487" t="s">
        <v>864</v>
      </c>
      <c r="H2487" t="s">
        <v>3571</v>
      </c>
    </row>
    <row r="2488" spans="2:8" x14ac:dyDescent="0.25">
      <c r="B2488" t="s">
        <v>3393</v>
      </c>
      <c r="C2488">
        <v>2023</v>
      </c>
      <c r="D2488" t="s">
        <v>3457</v>
      </c>
      <c r="E2488" t="s">
        <v>2550</v>
      </c>
      <c r="F2488" t="s">
        <v>2551</v>
      </c>
      <c r="G2488" t="s">
        <v>866</v>
      </c>
      <c r="H2488" t="s">
        <v>4724</v>
      </c>
    </row>
    <row r="2489" spans="2:8" x14ac:dyDescent="0.25">
      <c r="B2489" t="s">
        <v>3393</v>
      </c>
      <c r="C2489">
        <v>2023</v>
      </c>
      <c r="D2489" t="s">
        <v>3457</v>
      </c>
      <c r="E2489" t="s">
        <v>2550</v>
      </c>
      <c r="F2489" t="s">
        <v>2551</v>
      </c>
      <c r="G2489" t="s">
        <v>860</v>
      </c>
      <c r="H2489" t="s">
        <v>4842</v>
      </c>
    </row>
    <row r="2490" spans="2:8" x14ac:dyDescent="0.25">
      <c r="B2490" t="s">
        <v>3393</v>
      </c>
      <c r="C2490">
        <v>2023</v>
      </c>
      <c r="D2490" t="s">
        <v>3457</v>
      </c>
      <c r="E2490" t="s">
        <v>2550</v>
      </c>
      <c r="F2490" t="s">
        <v>2551</v>
      </c>
      <c r="G2490" t="s">
        <v>850</v>
      </c>
      <c r="H2490" t="s">
        <v>4843</v>
      </c>
    </row>
    <row r="2491" spans="2:8" x14ac:dyDescent="0.25">
      <c r="B2491" t="s">
        <v>3393</v>
      </c>
      <c r="C2491">
        <v>2023</v>
      </c>
      <c r="D2491" t="s">
        <v>3457</v>
      </c>
      <c r="E2491" t="s">
        <v>2550</v>
      </c>
      <c r="F2491" t="s">
        <v>2551</v>
      </c>
      <c r="G2491" t="s">
        <v>849</v>
      </c>
      <c r="H2491" t="s">
        <v>4844</v>
      </c>
    </row>
    <row r="2492" spans="2:8" x14ac:dyDescent="0.25">
      <c r="B2492" t="s">
        <v>3393</v>
      </c>
      <c r="C2492">
        <v>2023</v>
      </c>
      <c r="D2492" t="s">
        <v>3457</v>
      </c>
      <c r="E2492" t="s">
        <v>2550</v>
      </c>
      <c r="F2492" t="s">
        <v>2551</v>
      </c>
      <c r="G2492" t="s">
        <v>852</v>
      </c>
      <c r="H2492" t="s">
        <v>4845</v>
      </c>
    </row>
    <row r="2493" spans="2:8" x14ac:dyDescent="0.25">
      <c r="B2493" t="s">
        <v>3393</v>
      </c>
      <c r="C2493">
        <v>2023</v>
      </c>
      <c r="D2493" t="s">
        <v>3457</v>
      </c>
      <c r="E2493" t="s">
        <v>2550</v>
      </c>
      <c r="F2493" t="s">
        <v>2551</v>
      </c>
      <c r="G2493" t="s">
        <v>851</v>
      </c>
      <c r="H2493" t="s">
        <v>4846</v>
      </c>
    </row>
    <row r="2494" spans="2:8" x14ac:dyDescent="0.25">
      <c r="B2494" t="s">
        <v>3393</v>
      </c>
      <c r="C2494">
        <v>2023</v>
      </c>
      <c r="D2494" t="s">
        <v>3457</v>
      </c>
      <c r="E2494" t="s">
        <v>2550</v>
      </c>
      <c r="F2494" t="s">
        <v>2551</v>
      </c>
      <c r="G2494" t="s">
        <v>855</v>
      </c>
      <c r="H2494" t="s">
        <v>2179</v>
      </c>
    </row>
    <row r="2495" spans="2:8" x14ac:dyDescent="0.25">
      <c r="B2495" t="s">
        <v>3393</v>
      </c>
      <c r="C2495">
        <v>2023</v>
      </c>
      <c r="D2495" t="s">
        <v>3457</v>
      </c>
      <c r="E2495" t="s">
        <v>2550</v>
      </c>
      <c r="F2495" t="s">
        <v>2551</v>
      </c>
      <c r="G2495" t="s">
        <v>856</v>
      </c>
      <c r="H2495" t="s">
        <v>1993</v>
      </c>
    </row>
    <row r="2496" spans="2:8" x14ac:dyDescent="0.25">
      <c r="B2496" t="s">
        <v>3393</v>
      </c>
      <c r="C2496">
        <v>2023</v>
      </c>
      <c r="D2496" t="s">
        <v>3457</v>
      </c>
      <c r="E2496" t="s">
        <v>2550</v>
      </c>
      <c r="F2496" t="s">
        <v>2551</v>
      </c>
      <c r="G2496" t="s">
        <v>865</v>
      </c>
      <c r="H2496" t="s">
        <v>4847</v>
      </c>
    </row>
    <row r="2497" spans="2:8" x14ac:dyDescent="0.25">
      <c r="B2497" t="s">
        <v>3393</v>
      </c>
      <c r="C2497">
        <v>2023</v>
      </c>
      <c r="D2497" t="s">
        <v>3457</v>
      </c>
      <c r="E2497" t="s">
        <v>2550</v>
      </c>
      <c r="F2497" t="s">
        <v>2551</v>
      </c>
      <c r="G2497" t="s">
        <v>861</v>
      </c>
      <c r="H2497" t="s">
        <v>2005</v>
      </c>
    </row>
    <row r="2498" spans="2:8" x14ac:dyDescent="0.25">
      <c r="B2498" t="s">
        <v>3393</v>
      </c>
      <c r="C2498">
        <v>2023</v>
      </c>
      <c r="D2498" t="s">
        <v>3457</v>
      </c>
      <c r="E2498" t="s">
        <v>2550</v>
      </c>
      <c r="F2498" t="s">
        <v>2551</v>
      </c>
      <c r="G2498" t="s">
        <v>871</v>
      </c>
      <c r="H2498" t="s">
        <v>3699</v>
      </c>
    </row>
    <row r="2499" spans="2:8" x14ac:dyDescent="0.25">
      <c r="B2499" t="s">
        <v>3393</v>
      </c>
      <c r="C2499">
        <v>2023</v>
      </c>
      <c r="D2499" t="s">
        <v>3457</v>
      </c>
      <c r="E2499" t="s">
        <v>2550</v>
      </c>
      <c r="F2499" t="s">
        <v>2551</v>
      </c>
      <c r="G2499" t="s">
        <v>848</v>
      </c>
      <c r="H2499" t="s">
        <v>4848</v>
      </c>
    </row>
    <row r="2500" spans="2:8" x14ac:dyDescent="0.25">
      <c r="B2500" t="s">
        <v>3393</v>
      </c>
      <c r="C2500">
        <v>2023</v>
      </c>
      <c r="D2500" t="s">
        <v>3457</v>
      </c>
      <c r="E2500" t="s">
        <v>2550</v>
      </c>
      <c r="F2500" t="s">
        <v>2551</v>
      </c>
      <c r="G2500" t="s">
        <v>853</v>
      </c>
      <c r="H2500" t="s">
        <v>4849</v>
      </c>
    </row>
    <row r="2501" spans="2:8" x14ac:dyDescent="0.25">
      <c r="B2501" t="s">
        <v>3393</v>
      </c>
      <c r="C2501">
        <v>2023</v>
      </c>
      <c r="D2501" t="s">
        <v>3457</v>
      </c>
      <c r="E2501" t="s">
        <v>2550</v>
      </c>
      <c r="F2501" t="s">
        <v>2551</v>
      </c>
      <c r="G2501" t="s">
        <v>854</v>
      </c>
      <c r="H2501" t="s">
        <v>4850</v>
      </c>
    </row>
    <row r="2502" spans="2:8" x14ac:dyDescent="0.25">
      <c r="B2502" t="s">
        <v>3393</v>
      </c>
      <c r="C2502">
        <v>2023</v>
      </c>
      <c r="D2502" t="s">
        <v>3457</v>
      </c>
      <c r="E2502" t="s">
        <v>2550</v>
      </c>
      <c r="F2502" t="s">
        <v>2551</v>
      </c>
      <c r="G2502" t="s">
        <v>863</v>
      </c>
      <c r="H2502" t="s">
        <v>4851</v>
      </c>
    </row>
    <row r="2503" spans="2:8" x14ac:dyDescent="0.25">
      <c r="B2503" t="s">
        <v>3393</v>
      </c>
      <c r="C2503">
        <v>2023</v>
      </c>
      <c r="D2503" t="s">
        <v>3457</v>
      </c>
      <c r="E2503" t="s">
        <v>2550</v>
      </c>
      <c r="F2503" t="s">
        <v>2551</v>
      </c>
      <c r="G2503" t="s">
        <v>3238</v>
      </c>
      <c r="H2503" t="s">
        <v>3556</v>
      </c>
    </row>
    <row r="2504" spans="2:8" x14ac:dyDescent="0.25">
      <c r="B2504" t="s">
        <v>3393</v>
      </c>
      <c r="C2504">
        <v>2023</v>
      </c>
      <c r="D2504" t="s">
        <v>3457</v>
      </c>
      <c r="E2504" t="s">
        <v>2550</v>
      </c>
      <c r="F2504" t="s">
        <v>2551</v>
      </c>
      <c r="G2504" t="s">
        <v>869</v>
      </c>
      <c r="H2504" t="s">
        <v>1993</v>
      </c>
    </row>
    <row r="2505" spans="2:8" x14ac:dyDescent="0.25">
      <c r="B2505" t="s">
        <v>3393</v>
      </c>
      <c r="C2505">
        <v>2023</v>
      </c>
      <c r="D2505" t="s">
        <v>3457</v>
      </c>
      <c r="E2505" t="s">
        <v>2550</v>
      </c>
      <c r="F2505" t="s">
        <v>2551</v>
      </c>
      <c r="G2505" t="s">
        <v>3239</v>
      </c>
      <c r="H2505" t="s">
        <v>4852</v>
      </c>
    </row>
    <row r="2506" spans="2:8" x14ac:dyDescent="0.25">
      <c r="B2506" t="s">
        <v>3393</v>
      </c>
      <c r="C2506">
        <v>2023</v>
      </c>
      <c r="D2506" t="s">
        <v>3457</v>
      </c>
      <c r="E2506" t="s">
        <v>2553</v>
      </c>
      <c r="F2506" t="s">
        <v>2554</v>
      </c>
      <c r="G2506" t="s">
        <v>1150</v>
      </c>
      <c r="H2506" t="s">
        <v>3372</v>
      </c>
    </row>
    <row r="2507" spans="2:8" x14ac:dyDescent="0.25">
      <c r="B2507" t="s">
        <v>3393</v>
      </c>
      <c r="C2507">
        <v>2023</v>
      </c>
      <c r="D2507" t="s">
        <v>3457</v>
      </c>
      <c r="E2507" t="s">
        <v>2553</v>
      </c>
      <c r="F2507" t="s">
        <v>2554</v>
      </c>
      <c r="G2507" t="s">
        <v>1148</v>
      </c>
      <c r="H2507" t="s">
        <v>4853</v>
      </c>
    </row>
    <row r="2508" spans="2:8" x14ac:dyDescent="0.25">
      <c r="B2508" t="s">
        <v>3393</v>
      </c>
      <c r="C2508">
        <v>2023</v>
      </c>
      <c r="D2508" t="s">
        <v>3457</v>
      </c>
      <c r="E2508" t="s">
        <v>2553</v>
      </c>
      <c r="F2508" t="s">
        <v>2554</v>
      </c>
      <c r="G2508" t="s">
        <v>1149</v>
      </c>
      <c r="H2508" t="s">
        <v>4854</v>
      </c>
    </row>
    <row r="2509" spans="2:8" x14ac:dyDescent="0.25">
      <c r="B2509" t="s">
        <v>3393</v>
      </c>
      <c r="C2509">
        <v>2023</v>
      </c>
      <c r="D2509" t="s">
        <v>3457</v>
      </c>
      <c r="E2509" t="s">
        <v>2555</v>
      </c>
      <c r="F2509" t="s">
        <v>2556</v>
      </c>
      <c r="G2509" t="s">
        <v>2557</v>
      </c>
      <c r="H2509" t="s">
        <v>4855</v>
      </c>
    </row>
    <row r="2510" spans="2:8" x14ac:dyDescent="0.25">
      <c r="B2510" t="s">
        <v>3393</v>
      </c>
      <c r="C2510">
        <v>2023</v>
      </c>
      <c r="D2510" t="s">
        <v>3457</v>
      </c>
      <c r="E2510" t="s">
        <v>2555</v>
      </c>
      <c r="F2510" t="s">
        <v>2556</v>
      </c>
      <c r="G2510" t="s">
        <v>2558</v>
      </c>
      <c r="H2510" t="s">
        <v>3958</v>
      </c>
    </row>
    <row r="2511" spans="2:8" x14ac:dyDescent="0.25">
      <c r="B2511" t="s">
        <v>3393</v>
      </c>
      <c r="C2511">
        <v>2023</v>
      </c>
      <c r="D2511" t="s">
        <v>3457</v>
      </c>
      <c r="E2511" t="s">
        <v>2555</v>
      </c>
      <c r="F2511" t="s">
        <v>2556</v>
      </c>
      <c r="G2511" t="s">
        <v>2559</v>
      </c>
      <c r="H2511" t="s">
        <v>4856</v>
      </c>
    </row>
    <row r="2512" spans="2:8" x14ac:dyDescent="0.25">
      <c r="B2512" t="s">
        <v>3393</v>
      </c>
      <c r="C2512">
        <v>2023</v>
      </c>
      <c r="D2512" t="s">
        <v>3457</v>
      </c>
      <c r="E2512" t="s">
        <v>2560</v>
      </c>
      <c r="F2512" t="s">
        <v>2561</v>
      </c>
      <c r="G2512" t="s">
        <v>3374</v>
      </c>
      <c r="H2512" t="s">
        <v>4857</v>
      </c>
    </row>
    <row r="2513" spans="2:8" x14ac:dyDescent="0.25">
      <c r="B2513" t="s">
        <v>3393</v>
      </c>
      <c r="C2513">
        <v>2023</v>
      </c>
      <c r="D2513" t="s">
        <v>3457</v>
      </c>
      <c r="E2513" t="s">
        <v>2560</v>
      </c>
      <c r="F2513" t="s">
        <v>2561</v>
      </c>
      <c r="G2513" t="s">
        <v>3042</v>
      </c>
      <c r="H2513" t="s">
        <v>3371</v>
      </c>
    </row>
    <row r="2514" spans="2:8" x14ac:dyDescent="0.25">
      <c r="B2514" t="s">
        <v>3393</v>
      </c>
      <c r="C2514">
        <v>2023</v>
      </c>
      <c r="D2514" t="s">
        <v>3457</v>
      </c>
      <c r="E2514" t="s">
        <v>2560</v>
      </c>
      <c r="F2514" t="s">
        <v>2561</v>
      </c>
      <c r="G2514" t="s">
        <v>2565</v>
      </c>
      <c r="H2514" t="s">
        <v>4858</v>
      </c>
    </row>
    <row r="2515" spans="2:8" x14ac:dyDescent="0.25">
      <c r="B2515" t="s">
        <v>3393</v>
      </c>
      <c r="C2515">
        <v>2023</v>
      </c>
      <c r="D2515" t="s">
        <v>3457</v>
      </c>
      <c r="E2515" t="s">
        <v>2560</v>
      </c>
      <c r="F2515" t="s">
        <v>2561</v>
      </c>
      <c r="G2515" t="s">
        <v>2566</v>
      </c>
      <c r="H2515" t="s">
        <v>3373</v>
      </c>
    </row>
    <row r="2516" spans="2:8" x14ac:dyDescent="0.25">
      <c r="B2516" t="s">
        <v>3393</v>
      </c>
      <c r="C2516">
        <v>2023</v>
      </c>
      <c r="D2516" t="s">
        <v>3457</v>
      </c>
      <c r="E2516" t="s">
        <v>2560</v>
      </c>
      <c r="F2516" t="s">
        <v>2561</v>
      </c>
      <c r="G2516" t="s">
        <v>2568</v>
      </c>
      <c r="H2516" t="s">
        <v>3377</v>
      </c>
    </row>
    <row r="2517" spans="2:8" x14ac:dyDescent="0.25">
      <c r="B2517" t="s">
        <v>3393</v>
      </c>
      <c r="C2517">
        <v>2023</v>
      </c>
      <c r="D2517" t="s">
        <v>3457</v>
      </c>
      <c r="E2517" t="s">
        <v>2560</v>
      </c>
      <c r="F2517" t="s">
        <v>2561</v>
      </c>
      <c r="G2517" t="s">
        <v>2569</v>
      </c>
      <c r="H2517" t="s">
        <v>2989</v>
      </c>
    </row>
    <row r="2518" spans="2:8" x14ac:dyDescent="0.25">
      <c r="B2518" t="s">
        <v>3393</v>
      </c>
      <c r="C2518">
        <v>2023</v>
      </c>
      <c r="D2518" t="s">
        <v>3457</v>
      </c>
      <c r="E2518" t="s">
        <v>2571</v>
      </c>
      <c r="F2518" t="s">
        <v>2572</v>
      </c>
      <c r="G2518" t="s">
        <v>4859</v>
      </c>
      <c r="H2518" t="s">
        <v>3375</v>
      </c>
    </row>
    <row r="2519" spans="2:8" x14ac:dyDescent="0.25">
      <c r="B2519" t="s">
        <v>3393</v>
      </c>
      <c r="C2519">
        <v>2023</v>
      </c>
      <c r="D2519" t="s">
        <v>3457</v>
      </c>
      <c r="E2519" t="s">
        <v>2571</v>
      </c>
      <c r="F2519" t="s">
        <v>2572</v>
      </c>
      <c r="G2519" t="s">
        <v>3042</v>
      </c>
      <c r="H2519" t="s">
        <v>3375</v>
      </c>
    </row>
    <row r="2520" spans="2:8" x14ac:dyDescent="0.25">
      <c r="B2520" t="s">
        <v>3393</v>
      </c>
      <c r="C2520">
        <v>2023</v>
      </c>
      <c r="D2520" t="s">
        <v>3457</v>
      </c>
      <c r="E2520" t="s">
        <v>2571</v>
      </c>
      <c r="F2520" t="s">
        <v>2572</v>
      </c>
      <c r="G2520" t="s">
        <v>2565</v>
      </c>
      <c r="H2520" t="s">
        <v>4860</v>
      </c>
    </row>
    <row r="2521" spans="2:8" x14ac:dyDescent="0.25">
      <c r="B2521" t="s">
        <v>3393</v>
      </c>
      <c r="C2521">
        <v>2023</v>
      </c>
      <c r="D2521" t="s">
        <v>3457</v>
      </c>
      <c r="E2521" t="s">
        <v>2571</v>
      </c>
      <c r="F2521" t="s">
        <v>2572</v>
      </c>
      <c r="G2521" t="s">
        <v>2566</v>
      </c>
      <c r="H2521" t="s">
        <v>3376</v>
      </c>
    </row>
    <row r="2522" spans="2:8" x14ac:dyDescent="0.25">
      <c r="B2522" t="s">
        <v>3393</v>
      </c>
      <c r="C2522">
        <v>2023</v>
      </c>
      <c r="D2522" t="s">
        <v>3457</v>
      </c>
      <c r="E2522" t="s">
        <v>2571</v>
      </c>
      <c r="F2522" t="s">
        <v>2572</v>
      </c>
      <c r="G2522" t="s">
        <v>2568</v>
      </c>
      <c r="H2522" t="s">
        <v>4861</v>
      </c>
    </row>
    <row r="2523" spans="2:8" x14ac:dyDescent="0.25">
      <c r="B2523" t="s">
        <v>3393</v>
      </c>
      <c r="C2523">
        <v>2023</v>
      </c>
      <c r="D2523" t="s">
        <v>3457</v>
      </c>
      <c r="E2523" t="s">
        <v>2571</v>
      </c>
      <c r="F2523" t="s">
        <v>2572</v>
      </c>
      <c r="G2523" t="s">
        <v>2569</v>
      </c>
      <c r="H2523" t="s">
        <v>3353</v>
      </c>
    </row>
    <row r="2524" spans="2:8" x14ac:dyDescent="0.25">
      <c r="B2524" t="s">
        <v>3393</v>
      </c>
      <c r="C2524">
        <v>2023</v>
      </c>
      <c r="D2524" t="s">
        <v>3457</v>
      </c>
      <c r="E2524" t="s">
        <v>2576</v>
      </c>
      <c r="F2524" t="s">
        <v>2577</v>
      </c>
      <c r="G2524" t="s">
        <v>3043</v>
      </c>
      <c r="H2524" t="s">
        <v>4539</v>
      </c>
    </row>
    <row r="2525" spans="2:8" x14ac:dyDescent="0.25">
      <c r="B2525" t="s">
        <v>3393</v>
      </c>
      <c r="C2525">
        <v>2023</v>
      </c>
      <c r="D2525" t="s">
        <v>3457</v>
      </c>
      <c r="E2525" t="s">
        <v>2576</v>
      </c>
      <c r="F2525" t="s">
        <v>2577</v>
      </c>
      <c r="G2525" t="s">
        <v>3044</v>
      </c>
      <c r="H2525" t="s">
        <v>3378</v>
      </c>
    </row>
    <row r="2526" spans="2:8" x14ac:dyDescent="0.25">
      <c r="B2526" t="s">
        <v>3393</v>
      </c>
      <c r="C2526">
        <v>2023</v>
      </c>
      <c r="D2526" t="s">
        <v>3457</v>
      </c>
      <c r="E2526" t="s">
        <v>2576</v>
      </c>
      <c r="F2526" t="s">
        <v>2577</v>
      </c>
      <c r="G2526" t="s">
        <v>2581</v>
      </c>
      <c r="H2526" t="s">
        <v>4862</v>
      </c>
    </row>
    <row r="2527" spans="2:8" x14ac:dyDescent="0.25">
      <c r="B2527" t="s">
        <v>3393</v>
      </c>
      <c r="C2527">
        <v>2023</v>
      </c>
      <c r="D2527" t="s">
        <v>3457</v>
      </c>
      <c r="E2527" t="s">
        <v>2576</v>
      </c>
      <c r="F2527" t="s">
        <v>2577</v>
      </c>
      <c r="G2527" t="s">
        <v>2582</v>
      </c>
      <c r="H2527" t="s">
        <v>3379</v>
      </c>
    </row>
    <row r="2528" spans="2:8" x14ac:dyDescent="0.25">
      <c r="B2528" t="s">
        <v>3393</v>
      </c>
      <c r="C2528">
        <v>2023</v>
      </c>
      <c r="D2528" t="s">
        <v>3457</v>
      </c>
      <c r="E2528" t="s">
        <v>2576</v>
      </c>
      <c r="F2528" t="s">
        <v>2577</v>
      </c>
      <c r="G2528" t="s">
        <v>2584</v>
      </c>
      <c r="H2528" t="s">
        <v>3354</v>
      </c>
    </row>
    <row r="2529" spans="2:8" x14ac:dyDescent="0.25">
      <c r="B2529" t="s">
        <v>3393</v>
      </c>
      <c r="C2529">
        <v>2023</v>
      </c>
      <c r="D2529" t="s">
        <v>3457</v>
      </c>
      <c r="E2529" t="s">
        <v>2576</v>
      </c>
      <c r="F2529" t="s">
        <v>2577</v>
      </c>
      <c r="G2529" t="s">
        <v>2585</v>
      </c>
      <c r="H2529" t="s">
        <v>3380</v>
      </c>
    </row>
    <row r="2530" spans="2:8" x14ac:dyDescent="0.25">
      <c r="B2530" t="s">
        <v>3393</v>
      </c>
      <c r="C2530">
        <v>2023</v>
      </c>
      <c r="D2530" t="s">
        <v>3457</v>
      </c>
      <c r="E2530" t="s">
        <v>2587</v>
      </c>
      <c r="F2530" t="s">
        <v>2588</v>
      </c>
      <c r="G2530" t="s">
        <v>1115</v>
      </c>
      <c r="H2530" t="s">
        <v>4863</v>
      </c>
    </row>
    <row r="2531" spans="2:8" x14ac:dyDescent="0.25">
      <c r="B2531" t="s">
        <v>3393</v>
      </c>
      <c r="C2531">
        <v>2023</v>
      </c>
      <c r="D2531" t="s">
        <v>3457</v>
      </c>
      <c r="E2531" t="s">
        <v>2589</v>
      </c>
      <c r="F2531" t="s">
        <v>2590</v>
      </c>
      <c r="G2531" t="s">
        <v>1100</v>
      </c>
      <c r="H2531" t="s">
        <v>2005</v>
      </c>
    </row>
    <row r="2532" spans="2:8" x14ac:dyDescent="0.25">
      <c r="B2532" t="s">
        <v>3393</v>
      </c>
      <c r="C2532">
        <v>2023</v>
      </c>
      <c r="D2532" t="s">
        <v>3457</v>
      </c>
      <c r="E2532" t="s">
        <v>2589</v>
      </c>
      <c r="F2532" t="s">
        <v>2590</v>
      </c>
      <c r="G2532" t="s">
        <v>2591</v>
      </c>
      <c r="H2532" t="s">
        <v>4864</v>
      </c>
    </row>
    <row r="2533" spans="2:8" x14ac:dyDescent="0.25">
      <c r="B2533" t="s">
        <v>3393</v>
      </c>
      <c r="C2533">
        <v>2023</v>
      </c>
      <c r="D2533" t="s">
        <v>3457</v>
      </c>
      <c r="E2533" t="s">
        <v>2589</v>
      </c>
      <c r="F2533" t="s">
        <v>2590</v>
      </c>
      <c r="G2533" t="s">
        <v>2592</v>
      </c>
      <c r="H2533" t="s">
        <v>3972</v>
      </c>
    </row>
    <row r="2534" spans="2:8" x14ac:dyDescent="0.25">
      <c r="B2534" t="s">
        <v>3393</v>
      </c>
      <c r="C2534">
        <v>2023</v>
      </c>
      <c r="D2534" t="s">
        <v>3457</v>
      </c>
      <c r="E2534" t="s">
        <v>2589</v>
      </c>
      <c r="F2534" t="s">
        <v>2590</v>
      </c>
      <c r="G2534" t="s">
        <v>1053</v>
      </c>
      <c r="H2534" t="s">
        <v>2089</v>
      </c>
    </row>
    <row r="2535" spans="2:8" x14ac:dyDescent="0.25">
      <c r="B2535" t="s">
        <v>3393</v>
      </c>
      <c r="C2535">
        <v>2023</v>
      </c>
      <c r="D2535" t="s">
        <v>3457</v>
      </c>
      <c r="E2535" t="s">
        <v>2589</v>
      </c>
      <c r="F2535" t="s">
        <v>2590</v>
      </c>
      <c r="G2535" t="s">
        <v>1103</v>
      </c>
      <c r="H2535" t="s">
        <v>3440</v>
      </c>
    </row>
    <row r="2536" spans="2:8" x14ac:dyDescent="0.25">
      <c r="B2536" t="s">
        <v>3393</v>
      </c>
      <c r="C2536">
        <v>2023</v>
      </c>
      <c r="D2536" t="s">
        <v>3457</v>
      </c>
      <c r="E2536" t="s">
        <v>2589</v>
      </c>
      <c r="F2536" t="s">
        <v>2590</v>
      </c>
      <c r="G2536" t="s">
        <v>182</v>
      </c>
      <c r="H2536" t="s">
        <v>4865</v>
      </c>
    </row>
    <row r="2537" spans="2:8" x14ac:dyDescent="0.25">
      <c r="B2537" t="s">
        <v>3393</v>
      </c>
      <c r="C2537">
        <v>2023</v>
      </c>
      <c r="D2537" t="s">
        <v>3457</v>
      </c>
      <c r="E2537" t="s">
        <v>2593</v>
      </c>
      <c r="F2537" t="s">
        <v>2594</v>
      </c>
      <c r="G2537" t="s">
        <v>2596</v>
      </c>
      <c r="H2537" t="s">
        <v>4866</v>
      </c>
    </row>
    <row r="2538" spans="2:8" x14ac:dyDescent="0.25">
      <c r="B2538" t="s">
        <v>3393</v>
      </c>
      <c r="C2538">
        <v>2023</v>
      </c>
      <c r="D2538" t="s">
        <v>3457</v>
      </c>
      <c r="E2538" t="s">
        <v>2593</v>
      </c>
      <c r="F2538" t="s">
        <v>2594</v>
      </c>
      <c r="G2538" t="s">
        <v>2597</v>
      </c>
      <c r="H2538" t="s">
        <v>4867</v>
      </c>
    </row>
    <row r="2539" spans="2:8" x14ac:dyDescent="0.25">
      <c r="B2539" t="s">
        <v>3393</v>
      </c>
      <c r="C2539">
        <v>2023</v>
      </c>
      <c r="D2539" t="s">
        <v>3457</v>
      </c>
      <c r="E2539" t="s">
        <v>2593</v>
      </c>
      <c r="F2539" t="s">
        <v>2594</v>
      </c>
      <c r="G2539" t="s">
        <v>2598</v>
      </c>
      <c r="H2539" t="s">
        <v>4868</v>
      </c>
    </row>
    <row r="2540" spans="2:8" x14ac:dyDescent="0.25">
      <c r="B2540" t="s">
        <v>3393</v>
      </c>
      <c r="C2540">
        <v>2023</v>
      </c>
      <c r="D2540" t="s">
        <v>3457</v>
      </c>
      <c r="E2540" t="s">
        <v>2593</v>
      </c>
      <c r="F2540" t="s">
        <v>2594</v>
      </c>
      <c r="G2540" t="s">
        <v>2599</v>
      </c>
      <c r="H2540" t="s">
        <v>2998</v>
      </c>
    </row>
    <row r="2541" spans="2:8" x14ac:dyDescent="0.25">
      <c r="B2541" t="s">
        <v>3393</v>
      </c>
      <c r="C2541">
        <v>2023</v>
      </c>
      <c r="D2541" t="s">
        <v>3457</v>
      </c>
      <c r="E2541" t="s">
        <v>2999</v>
      </c>
      <c r="F2541" t="s">
        <v>3000</v>
      </c>
      <c r="G2541" t="s">
        <v>3001</v>
      </c>
      <c r="H2541" t="s">
        <v>4869</v>
      </c>
    </row>
    <row r="2542" spans="2:8" x14ac:dyDescent="0.25">
      <c r="B2542" t="s">
        <v>3393</v>
      </c>
      <c r="C2542">
        <v>2023</v>
      </c>
      <c r="D2542" t="s">
        <v>3457</v>
      </c>
      <c r="E2542" t="s">
        <v>3045</v>
      </c>
      <c r="F2542" t="s">
        <v>3046</v>
      </c>
      <c r="G2542" t="s">
        <v>3047</v>
      </c>
      <c r="H2542" t="s">
        <v>2031</v>
      </c>
    </row>
    <row r="2543" spans="2:8" x14ac:dyDescent="0.25">
      <c r="B2543" t="s">
        <v>3393</v>
      </c>
      <c r="C2543">
        <v>2023</v>
      </c>
      <c r="D2543" t="s">
        <v>3457</v>
      </c>
      <c r="E2543" t="s">
        <v>3045</v>
      </c>
      <c r="F2543" t="s">
        <v>3046</v>
      </c>
      <c r="G2543" t="s">
        <v>3048</v>
      </c>
      <c r="H2543" t="s">
        <v>2009</v>
      </c>
    </row>
    <row r="2544" spans="2:8" x14ac:dyDescent="0.25">
      <c r="B2544" t="s">
        <v>3393</v>
      </c>
      <c r="C2544">
        <v>2023</v>
      </c>
      <c r="D2544" t="s">
        <v>3457</v>
      </c>
      <c r="E2544" t="s">
        <v>2600</v>
      </c>
      <c r="F2544" t="s">
        <v>2601</v>
      </c>
      <c r="G2544" t="s">
        <v>996</v>
      </c>
      <c r="H2544" t="s">
        <v>4870</v>
      </c>
    </row>
    <row r="2545" spans="2:8" x14ac:dyDescent="0.25">
      <c r="B2545" t="s">
        <v>3393</v>
      </c>
      <c r="C2545">
        <v>2023</v>
      </c>
      <c r="D2545" t="s">
        <v>3457</v>
      </c>
      <c r="E2545" t="s">
        <v>2600</v>
      </c>
      <c r="F2545" t="s">
        <v>2601</v>
      </c>
      <c r="G2545" t="s">
        <v>1005</v>
      </c>
      <c r="H2545" t="s">
        <v>4871</v>
      </c>
    </row>
    <row r="2546" spans="2:8" x14ac:dyDescent="0.25">
      <c r="B2546" t="s">
        <v>3393</v>
      </c>
      <c r="C2546">
        <v>2023</v>
      </c>
      <c r="D2546" t="s">
        <v>3457</v>
      </c>
      <c r="E2546" t="s">
        <v>2600</v>
      </c>
      <c r="F2546" t="s">
        <v>2601</v>
      </c>
      <c r="G2546" t="s">
        <v>994</v>
      </c>
      <c r="H2546" t="s">
        <v>4872</v>
      </c>
    </row>
    <row r="2547" spans="2:8" x14ac:dyDescent="0.25">
      <c r="B2547" t="s">
        <v>3393</v>
      </c>
      <c r="C2547">
        <v>2023</v>
      </c>
      <c r="D2547" t="s">
        <v>3457</v>
      </c>
      <c r="E2547" t="s">
        <v>2600</v>
      </c>
      <c r="F2547" t="s">
        <v>2601</v>
      </c>
      <c r="G2547" t="s">
        <v>995</v>
      </c>
      <c r="H2547" t="s">
        <v>4873</v>
      </c>
    </row>
    <row r="2548" spans="2:8" x14ac:dyDescent="0.25">
      <c r="B2548" t="s">
        <v>3393</v>
      </c>
      <c r="C2548">
        <v>2023</v>
      </c>
      <c r="D2548" t="s">
        <v>3457</v>
      </c>
      <c r="E2548" t="s">
        <v>2600</v>
      </c>
      <c r="F2548" t="s">
        <v>2601</v>
      </c>
      <c r="G2548" t="s">
        <v>990</v>
      </c>
      <c r="H2548" t="s">
        <v>4874</v>
      </c>
    </row>
    <row r="2549" spans="2:8" x14ac:dyDescent="0.25">
      <c r="B2549" t="s">
        <v>3393</v>
      </c>
      <c r="C2549">
        <v>2023</v>
      </c>
      <c r="D2549" t="s">
        <v>3457</v>
      </c>
      <c r="E2549" t="s">
        <v>2600</v>
      </c>
      <c r="F2549" t="s">
        <v>2601</v>
      </c>
      <c r="G2549" t="s">
        <v>1001</v>
      </c>
      <c r="H2549" t="s">
        <v>1993</v>
      </c>
    </row>
    <row r="2550" spans="2:8" x14ac:dyDescent="0.25">
      <c r="B2550" t="s">
        <v>3393</v>
      </c>
      <c r="C2550">
        <v>2023</v>
      </c>
      <c r="D2550" t="s">
        <v>3457</v>
      </c>
      <c r="E2550" t="s">
        <v>2600</v>
      </c>
      <c r="F2550" t="s">
        <v>2601</v>
      </c>
      <c r="G2550" t="s">
        <v>2602</v>
      </c>
      <c r="H2550" t="s">
        <v>4875</v>
      </c>
    </row>
    <row r="2551" spans="2:8" x14ac:dyDescent="0.25">
      <c r="B2551" t="s">
        <v>3393</v>
      </c>
      <c r="C2551">
        <v>2023</v>
      </c>
      <c r="D2551" t="s">
        <v>3457</v>
      </c>
      <c r="E2551" t="s">
        <v>2600</v>
      </c>
      <c r="F2551" t="s">
        <v>2601</v>
      </c>
      <c r="G2551" t="s">
        <v>989</v>
      </c>
      <c r="H2551" t="s">
        <v>4876</v>
      </c>
    </row>
    <row r="2552" spans="2:8" x14ac:dyDescent="0.25">
      <c r="B2552" t="s">
        <v>3393</v>
      </c>
      <c r="C2552">
        <v>2023</v>
      </c>
      <c r="D2552" t="s">
        <v>3457</v>
      </c>
      <c r="E2552" t="s">
        <v>2600</v>
      </c>
      <c r="F2552" t="s">
        <v>2601</v>
      </c>
      <c r="G2552" t="s">
        <v>987</v>
      </c>
      <c r="H2552" t="s">
        <v>4877</v>
      </c>
    </row>
    <row r="2553" spans="2:8" x14ac:dyDescent="0.25">
      <c r="B2553" t="s">
        <v>3393</v>
      </c>
      <c r="C2553">
        <v>2023</v>
      </c>
      <c r="D2553" t="s">
        <v>3457</v>
      </c>
      <c r="E2553" t="s">
        <v>2600</v>
      </c>
      <c r="F2553" t="s">
        <v>2601</v>
      </c>
      <c r="G2553" t="s">
        <v>993</v>
      </c>
      <c r="H2553" t="s">
        <v>2661</v>
      </c>
    </row>
    <row r="2554" spans="2:8" x14ac:dyDescent="0.25">
      <c r="B2554" t="s">
        <v>3393</v>
      </c>
      <c r="C2554">
        <v>2023</v>
      </c>
      <c r="D2554" t="s">
        <v>3457</v>
      </c>
      <c r="E2554" t="s">
        <v>2600</v>
      </c>
      <c r="F2554" t="s">
        <v>2601</v>
      </c>
      <c r="G2554" t="s">
        <v>992</v>
      </c>
      <c r="H2554" t="s">
        <v>4878</v>
      </c>
    </row>
    <row r="2555" spans="2:8" x14ac:dyDescent="0.25">
      <c r="B2555" t="s">
        <v>3393</v>
      </c>
      <c r="C2555">
        <v>2023</v>
      </c>
      <c r="D2555" t="s">
        <v>3457</v>
      </c>
      <c r="E2555" t="s">
        <v>2600</v>
      </c>
      <c r="F2555" t="s">
        <v>2601</v>
      </c>
      <c r="G2555" t="s">
        <v>1000</v>
      </c>
      <c r="H2555" t="s">
        <v>3411</v>
      </c>
    </row>
    <row r="2556" spans="2:8" x14ac:dyDescent="0.25">
      <c r="B2556" t="s">
        <v>3393</v>
      </c>
      <c r="C2556">
        <v>2023</v>
      </c>
      <c r="D2556" t="s">
        <v>3457</v>
      </c>
      <c r="E2556" t="s">
        <v>2600</v>
      </c>
      <c r="F2556" t="s">
        <v>2601</v>
      </c>
      <c r="G2556" t="s">
        <v>1004</v>
      </c>
      <c r="H2556" t="s">
        <v>4879</v>
      </c>
    </row>
    <row r="2557" spans="2:8" x14ac:dyDescent="0.25">
      <c r="B2557" t="s">
        <v>3393</v>
      </c>
      <c r="C2557">
        <v>2023</v>
      </c>
      <c r="D2557" t="s">
        <v>3457</v>
      </c>
      <c r="E2557" t="s">
        <v>2600</v>
      </c>
      <c r="F2557" t="s">
        <v>2601</v>
      </c>
      <c r="G2557" t="s">
        <v>1003</v>
      </c>
      <c r="H2557" t="s">
        <v>4841</v>
      </c>
    </row>
    <row r="2558" spans="2:8" x14ac:dyDescent="0.25">
      <c r="B2558" t="s">
        <v>3393</v>
      </c>
      <c r="C2558">
        <v>2023</v>
      </c>
      <c r="D2558" t="s">
        <v>3457</v>
      </c>
      <c r="E2558" t="s">
        <v>2600</v>
      </c>
      <c r="F2558" t="s">
        <v>2601</v>
      </c>
      <c r="G2558" t="s">
        <v>997</v>
      </c>
      <c r="H2558" t="s">
        <v>4880</v>
      </c>
    </row>
    <row r="2559" spans="2:8" x14ac:dyDescent="0.25">
      <c r="B2559" t="s">
        <v>3393</v>
      </c>
      <c r="C2559">
        <v>2023</v>
      </c>
      <c r="D2559" t="s">
        <v>3457</v>
      </c>
      <c r="E2559" t="s">
        <v>2600</v>
      </c>
      <c r="F2559" t="s">
        <v>2601</v>
      </c>
      <c r="G2559" t="s">
        <v>986</v>
      </c>
      <c r="H2559" t="s">
        <v>4881</v>
      </c>
    </row>
    <row r="2560" spans="2:8" x14ac:dyDescent="0.25">
      <c r="B2560" t="s">
        <v>3393</v>
      </c>
      <c r="C2560">
        <v>2023</v>
      </c>
      <c r="D2560" t="s">
        <v>3457</v>
      </c>
      <c r="E2560" t="s">
        <v>2600</v>
      </c>
      <c r="F2560" t="s">
        <v>2601</v>
      </c>
      <c r="G2560" t="s">
        <v>991</v>
      </c>
      <c r="H2560" t="s">
        <v>3337</v>
      </c>
    </row>
    <row r="2561" spans="2:8" x14ac:dyDescent="0.25">
      <c r="B2561" t="s">
        <v>3393</v>
      </c>
      <c r="C2561">
        <v>2023</v>
      </c>
      <c r="D2561" t="s">
        <v>3457</v>
      </c>
      <c r="E2561" t="s">
        <v>2600</v>
      </c>
      <c r="F2561" t="s">
        <v>2601</v>
      </c>
      <c r="G2561" t="s">
        <v>999</v>
      </c>
      <c r="H2561" t="s">
        <v>3411</v>
      </c>
    </row>
    <row r="2562" spans="2:8" x14ac:dyDescent="0.25">
      <c r="B2562" t="s">
        <v>3393</v>
      </c>
      <c r="C2562">
        <v>2023</v>
      </c>
      <c r="D2562" t="s">
        <v>3457</v>
      </c>
      <c r="E2562" t="s">
        <v>2600</v>
      </c>
      <c r="F2562" t="s">
        <v>2601</v>
      </c>
      <c r="G2562" t="s">
        <v>998</v>
      </c>
      <c r="H2562" t="s">
        <v>4882</v>
      </c>
    </row>
    <row r="2563" spans="2:8" x14ac:dyDescent="0.25">
      <c r="B2563" t="s">
        <v>3393</v>
      </c>
      <c r="C2563">
        <v>2023</v>
      </c>
      <c r="D2563" t="s">
        <v>3457</v>
      </c>
      <c r="E2563" t="s">
        <v>2600</v>
      </c>
      <c r="F2563" t="s">
        <v>2601</v>
      </c>
      <c r="G2563" t="s">
        <v>1002</v>
      </c>
      <c r="H2563" t="s">
        <v>4883</v>
      </c>
    </row>
    <row r="2564" spans="2:8" x14ac:dyDescent="0.25">
      <c r="B2564" t="s">
        <v>3393</v>
      </c>
      <c r="C2564">
        <v>2023</v>
      </c>
      <c r="D2564" t="s">
        <v>3457</v>
      </c>
      <c r="E2564" t="s">
        <v>2600</v>
      </c>
      <c r="F2564" t="s">
        <v>2601</v>
      </c>
      <c r="G2564" t="s">
        <v>1006</v>
      </c>
      <c r="H2564" t="s">
        <v>4884</v>
      </c>
    </row>
    <row r="2565" spans="2:8" x14ac:dyDescent="0.25">
      <c r="B2565" t="s">
        <v>3393</v>
      </c>
      <c r="C2565">
        <v>2023</v>
      </c>
      <c r="D2565" t="s">
        <v>3457</v>
      </c>
      <c r="E2565" t="s">
        <v>2604</v>
      </c>
      <c r="F2565" t="s">
        <v>2605</v>
      </c>
      <c r="G2565" t="s">
        <v>1010</v>
      </c>
      <c r="H2565" t="s">
        <v>4885</v>
      </c>
    </row>
    <row r="2566" spans="2:8" x14ac:dyDescent="0.25">
      <c r="B2566" t="s">
        <v>3393</v>
      </c>
      <c r="C2566">
        <v>2023</v>
      </c>
      <c r="D2566" t="s">
        <v>3457</v>
      </c>
      <c r="E2566" t="s">
        <v>2604</v>
      </c>
      <c r="F2566" t="s">
        <v>2605</v>
      </c>
      <c r="G2566" t="s">
        <v>1011</v>
      </c>
      <c r="H2566" t="s">
        <v>4886</v>
      </c>
    </row>
    <row r="2567" spans="2:8" x14ac:dyDescent="0.25">
      <c r="B2567" t="s">
        <v>3393</v>
      </c>
      <c r="C2567">
        <v>2023</v>
      </c>
      <c r="D2567" t="s">
        <v>3457</v>
      </c>
      <c r="E2567" t="s">
        <v>2604</v>
      </c>
      <c r="F2567" t="s">
        <v>2605</v>
      </c>
      <c r="G2567" t="s">
        <v>1017</v>
      </c>
      <c r="H2567" t="s">
        <v>4887</v>
      </c>
    </row>
    <row r="2568" spans="2:8" x14ac:dyDescent="0.25">
      <c r="B2568" t="s">
        <v>3393</v>
      </c>
      <c r="C2568">
        <v>2023</v>
      </c>
      <c r="D2568" t="s">
        <v>3457</v>
      </c>
      <c r="E2568" t="s">
        <v>2604</v>
      </c>
      <c r="F2568" t="s">
        <v>2605</v>
      </c>
      <c r="G2568" t="s">
        <v>1029</v>
      </c>
      <c r="H2568" t="s">
        <v>4888</v>
      </c>
    </row>
    <row r="2569" spans="2:8" x14ac:dyDescent="0.25">
      <c r="B2569" t="s">
        <v>3393</v>
      </c>
      <c r="C2569">
        <v>2023</v>
      </c>
      <c r="D2569" t="s">
        <v>3457</v>
      </c>
      <c r="E2569" t="s">
        <v>2604</v>
      </c>
      <c r="F2569" t="s">
        <v>2605</v>
      </c>
      <c r="G2569" t="s">
        <v>1013</v>
      </c>
      <c r="H2569" t="s">
        <v>4889</v>
      </c>
    </row>
    <row r="2570" spans="2:8" x14ac:dyDescent="0.25">
      <c r="B2570" t="s">
        <v>3393</v>
      </c>
      <c r="C2570">
        <v>2023</v>
      </c>
      <c r="D2570" t="s">
        <v>3457</v>
      </c>
      <c r="E2570" t="s">
        <v>2604</v>
      </c>
      <c r="F2570" t="s">
        <v>2605</v>
      </c>
      <c r="G2570" t="s">
        <v>1028</v>
      </c>
      <c r="H2570" t="s">
        <v>4890</v>
      </c>
    </row>
    <row r="2571" spans="2:8" x14ac:dyDescent="0.25">
      <c r="B2571" t="s">
        <v>3393</v>
      </c>
      <c r="C2571">
        <v>2023</v>
      </c>
      <c r="D2571" t="s">
        <v>3457</v>
      </c>
      <c r="E2571" t="s">
        <v>2604</v>
      </c>
      <c r="F2571" t="s">
        <v>2605</v>
      </c>
      <c r="G2571" t="s">
        <v>1020</v>
      </c>
      <c r="H2571" t="s">
        <v>4891</v>
      </c>
    </row>
    <row r="2572" spans="2:8" x14ac:dyDescent="0.25">
      <c r="B2572" t="s">
        <v>3393</v>
      </c>
      <c r="C2572">
        <v>2023</v>
      </c>
      <c r="D2572" t="s">
        <v>3457</v>
      </c>
      <c r="E2572" t="s">
        <v>2604</v>
      </c>
      <c r="F2572" t="s">
        <v>2605</v>
      </c>
      <c r="G2572" t="s">
        <v>1016</v>
      </c>
      <c r="H2572" t="s">
        <v>4892</v>
      </c>
    </row>
    <row r="2573" spans="2:8" x14ac:dyDescent="0.25">
      <c r="B2573" t="s">
        <v>3393</v>
      </c>
      <c r="C2573">
        <v>2023</v>
      </c>
      <c r="D2573" t="s">
        <v>3457</v>
      </c>
      <c r="E2573" t="s">
        <v>2604</v>
      </c>
      <c r="F2573" t="s">
        <v>2605</v>
      </c>
      <c r="G2573" t="s">
        <v>1030</v>
      </c>
      <c r="H2573" t="s">
        <v>4893</v>
      </c>
    </row>
    <row r="2574" spans="2:8" x14ac:dyDescent="0.25">
      <c r="B2574" t="s">
        <v>3393</v>
      </c>
      <c r="C2574">
        <v>2023</v>
      </c>
      <c r="D2574" t="s">
        <v>3457</v>
      </c>
      <c r="E2574" t="s">
        <v>2604</v>
      </c>
      <c r="F2574" t="s">
        <v>2605</v>
      </c>
      <c r="G2574" t="s">
        <v>1021</v>
      </c>
      <c r="H2574" t="s">
        <v>4894</v>
      </c>
    </row>
    <row r="2575" spans="2:8" x14ac:dyDescent="0.25">
      <c r="B2575" t="s">
        <v>3393</v>
      </c>
      <c r="C2575">
        <v>2023</v>
      </c>
      <c r="D2575" t="s">
        <v>3457</v>
      </c>
      <c r="E2575" t="s">
        <v>2604</v>
      </c>
      <c r="F2575" t="s">
        <v>2605</v>
      </c>
      <c r="G2575" t="s">
        <v>1009</v>
      </c>
      <c r="H2575" t="s">
        <v>4895</v>
      </c>
    </row>
    <row r="2576" spans="2:8" x14ac:dyDescent="0.25">
      <c r="B2576" t="s">
        <v>3393</v>
      </c>
      <c r="C2576">
        <v>2023</v>
      </c>
      <c r="D2576" t="s">
        <v>3457</v>
      </c>
      <c r="E2576" t="s">
        <v>2604</v>
      </c>
      <c r="F2576" t="s">
        <v>2605</v>
      </c>
      <c r="G2576" t="s">
        <v>1019</v>
      </c>
      <c r="H2576" t="s">
        <v>3559</v>
      </c>
    </row>
    <row r="2577" spans="2:8" x14ac:dyDescent="0.25">
      <c r="B2577" t="s">
        <v>3393</v>
      </c>
      <c r="C2577">
        <v>2023</v>
      </c>
      <c r="D2577" t="s">
        <v>3457</v>
      </c>
      <c r="E2577" t="s">
        <v>2604</v>
      </c>
      <c r="F2577" t="s">
        <v>2605</v>
      </c>
      <c r="G2577" t="s">
        <v>1025</v>
      </c>
      <c r="H2577" t="s">
        <v>4896</v>
      </c>
    </row>
    <row r="2578" spans="2:8" x14ac:dyDescent="0.25">
      <c r="B2578" t="s">
        <v>3393</v>
      </c>
      <c r="C2578">
        <v>2023</v>
      </c>
      <c r="D2578" t="s">
        <v>3457</v>
      </c>
      <c r="E2578" t="s">
        <v>2604</v>
      </c>
      <c r="F2578" t="s">
        <v>2605</v>
      </c>
      <c r="G2578" t="s">
        <v>1024</v>
      </c>
      <c r="H2578" t="s">
        <v>4897</v>
      </c>
    </row>
    <row r="2579" spans="2:8" x14ac:dyDescent="0.25">
      <c r="B2579" t="s">
        <v>3393</v>
      </c>
      <c r="C2579">
        <v>2023</v>
      </c>
      <c r="D2579" t="s">
        <v>3457</v>
      </c>
      <c r="E2579" t="s">
        <v>2604</v>
      </c>
      <c r="F2579" t="s">
        <v>2605</v>
      </c>
      <c r="G2579" t="s">
        <v>1026</v>
      </c>
      <c r="H2579" t="s">
        <v>1993</v>
      </c>
    </row>
    <row r="2580" spans="2:8" x14ac:dyDescent="0.25">
      <c r="B2580" t="s">
        <v>3393</v>
      </c>
      <c r="C2580">
        <v>2023</v>
      </c>
      <c r="D2580" t="s">
        <v>3457</v>
      </c>
      <c r="E2580" t="s">
        <v>2604</v>
      </c>
      <c r="F2580" t="s">
        <v>2605</v>
      </c>
      <c r="G2580" t="s">
        <v>1023</v>
      </c>
      <c r="H2580" t="s">
        <v>4898</v>
      </c>
    </row>
    <row r="2581" spans="2:8" x14ac:dyDescent="0.25">
      <c r="B2581" t="s">
        <v>3393</v>
      </c>
      <c r="C2581">
        <v>2023</v>
      </c>
      <c r="D2581" t="s">
        <v>3457</v>
      </c>
      <c r="E2581" t="s">
        <v>2604</v>
      </c>
      <c r="F2581" t="s">
        <v>2605</v>
      </c>
      <c r="G2581" t="s">
        <v>1027</v>
      </c>
      <c r="H2581" t="s">
        <v>2021</v>
      </c>
    </row>
    <row r="2582" spans="2:8" x14ac:dyDescent="0.25">
      <c r="B2582" t="s">
        <v>3393</v>
      </c>
      <c r="C2582">
        <v>2023</v>
      </c>
      <c r="D2582" t="s">
        <v>3457</v>
      </c>
      <c r="E2582" t="s">
        <v>2604</v>
      </c>
      <c r="F2582" t="s">
        <v>2605</v>
      </c>
      <c r="G2582" t="s">
        <v>1022</v>
      </c>
      <c r="H2582" t="s">
        <v>4899</v>
      </c>
    </row>
    <row r="2583" spans="2:8" x14ac:dyDescent="0.25">
      <c r="B2583" t="s">
        <v>3393</v>
      </c>
      <c r="C2583">
        <v>2023</v>
      </c>
      <c r="D2583" t="s">
        <v>3457</v>
      </c>
      <c r="E2583" t="s">
        <v>2604</v>
      </c>
      <c r="F2583" t="s">
        <v>2605</v>
      </c>
      <c r="G2583" t="s">
        <v>1018</v>
      </c>
      <c r="H2583" t="s">
        <v>4900</v>
      </c>
    </row>
    <row r="2584" spans="2:8" x14ac:dyDescent="0.25">
      <c r="B2584" t="s">
        <v>3393</v>
      </c>
      <c r="C2584">
        <v>2023</v>
      </c>
      <c r="D2584" t="s">
        <v>3457</v>
      </c>
      <c r="E2584" t="s">
        <v>2604</v>
      </c>
      <c r="F2584" t="s">
        <v>2605</v>
      </c>
      <c r="G2584" t="s">
        <v>1014</v>
      </c>
      <c r="H2584" t="s">
        <v>3305</v>
      </c>
    </row>
    <row r="2585" spans="2:8" x14ac:dyDescent="0.25">
      <c r="B2585" t="s">
        <v>3393</v>
      </c>
      <c r="C2585">
        <v>2023</v>
      </c>
      <c r="D2585" t="s">
        <v>3457</v>
      </c>
      <c r="E2585" t="s">
        <v>2604</v>
      </c>
      <c r="F2585" t="s">
        <v>2605</v>
      </c>
      <c r="G2585" t="s">
        <v>792</v>
      </c>
      <c r="H2585" t="s">
        <v>4901</v>
      </c>
    </row>
    <row r="2586" spans="2:8" x14ac:dyDescent="0.25">
      <c r="B2586" t="s">
        <v>3393</v>
      </c>
      <c r="C2586">
        <v>2023</v>
      </c>
      <c r="D2586" t="s">
        <v>3457</v>
      </c>
      <c r="E2586" t="s">
        <v>2604</v>
      </c>
      <c r="F2586" t="s">
        <v>2605</v>
      </c>
      <c r="G2586" t="s">
        <v>1012</v>
      </c>
      <c r="H2586" t="s">
        <v>4902</v>
      </c>
    </row>
    <row r="2587" spans="2:8" x14ac:dyDescent="0.25">
      <c r="B2587" t="s">
        <v>3393</v>
      </c>
      <c r="C2587">
        <v>2023</v>
      </c>
      <c r="D2587" t="s">
        <v>3457</v>
      </c>
      <c r="E2587" t="s">
        <v>2604</v>
      </c>
      <c r="F2587" t="s">
        <v>2605</v>
      </c>
      <c r="G2587" t="s">
        <v>1015</v>
      </c>
      <c r="H2587" t="s">
        <v>4903</v>
      </c>
    </row>
    <row r="2588" spans="2:8" x14ac:dyDescent="0.25">
      <c r="B2588" t="s">
        <v>3393</v>
      </c>
      <c r="C2588">
        <v>2023</v>
      </c>
      <c r="D2588" t="s">
        <v>3457</v>
      </c>
      <c r="E2588" t="s">
        <v>2604</v>
      </c>
      <c r="F2588" t="s">
        <v>2605</v>
      </c>
      <c r="G2588" t="s">
        <v>1031</v>
      </c>
      <c r="H2588" t="s">
        <v>4904</v>
      </c>
    </row>
    <row r="2589" spans="2:8" x14ac:dyDescent="0.25">
      <c r="B2589" t="s">
        <v>3393</v>
      </c>
      <c r="C2589">
        <v>2023</v>
      </c>
      <c r="D2589" t="s">
        <v>3457</v>
      </c>
      <c r="E2589" t="s">
        <v>2604</v>
      </c>
      <c r="F2589" t="s">
        <v>2605</v>
      </c>
      <c r="G2589" t="s">
        <v>798</v>
      </c>
      <c r="H2589" t="s">
        <v>4905</v>
      </c>
    </row>
    <row r="2590" spans="2:8" x14ac:dyDescent="0.25">
      <c r="B2590" t="s">
        <v>3393</v>
      </c>
      <c r="C2590">
        <v>2023</v>
      </c>
      <c r="D2590" t="s">
        <v>3457</v>
      </c>
      <c r="E2590" t="s">
        <v>2606</v>
      </c>
      <c r="F2590" t="s">
        <v>2607</v>
      </c>
      <c r="G2590" t="s">
        <v>2608</v>
      </c>
      <c r="H2590" t="s">
        <v>4906</v>
      </c>
    </row>
    <row r="2591" spans="2:8" x14ac:dyDescent="0.25">
      <c r="B2591" t="s">
        <v>3393</v>
      </c>
      <c r="C2591">
        <v>2023</v>
      </c>
      <c r="D2591" t="s">
        <v>3457</v>
      </c>
      <c r="E2591" t="s">
        <v>2609</v>
      </c>
      <c r="F2591" t="s">
        <v>2610</v>
      </c>
      <c r="G2591" t="s">
        <v>2611</v>
      </c>
      <c r="H2591" t="s">
        <v>1993</v>
      </c>
    </row>
    <row r="2592" spans="2:8" x14ac:dyDescent="0.25">
      <c r="B2592" t="s">
        <v>3393</v>
      </c>
      <c r="C2592">
        <v>2023</v>
      </c>
      <c r="D2592" t="s">
        <v>3457</v>
      </c>
      <c r="E2592" t="s">
        <v>2609</v>
      </c>
      <c r="F2592" t="s">
        <v>2610</v>
      </c>
      <c r="G2592" t="s">
        <v>2612</v>
      </c>
      <c r="H2592" t="s">
        <v>4907</v>
      </c>
    </row>
    <row r="2593" spans="2:8" x14ac:dyDescent="0.25">
      <c r="B2593" t="s">
        <v>3393</v>
      </c>
      <c r="C2593">
        <v>2023</v>
      </c>
      <c r="D2593" t="s">
        <v>3457</v>
      </c>
      <c r="E2593" t="s">
        <v>2609</v>
      </c>
      <c r="F2593" t="s">
        <v>2610</v>
      </c>
      <c r="G2593" t="s">
        <v>2613</v>
      </c>
      <c r="H2593" t="s">
        <v>4908</v>
      </c>
    </row>
    <row r="2594" spans="2:8" x14ac:dyDescent="0.25">
      <c r="B2594" t="s">
        <v>3393</v>
      </c>
      <c r="C2594">
        <v>2023</v>
      </c>
      <c r="D2594" t="s">
        <v>3457</v>
      </c>
      <c r="E2594" t="s">
        <v>2609</v>
      </c>
      <c r="F2594" t="s">
        <v>2610</v>
      </c>
      <c r="G2594" t="s">
        <v>2614</v>
      </c>
      <c r="H2594" t="s">
        <v>4906</v>
      </c>
    </row>
    <row r="2595" spans="2:8" x14ac:dyDescent="0.25">
      <c r="B2595" t="s">
        <v>3393</v>
      </c>
      <c r="C2595">
        <v>2023</v>
      </c>
      <c r="D2595" t="s">
        <v>3457</v>
      </c>
      <c r="E2595" t="s">
        <v>2615</v>
      </c>
      <c r="F2595" t="s">
        <v>2616</v>
      </c>
      <c r="G2595" t="s">
        <v>2617</v>
      </c>
      <c r="H2595" t="s">
        <v>2518</v>
      </c>
    </row>
    <row r="2596" spans="2:8" x14ac:dyDescent="0.25">
      <c r="B2596" t="s">
        <v>3393</v>
      </c>
      <c r="C2596">
        <v>2023</v>
      </c>
      <c r="D2596" t="s">
        <v>3457</v>
      </c>
      <c r="E2596" t="s">
        <v>2615</v>
      </c>
      <c r="F2596" t="s">
        <v>2616</v>
      </c>
      <c r="G2596" t="s">
        <v>2618</v>
      </c>
      <c r="H2596" t="s">
        <v>2015</v>
      </c>
    </row>
    <row r="2597" spans="2:8" x14ac:dyDescent="0.25">
      <c r="B2597" t="s">
        <v>3393</v>
      </c>
      <c r="C2597">
        <v>2023</v>
      </c>
      <c r="D2597" t="s">
        <v>3457</v>
      </c>
      <c r="E2597" t="s">
        <v>2615</v>
      </c>
      <c r="F2597" t="s">
        <v>2616</v>
      </c>
      <c r="G2597" t="s">
        <v>2619</v>
      </c>
      <c r="H2597" t="s">
        <v>4909</v>
      </c>
    </row>
    <row r="2598" spans="2:8" x14ac:dyDescent="0.25">
      <c r="B2598" t="s">
        <v>3393</v>
      </c>
      <c r="C2598">
        <v>2023</v>
      </c>
      <c r="D2598" t="s">
        <v>3457</v>
      </c>
      <c r="E2598" t="s">
        <v>2615</v>
      </c>
      <c r="F2598" t="s">
        <v>2616</v>
      </c>
      <c r="G2598" t="s">
        <v>2620</v>
      </c>
      <c r="H2598" t="s">
        <v>4593</v>
      </c>
    </row>
    <row r="2599" spans="2:8" x14ac:dyDescent="0.25">
      <c r="B2599" t="s">
        <v>3393</v>
      </c>
      <c r="C2599">
        <v>2023</v>
      </c>
      <c r="D2599" t="s">
        <v>3457</v>
      </c>
      <c r="E2599" t="s">
        <v>2615</v>
      </c>
      <c r="F2599" t="s">
        <v>2616</v>
      </c>
      <c r="G2599" t="s">
        <v>2621</v>
      </c>
      <c r="H2599" t="s">
        <v>2518</v>
      </c>
    </row>
    <row r="2600" spans="2:8" x14ac:dyDescent="0.25">
      <c r="B2600" t="s">
        <v>3393</v>
      </c>
      <c r="C2600">
        <v>2023</v>
      </c>
      <c r="D2600" t="s">
        <v>3457</v>
      </c>
      <c r="E2600" t="s">
        <v>2615</v>
      </c>
      <c r="F2600" t="s">
        <v>2616</v>
      </c>
      <c r="G2600" t="s">
        <v>2622</v>
      </c>
      <c r="H2600" t="s">
        <v>3283</v>
      </c>
    </row>
    <row r="2601" spans="2:8" x14ac:dyDescent="0.25">
      <c r="B2601" t="s">
        <v>3393</v>
      </c>
      <c r="C2601">
        <v>2023</v>
      </c>
      <c r="D2601" t="s">
        <v>3457</v>
      </c>
      <c r="E2601" t="s">
        <v>2615</v>
      </c>
      <c r="F2601" t="s">
        <v>2616</v>
      </c>
      <c r="G2601" t="s">
        <v>2624</v>
      </c>
      <c r="H2601" t="s">
        <v>4910</v>
      </c>
    </row>
    <row r="2602" spans="2:8" x14ac:dyDescent="0.25">
      <c r="B2602" t="s">
        <v>3393</v>
      </c>
      <c r="C2602">
        <v>2023</v>
      </c>
      <c r="D2602" t="s">
        <v>3457</v>
      </c>
      <c r="E2602" t="s">
        <v>2615</v>
      </c>
      <c r="F2602" t="s">
        <v>2616</v>
      </c>
      <c r="G2602" t="s">
        <v>2625</v>
      </c>
      <c r="H2602" t="s">
        <v>4593</v>
      </c>
    </row>
    <row r="2603" spans="2:8" x14ac:dyDescent="0.25">
      <c r="B2603" t="s">
        <v>3393</v>
      </c>
      <c r="C2603">
        <v>2023</v>
      </c>
      <c r="D2603" t="s">
        <v>3457</v>
      </c>
      <c r="E2603" t="s">
        <v>2615</v>
      </c>
      <c r="F2603" t="s">
        <v>2616</v>
      </c>
      <c r="G2603" t="s">
        <v>2626</v>
      </c>
      <c r="H2603" t="s">
        <v>2518</v>
      </c>
    </row>
    <row r="2604" spans="2:8" x14ac:dyDescent="0.25">
      <c r="B2604" t="s">
        <v>3393</v>
      </c>
      <c r="C2604">
        <v>2023</v>
      </c>
      <c r="D2604" t="s">
        <v>3457</v>
      </c>
      <c r="E2604" t="s">
        <v>2615</v>
      </c>
      <c r="F2604" t="s">
        <v>2616</v>
      </c>
      <c r="G2604" t="s">
        <v>2627</v>
      </c>
      <c r="H2604" t="s">
        <v>1993</v>
      </c>
    </row>
    <row r="2605" spans="2:8" x14ac:dyDescent="0.25">
      <c r="B2605" t="s">
        <v>3393</v>
      </c>
      <c r="C2605">
        <v>2023</v>
      </c>
      <c r="D2605" t="s">
        <v>3457</v>
      </c>
      <c r="E2605" t="s">
        <v>2615</v>
      </c>
      <c r="F2605" t="s">
        <v>2616</v>
      </c>
      <c r="G2605" t="s">
        <v>2628</v>
      </c>
      <c r="H2605" t="s">
        <v>1993</v>
      </c>
    </row>
    <row r="2606" spans="2:8" x14ac:dyDescent="0.25">
      <c r="B2606" t="s">
        <v>3393</v>
      </c>
      <c r="C2606">
        <v>2023</v>
      </c>
      <c r="D2606" t="s">
        <v>3457</v>
      </c>
      <c r="E2606" t="s">
        <v>2615</v>
      </c>
      <c r="F2606" t="s">
        <v>2616</v>
      </c>
      <c r="G2606" t="s">
        <v>2629</v>
      </c>
      <c r="H2606" t="s">
        <v>4593</v>
      </c>
    </row>
    <row r="2607" spans="2:8" x14ac:dyDescent="0.25">
      <c r="B2607" t="s">
        <v>3393</v>
      </c>
      <c r="C2607">
        <v>2023</v>
      </c>
      <c r="D2607" t="s">
        <v>3457</v>
      </c>
      <c r="E2607" t="s">
        <v>2615</v>
      </c>
      <c r="F2607" t="s">
        <v>2616</v>
      </c>
      <c r="G2607" t="s">
        <v>2630</v>
      </c>
      <c r="H2607" t="s">
        <v>2518</v>
      </c>
    </row>
    <row r="2608" spans="2:8" x14ac:dyDescent="0.25">
      <c r="B2608" t="s">
        <v>3393</v>
      </c>
      <c r="C2608">
        <v>2023</v>
      </c>
      <c r="D2608" t="s">
        <v>3457</v>
      </c>
      <c r="E2608" t="s">
        <v>2615</v>
      </c>
      <c r="F2608" t="s">
        <v>2616</v>
      </c>
      <c r="G2608" t="s">
        <v>2631</v>
      </c>
      <c r="H2608" t="s">
        <v>3411</v>
      </c>
    </row>
    <row r="2609" spans="2:8" x14ac:dyDescent="0.25">
      <c r="B2609" t="s">
        <v>3393</v>
      </c>
      <c r="C2609">
        <v>2023</v>
      </c>
      <c r="D2609" t="s">
        <v>3457</v>
      </c>
      <c r="E2609" t="s">
        <v>2615</v>
      </c>
      <c r="F2609" t="s">
        <v>2616</v>
      </c>
      <c r="G2609" t="s">
        <v>2632</v>
      </c>
      <c r="H2609" t="s">
        <v>1993</v>
      </c>
    </row>
    <row r="2610" spans="2:8" x14ac:dyDescent="0.25">
      <c r="B2610" t="s">
        <v>3393</v>
      </c>
      <c r="C2610">
        <v>2023</v>
      </c>
      <c r="D2610" t="s">
        <v>3457</v>
      </c>
      <c r="E2610" t="s">
        <v>2615</v>
      </c>
      <c r="F2610" t="s">
        <v>2616</v>
      </c>
      <c r="G2610" t="s">
        <v>2633</v>
      </c>
      <c r="H2610" t="s">
        <v>4593</v>
      </c>
    </row>
    <row r="2611" spans="2:8" x14ac:dyDescent="0.25">
      <c r="B2611" t="s">
        <v>3393</v>
      </c>
      <c r="C2611">
        <v>2023</v>
      </c>
      <c r="D2611" t="s">
        <v>3457</v>
      </c>
      <c r="E2611" t="s">
        <v>2615</v>
      </c>
      <c r="F2611" t="s">
        <v>2616</v>
      </c>
      <c r="G2611" t="s">
        <v>2634</v>
      </c>
      <c r="H2611" t="s">
        <v>2518</v>
      </c>
    </row>
    <row r="2612" spans="2:8" x14ac:dyDescent="0.25">
      <c r="B2612" t="s">
        <v>3393</v>
      </c>
      <c r="C2612">
        <v>2023</v>
      </c>
      <c r="D2612" t="s">
        <v>3457</v>
      </c>
      <c r="E2612" t="s">
        <v>2615</v>
      </c>
      <c r="F2612" t="s">
        <v>2616</v>
      </c>
      <c r="G2612" t="s">
        <v>2635</v>
      </c>
      <c r="H2612" t="s">
        <v>1993</v>
      </c>
    </row>
    <row r="2613" spans="2:8" x14ac:dyDescent="0.25">
      <c r="B2613" t="s">
        <v>3393</v>
      </c>
      <c r="C2613">
        <v>2023</v>
      </c>
      <c r="D2613" t="s">
        <v>3457</v>
      </c>
      <c r="E2613" t="s">
        <v>2615</v>
      </c>
      <c r="F2613" t="s">
        <v>2616</v>
      </c>
      <c r="G2613" t="s">
        <v>2636</v>
      </c>
      <c r="H2613" t="s">
        <v>4879</v>
      </c>
    </row>
    <row r="2614" spans="2:8" x14ac:dyDescent="0.25">
      <c r="B2614" t="s">
        <v>3393</v>
      </c>
      <c r="C2614">
        <v>2023</v>
      </c>
      <c r="D2614" t="s">
        <v>3457</v>
      </c>
      <c r="E2614" t="s">
        <v>2615</v>
      </c>
      <c r="F2614" t="s">
        <v>2616</v>
      </c>
      <c r="G2614" t="s">
        <v>2637</v>
      </c>
      <c r="H2614" t="s">
        <v>4593</v>
      </c>
    </row>
    <row r="2615" spans="2:8" x14ac:dyDescent="0.25">
      <c r="B2615" t="s">
        <v>3393</v>
      </c>
      <c r="C2615">
        <v>2023</v>
      </c>
      <c r="D2615" t="s">
        <v>3457</v>
      </c>
      <c r="E2615" t="s">
        <v>2615</v>
      </c>
      <c r="F2615" t="s">
        <v>2616</v>
      </c>
      <c r="G2615" t="s">
        <v>2638</v>
      </c>
      <c r="H2615" t="s">
        <v>2518</v>
      </c>
    </row>
    <row r="2616" spans="2:8" x14ac:dyDescent="0.25">
      <c r="B2616" t="s">
        <v>3393</v>
      </c>
      <c r="C2616">
        <v>2023</v>
      </c>
      <c r="D2616" t="s">
        <v>3457</v>
      </c>
      <c r="E2616" t="s">
        <v>2615</v>
      </c>
      <c r="F2616" t="s">
        <v>2616</v>
      </c>
      <c r="G2616" t="s">
        <v>2639</v>
      </c>
      <c r="H2616" t="s">
        <v>4841</v>
      </c>
    </row>
    <row r="2617" spans="2:8" x14ac:dyDescent="0.25">
      <c r="B2617" t="s">
        <v>3393</v>
      </c>
      <c r="C2617">
        <v>2023</v>
      </c>
      <c r="D2617" t="s">
        <v>3457</v>
      </c>
      <c r="E2617" t="s">
        <v>2615</v>
      </c>
      <c r="F2617" t="s">
        <v>2616</v>
      </c>
      <c r="G2617" t="s">
        <v>2640</v>
      </c>
      <c r="H2617" t="s">
        <v>1993</v>
      </c>
    </row>
    <row r="2618" spans="2:8" x14ac:dyDescent="0.25">
      <c r="B2618" t="s">
        <v>3393</v>
      </c>
      <c r="C2618">
        <v>2023</v>
      </c>
      <c r="D2618" t="s">
        <v>3457</v>
      </c>
      <c r="E2618" t="s">
        <v>2615</v>
      </c>
      <c r="F2618" t="s">
        <v>2616</v>
      </c>
      <c r="G2618" t="s">
        <v>2641</v>
      </c>
      <c r="H2618" t="s">
        <v>4593</v>
      </c>
    </row>
    <row r="2619" spans="2:8" x14ac:dyDescent="0.25">
      <c r="B2619" t="s">
        <v>3393</v>
      </c>
      <c r="C2619">
        <v>2023</v>
      </c>
      <c r="D2619" t="s">
        <v>3457</v>
      </c>
      <c r="E2619" t="s">
        <v>2615</v>
      </c>
      <c r="F2619" t="s">
        <v>2616</v>
      </c>
      <c r="G2619" t="s">
        <v>2642</v>
      </c>
      <c r="H2619" t="s">
        <v>2643</v>
      </c>
    </row>
    <row r="2620" spans="2:8" x14ac:dyDescent="0.25">
      <c r="B2620" t="s">
        <v>3393</v>
      </c>
      <c r="C2620">
        <v>2023</v>
      </c>
      <c r="D2620" t="s">
        <v>3457</v>
      </c>
      <c r="E2620" t="s">
        <v>2615</v>
      </c>
      <c r="F2620" t="s">
        <v>2616</v>
      </c>
      <c r="G2620" t="s">
        <v>2644</v>
      </c>
      <c r="H2620" t="s">
        <v>4911</v>
      </c>
    </row>
    <row r="2621" spans="2:8" x14ac:dyDescent="0.25">
      <c r="B2621" t="s">
        <v>3393</v>
      </c>
      <c r="C2621">
        <v>2023</v>
      </c>
      <c r="D2621" t="s">
        <v>3457</v>
      </c>
      <c r="E2621" t="s">
        <v>2615</v>
      </c>
      <c r="F2621" t="s">
        <v>2616</v>
      </c>
      <c r="G2621" t="s">
        <v>2645</v>
      </c>
      <c r="H2621" t="s">
        <v>2081</v>
      </c>
    </row>
    <row r="2622" spans="2:8" x14ac:dyDescent="0.25">
      <c r="B2622" t="s">
        <v>3393</v>
      </c>
      <c r="C2622">
        <v>2023</v>
      </c>
      <c r="D2622" t="s">
        <v>3457</v>
      </c>
      <c r="E2622" t="s">
        <v>2615</v>
      </c>
      <c r="F2622" t="s">
        <v>2616</v>
      </c>
      <c r="G2622" t="s">
        <v>2646</v>
      </c>
      <c r="H2622" t="s">
        <v>4912</v>
      </c>
    </row>
    <row r="2623" spans="2:8" x14ac:dyDescent="0.25">
      <c r="B2623" t="s">
        <v>3393</v>
      </c>
      <c r="C2623">
        <v>2023</v>
      </c>
      <c r="D2623" t="s">
        <v>3457</v>
      </c>
      <c r="E2623" t="s">
        <v>2615</v>
      </c>
      <c r="F2623" t="s">
        <v>2616</v>
      </c>
      <c r="G2623" t="s">
        <v>2647</v>
      </c>
      <c r="H2623" t="s">
        <v>2518</v>
      </c>
    </row>
    <row r="2624" spans="2:8" x14ac:dyDescent="0.25">
      <c r="B2624" t="s">
        <v>3393</v>
      </c>
      <c r="C2624">
        <v>2023</v>
      </c>
      <c r="D2624" t="s">
        <v>3457</v>
      </c>
      <c r="E2624" t="s">
        <v>2615</v>
      </c>
      <c r="F2624" t="s">
        <v>2616</v>
      </c>
      <c r="G2624" t="s">
        <v>2648</v>
      </c>
      <c r="H2624" t="s">
        <v>4913</v>
      </c>
    </row>
    <row r="2625" spans="2:8" x14ac:dyDescent="0.25">
      <c r="B2625" t="s">
        <v>3393</v>
      </c>
      <c r="C2625">
        <v>2023</v>
      </c>
      <c r="D2625" t="s">
        <v>3457</v>
      </c>
      <c r="E2625" t="s">
        <v>2615</v>
      </c>
      <c r="F2625" t="s">
        <v>2616</v>
      </c>
      <c r="G2625" t="s">
        <v>2649</v>
      </c>
      <c r="H2625" t="s">
        <v>4914</v>
      </c>
    </row>
    <row r="2626" spans="2:8" x14ac:dyDescent="0.25">
      <c r="B2626" t="s">
        <v>3393</v>
      </c>
      <c r="C2626">
        <v>2023</v>
      </c>
      <c r="D2626" t="s">
        <v>3457</v>
      </c>
      <c r="E2626" t="s">
        <v>2615</v>
      </c>
      <c r="F2626" t="s">
        <v>2616</v>
      </c>
      <c r="G2626" t="s">
        <v>2650</v>
      </c>
      <c r="H2626" t="s">
        <v>4593</v>
      </c>
    </row>
    <row r="2627" spans="2:8" x14ac:dyDescent="0.25">
      <c r="B2627" t="s">
        <v>3393</v>
      </c>
      <c r="C2627">
        <v>2023</v>
      </c>
      <c r="D2627" t="s">
        <v>3457</v>
      </c>
      <c r="E2627" t="s">
        <v>2615</v>
      </c>
      <c r="F2627" t="s">
        <v>2616</v>
      </c>
      <c r="G2627" t="s">
        <v>2651</v>
      </c>
      <c r="H2627" t="s">
        <v>2518</v>
      </c>
    </row>
    <row r="2628" spans="2:8" x14ac:dyDescent="0.25">
      <c r="B2628" t="s">
        <v>3393</v>
      </c>
      <c r="C2628">
        <v>2023</v>
      </c>
      <c r="D2628" t="s">
        <v>3457</v>
      </c>
      <c r="E2628" t="s">
        <v>2615</v>
      </c>
      <c r="F2628" t="s">
        <v>2616</v>
      </c>
      <c r="G2628" t="s">
        <v>2652</v>
      </c>
      <c r="H2628" t="s">
        <v>4878</v>
      </c>
    </row>
    <row r="2629" spans="2:8" x14ac:dyDescent="0.25">
      <c r="B2629" t="s">
        <v>3393</v>
      </c>
      <c r="C2629">
        <v>2023</v>
      </c>
      <c r="D2629" t="s">
        <v>3457</v>
      </c>
      <c r="E2629" t="s">
        <v>2615</v>
      </c>
      <c r="F2629" t="s">
        <v>2616</v>
      </c>
      <c r="G2629" t="s">
        <v>2653</v>
      </c>
      <c r="H2629" t="s">
        <v>1993</v>
      </c>
    </row>
    <row r="2630" spans="2:8" x14ac:dyDescent="0.25">
      <c r="B2630" t="s">
        <v>3393</v>
      </c>
      <c r="C2630">
        <v>2023</v>
      </c>
      <c r="D2630" t="s">
        <v>3457</v>
      </c>
      <c r="E2630" t="s">
        <v>2615</v>
      </c>
      <c r="F2630" t="s">
        <v>2616</v>
      </c>
      <c r="G2630" t="s">
        <v>2654</v>
      </c>
      <c r="H2630" t="s">
        <v>4593</v>
      </c>
    </row>
    <row r="2631" spans="2:8" x14ac:dyDescent="0.25">
      <c r="B2631" t="s">
        <v>3393</v>
      </c>
      <c r="C2631">
        <v>2023</v>
      </c>
      <c r="D2631" t="s">
        <v>3457</v>
      </c>
      <c r="E2631" t="s">
        <v>2615</v>
      </c>
      <c r="F2631" t="s">
        <v>2616</v>
      </c>
      <c r="G2631" t="s">
        <v>2655</v>
      </c>
      <c r="H2631" t="s">
        <v>2643</v>
      </c>
    </row>
    <row r="2632" spans="2:8" x14ac:dyDescent="0.25">
      <c r="B2632" t="s">
        <v>3393</v>
      </c>
      <c r="C2632">
        <v>2023</v>
      </c>
      <c r="D2632" t="s">
        <v>3457</v>
      </c>
      <c r="E2632" t="s">
        <v>2615</v>
      </c>
      <c r="F2632" t="s">
        <v>2616</v>
      </c>
      <c r="G2632" t="s">
        <v>2656</v>
      </c>
      <c r="H2632" t="s">
        <v>4915</v>
      </c>
    </row>
    <row r="2633" spans="2:8" x14ac:dyDescent="0.25">
      <c r="B2633" t="s">
        <v>3393</v>
      </c>
      <c r="C2633">
        <v>2023</v>
      </c>
      <c r="D2633" t="s">
        <v>3457</v>
      </c>
      <c r="E2633" t="s">
        <v>2615</v>
      </c>
      <c r="F2633" t="s">
        <v>2616</v>
      </c>
      <c r="G2633" t="s">
        <v>2657</v>
      </c>
      <c r="H2633" t="s">
        <v>4874</v>
      </c>
    </row>
    <row r="2634" spans="2:8" x14ac:dyDescent="0.25">
      <c r="B2634" t="s">
        <v>3393</v>
      </c>
      <c r="C2634">
        <v>2023</v>
      </c>
      <c r="D2634" t="s">
        <v>3457</v>
      </c>
      <c r="E2634" t="s">
        <v>2615</v>
      </c>
      <c r="F2634" t="s">
        <v>2616</v>
      </c>
      <c r="G2634" t="s">
        <v>2658</v>
      </c>
      <c r="H2634" t="s">
        <v>3366</v>
      </c>
    </row>
    <row r="2635" spans="2:8" x14ac:dyDescent="0.25">
      <c r="B2635" t="s">
        <v>3393</v>
      </c>
      <c r="C2635">
        <v>2023</v>
      </c>
      <c r="D2635" t="s">
        <v>3457</v>
      </c>
      <c r="E2635" t="s">
        <v>2615</v>
      </c>
      <c r="F2635" t="s">
        <v>2616</v>
      </c>
      <c r="G2635" t="s">
        <v>2659</v>
      </c>
      <c r="H2635" t="s">
        <v>2518</v>
      </c>
    </row>
    <row r="2636" spans="2:8" x14ac:dyDescent="0.25">
      <c r="B2636" t="s">
        <v>3393</v>
      </c>
      <c r="C2636">
        <v>2023</v>
      </c>
      <c r="D2636" t="s">
        <v>3457</v>
      </c>
      <c r="E2636" t="s">
        <v>2615</v>
      </c>
      <c r="F2636" t="s">
        <v>2616</v>
      </c>
      <c r="G2636" t="s">
        <v>2660</v>
      </c>
      <c r="H2636" t="s">
        <v>4916</v>
      </c>
    </row>
    <row r="2637" spans="2:8" x14ac:dyDescent="0.25">
      <c r="B2637" t="s">
        <v>3393</v>
      </c>
      <c r="C2637">
        <v>2023</v>
      </c>
      <c r="D2637" t="s">
        <v>3457</v>
      </c>
      <c r="E2637" t="s">
        <v>2615</v>
      </c>
      <c r="F2637" t="s">
        <v>2616</v>
      </c>
      <c r="G2637" t="s">
        <v>2662</v>
      </c>
      <c r="H2637" t="s">
        <v>4879</v>
      </c>
    </row>
    <row r="2638" spans="2:8" x14ac:dyDescent="0.25">
      <c r="B2638" t="s">
        <v>3393</v>
      </c>
      <c r="C2638">
        <v>2023</v>
      </c>
      <c r="D2638" t="s">
        <v>3457</v>
      </c>
      <c r="E2638" t="s">
        <v>2615</v>
      </c>
      <c r="F2638" t="s">
        <v>2616</v>
      </c>
      <c r="G2638" t="s">
        <v>2663</v>
      </c>
      <c r="H2638" t="s">
        <v>4593</v>
      </c>
    </row>
    <row r="2639" spans="2:8" x14ac:dyDescent="0.25">
      <c r="B2639" t="s">
        <v>3393</v>
      </c>
      <c r="C2639">
        <v>2023</v>
      </c>
      <c r="D2639" t="s">
        <v>3457</v>
      </c>
      <c r="E2639" t="s">
        <v>2603</v>
      </c>
      <c r="F2639" t="s">
        <v>2664</v>
      </c>
      <c r="G2639" t="s">
        <v>2665</v>
      </c>
      <c r="H2639" t="s">
        <v>2027</v>
      </c>
    </row>
    <row r="2640" spans="2:8" x14ac:dyDescent="0.25">
      <c r="B2640" t="s">
        <v>3393</v>
      </c>
      <c r="C2640">
        <v>2023</v>
      </c>
      <c r="D2640" t="s">
        <v>3457</v>
      </c>
      <c r="E2640" t="s">
        <v>2603</v>
      </c>
      <c r="F2640" t="s">
        <v>2664</v>
      </c>
      <c r="G2640" t="s">
        <v>2666</v>
      </c>
      <c r="H2640" t="s">
        <v>4600</v>
      </c>
    </row>
    <row r="2641" spans="2:8" x14ac:dyDescent="0.25">
      <c r="B2641" t="s">
        <v>3393</v>
      </c>
      <c r="C2641">
        <v>2023</v>
      </c>
      <c r="D2641" t="s">
        <v>3457</v>
      </c>
      <c r="E2641" t="s">
        <v>2603</v>
      </c>
      <c r="F2641" t="s">
        <v>2664</v>
      </c>
      <c r="G2641" t="s">
        <v>2667</v>
      </c>
      <c r="H2641" t="s">
        <v>2011</v>
      </c>
    </row>
    <row r="2642" spans="2:8" x14ac:dyDescent="0.25">
      <c r="B2642" t="s">
        <v>3393</v>
      </c>
      <c r="C2642">
        <v>2023</v>
      </c>
      <c r="D2642" t="s">
        <v>3457</v>
      </c>
      <c r="E2642" t="s">
        <v>2603</v>
      </c>
      <c r="F2642" t="s">
        <v>2664</v>
      </c>
      <c r="G2642" t="s">
        <v>2668</v>
      </c>
      <c r="H2642" t="s">
        <v>4917</v>
      </c>
    </row>
    <row r="2643" spans="2:8" x14ac:dyDescent="0.25">
      <c r="B2643" t="s">
        <v>3393</v>
      </c>
      <c r="C2643">
        <v>2023</v>
      </c>
      <c r="D2643" t="s">
        <v>3457</v>
      </c>
      <c r="E2643" t="s">
        <v>2603</v>
      </c>
      <c r="F2643" t="s">
        <v>2664</v>
      </c>
      <c r="G2643" t="s">
        <v>2669</v>
      </c>
      <c r="H2643" t="s">
        <v>4918</v>
      </c>
    </row>
    <row r="2644" spans="2:8" x14ac:dyDescent="0.25">
      <c r="B2644" t="s">
        <v>3393</v>
      </c>
      <c r="C2644">
        <v>2023</v>
      </c>
      <c r="D2644" t="s">
        <v>3457</v>
      </c>
      <c r="E2644" t="s">
        <v>2603</v>
      </c>
      <c r="F2644" t="s">
        <v>2664</v>
      </c>
      <c r="G2644" t="s">
        <v>2670</v>
      </c>
      <c r="H2644" t="s">
        <v>4919</v>
      </c>
    </row>
    <row r="2645" spans="2:8" x14ac:dyDescent="0.25">
      <c r="B2645" t="s">
        <v>3393</v>
      </c>
      <c r="C2645">
        <v>2023</v>
      </c>
      <c r="D2645" t="s">
        <v>3457</v>
      </c>
      <c r="E2645" t="s">
        <v>2603</v>
      </c>
      <c r="F2645" t="s">
        <v>2664</v>
      </c>
      <c r="G2645" t="s">
        <v>2671</v>
      </c>
      <c r="H2645" t="s">
        <v>4920</v>
      </c>
    </row>
    <row r="2646" spans="2:8" x14ac:dyDescent="0.25">
      <c r="B2646" t="s">
        <v>3393</v>
      </c>
      <c r="C2646">
        <v>2023</v>
      </c>
      <c r="D2646" t="s">
        <v>3457</v>
      </c>
      <c r="E2646" t="s">
        <v>2603</v>
      </c>
      <c r="F2646" t="s">
        <v>2664</v>
      </c>
      <c r="G2646" t="s">
        <v>2672</v>
      </c>
      <c r="H2646" t="s">
        <v>3968</v>
      </c>
    </row>
    <row r="2647" spans="2:8" x14ac:dyDescent="0.25">
      <c r="B2647" t="s">
        <v>3393</v>
      </c>
      <c r="C2647">
        <v>2023</v>
      </c>
      <c r="D2647" t="s">
        <v>3457</v>
      </c>
      <c r="E2647" t="s">
        <v>2603</v>
      </c>
      <c r="F2647" t="s">
        <v>2664</v>
      </c>
      <c r="G2647" t="s">
        <v>2673</v>
      </c>
      <c r="H2647" t="s">
        <v>4921</v>
      </c>
    </row>
    <row r="2648" spans="2:8" x14ac:dyDescent="0.25">
      <c r="B2648" t="s">
        <v>3393</v>
      </c>
      <c r="C2648">
        <v>2023</v>
      </c>
      <c r="D2648" t="s">
        <v>3457</v>
      </c>
      <c r="E2648" t="s">
        <v>2603</v>
      </c>
      <c r="F2648" t="s">
        <v>2664</v>
      </c>
      <c r="G2648" t="s">
        <v>2674</v>
      </c>
      <c r="H2648" t="s">
        <v>4922</v>
      </c>
    </row>
    <row r="2649" spans="2:8" x14ac:dyDescent="0.25">
      <c r="B2649" t="s">
        <v>3393</v>
      </c>
      <c r="C2649">
        <v>2023</v>
      </c>
      <c r="D2649" t="s">
        <v>3457</v>
      </c>
      <c r="E2649" t="s">
        <v>2675</v>
      </c>
      <c r="F2649" t="s">
        <v>2676</v>
      </c>
      <c r="G2649" t="s">
        <v>2677</v>
      </c>
      <c r="H2649" t="s">
        <v>2678</v>
      </c>
    </row>
    <row r="2650" spans="2:8" x14ac:dyDescent="0.25">
      <c r="B2650" t="s">
        <v>3393</v>
      </c>
      <c r="C2650">
        <v>2023</v>
      </c>
      <c r="D2650" t="s">
        <v>3457</v>
      </c>
      <c r="E2650" t="s">
        <v>2675</v>
      </c>
      <c r="F2650" t="s">
        <v>2676</v>
      </c>
      <c r="G2650" t="s">
        <v>2679</v>
      </c>
      <c r="H2650" t="s">
        <v>1993</v>
      </c>
    </row>
    <row r="2651" spans="2:8" x14ac:dyDescent="0.25">
      <c r="B2651" t="s">
        <v>3393</v>
      </c>
      <c r="C2651">
        <v>2023</v>
      </c>
      <c r="D2651" t="s">
        <v>3457</v>
      </c>
      <c r="E2651" t="s">
        <v>2675</v>
      </c>
      <c r="F2651" t="s">
        <v>2676</v>
      </c>
      <c r="G2651" t="s">
        <v>2680</v>
      </c>
      <c r="H2651" t="s">
        <v>4885</v>
      </c>
    </row>
    <row r="2652" spans="2:8" x14ac:dyDescent="0.25">
      <c r="B2652" t="s">
        <v>3393</v>
      </c>
      <c r="C2652">
        <v>2023</v>
      </c>
      <c r="D2652" t="s">
        <v>3457</v>
      </c>
      <c r="E2652" t="s">
        <v>2675</v>
      </c>
      <c r="F2652" t="s">
        <v>2676</v>
      </c>
      <c r="G2652" t="s">
        <v>2681</v>
      </c>
      <c r="H2652" t="s">
        <v>4607</v>
      </c>
    </row>
    <row r="2653" spans="2:8" x14ac:dyDescent="0.25">
      <c r="B2653" t="s">
        <v>3393</v>
      </c>
      <c r="C2653">
        <v>2023</v>
      </c>
      <c r="D2653" t="s">
        <v>3457</v>
      </c>
      <c r="E2653" t="s">
        <v>2675</v>
      </c>
      <c r="F2653" t="s">
        <v>2676</v>
      </c>
      <c r="G2653" t="s">
        <v>2682</v>
      </c>
      <c r="H2653" t="s">
        <v>2678</v>
      </c>
    </row>
    <row r="2654" spans="2:8" x14ac:dyDescent="0.25">
      <c r="B2654" t="s">
        <v>3393</v>
      </c>
      <c r="C2654">
        <v>2023</v>
      </c>
      <c r="D2654" t="s">
        <v>3457</v>
      </c>
      <c r="E2654" t="s">
        <v>2675</v>
      </c>
      <c r="F2654" t="s">
        <v>2676</v>
      </c>
      <c r="G2654" t="s">
        <v>2683</v>
      </c>
      <c r="H2654" t="s">
        <v>1993</v>
      </c>
    </row>
    <row r="2655" spans="2:8" x14ac:dyDescent="0.25">
      <c r="B2655" t="s">
        <v>3393</v>
      </c>
      <c r="C2655">
        <v>2023</v>
      </c>
      <c r="D2655" t="s">
        <v>3457</v>
      </c>
      <c r="E2655" t="s">
        <v>2675</v>
      </c>
      <c r="F2655" t="s">
        <v>2676</v>
      </c>
      <c r="G2655" t="s">
        <v>2684</v>
      </c>
      <c r="H2655" t="s">
        <v>4886</v>
      </c>
    </row>
    <row r="2656" spans="2:8" x14ac:dyDescent="0.25">
      <c r="B2656" t="s">
        <v>3393</v>
      </c>
      <c r="C2656">
        <v>2023</v>
      </c>
      <c r="D2656" t="s">
        <v>3457</v>
      </c>
      <c r="E2656" t="s">
        <v>2675</v>
      </c>
      <c r="F2656" t="s">
        <v>2676</v>
      </c>
      <c r="G2656" t="s">
        <v>2685</v>
      </c>
      <c r="H2656" t="s">
        <v>4607</v>
      </c>
    </row>
    <row r="2657" spans="2:8" x14ac:dyDescent="0.25">
      <c r="B2657" t="s">
        <v>3393</v>
      </c>
      <c r="C2657">
        <v>2023</v>
      </c>
      <c r="D2657" t="s">
        <v>3457</v>
      </c>
      <c r="E2657" t="s">
        <v>2675</v>
      </c>
      <c r="F2657" t="s">
        <v>2676</v>
      </c>
      <c r="G2657" t="s">
        <v>2686</v>
      </c>
      <c r="H2657" t="s">
        <v>2518</v>
      </c>
    </row>
    <row r="2658" spans="2:8" x14ac:dyDescent="0.25">
      <c r="B2658" t="s">
        <v>3393</v>
      </c>
      <c r="C2658">
        <v>2023</v>
      </c>
      <c r="D2658" t="s">
        <v>3457</v>
      </c>
      <c r="E2658" t="s">
        <v>2675</v>
      </c>
      <c r="F2658" t="s">
        <v>2676</v>
      </c>
      <c r="G2658" t="s">
        <v>2687</v>
      </c>
      <c r="H2658" t="s">
        <v>2623</v>
      </c>
    </row>
    <row r="2659" spans="2:8" x14ac:dyDescent="0.25">
      <c r="B2659" t="s">
        <v>3393</v>
      </c>
      <c r="C2659">
        <v>2023</v>
      </c>
      <c r="D2659" t="s">
        <v>3457</v>
      </c>
      <c r="E2659" t="s">
        <v>2675</v>
      </c>
      <c r="F2659" t="s">
        <v>2676</v>
      </c>
      <c r="G2659" t="s">
        <v>2688</v>
      </c>
      <c r="H2659" t="s">
        <v>3307</v>
      </c>
    </row>
    <row r="2660" spans="2:8" x14ac:dyDescent="0.25">
      <c r="B2660" t="s">
        <v>3393</v>
      </c>
      <c r="C2660">
        <v>2023</v>
      </c>
      <c r="D2660" t="s">
        <v>3457</v>
      </c>
      <c r="E2660" t="s">
        <v>2675</v>
      </c>
      <c r="F2660" t="s">
        <v>2676</v>
      </c>
      <c r="G2660" t="s">
        <v>2689</v>
      </c>
      <c r="H2660" t="s">
        <v>4593</v>
      </c>
    </row>
    <row r="2661" spans="2:8" x14ac:dyDescent="0.25">
      <c r="B2661" t="s">
        <v>3393</v>
      </c>
      <c r="C2661">
        <v>2023</v>
      </c>
      <c r="D2661" t="s">
        <v>3457</v>
      </c>
      <c r="E2661" t="s">
        <v>2675</v>
      </c>
      <c r="F2661" t="s">
        <v>2676</v>
      </c>
      <c r="G2661" t="s">
        <v>2690</v>
      </c>
      <c r="H2661" t="s">
        <v>2518</v>
      </c>
    </row>
    <row r="2662" spans="2:8" x14ac:dyDescent="0.25">
      <c r="B2662" t="s">
        <v>3393</v>
      </c>
      <c r="C2662">
        <v>2023</v>
      </c>
      <c r="D2662" t="s">
        <v>3457</v>
      </c>
      <c r="E2662" t="s">
        <v>2675</v>
      </c>
      <c r="F2662" t="s">
        <v>2676</v>
      </c>
      <c r="G2662" t="s">
        <v>2691</v>
      </c>
      <c r="H2662" t="s">
        <v>3612</v>
      </c>
    </row>
    <row r="2663" spans="2:8" x14ac:dyDescent="0.25">
      <c r="B2663" t="s">
        <v>3393</v>
      </c>
      <c r="C2663">
        <v>2023</v>
      </c>
      <c r="D2663" t="s">
        <v>3457</v>
      </c>
      <c r="E2663" t="s">
        <v>2675</v>
      </c>
      <c r="F2663" t="s">
        <v>2676</v>
      </c>
      <c r="G2663" t="s">
        <v>2692</v>
      </c>
      <c r="H2663" t="s">
        <v>4923</v>
      </c>
    </row>
    <row r="2664" spans="2:8" x14ac:dyDescent="0.25">
      <c r="B2664" t="s">
        <v>3393</v>
      </c>
      <c r="C2664">
        <v>2023</v>
      </c>
      <c r="D2664" t="s">
        <v>3457</v>
      </c>
      <c r="E2664" t="s">
        <v>2675</v>
      </c>
      <c r="F2664" t="s">
        <v>2676</v>
      </c>
      <c r="G2664" t="s">
        <v>2693</v>
      </c>
      <c r="H2664" t="s">
        <v>4593</v>
      </c>
    </row>
    <row r="2665" spans="2:8" x14ac:dyDescent="0.25">
      <c r="B2665" t="s">
        <v>3393</v>
      </c>
      <c r="C2665">
        <v>2023</v>
      </c>
      <c r="D2665" t="s">
        <v>3457</v>
      </c>
      <c r="E2665" t="s">
        <v>2675</v>
      </c>
      <c r="F2665" t="s">
        <v>2676</v>
      </c>
      <c r="G2665" t="s">
        <v>2694</v>
      </c>
      <c r="H2665" t="s">
        <v>2518</v>
      </c>
    </row>
    <row r="2666" spans="2:8" x14ac:dyDescent="0.25">
      <c r="B2666" t="s">
        <v>3393</v>
      </c>
      <c r="C2666">
        <v>2023</v>
      </c>
      <c r="D2666" t="s">
        <v>3457</v>
      </c>
      <c r="E2666" t="s">
        <v>2675</v>
      </c>
      <c r="F2666" t="s">
        <v>2676</v>
      </c>
      <c r="G2666" t="s">
        <v>2695</v>
      </c>
      <c r="H2666" t="s">
        <v>1993</v>
      </c>
    </row>
    <row r="2667" spans="2:8" x14ac:dyDescent="0.25">
      <c r="B2667" t="s">
        <v>3393</v>
      </c>
      <c r="C2667">
        <v>2023</v>
      </c>
      <c r="D2667" t="s">
        <v>3457</v>
      </c>
      <c r="E2667" t="s">
        <v>2675</v>
      </c>
      <c r="F2667" t="s">
        <v>2676</v>
      </c>
      <c r="G2667" t="s">
        <v>2696</v>
      </c>
      <c r="H2667" t="s">
        <v>4890</v>
      </c>
    </row>
    <row r="2668" spans="2:8" x14ac:dyDescent="0.25">
      <c r="B2668" t="s">
        <v>3393</v>
      </c>
      <c r="C2668">
        <v>2023</v>
      </c>
      <c r="D2668" t="s">
        <v>3457</v>
      </c>
      <c r="E2668" t="s">
        <v>2675</v>
      </c>
      <c r="F2668" t="s">
        <v>2676</v>
      </c>
      <c r="G2668" t="s">
        <v>2697</v>
      </c>
      <c r="H2668" t="s">
        <v>4593</v>
      </c>
    </row>
    <row r="2669" spans="2:8" x14ac:dyDescent="0.25">
      <c r="B2669" t="s">
        <v>3393</v>
      </c>
      <c r="C2669">
        <v>2023</v>
      </c>
      <c r="D2669" t="s">
        <v>3457</v>
      </c>
      <c r="E2669" t="s">
        <v>2675</v>
      </c>
      <c r="F2669" t="s">
        <v>2676</v>
      </c>
      <c r="G2669" t="s">
        <v>2698</v>
      </c>
      <c r="H2669" t="s">
        <v>2518</v>
      </c>
    </row>
    <row r="2670" spans="2:8" x14ac:dyDescent="0.25">
      <c r="B2670" t="s">
        <v>3393</v>
      </c>
      <c r="C2670">
        <v>2023</v>
      </c>
      <c r="D2670" t="s">
        <v>3457</v>
      </c>
      <c r="E2670" t="s">
        <v>2675</v>
      </c>
      <c r="F2670" t="s">
        <v>2676</v>
      </c>
      <c r="G2670" t="s">
        <v>2699</v>
      </c>
      <c r="H2670" t="s">
        <v>4924</v>
      </c>
    </row>
    <row r="2671" spans="2:8" x14ac:dyDescent="0.25">
      <c r="B2671" t="s">
        <v>3393</v>
      </c>
      <c r="C2671">
        <v>2023</v>
      </c>
      <c r="D2671" t="s">
        <v>3457</v>
      </c>
      <c r="E2671" t="s">
        <v>2675</v>
      </c>
      <c r="F2671" t="s">
        <v>2676</v>
      </c>
      <c r="G2671" t="s">
        <v>2700</v>
      </c>
      <c r="H2671" t="s">
        <v>4925</v>
      </c>
    </row>
    <row r="2672" spans="2:8" x14ac:dyDescent="0.25">
      <c r="B2672" t="s">
        <v>3393</v>
      </c>
      <c r="C2672">
        <v>2023</v>
      </c>
      <c r="D2672" t="s">
        <v>3457</v>
      </c>
      <c r="E2672" t="s">
        <v>2675</v>
      </c>
      <c r="F2672" t="s">
        <v>2676</v>
      </c>
      <c r="G2672" t="s">
        <v>2701</v>
      </c>
      <c r="H2672" t="s">
        <v>4593</v>
      </c>
    </row>
    <row r="2673" spans="2:8" x14ac:dyDescent="0.25">
      <c r="B2673" t="s">
        <v>3393</v>
      </c>
      <c r="C2673">
        <v>2023</v>
      </c>
      <c r="D2673" t="s">
        <v>3457</v>
      </c>
      <c r="E2673" t="s">
        <v>2675</v>
      </c>
      <c r="F2673" t="s">
        <v>2676</v>
      </c>
      <c r="G2673" t="s">
        <v>2702</v>
      </c>
      <c r="H2673" t="s">
        <v>2518</v>
      </c>
    </row>
    <row r="2674" spans="2:8" x14ac:dyDescent="0.25">
      <c r="B2674" t="s">
        <v>3393</v>
      </c>
      <c r="C2674">
        <v>2023</v>
      </c>
      <c r="D2674" t="s">
        <v>3457</v>
      </c>
      <c r="E2674" t="s">
        <v>2675</v>
      </c>
      <c r="F2674" t="s">
        <v>2676</v>
      </c>
      <c r="G2674" t="s">
        <v>2703</v>
      </c>
      <c r="H2674" t="s">
        <v>1993</v>
      </c>
    </row>
    <row r="2675" spans="2:8" x14ac:dyDescent="0.25">
      <c r="B2675" t="s">
        <v>3393</v>
      </c>
      <c r="C2675">
        <v>2023</v>
      </c>
      <c r="D2675" t="s">
        <v>3457</v>
      </c>
      <c r="E2675" t="s">
        <v>2675</v>
      </c>
      <c r="F2675" t="s">
        <v>2676</v>
      </c>
      <c r="G2675" t="s">
        <v>2704</v>
      </c>
      <c r="H2675" t="s">
        <v>4892</v>
      </c>
    </row>
    <row r="2676" spans="2:8" x14ac:dyDescent="0.25">
      <c r="B2676" t="s">
        <v>3393</v>
      </c>
      <c r="C2676">
        <v>2023</v>
      </c>
      <c r="D2676" t="s">
        <v>3457</v>
      </c>
      <c r="E2676" t="s">
        <v>2675</v>
      </c>
      <c r="F2676" t="s">
        <v>2676</v>
      </c>
      <c r="G2676" t="s">
        <v>2705</v>
      </c>
      <c r="H2676" t="s">
        <v>4593</v>
      </c>
    </row>
    <row r="2677" spans="2:8" x14ac:dyDescent="0.25">
      <c r="B2677" t="s">
        <v>3393</v>
      </c>
      <c r="C2677">
        <v>2023</v>
      </c>
      <c r="D2677" t="s">
        <v>3457</v>
      </c>
      <c r="E2677" t="s">
        <v>2675</v>
      </c>
      <c r="F2677" t="s">
        <v>2676</v>
      </c>
      <c r="G2677" t="s">
        <v>2706</v>
      </c>
      <c r="H2677" t="s">
        <v>3003</v>
      </c>
    </row>
    <row r="2678" spans="2:8" x14ac:dyDescent="0.25">
      <c r="B2678" t="s">
        <v>3393</v>
      </c>
      <c r="C2678">
        <v>2023</v>
      </c>
      <c r="D2678" t="s">
        <v>3457</v>
      </c>
      <c r="E2678" t="s">
        <v>2675</v>
      </c>
      <c r="F2678" t="s">
        <v>2676</v>
      </c>
      <c r="G2678" t="s">
        <v>2707</v>
      </c>
      <c r="H2678" t="s">
        <v>4623</v>
      </c>
    </row>
    <row r="2679" spans="2:8" x14ac:dyDescent="0.25">
      <c r="B2679" t="s">
        <v>3393</v>
      </c>
      <c r="C2679">
        <v>2023</v>
      </c>
      <c r="D2679" t="s">
        <v>3457</v>
      </c>
      <c r="E2679" t="s">
        <v>2675</v>
      </c>
      <c r="F2679" t="s">
        <v>2676</v>
      </c>
      <c r="G2679" t="s">
        <v>2708</v>
      </c>
      <c r="H2679" t="s">
        <v>4926</v>
      </c>
    </row>
    <row r="2680" spans="2:8" x14ac:dyDescent="0.25">
      <c r="B2680" t="s">
        <v>3393</v>
      </c>
      <c r="C2680">
        <v>2023</v>
      </c>
      <c r="D2680" t="s">
        <v>3457</v>
      </c>
      <c r="E2680" t="s">
        <v>2675</v>
      </c>
      <c r="F2680" t="s">
        <v>2676</v>
      </c>
      <c r="G2680" t="s">
        <v>2709</v>
      </c>
      <c r="H2680" t="s">
        <v>4927</v>
      </c>
    </row>
    <row r="2681" spans="2:8" x14ac:dyDescent="0.25">
      <c r="B2681" t="s">
        <v>3393</v>
      </c>
      <c r="C2681">
        <v>2023</v>
      </c>
      <c r="D2681" t="s">
        <v>3457</v>
      </c>
      <c r="E2681" t="s">
        <v>2675</v>
      </c>
      <c r="F2681" t="s">
        <v>2676</v>
      </c>
      <c r="G2681" t="s">
        <v>2710</v>
      </c>
      <c r="H2681" t="s">
        <v>2711</v>
      </c>
    </row>
    <row r="2682" spans="2:8" x14ac:dyDescent="0.25">
      <c r="B2682" t="s">
        <v>3393</v>
      </c>
      <c r="C2682">
        <v>2023</v>
      </c>
      <c r="D2682" t="s">
        <v>3457</v>
      </c>
      <c r="E2682" t="s">
        <v>2675</v>
      </c>
      <c r="F2682" t="s">
        <v>2676</v>
      </c>
      <c r="G2682" t="s">
        <v>2712</v>
      </c>
      <c r="H2682" t="s">
        <v>3559</v>
      </c>
    </row>
    <row r="2683" spans="2:8" x14ac:dyDescent="0.25">
      <c r="B2683" t="s">
        <v>3393</v>
      </c>
      <c r="C2683">
        <v>2023</v>
      </c>
      <c r="D2683" t="s">
        <v>3457</v>
      </c>
      <c r="E2683" t="s">
        <v>2675</v>
      </c>
      <c r="F2683" t="s">
        <v>2676</v>
      </c>
      <c r="G2683" t="s">
        <v>2713</v>
      </c>
      <c r="H2683" t="s">
        <v>1993</v>
      </c>
    </row>
    <row r="2684" spans="2:8" x14ac:dyDescent="0.25">
      <c r="B2684" t="s">
        <v>3393</v>
      </c>
      <c r="C2684">
        <v>2023</v>
      </c>
      <c r="D2684" t="s">
        <v>3457</v>
      </c>
      <c r="E2684" t="s">
        <v>2675</v>
      </c>
      <c r="F2684" t="s">
        <v>2676</v>
      </c>
      <c r="G2684" t="s">
        <v>2714</v>
      </c>
      <c r="H2684" t="s">
        <v>4928</v>
      </c>
    </row>
    <row r="2685" spans="2:8" x14ac:dyDescent="0.25">
      <c r="B2685" t="s">
        <v>3393</v>
      </c>
      <c r="C2685">
        <v>2023</v>
      </c>
      <c r="D2685" t="s">
        <v>3457</v>
      </c>
      <c r="E2685" t="s">
        <v>2675</v>
      </c>
      <c r="F2685" t="s">
        <v>2676</v>
      </c>
      <c r="G2685" t="s">
        <v>2715</v>
      </c>
      <c r="H2685" t="s">
        <v>2518</v>
      </c>
    </row>
    <row r="2686" spans="2:8" x14ac:dyDescent="0.25">
      <c r="B2686" t="s">
        <v>3393</v>
      </c>
      <c r="C2686">
        <v>2023</v>
      </c>
      <c r="D2686" t="s">
        <v>3457</v>
      </c>
      <c r="E2686" t="s">
        <v>2675</v>
      </c>
      <c r="F2686" t="s">
        <v>2676</v>
      </c>
      <c r="G2686" t="s">
        <v>2716</v>
      </c>
      <c r="H2686" t="s">
        <v>4896</v>
      </c>
    </row>
    <row r="2687" spans="2:8" x14ac:dyDescent="0.25">
      <c r="B2687" t="s">
        <v>3393</v>
      </c>
      <c r="C2687">
        <v>2023</v>
      </c>
      <c r="D2687" t="s">
        <v>3457</v>
      </c>
      <c r="E2687" t="s">
        <v>2675</v>
      </c>
      <c r="F2687" t="s">
        <v>2676</v>
      </c>
      <c r="G2687" t="s">
        <v>2717</v>
      </c>
      <c r="H2687" t="s">
        <v>1993</v>
      </c>
    </row>
    <row r="2688" spans="2:8" x14ac:dyDescent="0.25">
      <c r="B2688" t="s">
        <v>3393</v>
      </c>
      <c r="C2688">
        <v>2023</v>
      </c>
      <c r="D2688" t="s">
        <v>3457</v>
      </c>
      <c r="E2688" t="s">
        <v>2675</v>
      </c>
      <c r="F2688" t="s">
        <v>2676</v>
      </c>
      <c r="G2688" t="s">
        <v>2718</v>
      </c>
      <c r="H2688" t="s">
        <v>4593</v>
      </c>
    </row>
    <row r="2689" spans="2:8" x14ac:dyDescent="0.25">
      <c r="B2689" t="s">
        <v>3393</v>
      </c>
      <c r="C2689">
        <v>2023</v>
      </c>
      <c r="D2689" t="s">
        <v>3457</v>
      </c>
      <c r="E2689" t="s">
        <v>2675</v>
      </c>
      <c r="F2689" t="s">
        <v>2676</v>
      </c>
      <c r="G2689" t="s">
        <v>2719</v>
      </c>
      <c r="H2689" t="s">
        <v>2518</v>
      </c>
    </row>
    <row r="2690" spans="2:8" x14ac:dyDescent="0.25">
      <c r="B2690" t="s">
        <v>3393</v>
      </c>
      <c r="C2690">
        <v>2023</v>
      </c>
      <c r="D2690" t="s">
        <v>3457</v>
      </c>
      <c r="E2690" t="s">
        <v>2675</v>
      </c>
      <c r="F2690" t="s">
        <v>2676</v>
      </c>
      <c r="G2690" t="s">
        <v>2720</v>
      </c>
      <c r="H2690" t="s">
        <v>4897</v>
      </c>
    </row>
    <row r="2691" spans="2:8" x14ac:dyDescent="0.25">
      <c r="B2691" t="s">
        <v>3393</v>
      </c>
      <c r="C2691">
        <v>2023</v>
      </c>
      <c r="D2691" t="s">
        <v>3457</v>
      </c>
      <c r="E2691" t="s">
        <v>2675</v>
      </c>
      <c r="F2691" t="s">
        <v>2676</v>
      </c>
      <c r="G2691" t="s">
        <v>2721</v>
      </c>
      <c r="H2691" t="s">
        <v>1993</v>
      </c>
    </row>
    <row r="2692" spans="2:8" x14ac:dyDescent="0.25">
      <c r="B2692" t="s">
        <v>3393</v>
      </c>
      <c r="C2692">
        <v>2023</v>
      </c>
      <c r="D2692" t="s">
        <v>3457</v>
      </c>
      <c r="E2692" t="s">
        <v>2675</v>
      </c>
      <c r="F2692" t="s">
        <v>2676</v>
      </c>
      <c r="G2692" t="s">
        <v>2722</v>
      </c>
      <c r="H2692" t="s">
        <v>4593</v>
      </c>
    </row>
    <row r="2693" spans="2:8" x14ac:dyDescent="0.25">
      <c r="B2693" t="s">
        <v>3393</v>
      </c>
      <c r="C2693">
        <v>2023</v>
      </c>
      <c r="D2693" t="s">
        <v>3457</v>
      </c>
      <c r="E2693" t="s">
        <v>2675</v>
      </c>
      <c r="F2693" t="s">
        <v>2676</v>
      </c>
      <c r="G2693" t="s">
        <v>2723</v>
      </c>
      <c r="H2693" t="s">
        <v>2518</v>
      </c>
    </row>
    <row r="2694" spans="2:8" x14ac:dyDescent="0.25">
      <c r="B2694" t="s">
        <v>3393</v>
      </c>
      <c r="C2694">
        <v>2023</v>
      </c>
      <c r="D2694" t="s">
        <v>3457</v>
      </c>
      <c r="E2694" t="s">
        <v>2675</v>
      </c>
      <c r="F2694" t="s">
        <v>2676</v>
      </c>
      <c r="G2694" t="s">
        <v>2724</v>
      </c>
      <c r="H2694" t="s">
        <v>1993</v>
      </c>
    </row>
    <row r="2695" spans="2:8" x14ac:dyDescent="0.25">
      <c r="B2695" t="s">
        <v>3393</v>
      </c>
      <c r="C2695">
        <v>2023</v>
      </c>
      <c r="D2695" t="s">
        <v>3457</v>
      </c>
      <c r="E2695" t="s">
        <v>2675</v>
      </c>
      <c r="F2695" t="s">
        <v>2676</v>
      </c>
      <c r="G2695" t="s">
        <v>2725</v>
      </c>
      <c r="H2695" t="s">
        <v>1993</v>
      </c>
    </row>
    <row r="2696" spans="2:8" x14ac:dyDescent="0.25">
      <c r="B2696" t="s">
        <v>3393</v>
      </c>
      <c r="C2696">
        <v>2023</v>
      </c>
      <c r="D2696" t="s">
        <v>3457</v>
      </c>
      <c r="E2696" t="s">
        <v>2675</v>
      </c>
      <c r="F2696" t="s">
        <v>2676</v>
      </c>
      <c r="G2696" t="s">
        <v>2726</v>
      </c>
      <c r="H2696" t="s">
        <v>4593</v>
      </c>
    </row>
    <row r="2697" spans="2:8" x14ac:dyDescent="0.25">
      <c r="B2697" t="s">
        <v>3393</v>
      </c>
      <c r="C2697">
        <v>2023</v>
      </c>
      <c r="D2697" t="s">
        <v>3457</v>
      </c>
      <c r="E2697" t="s">
        <v>2675</v>
      </c>
      <c r="F2697" t="s">
        <v>2676</v>
      </c>
      <c r="G2697" t="s">
        <v>2727</v>
      </c>
      <c r="H2697" t="s">
        <v>2518</v>
      </c>
    </row>
    <row r="2698" spans="2:8" x14ac:dyDescent="0.25">
      <c r="B2698" t="s">
        <v>3393</v>
      </c>
      <c r="C2698">
        <v>2023</v>
      </c>
      <c r="D2698" t="s">
        <v>3457</v>
      </c>
      <c r="E2698" t="s">
        <v>2675</v>
      </c>
      <c r="F2698" t="s">
        <v>2676</v>
      </c>
      <c r="G2698" t="s">
        <v>2728</v>
      </c>
      <c r="H2698" t="s">
        <v>4898</v>
      </c>
    </row>
    <row r="2699" spans="2:8" x14ac:dyDescent="0.25">
      <c r="B2699" t="s">
        <v>3393</v>
      </c>
      <c r="C2699">
        <v>2023</v>
      </c>
      <c r="D2699" t="s">
        <v>3457</v>
      </c>
      <c r="E2699" t="s">
        <v>2675</v>
      </c>
      <c r="F2699" t="s">
        <v>2676</v>
      </c>
      <c r="G2699" t="s">
        <v>2729</v>
      </c>
      <c r="H2699" t="s">
        <v>1993</v>
      </c>
    </row>
    <row r="2700" spans="2:8" x14ac:dyDescent="0.25">
      <c r="B2700" t="s">
        <v>3393</v>
      </c>
      <c r="C2700">
        <v>2023</v>
      </c>
      <c r="D2700" t="s">
        <v>3457</v>
      </c>
      <c r="E2700" t="s">
        <v>2675</v>
      </c>
      <c r="F2700" t="s">
        <v>2676</v>
      </c>
      <c r="G2700" t="s">
        <v>2730</v>
      </c>
      <c r="H2700" t="s">
        <v>4593</v>
      </c>
    </row>
    <row r="2701" spans="2:8" x14ac:dyDescent="0.25">
      <c r="B2701" t="s">
        <v>3393</v>
      </c>
      <c r="C2701">
        <v>2023</v>
      </c>
      <c r="D2701" t="s">
        <v>3457</v>
      </c>
      <c r="E2701" t="s">
        <v>2675</v>
      </c>
      <c r="F2701" t="s">
        <v>2676</v>
      </c>
      <c r="G2701" t="s">
        <v>2731</v>
      </c>
      <c r="H2701" t="s">
        <v>2518</v>
      </c>
    </row>
    <row r="2702" spans="2:8" x14ac:dyDescent="0.25">
      <c r="B2702" t="s">
        <v>3393</v>
      </c>
      <c r="C2702">
        <v>2023</v>
      </c>
      <c r="D2702" t="s">
        <v>3457</v>
      </c>
      <c r="E2702" t="s">
        <v>2675</v>
      </c>
      <c r="F2702" t="s">
        <v>2676</v>
      </c>
      <c r="G2702" t="s">
        <v>2732</v>
      </c>
      <c r="H2702" t="s">
        <v>2021</v>
      </c>
    </row>
    <row r="2703" spans="2:8" x14ac:dyDescent="0.25">
      <c r="B2703" t="s">
        <v>3393</v>
      </c>
      <c r="C2703">
        <v>2023</v>
      </c>
      <c r="D2703" t="s">
        <v>3457</v>
      </c>
      <c r="E2703" t="s">
        <v>2675</v>
      </c>
      <c r="F2703" t="s">
        <v>2676</v>
      </c>
      <c r="G2703" t="s">
        <v>2733</v>
      </c>
      <c r="H2703" t="s">
        <v>1993</v>
      </c>
    </row>
    <row r="2704" spans="2:8" x14ac:dyDescent="0.25">
      <c r="B2704" t="s">
        <v>3393</v>
      </c>
      <c r="C2704">
        <v>2023</v>
      </c>
      <c r="D2704" t="s">
        <v>3457</v>
      </c>
      <c r="E2704" t="s">
        <v>2675</v>
      </c>
      <c r="F2704" t="s">
        <v>2676</v>
      </c>
      <c r="G2704" t="s">
        <v>2734</v>
      </c>
      <c r="H2704" t="s">
        <v>4593</v>
      </c>
    </row>
    <row r="2705" spans="2:8" x14ac:dyDescent="0.25">
      <c r="B2705" t="s">
        <v>3393</v>
      </c>
      <c r="C2705">
        <v>2023</v>
      </c>
      <c r="D2705" t="s">
        <v>3457</v>
      </c>
      <c r="E2705" t="s">
        <v>2675</v>
      </c>
      <c r="F2705" t="s">
        <v>2676</v>
      </c>
      <c r="G2705" t="s">
        <v>2735</v>
      </c>
      <c r="H2705" t="s">
        <v>2518</v>
      </c>
    </row>
    <row r="2706" spans="2:8" x14ac:dyDescent="0.25">
      <c r="B2706" t="s">
        <v>3393</v>
      </c>
      <c r="C2706">
        <v>2023</v>
      </c>
      <c r="D2706" t="s">
        <v>3457</v>
      </c>
      <c r="E2706" t="s">
        <v>2675</v>
      </c>
      <c r="F2706" t="s">
        <v>2676</v>
      </c>
      <c r="G2706" t="s">
        <v>2736</v>
      </c>
      <c r="H2706" t="s">
        <v>1993</v>
      </c>
    </row>
    <row r="2707" spans="2:8" x14ac:dyDescent="0.25">
      <c r="B2707" t="s">
        <v>3393</v>
      </c>
      <c r="C2707">
        <v>2023</v>
      </c>
      <c r="D2707" t="s">
        <v>3457</v>
      </c>
      <c r="E2707" t="s">
        <v>2675</v>
      </c>
      <c r="F2707" t="s">
        <v>2676</v>
      </c>
      <c r="G2707" t="s">
        <v>2737</v>
      </c>
      <c r="H2707" t="s">
        <v>3305</v>
      </c>
    </row>
    <row r="2708" spans="2:8" x14ac:dyDescent="0.25">
      <c r="B2708" t="s">
        <v>3393</v>
      </c>
      <c r="C2708">
        <v>2023</v>
      </c>
      <c r="D2708" t="s">
        <v>3457</v>
      </c>
      <c r="E2708" t="s">
        <v>2675</v>
      </c>
      <c r="F2708" t="s">
        <v>2676</v>
      </c>
      <c r="G2708" t="s">
        <v>2738</v>
      </c>
      <c r="H2708" t="s">
        <v>4593</v>
      </c>
    </row>
    <row r="2709" spans="2:8" x14ac:dyDescent="0.25">
      <c r="B2709" t="s">
        <v>3393</v>
      </c>
      <c r="C2709">
        <v>2023</v>
      </c>
      <c r="D2709" t="s">
        <v>3457</v>
      </c>
      <c r="E2709" t="s">
        <v>2675</v>
      </c>
      <c r="F2709" t="s">
        <v>2676</v>
      </c>
      <c r="G2709" t="s">
        <v>2739</v>
      </c>
      <c r="H2709" t="s">
        <v>3004</v>
      </c>
    </row>
    <row r="2710" spans="2:8" x14ac:dyDescent="0.25">
      <c r="B2710" t="s">
        <v>3393</v>
      </c>
      <c r="C2710">
        <v>2023</v>
      </c>
      <c r="D2710" t="s">
        <v>3457</v>
      </c>
      <c r="E2710" t="s">
        <v>2675</v>
      </c>
      <c r="F2710" t="s">
        <v>2676</v>
      </c>
      <c r="G2710" t="s">
        <v>2740</v>
      </c>
      <c r="H2710" t="s">
        <v>4929</v>
      </c>
    </row>
    <row r="2711" spans="2:8" x14ac:dyDescent="0.25">
      <c r="B2711" t="s">
        <v>3393</v>
      </c>
      <c r="C2711">
        <v>2023</v>
      </c>
      <c r="D2711" t="s">
        <v>3457</v>
      </c>
      <c r="E2711" t="s">
        <v>2675</v>
      </c>
      <c r="F2711" t="s">
        <v>2676</v>
      </c>
      <c r="G2711" t="s">
        <v>2741</v>
      </c>
      <c r="H2711" t="s">
        <v>4930</v>
      </c>
    </row>
    <row r="2712" spans="2:8" x14ac:dyDescent="0.25">
      <c r="B2712" t="s">
        <v>3393</v>
      </c>
      <c r="C2712">
        <v>2023</v>
      </c>
      <c r="D2712" t="s">
        <v>3457</v>
      </c>
      <c r="E2712" t="s">
        <v>2675</v>
      </c>
      <c r="F2712" t="s">
        <v>2676</v>
      </c>
      <c r="G2712" t="s">
        <v>2742</v>
      </c>
      <c r="H2712" t="s">
        <v>4931</v>
      </c>
    </row>
    <row r="2713" spans="2:8" x14ac:dyDescent="0.25">
      <c r="B2713" t="s">
        <v>3393</v>
      </c>
      <c r="C2713">
        <v>2023</v>
      </c>
      <c r="D2713" t="s">
        <v>3457</v>
      </c>
      <c r="E2713" t="s">
        <v>2675</v>
      </c>
      <c r="F2713" t="s">
        <v>2676</v>
      </c>
      <c r="G2713" t="s">
        <v>2743</v>
      </c>
      <c r="H2713" t="s">
        <v>2744</v>
      </c>
    </row>
    <row r="2714" spans="2:8" x14ac:dyDescent="0.25">
      <c r="B2714" t="s">
        <v>3393</v>
      </c>
      <c r="C2714">
        <v>2023</v>
      </c>
      <c r="D2714" t="s">
        <v>3457</v>
      </c>
      <c r="E2714" t="s">
        <v>2675</v>
      </c>
      <c r="F2714" t="s">
        <v>2676</v>
      </c>
      <c r="G2714" t="s">
        <v>2745</v>
      </c>
      <c r="H2714" t="s">
        <v>4902</v>
      </c>
    </row>
    <row r="2715" spans="2:8" x14ac:dyDescent="0.25">
      <c r="B2715" t="s">
        <v>3393</v>
      </c>
      <c r="C2715">
        <v>2023</v>
      </c>
      <c r="D2715" t="s">
        <v>3457</v>
      </c>
      <c r="E2715" t="s">
        <v>2675</v>
      </c>
      <c r="F2715" t="s">
        <v>2676</v>
      </c>
      <c r="G2715" t="s">
        <v>2746</v>
      </c>
      <c r="H2715" t="s">
        <v>1993</v>
      </c>
    </row>
    <row r="2716" spans="2:8" x14ac:dyDescent="0.25">
      <c r="B2716" t="s">
        <v>3393</v>
      </c>
      <c r="C2716">
        <v>2023</v>
      </c>
      <c r="D2716" t="s">
        <v>3457</v>
      </c>
      <c r="E2716" t="s">
        <v>2675</v>
      </c>
      <c r="F2716" t="s">
        <v>2676</v>
      </c>
      <c r="G2716" t="s">
        <v>2747</v>
      </c>
      <c r="H2716" t="s">
        <v>2748</v>
      </c>
    </row>
    <row r="2717" spans="2:8" x14ac:dyDescent="0.25">
      <c r="B2717" t="s">
        <v>3393</v>
      </c>
      <c r="C2717">
        <v>2023</v>
      </c>
      <c r="D2717" t="s">
        <v>3457</v>
      </c>
      <c r="E2717" t="s">
        <v>2675</v>
      </c>
      <c r="F2717" t="s">
        <v>2676</v>
      </c>
      <c r="G2717" t="s">
        <v>2749</v>
      </c>
      <c r="H2717" t="s">
        <v>2518</v>
      </c>
    </row>
    <row r="2718" spans="2:8" x14ac:dyDescent="0.25">
      <c r="B2718" t="s">
        <v>3393</v>
      </c>
      <c r="C2718">
        <v>2023</v>
      </c>
      <c r="D2718" t="s">
        <v>3457</v>
      </c>
      <c r="E2718" t="s">
        <v>2675</v>
      </c>
      <c r="F2718" t="s">
        <v>2676</v>
      </c>
      <c r="G2718" t="s">
        <v>2750</v>
      </c>
      <c r="H2718" t="s">
        <v>2035</v>
      </c>
    </row>
    <row r="2719" spans="2:8" x14ac:dyDescent="0.25">
      <c r="B2719" t="s">
        <v>3393</v>
      </c>
      <c r="C2719">
        <v>2023</v>
      </c>
      <c r="D2719" t="s">
        <v>3457</v>
      </c>
      <c r="E2719" t="s">
        <v>2675</v>
      </c>
      <c r="F2719" t="s">
        <v>2676</v>
      </c>
      <c r="G2719" t="s">
        <v>2751</v>
      </c>
      <c r="H2719" t="s">
        <v>4932</v>
      </c>
    </row>
    <row r="2720" spans="2:8" x14ac:dyDescent="0.25">
      <c r="B2720" t="s">
        <v>3393</v>
      </c>
      <c r="C2720">
        <v>2023</v>
      </c>
      <c r="D2720" t="s">
        <v>3457</v>
      </c>
      <c r="E2720" t="s">
        <v>2675</v>
      </c>
      <c r="F2720" t="s">
        <v>2676</v>
      </c>
      <c r="G2720" t="s">
        <v>2752</v>
      </c>
      <c r="H2720" t="s">
        <v>4593</v>
      </c>
    </row>
    <row r="2721" spans="2:8" x14ac:dyDescent="0.25">
      <c r="B2721" t="s">
        <v>3393</v>
      </c>
      <c r="C2721">
        <v>2023</v>
      </c>
      <c r="D2721" t="s">
        <v>3457</v>
      </c>
      <c r="E2721" t="s">
        <v>2675</v>
      </c>
      <c r="F2721" t="s">
        <v>2676</v>
      </c>
      <c r="G2721" t="s">
        <v>2753</v>
      </c>
      <c r="H2721" t="s">
        <v>2518</v>
      </c>
    </row>
    <row r="2722" spans="2:8" x14ac:dyDescent="0.25">
      <c r="B2722" t="s">
        <v>3393</v>
      </c>
      <c r="C2722">
        <v>2023</v>
      </c>
      <c r="D2722" t="s">
        <v>3457</v>
      </c>
      <c r="E2722" t="s">
        <v>2675</v>
      </c>
      <c r="F2722" t="s">
        <v>2676</v>
      </c>
      <c r="G2722" t="s">
        <v>2754</v>
      </c>
      <c r="H2722" t="s">
        <v>4933</v>
      </c>
    </row>
    <row r="2723" spans="2:8" x14ac:dyDescent="0.25">
      <c r="B2723" t="s">
        <v>3393</v>
      </c>
      <c r="C2723">
        <v>2023</v>
      </c>
      <c r="D2723" t="s">
        <v>3457</v>
      </c>
      <c r="E2723" t="s">
        <v>2675</v>
      </c>
      <c r="F2723" t="s">
        <v>2676</v>
      </c>
      <c r="G2723" t="s">
        <v>2755</v>
      </c>
      <c r="H2723" t="s">
        <v>3694</v>
      </c>
    </row>
    <row r="2724" spans="2:8" x14ac:dyDescent="0.25">
      <c r="B2724" t="s">
        <v>3393</v>
      </c>
      <c r="C2724">
        <v>2023</v>
      </c>
      <c r="D2724" t="s">
        <v>3457</v>
      </c>
      <c r="E2724" t="s">
        <v>2675</v>
      </c>
      <c r="F2724" t="s">
        <v>2676</v>
      </c>
      <c r="G2724" t="s">
        <v>2756</v>
      </c>
      <c r="H2724" t="s">
        <v>4593</v>
      </c>
    </row>
    <row r="2725" spans="2:8" x14ac:dyDescent="0.25">
      <c r="B2725" t="s">
        <v>3393</v>
      </c>
      <c r="C2725">
        <v>2023</v>
      </c>
      <c r="D2725" t="s">
        <v>3457</v>
      </c>
      <c r="E2725" t="s">
        <v>2757</v>
      </c>
      <c r="F2725" t="s">
        <v>2758</v>
      </c>
      <c r="G2725" t="s">
        <v>1034</v>
      </c>
      <c r="H2725" t="s">
        <v>4934</v>
      </c>
    </row>
    <row r="2726" spans="2:8" x14ac:dyDescent="0.25">
      <c r="B2726" t="s">
        <v>3393</v>
      </c>
      <c r="C2726">
        <v>2023</v>
      </c>
      <c r="D2726" t="s">
        <v>3457</v>
      </c>
      <c r="E2726" t="s">
        <v>2757</v>
      </c>
      <c r="F2726" t="s">
        <v>2758</v>
      </c>
      <c r="G2726" t="s">
        <v>1032</v>
      </c>
      <c r="H2726" t="s">
        <v>4752</v>
      </c>
    </row>
    <row r="2727" spans="2:8" x14ac:dyDescent="0.25">
      <c r="B2727" t="s">
        <v>3393</v>
      </c>
      <c r="C2727">
        <v>2023</v>
      </c>
      <c r="D2727" t="s">
        <v>3457</v>
      </c>
      <c r="E2727" t="s">
        <v>2757</v>
      </c>
      <c r="F2727" t="s">
        <v>2758</v>
      </c>
      <c r="G2727" t="s">
        <v>2759</v>
      </c>
      <c r="H2727" t="s">
        <v>4935</v>
      </c>
    </row>
    <row r="2728" spans="2:8" x14ac:dyDescent="0.25">
      <c r="B2728" t="s">
        <v>3393</v>
      </c>
      <c r="C2728">
        <v>2023</v>
      </c>
      <c r="D2728" t="s">
        <v>3457</v>
      </c>
      <c r="E2728" t="s">
        <v>2760</v>
      </c>
      <c r="F2728" t="s">
        <v>2761</v>
      </c>
      <c r="G2728" t="s">
        <v>2762</v>
      </c>
      <c r="H2728" t="s">
        <v>4936</v>
      </c>
    </row>
    <row r="2729" spans="2:8" x14ac:dyDescent="0.25">
      <c r="B2729" t="s">
        <v>3393</v>
      </c>
      <c r="C2729">
        <v>2023</v>
      </c>
      <c r="D2729" t="s">
        <v>3457</v>
      </c>
      <c r="E2729" t="s">
        <v>2760</v>
      </c>
      <c r="F2729" t="s">
        <v>2761</v>
      </c>
      <c r="G2729" t="s">
        <v>2763</v>
      </c>
      <c r="H2729" t="s">
        <v>4318</v>
      </c>
    </row>
    <row r="2730" spans="2:8" x14ac:dyDescent="0.25">
      <c r="B2730" t="s">
        <v>3393</v>
      </c>
      <c r="C2730">
        <v>2023</v>
      </c>
      <c r="D2730" t="s">
        <v>3457</v>
      </c>
      <c r="E2730" t="s">
        <v>2760</v>
      </c>
      <c r="F2730" t="s">
        <v>2761</v>
      </c>
      <c r="G2730" t="s">
        <v>2764</v>
      </c>
      <c r="H2730" t="s">
        <v>4937</v>
      </c>
    </row>
    <row r="2731" spans="2:8" x14ac:dyDescent="0.25">
      <c r="B2731" t="s">
        <v>3393</v>
      </c>
      <c r="C2731">
        <v>2023</v>
      </c>
      <c r="D2731" t="s">
        <v>3457</v>
      </c>
      <c r="E2731" t="s">
        <v>2760</v>
      </c>
      <c r="F2731" t="s">
        <v>2761</v>
      </c>
      <c r="G2731" t="s">
        <v>2765</v>
      </c>
      <c r="H2731" t="s">
        <v>4938</v>
      </c>
    </row>
    <row r="2732" spans="2:8" x14ac:dyDescent="0.25">
      <c r="B2732" t="s">
        <v>3393</v>
      </c>
      <c r="C2732">
        <v>2023</v>
      </c>
      <c r="D2732" t="s">
        <v>3457</v>
      </c>
      <c r="E2732" t="s">
        <v>2760</v>
      </c>
      <c r="F2732" t="s">
        <v>2761</v>
      </c>
      <c r="G2732" t="s">
        <v>2766</v>
      </c>
      <c r="H2732" t="s">
        <v>4939</v>
      </c>
    </row>
    <row r="2733" spans="2:8" x14ac:dyDescent="0.25">
      <c r="B2733" t="s">
        <v>3393</v>
      </c>
      <c r="C2733">
        <v>2023</v>
      </c>
      <c r="D2733" t="s">
        <v>3457</v>
      </c>
      <c r="E2733" t="s">
        <v>2760</v>
      </c>
      <c r="F2733" t="s">
        <v>2761</v>
      </c>
      <c r="G2733" t="s">
        <v>2767</v>
      </c>
      <c r="H2733" t="s">
        <v>4248</v>
      </c>
    </row>
    <row r="2734" spans="2:8" x14ac:dyDescent="0.25">
      <c r="B2734" t="s">
        <v>3393</v>
      </c>
      <c r="C2734">
        <v>2023</v>
      </c>
      <c r="D2734" t="s">
        <v>3457</v>
      </c>
      <c r="E2734" t="s">
        <v>2760</v>
      </c>
      <c r="F2734" t="s">
        <v>2761</v>
      </c>
      <c r="G2734" t="s">
        <v>2768</v>
      </c>
      <c r="H2734" t="s">
        <v>1995</v>
      </c>
    </row>
    <row r="2735" spans="2:8" x14ac:dyDescent="0.25">
      <c r="B2735" t="s">
        <v>3393</v>
      </c>
      <c r="C2735">
        <v>2023</v>
      </c>
      <c r="D2735" t="s">
        <v>3457</v>
      </c>
      <c r="E2735" t="s">
        <v>2760</v>
      </c>
      <c r="F2735" t="s">
        <v>2761</v>
      </c>
      <c r="G2735" t="s">
        <v>2769</v>
      </c>
      <c r="H2735" t="s">
        <v>3335</v>
      </c>
    </row>
    <row r="2736" spans="2:8" x14ac:dyDescent="0.25">
      <c r="B2736" t="s">
        <v>3393</v>
      </c>
      <c r="C2736">
        <v>2023</v>
      </c>
      <c r="D2736" t="s">
        <v>3457</v>
      </c>
      <c r="E2736" t="s">
        <v>2760</v>
      </c>
      <c r="F2736" t="s">
        <v>2761</v>
      </c>
      <c r="G2736" t="s">
        <v>2770</v>
      </c>
      <c r="H2736" t="s">
        <v>4940</v>
      </c>
    </row>
    <row r="2737" spans="2:8" x14ac:dyDescent="0.25">
      <c r="B2737" t="s">
        <v>3393</v>
      </c>
      <c r="C2737">
        <v>2023</v>
      </c>
      <c r="D2737" t="s">
        <v>3457</v>
      </c>
      <c r="E2737" t="s">
        <v>2760</v>
      </c>
      <c r="F2737" t="s">
        <v>2761</v>
      </c>
      <c r="G2737" t="s">
        <v>2771</v>
      </c>
      <c r="H2737" t="s">
        <v>4941</v>
      </c>
    </row>
    <row r="2738" spans="2:8" x14ac:dyDescent="0.25">
      <c r="B2738" t="s">
        <v>3393</v>
      </c>
      <c r="C2738">
        <v>2023</v>
      </c>
      <c r="D2738" t="s">
        <v>3457</v>
      </c>
      <c r="E2738" t="s">
        <v>2760</v>
      </c>
      <c r="F2738" t="s">
        <v>2761</v>
      </c>
      <c r="G2738" t="s">
        <v>3005</v>
      </c>
      <c r="H2738" t="s">
        <v>4942</v>
      </c>
    </row>
    <row r="2739" spans="2:8" x14ac:dyDescent="0.25">
      <c r="B2739" t="s">
        <v>3393</v>
      </c>
      <c r="C2739">
        <v>2023</v>
      </c>
      <c r="D2739" t="s">
        <v>3457</v>
      </c>
      <c r="E2739" t="s">
        <v>2760</v>
      </c>
      <c r="F2739" t="s">
        <v>2761</v>
      </c>
      <c r="G2739" t="s">
        <v>3006</v>
      </c>
      <c r="H2739" t="s">
        <v>4943</v>
      </c>
    </row>
    <row r="2740" spans="2:8" x14ac:dyDescent="0.25">
      <c r="B2740" t="s">
        <v>3393</v>
      </c>
      <c r="C2740">
        <v>2023</v>
      </c>
      <c r="D2740" t="s">
        <v>3457</v>
      </c>
      <c r="E2740" t="s">
        <v>2760</v>
      </c>
      <c r="F2740" t="s">
        <v>2761</v>
      </c>
      <c r="G2740" t="s">
        <v>3007</v>
      </c>
      <c r="H2740" t="s">
        <v>4944</v>
      </c>
    </row>
    <row r="2741" spans="2:8" x14ac:dyDescent="0.25">
      <c r="B2741" t="s">
        <v>3393</v>
      </c>
      <c r="C2741">
        <v>2023</v>
      </c>
      <c r="D2741" t="s">
        <v>3457</v>
      </c>
      <c r="E2741" t="s">
        <v>2760</v>
      </c>
      <c r="F2741" t="s">
        <v>2761</v>
      </c>
      <c r="G2741" t="s">
        <v>3008</v>
      </c>
      <c r="H2741" t="s">
        <v>4945</v>
      </c>
    </row>
    <row r="2742" spans="2:8" x14ac:dyDescent="0.25">
      <c r="B2742" t="s">
        <v>3393</v>
      </c>
      <c r="C2742">
        <v>2023</v>
      </c>
      <c r="D2742" t="s">
        <v>3457</v>
      </c>
      <c r="E2742" t="s">
        <v>2760</v>
      </c>
      <c r="F2742" t="s">
        <v>2761</v>
      </c>
      <c r="G2742" t="s">
        <v>3009</v>
      </c>
      <c r="H2742" t="s">
        <v>4946</v>
      </c>
    </row>
    <row r="2743" spans="2:8" x14ac:dyDescent="0.25">
      <c r="B2743" t="s">
        <v>3393</v>
      </c>
      <c r="C2743">
        <v>2023</v>
      </c>
      <c r="D2743" t="s">
        <v>3457</v>
      </c>
      <c r="E2743" t="s">
        <v>2760</v>
      </c>
      <c r="F2743" t="s">
        <v>2761</v>
      </c>
      <c r="G2743" t="s">
        <v>2772</v>
      </c>
      <c r="H2743" t="s">
        <v>4947</v>
      </c>
    </row>
    <row r="2744" spans="2:8" x14ac:dyDescent="0.25">
      <c r="B2744" t="s">
        <v>3393</v>
      </c>
      <c r="C2744">
        <v>2023</v>
      </c>
      <c r="D2744" t="s">
        <v>3457</v>
      </c>
      <c r="E2744" t="s">
        <v>2760</v>
      </c>
      <c r="F2744" t="s">
        <v>2761</v>
      </c>
      <c r="G2744" t="s">
        <v>2773</v>
      </c>
      <c r="H2744" t="s">
        <v>4948</v>
      </c>
    </row>
    <row r="2745" spans="2:8" x14ac:dyDescent="0.25">
      <c r="B2745" t="s">
        <v>3393</v>
      </c>
      <c r="C2745">
        <v>2023</v>
      </c>
      <c r="D2745" t="s">
        <v>3457</v>
      </c>
      <c r="E2745" t="s">
        <v>2760</v>
      </c>
      <c r="F2745" t="s">
        <v>2761</v>
      </c>
      <c r="G2745" t="s">
        <v>2774</v>
      </c>
      <c r="H2745" t="s">
        <v>4949</v>
      </c>
    </row>
    <row r="2746" spans="2:8" x14ac:dyDescent="0.25">
      <c r="B2746" t="s">
        <v>3393</v>
      </c>
      <c r="C2746">
        <v>2023</v>
      </c>
      <c r="D2746" t="s">
        <v>3457</v>
      </c>
      <c r="E2746" t="s">
        <v>2760</v>
      </c>
      <c r="F2746" t="s">
        <v>2761</v>
      </c>
      <c r="G2746" t="s">
        <v>2775</v>
      </c>
      <c r="H2746" t="s">
        <v>4950</v>
      </c>
    </row>
    <row r="2747" spans="2:8" x14ac:dyDescent="0.25">
      <c r="B2747" t="s">
        <v>3393</v>
      </c>
      <c r="C2747">
        <v>2023</v>
      </c>
      <c r="D2747" t="s">
        <v>3457</v>
      </c>
      <c r="E2747" t="s">
        <v>2760</v>
      </c>
      <c r="F2747" t="s">
        <v>2761</v>
      </c>
      <c r="G2747" t="s">
        <v>2776</v>
      </c>
      <c r="H2747" t="s">
        <v>4951</v>
      </c>
    </row>
    <row r="2748" spans="2:8" x14ac:dyDescent="0.25">
      <c r="B2748" t="s">
        <v>3393</v>
      </c>
      <c r="C2748">
        <v>2023</v>
      </c>
      <c r="D2748" t="s">
        <v>3457</v>
      </c>
      <c r="E2748" t="s">
        <v>2760</v>
      </c>
      <c r="F2748" t="s">
        <v>2761</v>
      </c>
      <c r="G2748" t="s">
        <v>2777</v>
      </c>
      <c r="H2748" t="s">
        <v>3282</v>
      </c>
    </row>
    <row r="2749" spans="2:8" x14ac:dyDescent="0.25">
      <c r="B2749" t="s">
        <v>3393</v>
      </c>
      <c r="C2749">
        <v>2023</v>
      </c>
      <c r="D2749" t="s">
        <v>3457</v>
      </c>
      <c r="E2749" t="s">
        <v>2760</v>
      </c>
      <c r="F2749" t="s">
        <v>2761</v>
      </c>
      <c r="G2749" t="s">
        <v>2778</v>
      </c>
      <c r="H2749" t="s">
        <v>4952</v>
      </c>
    </row>
    <row r="2750" spans="2:8" x14ac:dyDescent="0.25">
      <c r="B2750" t="s">
        <v>3393</v>
      </c>
      <c r="C2750">
        <v>2023</v>
      </c>
      <c r="D2750" t="s">
        <v>3457</v>
      </c>
      <c r="E2750" t="s">
        <v>2760</v>
      </c>
      <c r="F2750" t="s">
        <v>2761</v>
      </c>
      <c r="G2750" t="s">
        <v>2779</v>
      </c>
      <c r="H2750" t="s">
        <v>4953</v>
      </c>
    </row>
    <row r="2751" spans="2:8" x14ac:dyDescent="0.25">
      <c r="B2751" t="s">
        <v>3393</v>
      </c>
      <c r="C2751">
        <v>2023</v>
      </c>
      <c r="D2751" t="s">
        <v>3457</v>
      </c>
      <c r="E2751" t="s">
        <v>2760</v>
      </c>
      <c r="F2751" t="s">
        <v>2761</v>
      </c>
      <c r="G2751" t="s">
        <v>2780</v>
      </c>
      <c r="H2751" t="s">
        <v>4954</v>
      </c>
    </row>
    <row r="2752" spans="2:8" x14ac:dyDescent="0.25">
      <c r="B2752" t="s">
        <v>3393</v>
      </c>
      <c r="C2752">
        <v>2023</v>
      </c>
      <c r="D2752" t="s">
        <v>3457</v>
      </c>
      <c r="E2752" t="s">
        <v>2760</v>
      </c>
      <c r="F2752" t="s">
        <v>2761</v>
      </c>
      <c r="G2752" t="s">
        <v>2781</v>
      </c>
      <c r="H2752" t="s">
        <v>4955</v>
      </c>
    </row>
    <row r="2753" spans="2:8" x14ac:dyDescent="0.25">
      <c r="B2753" t="s">
        <v>3393</v>
      </c>
      <c r="C2753">
        <v>2023</v>
      </c>
      <c r="D2753" t="s">
        <v>3457</v>
      </c>
      <c r="E2753" t="s">
        <v>2760</v>
      </c>
      <c r="F2753" t="s">
        <v>2761</v>
      </c>
      <c r="G2753" t="s">
        <v>2782</v>
      </c>
      <c r="H2753" t="s">
        <v>4956</v>
      </c>
    </row>
    <row r="2754" spans="2:8" x14ac:dyDescent="0.25">
      <c r="B2754" t="s">
        <v>3393</v>
      </c>
      <c r="C2754">
        <v>2023</v>
      </c>
      <c r="D2754" t="s">
        <v>3457</v>
      </c>
      <c r="E2754" t="s">
        <v>2760</v>
      </c>
      <c r="F2754" t="s">
        <v>2761</v>
      </c>
      <c r="G2754" t="s">
        <v>2783</v>
      </c>
      <c r="H2754" t="s">
        <v>4957</v>
      </c>
    </row>
    <row r="2755" spans="2:8" x14ac:dyDescent="0.25">
      <c r="B2755" t="s">
        <v>3393</v>
      </c>
      <c r="C2755">
        <v>2023</v>
      </c>
      <c r="D2755" t="s">
        <v>3457</v>
      </c>
      <c r="E2755" t="s">
        <v>2760</v>
      </c>
      <c r="F2755" t="s">
        <v>2761</v>
      </c>
      <c r="G2755" t="s">
        <v>2784</v>
      </c>
      <c r="H2755" t="s">
        <v>4958</v>
      </c>
    </row>
    <row r="2756" spans="2:8" x14ac:dyDescent="0.25">
      <c r="B2756" t="s">
        <v>3393</v>
      </c>
      <c r="C2756">
        <v>2023</v>
      </c>
      <c r="D2756" t="s">
        <v>3457</v>
      </c>
      <c r="E2756" t="s">
        <v>2760</v>
      </c>
      <c r="F2756" t="s">
        <v>2761</v>
      </c>
      <c r="G2756" t="s">
        <v>2785</v>
      </c>
      <c r="H2756" t="s">
        <v>4959</v>
      </c>
    </row>
    <row r="2757" spans="2:8" x14ac:dyDescent="0.25">
      <c r="B2757" t="s">
        <v>3393</v>
      </c>
      <c r="C2757">
        <v>2023</v>
      </c>
      <c r="D2757" t="s">
        <v>3457</v>
      </c>
      <c r="E2757" t="s">
        <v>2760</v>
      </c>
      <c r="F2757" t="s">
        <v>2761</v>
      </c>
      <c r="G2757" t="s">
        <v>2786</v>
      </c>
      <c r="H2757" t="s">
        <v>4960</v>
      </c>
    </row>
    <row r="2758" spans="2:8" x14ac:dyDescent="0.25">
      <c r="B2758" t="s">
        <v>3393</v>
      </c>
      <c r="C2758">
        <v>2023</v>
      </c>
      <c r="D2758" t="s">
        <v>3457</v>
      </c>
      <c r="E2758" t="s">
        <v>2760</v>
      </c>
      <c r="F2758" t="s">
        <v>2761</v>
      </c>
      <c r="G2758" t="s">
        <v>2787</v>
      </c>
      <c r="H2758" t="s">
        <v>4961</v>
      </c>
    </row>
    <row r="2759" spans="2:8" x14ac:dyDescent="0.25">
      <c r="B2759" t="s">
        <v>3393</v>
      </c>
      <c r="C2759">
        <v>2023</v>
      </c>
      <c r="D2759" t="s">
        <v>3457</v>
      </c>
      <c r="E2759" t="s">
        <v>2760</v>
      </c>
      <c r="F2759" t="s">
        <v>2761</v>
      </c>
      <c r="G2759" t="s">
        <v>2788</v>
      </c>
      <c r="H2759" t="s">
        <v>4962</v>
      </c>
    </row>
    <row r="2760" spans="2:8" x14ac:dyDescent="0.25">
      <c r="B2760" t="s">
        <v>3393</v>
      </c>
      <c r="C2760">
        <v>2023</v>
      </c>
      <c r="D2760" t="s">
        <v>3457</v>
      </c>
      <c r="E2760" t="s">
        <v>2760</v>
      </c>
      <c r="F2760" t="s">
        <v>2761</v>
      </c>
      <c r="G2760" t="s">
        <v>2789</v>
      </c>
      <c r="H2760" t="s">
        <v>4963</v>
      </c>
    </row>
    <row r="2761" spans="2:8" x14ac:dyDescent="0.25">
      <c r="B2761" t="s">
        <v>3393</v>
      </c>
      <c r="C2761">
        <v>2023</v>
      </c>
      <c r="D2761" t="s">
        <v>3457</v>
      </c>
      <c r="E2761" t="s">
        <v>2760</v>
      </c>
      <c r="F2761" t="s">
        <v>2761</v>
      </c>
      <c r="G2761" t="s">
        <v>2790</v>
      </c>
      <c r="H2761" t="s">
        <v>4964</v>
      </c>
    </row>
    <row r="2762" spans="2:8" x14ac:dyDescent="0.25">
      <c r="B2762" t="s">
        <v>3393</v>
      </c>
      <c r="C2762">
        <v>2023</v>
      </c>
      <c r="D2762" t="s">
        <v>3457</v>
      </c>
      <c r="E2762" t="s">
        <v>2760</v>
      </c>
      <c r="F2762" t="s">
        <v>2761</v>
      </c>
      <c r="G2762" t="s">
        <v>2791</v>
      </c>
      <c r="H2762" t="s">
        <v>4965</v>
      </c>
    </row>
    <row r="2763" spans="2:8" x14ac:dyDescent="0.25">
      <c r="B2763" t="s">
        <v>3393</v>
      </c>
      <c r="C2763">
        <v>2023</v>
      </c>
      <c r="D2763" t="s">
        <v>3457</v>
      </c>
      <c r="E2763" t="s">
        <v>2760</v>
      </c>
      <c r="F2763" t="s">
        <v>2761</v>
      </c>
      <c r="G2763" t="s">
        <v>2792</v>
      </c>
      <c r="H2763" t="s">
        <v>4966</v>
      </c>
    </row>
    <row r="2764" spans="2:8" x14ac:dyDescent="0.25">
      <c r="B2764" t="s">
        <v>3393</v>
      </c>
      <c r="C2764">
        <v>2023</v>
      </c>
      <c r="D2764" t="s">
        <v>3457</v>
      </c>
      <c r="E2764" t="s">
        <v>2760</v>
      </c>
      <c r="F2764" t="s">
        <v>2761</v>
      </c>
      <c r="G2764" t="s">
        <v>2793</v>
      </c>
      <c r="H2764" t="s">
        <v>4967</v>
      </c>
    </row>
    <row r="2765" spans="2:8" x14ac:dyDescent="0.25">
      <c r="B2765" t="s">
        <v>3393</v>
      </c>
      <c r="C2765">
        <v>2023</v>
      </c>
      <c r="D2765" t="s">
        <v>3457</v>
      </c>
      <c r="E2765" t="s">
        <v>2760</v>
      </c>
      <c r="F2765" t="s">
        <v>2761</v>
      </c>
      <c r="G2765" t="s">
        <v>2794</v>
      </c>
      <c r="H2765" t="s">
        <v>4968</v>
      </c>
    </row>
    <row r="2766" spans="2:8" x14ac:dyDescent="0.25">
      <c r="B2766" t="s">
        <v>3393</v>
      </c>
      <c r="C2766">
        <v>2023</v>
      </c>
      <c r="D2766" t="s">
        <v>3457</v>
      </c>
      <c r="E2766" t="s">
        <v>2760</v>
      </c>
      <c r="F2766" t="s">
        <v>2761</v>
      </c>
      <c r="G2766" t="s">
        <v>2795</v>
      </c>
      <c r="H2766" t="s">
        <v>4969</v>
      </c>
    </row>
    <row r="2767" spans="2:8" x14ac:dyDescent="0.25">
      <c r="B2767" t="s">
        <v>3393</v>
      </c>
      <c r="C2767">
        <v>2023</v>
      </c>
      <c r="D2767" t="s">
        <v>3457</v>
      </c>
      <c r="E2767" t="s">
        <v>2760</v>
      </c>
      <c r="F2767" t="s">
        <v>2761</v>
      </c>
      <c r="G2767" t="s">
        <v>2796</v>
      </c>
      <c r="H2767" t="s">
        <v>4970</v>
      </c>
    </row>
    <row r="2768" spans="2:8" x14ac:dyDescent="0.25">
      <c r="B2768" t="s">
        <v>3393</v>
      </c>
      <c r="C2768">
        <v>2023</v>
      </c>
      <c r="D2768" t="s">
        <v>3457</v>
      </c>
      <c r="E2768" t="s">
        <v>2760</v>
      </c>
      <c r="F2768" t="s">
        <v>2761</v>
      </c>
      <c r="G2768" t="s">
        <v>2797</v>
      </c>
      <c r="H2768" t="s">
        <v>4971</v>
      </c>
    </row>
    <row r="2769" spans="2:8" x14ac:dyDescent="0.25">
      <c r="B2769" t="s">
        <v>3393</v>
      </c>
      <c r="C2769">
        <v>2023</v>
      </c>
      <c r="D2769" t="s">
        <v>3457</v>
      </c>
      <c r="E2769" t="s">
        <v>2760</v>
      </c>
      <c r="F2769" t="s">
        <v>2761</v>
      </c>
      <c r="G2769" t="s">
        <v>2798</v>
      </c>
      <c r="H2769" t="s">
        <v>4972</v>
      </c>
    </row>
    <row r="2770" spans="2:8" x14ac:dyDescent="0.25">
      <c r="B2770" t="s">
        <v>3393</v>
      </c>
      <c r="C2770">
        <v>2023</v>
      </c>
      <c r="D2770" t="s">
        <v>3457</v>
      </c>
      <c r="E2770" t="s">
        <v>2760</v>
      </c>
      <c r="F2770" t="s">
        <v>2761</v>
      </c>
      <c r="G2770" t="s">
        <v>2799</v>
      </c>
      <c r="H2770" t="s">
        <v>4973</v>
      </c>
    </row>
    <row r="2771" spans="2:8" x14ac:dyDescent="0.25">
      <c r="B2771" t="s">
        <v>3393</v>
      </c>
      <c r="C2771">
        <v>2023</v>
      </c>
      <c r="D2771" t="s">
        <v>3457</v>
      </c>
      <c r="E2771" t="s">
        <v>2760</v>
      </c>
      <c r="F2771" t="s">
        <v>2761</v>
      </c>
      <c r="G2771" t="s">
        <v>2800</v>
      </c>
      <c r="H2771" t="s">
        <v>4974</v>
      </c>
    </row>
    <row r="2772" spans="2:8" x14ac:dyDescent="0.25">
      <c r="B2772" t="s">
        <v>3393</v>
      </c>
      <c r="C2772">
        <v>2023</v>
      </c>
      <c r="D2772" t="s">
        <v>3457</v>
      </c>
      <c r="E2772" t="s">
        <v>2760</v>
      </c>
      <c r="F2772" t="s">
        <v>2761</v>
      </c>
      <c r="G2772" t="s">
        <v>2801</v>
      </c>
      <c r="H2772" t="s">
        <v>4975</v>
      </c>
    </row>
    <row r="2773" spans="2:8" x14ac:dyDescent="0.25">
      <c r="B2773" t="s">
        <v>3393</v>
      </c>
      <c r="C2773">
        <v>2023</v>
      </c>
      <c r="D2773" t="s">
        <v>3457</v>
      </c>
      <c r="E2773" t="s">
        <v>2760</v>
      </c>
      <c r="F2773" t="s">
        <v>2761</v>
      </c>
      <c r="G2773" t="s">
        <v>2802</v>
      </c>
      <c r="H2773" t="s">
        <v>4976</v>
      </c>
    </row>
    <row r="2774" spans="2:8" x14ac:dyDescent="0.25">
      <c r="B2774" t="s">
        <v>3393</v>
      </c>
      <c r="C2774">
        <v>2023</v>
      </c>
      <c r="D2774" t="s">
        <v>3457</v>
      </c>
      <c r="E2774" t="s">
        <v>2760</v>
      </c>
      <c r="F2774" t="s">
        <v>2761</v>
      </c>
      <c r="G2774" t="s">
        <v>2803</v>
      </c>
      <c r="H2774" t="s">
        <v>3779</v>
      </c>
    </row>
    <row r="2775" spans="2:8" x14ac:dyDescent="0.25">
      <c r="B2775" t="s">
        <v>3393</v>
      </c>
      <c r="C2775">
        <v>2023</v>
      </c>
      <c r="D2775" t="s">
        <v>3457</v>
      </c>
      <c r="E2775" t="s">
        <v>2760</v>
      </c>
      <c r="F2775" t="s">
        <v>2761</v>
      </c>
      <c r="G2775" t="s">
        <v>2804</v>
      </c>
      <c r="H2775" t="s">
        <v>1993</v>
      </c>
    </row>
    <row r="2776" spans="2:8" x14ac:dyDescent="0.25">
      <c r="B2776" t="s">
        <v>3393</v>
      </c>
      <c r="C2776">
        <v>2023</v>
      </c>
      <c r="D2776" t="s">
        <v>3457</v>
      </c>
      <c r="E2776" t="s">
        <v>2760</v>
      </c>
      <c r="F2776" t="s">
        <v>2761</v>
      </c>
      <c r="G2776" t="s">
        <v>2805</v>
      </c>
      <c r="H2776" t="s">
        <v>4977</v>
      </c>
    </row>
    <row r="2777" spans="2:8" x14ac:dyDescent="0.25">
      <c r="B2777" t="s">
        <v>3393</v>
      </c>
      <c r="C2777">
        <v>2023</v>
      </c>
      <c r="D2777" t="s">
        <v>3457</v>
      </c>
      <c r="E2777" t="s">
        <v>2760</v>
      </c>
      <c r="F2777" t="s">
        <v>2761</v>
      </c>
      <c r="G2777" t="s">
        <v>2806</v>
      </c>
      <c r="H2777" t="s">
        <v>4977</v>
      </c>
    </row>
    <row r="2778" spans="2:8" x14ac:dyDescent="0.25">
      <c r="B2778" t="s">
        <v>3393</v>
      </c>
      <c r="C2778">
        <v>2023</v>
      </c>
      <c r="D2778" t="s">
        <v>3457</v>
      </c>
      <c r="E2778" t="s">
        <v>2760</v>
      </c>
      <c r="F2778" t="s">
        <v>2761</v>
      </c>
      <c r="G2778" t="s">
        <v>2807</v>
      </c>
      <c r="H2778" t="s">
        <v>4978</v>
      </c>
    </row>
    <row r="2779" spans="2:8" x14ac:dyDescent="0.25">
      <c r="B2779" t="s">
        <v>3393</v>
      </c>
      <c r="C2779">
        <v>2023</v>
      </c>
      <c r="D2779" t="s">
        <v>3457</v>
      </c>
      <c r="E2779" t="s">
        <v>2760</v>
      </c>
      <c r="F2779" t="s">
        <v>2761</v>
      </c>
      <c r="G2779" t="s">
        <v>2808</v>
      </c>
      <c r="H2779" t="s">
        <v>1993</v>
      </c>
    </row>
    <row r="2780" spans="2:8" x14ac:dyDescent="0.25">
      <c r="B2780" t="s">
        <v>3393</v>
      </c>
      <c r="C2780">
        <v>2023</v>
      </c>
      <c r="D2780" t="s">
        <v>3457</v>
      </c>
      <c r="E2780" t="s">
        <v>2760</v>
      </c>
      <c r="F2780" t="s">
        <v>2761</v>
      </c>
      <c r="G2780" t="s">
        <v>2809</v>
      </c>
      <c r="H2780" t="s">
        <v>4979</v>
      </c>
    </row>
    <row r="2781" spans="2:8" x14ac:dyDescent="0.25">
      <c r="B2781" t="s">
        <v>3393</v>
      </c>
      <c r="C2781">
        <v>2023</v>
      </c>
      <c r="D2781" t="s">
        <v>3457</v>
      </c>
      <c r="E2781" t="s">
        <v>2760</v>
      </c>
      <c r="F2781" t="s">
        <v>2761</v>
      </c>
      <c r="G2781" t="s">
        <v>2810</v>
      </c>
      <c r="H2781" t="s">
        <v>4979</v>
      </c>
    </row>
    <row r="2782" spans="2:8" x14ac:dyDescent="0.25">
      <c r="B2782" t="s">
        <v>3393</v>
      </c>
      <c r="C2782">
        <v>2023</v>
      </c>
      <c r="D2782" t="s">
        <v>3457</v>
      </c>
      <c r="E2782" t="s">
        <v>2760</v>
      </c>
      <c r="F2782" t="s">
        <v>2761</v>
      </c>
      <c r="G2782" t="s">
        <v>2811</v>
      </c>
      <c r="H2782" t="s">
        <v>4980</v>
      </c>
    </row>
    <row r="2783" spans="2:8" x14ac:dyDescent="0.25">
      <c r="B2783" t="s">
        <v>3393</v>
      </c>
      <c r="C2783">
        <v>2023</v>
      </c>
      <c r="D2783" t="s">
        <v>3457</v>
      </c>
      <c r="E2783" t="s">
        <v>2760</v>
      </c>
      <c r="F2783" t="s">
        <v>2761</v>
      </c>
      <c r="G2783" t="s">
        <v>3010</v>
      </c>
      <c r="H2783" t="s">
        <v>4981</v>
      </c>
    </row>
    <row r="2784" spans="2:8" x14ac:dyDescent="0.25">
      <c r="B2784" t="s">
        <v>3393</v>
      </c>
      <c r="C2784">
        <v>2023</v>
      </c>
      <c r="D2784" t="s">
        <v>3457</v>
      </c>
      <c r="E2784" t="s">
        <v>2760</v>
      </c>
      <c r="F2784" t="s">
        <v>2761</v>
      </c>
      <c r="G2784" t="s">
        <v>3011</v>
      </c>
      <c r="H2784" t="s">
        <v>4982</v>
      </c>
    </row>
    <row r="2785" spans="2:8" x14ac:dyDescent="0.25">
      <c r="B2785" t="s">
        <v>3393</v>
      </c>
      <c r="C2785">
        <v>2023</v>
      </c>
      <c r="D2785" t="s">
        <v>3457</v>
      </c>
      <c r="E2785" t="s">
        <v>2760</v>
      </c>
      <c r="F2785" t="s">
        <v>2761</v>
      </c>
      <c r="G2785" t="s">
        <v>3012</v>
      </c>
      <c r="H2785" t="s">
        <v>4983</v>
      </c>
    </row>
    <row r="2786" spans="2:8" x14ac:dyDescent="0.25">
      <c r="B2786" t="s">
        <v>3393</v>
      </c>
      <c r="C2786">
        <v>2023</v>
      </c>
      <c r="D2786" t="s">
        <v>3457</v>
      </c>
      <c r="E2786" t="s">
        <v>2760</v>
      </c>
      <c r="F2786" t="s">
        <v>2761</v>
      </c>
      <c r="G2786" t="s">
        <v>3013</v>
      </c>
      <c r="H2786" t="s">
        <v>4984</v>
      </c>
    </row>
    <row r="2787" spans="2:8" x14ac:dyDescent="0.25">
      <c r="B2787" t="s">
        <v>3393</v>
      </c>
      <c r="C2787">
        <v>2023</v>
      </c>
      <c r="D2787" t="s">
        <v>3457</v>
      </c>
      <c r="E2787" t="s">
        <v>2760</v>
      </c>
      <c r="F2787" t="s">
        <v>2761</v>
      </c>
      <c r="G2787" t="s">
        <v>3014</v>
      </c>
      <c r="H2787" t="s">
        <v>4985</v>
      </c>
    </row>
    <row r="2788" spans="2:8" x14ac:dyDescent="0.25">
      <c r="B2788" t="s">
        <v>3393</v>
      </c>
      <c r="C2788">
        <v>2023</v>
      </c>
      <c r="D2788" t="s">
        <v>3457</v>
      </c>
      <c r="E2788" t="s">
        <v>2760</v>
      </c>
      <c r="F2788" t="s">
        <v>2761</v>
      </c>
      <c r="G2788" t="s">
        <v>2812</v>
      </c>
      <c r="H2788" t="s">
        <v>4986</v>
      </c>
    </row>
    <row r="2789" spans="2:8" x14ac:dyDescent="0.25">
      <c r="B2789" t="s">
        <v>3393</v>
      </c>
      <c r="C2789">
        <v>2023</v>
      </c>
      <c r="D2789" t="s">
        <v>3457</v>
      </c>
      <c r="E2789" t="s">
        <v>2760</v>
      </c>
      <c r="F2789" t="s">
        <v>2761</v>
      </c>
      <c r="G2789" t="s">
        <v>2813</v>
      </c>
      <c r="H2789" t="s">
        <v>1993</v>
      </c>
    </row>
    <row r="2790" spans="2:8" x14ac:dyDescent="0.25">
      <c r="B2790" t="s">
        <v>3393</v>
      </c>
      <c r="C2790">
        <v>2023</v>
      </c>
      <c r="D2790" t="s">
        <v>3457</v>
      </c>
      <c r="E2790" t="s">
        <v>2760</v>
      </c>
      <c r="F2790" t="s">
        <v>2761</v>
      </c>
      <c r="G2790" t="s">
        <v>2814</v>
      </c>
      <c r="H2790" t="s">
        <v>4987</v>
      </c>
    </row>
    <row r="2791" spans="2:8" x14ac:dyDescent="0.25">
      <c r="B2791" t="s">
        <v>3393</v>
      </c>
      <c r="C2791">
        <v>2023</v>
      </c>
      <c r="D2791" t="s">
        <v>3457</v>
      </c>
      <c r="E2791" t="s">
        <v>2760</v>
      </c>
      <c r="F2791" t="s">
        <v>2761</v>
      </c>
      <c r="G2791" t="s">
        <v>2815</v>
      </c>
      <c r="H2791" t="s">
        <v>4987</v>
      </c>
    </row>
    <row r="2792" spans="2:8" x14ac:dyDescent="0.25">
      <c r="B2792" t="s">
        <v>3393</v>
      </c>
      <c r="C2792">
        <v>2023</v>
      </c>
      <c r="D2792" t="s">
        <v>3457</v>
      </c>
      <c r="E2792" t="s">
        <v>2760</v>
      </c>
      <c r="F2792" t="s">
        <v>2761</v>
      </c>
      <c r="G2792" t="s">
        <v>2816</v>
      </c>
      <c r="H2792" t="s">
        <v>4988</v>
      </c>
    </row>
    <row r="2793" spans="2:8" x14ac:dyDescent="0.25">
      <c r="B2793" t="s">
        <v>3393</v>
      </c>
      <c r="C2793">
        <v>2023</v>
      </c>
      <c r="D2793" t="s">
        <v>3457</v>
      </c>
      <c r="E2793" t="s">
        <v>2760</v>
      </c>
      <c r="F2793" t="s">
        <v>2761</v>
      </c>
      <c r="G2793" t="s">
        <v>2817</v>
      </c>
      <c r="H2793" t="s">
        <v>4989</v>
      </c>
    </row>
    <row r="2794" spans="2:8" x14ac:dyDescent="0.25">
      <c r="B2794" t="s">
        <v>3393</v>
      </c>
      <c r="C2794">
        <v>2023</v>
      </c>
      <c r="D2794" t="s">
        <v>3457</v>
      </c>
      <c r="E2794" t="s">
        <v>2760</v>
      </c>
      <c r="F2794" t="s">
        <v>2761</v>
      </c>
      <c r="G2794" t="s">
        <v>2818</v>
      </c>
      <c r="H2794" t="s">
        <v>1993</v>
      </c>
    </row>
    <row r="2795" spans="2:8" x14ac:dyDescent="0.25">
      <c r="B2795" t="s">
        <v>3393</v>
      </c>
      <c r="C2795">
        <v>2023</v>
      </c>
      <c r="D2795" t="s">
        <v>3457</v>
      </c>
      <c r="E2795" t="s">
        <v>2760</v>
      </c>
      <c r="F2795" t="s">
        <v>2761</v>
      </c>
      <c r="G2795" t="s">
        <v>2819</v>
      </c>
      <c r="H2795" t="s">
        <v>4990</v>
      </c>
    </row>
    <row r="2796" spans="2:8" x14ac:dyDescent="0.25">
      <c r="B2796" t="s">
        <v>3393</v>
      </c>
      <c r="C2796">
        <v>2023</v>
      </c>
      <c r="D2796" t="s">
        <v>3457</v>
      </c>
      <c r="E2796" t="s">
        <v>2760</v>
      </c>
      <c r="F2796" t="s">
        <v>2761</v>
      </c>
      <c r="G2796" t="s">
        <v>2820</v>
      </c>
      <c r="H2796" t="s">
        <v>4990</v>
      </c>
    </row>
    <row r="2797" spans="2:8" x14ac:dyDescent="0.25">
      <c r="B2797" t="s">
        <v>3393</v>
      </c>
      <c r="C2797">
        <v>2023</v>
      </c>
      <c r="D2797" t="s">
        <v>3457</v>
      </c>
      <c r="E2797" t="s">
        <v>2760</v>
      </c>
      <c r="F2797" t="s">
        <v>2761</v>
      </c>
      <c r="G2797" t="s">
        <v>2821</v>
      </c>
      <c r="H2797" t="s">
        <v>4678</v>
      </c>
    </row>
    <row r="2798" spans="2:8" x14ac:dyDescent="0.25">
      <c r="B2798" t="s">
        <v>3393</v>
      </c>
      <c r="C2798">
        <v>2023</v>
      </c>
      <c r="D2798" t="s">
        <v>3457</v>
      </c>
      <c r="E2798" t="s">
        <v>2760</v>
      </c>
      <c r="F2798" t="s">
        <v>2761</v>
      </c>
      <c r="G2798" t="s">
        <v>3017</v>
      </c>
      <c r="H2798" t="s">
        <v>4991</v>
      </c>
    </row>
    <row r="2799" spans="2:8" x14ac:dyDescent="0.25">
      <c r="B2799" t="s">
        <v>3393</v>
      </c>
      <c r="C2799">
        <v>2023</v>
      </c>
      <c r="D2799" t="s">
        <v>3457</v>
      </c>
      <c r="E2799" t="s">
        <v>2760</v>
      </c>
      <c r="F2799" t="s">
        <v>2761</v>
      </c>
      <c r="G2799" t="s">
        <v>3018</v>
      </c>
      <c r="H2799" t="s">
        <v>4992</v>
      </c>
    </row>
    <row r="2800" spans="2:8" x14ac:dyDescent="0.25">
      <c r="B2800" t="s">
        <v>3393</v>
      </c>
      <c r="C2800">
        <v>2023</v>
      </c>
      <c r="D2800" t="s">
        <v>3457</v>
      </c>
      <c r="E2800" t="s">
        <v>2760</v>
      </c>
      <c r="F2800" t="s">
        <v>2761</v>
      </c>
      <c r="G2800" t="s">
        <v>3019</v>
      </c>
      <c r="H2800" t="s">
        <v>4993</v>
      </c>
    </row>
    <row r="2801" spans="2:8" x14ac:dyDescent="0.25">
      <c r="B2801" t="s">
        <v>3393</v>
      </c>
      <c r="C2801">
        <v>2023</v>
      </c>
      <c r="D2801" t="s">
        <v>3457</v>
      </c>
      <c r="E2801" t="s">
        <v>2760</v>
      </c>
      <c r="F2801" t="s">
        <v>2761</v>
      </c>
      <c r="G2801" t="s">
        <v>3020</v>
      </c>
      <c r="H2801" t="s">
        <v>4994</v>
      </c>
    </row>
    <row r="2802" spans="2:8" x14ac:dyDescent="0.25">
      <c r="B2802" t="s">
        <v>3393</v>
      </c>
      <c r="C2802">
        <v>2023</v>
      </c>
      <c r="D2802" t="s">
        <v>3457</v>
      </c>
      <c r="E2802" t="s">
        <v>2760</v>
      </c>
      <c r="F2802" t="s">
        <v>2761</v>
      </c>
      <c r="G2802" t="s">
        <v>3021</v>
      </c>
      <c r="H2802" t="s">
        <v>4995</v>
      </c>
    </row>
    <row r="2803" spans="2:8" x14ac:dyDescent="0.25">
      <c r="B2803" t="s">
        <v>3393</v>
      </c>
      <c r="C2803">
        <v>2023</v>
      </c>
      <c r="D2803" t="s">
        <v>3457</v>
      </c>
      <c r="E2803" t="s">
        <v>2760</v>
      </c>
      <c r="F2803" t="s">
        <v>2761</v>
      </c>
      <c r="G2803" t="s">
        <v>3022</v>
      </c>
      <c r="H2803" t="s">
        <v>4996</v>
      </c>
    </row>
    <row r="2804" spans="2:8" x14ac:dyDescent="0.25">
      <c r="B2804" t="s">
        <v>3393</v>
      </c>
      <c r="C2804">
        <v>2023</v>
      </c>
      <c r="D2804" t="s">
        <v>3457</v>
      </c>
      <c r="E2804" t="s">
        <v>2760</v>
      </c>
      <c r="F2804" t="s">
        <v>2761</v>
      </c>
      <c r="G2804" t="s">
        <v>3023</v>
      </c>
      <c r="H2804" t="s">
        <v>1993</v>
      </c>
    </row>
    <row r="2805" spans="2:8" x14ac:dyDescent="0.25">
      <c r="B2805" t="s">
        <v>3393</v>
      </c>
      <c r="C2805">
        <v>2023</v>
      </c>
      <c r="D2805" t="s">
        <v>3457</v>
      </c>
      <c r="E2805" t="s">
        <v>2760</v>
      </c>
      <c r="F2805" t="s">
        <v>2761</v>
      </c>
      <c r="G2805" t="s">
        <v>3024</v>
      </c>
      <c r="H2805" t="s">
        <v>4997</v>
      </c>
    </row>
    <row r="2806" spans="2:8" x14ac:dyDescent="0.25">
      <c r="B2806" t="s">
        <v>3393</v>
      </c>
      <c r="C2806">
        <v>2023</v>
      </c>
      <c r="D2806" t="s">
        <v>3457</v>
      </c>
      <c r="E2806" t="s">
        <v>2760</v>
      </c>
      <c r="F2806" t="s">
        <v>2761</v>
      </c>
      <c r="G2806" t="s">
        <v>3025</v>
      </c>
      <c r="H2806" t="s">
        <v>4997</v>
      </c>
    </row>
    <row r="2807" spans="2:8" x14ac:dyDescent="0.25">
      <c r="B2807" t="s">
        <v>3393</v>
      </c>
      <c r="C2807">
        <v>2023</v>
      </c>
      <c r="D2807" t="s">
        <v>3457</v>
      </c>
      <c r="E2807" t="s">
        <v>2760</v>
      </c>
      <c r="F2807" t="s">
        <v>2761</v>
      </c>
      <c r="G2807" t="s">
        <v>3026</v>
      </c>
      <c r="H2807" t="s">
        <v>4998</v>
      </c>
    </row>
    <row r="2808" spans="2:8" x14ac:dyDescent="0.25">
      <c r="B2808" t="s">
        <v>3393</v>
      </c>
      <c r="C2808">
        <v>2023</v>
      </c>
      <c r="D2808" t="s">
        <v>3457</v>
      </c>
      <c r="E2808" t="s">
        <v>2760</v>
      </c>
      <c r="F2808" t="s">
        <v>2761</v>
      </c>
      <c r="G2808" t="s">
        <v>3027</v>
      </c>
      <c r="H2808" t="s">
        <v>4999</v>
      </c>
    </row>
    <row r="2809" spans="2:8" x14ac:dyDescent="0.25">
      <c r="B2809" t="s">
        <v>3393</v>
      </c>
      <c r="C2809">
        <v>2023</v>
      </c>
      <c r="D2809" t="s">
        <v>3457</v>
      </c>
      <c r="E2809" t="s">
        <v>2760</v>
      </c>
      <c r="F2809" t="s">
        <v>2761</v>
      </c>
      <c r="G2809" t="s">
        <v>3028</v>
      </c>
      <c r="H2809" t="s">
        <v>5000</v>
      </c>
    </row>
    <row r="2810" spans="2:8" x14ac:dyDescent="0.25">
      <c r="B2810" t="s">
        <v>3393</v>
      </c>
      <c r="C2810">
        <v>2023</v>
      </c>
      <c r="D2810" t="s">
        <v>3457</v>
      </c>
      <c r="E2810" t="s">
        <v>2760</v>
      </c>
      <c r="F2810" t="s">
        <v>2761</v>
      </c>
      <c r="G2810" t="s">
        <v>3029</v>
      </c>
      <c r="H2810" t="s">
        <v>5001</v>
      </c>
    </row>
    <row r="2811" spans="2:8" x14ac:dyDescent="0.25">
      <c r="B2811" t="s">
        <v>3393</v>
      </c>
      <c r="C2811">
        <v>2023</v>
      </c>
      <c r="D2811" t="s">
        <v>3457</v>
      </c>
      <c r="E2811" t="s">
        <v>2760</v>
      </c>
      <c r="F2811" t="s">
        <v>2761</v>
      </c>
      <c r="G2811" t="s">
        <v>3030</v>
      </c>
      <c r="H2811" t="s">
        <v>5002</v>
      </c>
    </row>
    <row r="2812" spans="2:8" x14ac:dyDescent="0.25">
      <c r="B2812" t="s">
        <v>3393</v>
      </c>
      <c r="C2812">
        <v>2023</v>
      </c>
      <c r="D2812" t="s">
        <v>3457</v>
      </c>
      <c r="E2812" t="s">
        <v>2760</v>
      </c>
      <c r="F2812" t="s">
        <v>2761</v>
      </c>
      <c r="G2812" t="s">
        <v>3031</v>
      </c>
      <c r="H2812" t="s">
        <v>5003</v>
      </c>
    </row>
    <row r="2813" spans="2:8" x14ac:dyDescent="0.25">
      <c r="B2813" t="s">
        <v>3393</v>
      </c>
      <c r="C2813">
        <v>2023</v>
      </c>
      <c r="D2813" t="s">
        <v>3457</v>
      </c>
      <c r="E2813" t="s">
        <v>2760</v>
      </c>
      <c r="F2813" t="s">
        <v>2761</v>
      </c>
      <c r="G2813" t="s">
        <v>2822</v>
      </c>
      <c r="H2813" t="s">
        <v>5004</v>
      </c>
    </row>
    <row r="2814" spans="2:8" x14ac:dyDescent="0.25">
      <c r="B2814" t="s">
        <v>3393</v>
      </c>
      <c r="C2814">
        <v>2023</v>
      </c>
      <c r="D2814" t="s">
        <v>3457</v>
      </c>
      <c r="E2814" t="s">
        <v>2760</v>
      </c>
      <c r="F2814" t="s">
        <v>2761</v>
      </c>
      <c r="G2814" t="s">
        <v>2823</v>
      </c>
      <c r="H2814" t="s">
        <v>1993</v>
      </c>
    </row>
    <row r="2815" spans="2:8" x14ac:dyDescent="0.25">
      <c r="B2815" t="s">
        <v>3393</v>
      </c>
      <c r="C2815">
        <v>2023</v>
      </c>
      <c r="D2815" t="s">
        <v>3457</v>
      </c>
      <c r="E2815" t="s">
        <v>2760</v>
      </c>
      <c r="F2815" t="s">
        <v>2761</v>
      </c>
      <c r="G2815" t="s">
        <v>2824</v>
      </c>
      <c r="H2815" t="s">
        <v>5005</v>
      </c>
    </row>
    <row r="2816" spans="2:8" x14ac:dyDescent="0.25">
      <c r="B2816" t="s">
        <v>3393</v>
      </c>
      <c r="C2816">
        <v>2023</v>
      </c>
      <c r="D2816" t="s">
        <v>3457</v>
      </c>
      <c r="E2816" t="s">
        <v>2760</v>
      </c>
      <c r="F2816" t="s">
        <v>2761</v>
      </c>
      <c r="G2816" t="s">
        <v>2825</v>
      </c>
      <c r="H2816" t="s">
        <v>5006</v>
      </c>
    </row>
    <row r="2817" spans="2:8" x14ac:dyDescent="0.25">
      <c r="B2817" t="s">
        <v>3393</v>
      </c>
      <c r="C2817">
        <v>2023</v>
      </c>
      <c r="D2817" t="s">
        <v>3457</v>
      </c>
      <c r="E2817" t="s">
        <v>2760</v>
      </c>
      <c r="F2817" t="s">
        <v>2761</v>
      </c>
      <c r="G2817" t="s">
        <v>2826</v>
      </c>
      <c r="H2817" t="s">
        <v>5007</v>
      </c>
    </row>
    <row r="2818" spans="2:8" x14ac:dyDescent="0.25">
      <c r="B2818" t="s">
        <v>3393</v>
      </c>
      <c r="C2818">
        <v>2023</v>
      </c>
      <c r="D2818" t="s">
        <v>3457</v>
      </c>
      <c r="E2818" t="s">
        <v>2760</v>
      </c>
      <c r="F2818" t="s">
        <v>2761</v>
      </c>
      <c r="G2818" t="s">
        <v>2832</v>
      </c>
      <c r="H2818" t="s">
        <v>5008</v>
      </c>
    </row>
    <row r="2819" spans="2:8" x14ac:dyDescent="0.25">
      <c r="B2819" t="s">
        <v>3393</v>
      </c>
      <c r="C2819">
        <v>2023</v>
      </c>
      <c r="D2819" t="s">
        <v>3457</v>
      </c>
      <c r="E2819" t="s">
        <v>2760</v>
      </c>
      <c r="F2819" t="s">
        <v>2761</v>
      </c>
      <c r="G2819" t="s">
        <v>2833</v>
      </c>
      <c r="H2819" t="s">
        <v>3390</v>
      </c>
    </row>
    <row r="2820" spans="2:8" x14ac:dyDescent="0.25">
      <c r="B2820" t="s">
        <v>3393</v>
      </c>
      <c r="C2820">
        <v>2023</v>
      </c>
      <c r="D2820" t="s">
        <v>3457</v>
      </c>
      <c r="E2820" t="s">
        <v>2760</v>
      </c>
      <c r="F2820" t="s">
        <v>2761</v>
      </c>
      <c r="G2820" t="s">
        <v>2834</v>
      </c>
      <c r="H2820" t="s">
        <v>5009</v>
      </c>
    </row>
    <row r="2821" spans="2:8" x14ac:dyDescent="0.25">
      <c r="B2821" t="s">
        <v>3393</v>
      </c>
      <c r="C2821">
        <v>2023</v>
      </c>
      <c r="D2821" t="s">
        <v>3457</v>
      </c>
      <c r="E2821" t="s">
        <v>2760</v>
      </c>
      <c r="F2821" t="s">
        <v>2761</v>
      </c>
      <c r="G2821" t="s">
        <v>2835</v>
      </c>
      <c r="H2821" t="s">
        <v>5010</v>
      </c>
    </row>
    <row r="2822" spans="2:8" x14ac:dyDescent="0.25">
      <c r="B2822" t="s">
        <v>3393</v>
      </c>
      <c r="C2822">
        <v>2023</v>
      </c>
      <c r="D2822" t="s">
        <v>3457</v>
      </c>
      <c r="E2822" t="s">
        <v>2760</v>
      </c>
      <c r="F2822" t="s">
        <v>2761</v>
      </c>
      <c r="G2822" t="s">
        <v>2836</v>
      </c>
      <c r="H2822" t="s">
        <v>5011</v>
      </c>
    </row>
    <row r="2823" spans="2:8" x14ac:dyDescent="0.25">
      <c r="B2823" t="s">
        <v>3393</v>
      </c>
      <c r="C2823">
        <v>2023</v>
      </c>
      <c r="D2823" t="s">
        <v>3457</v>
      </c>
      <c r="E2823" t="s">
        <v>2760</v>
      </c>
      <c r="F2823" t="s">
        <v>2761</v>
      </c>
      <c r="G2823" t="s">
        <v>2837</v>
      </c>
      <c r="H2823" t="s">
        <v>5012</v>
      </c>
    </row>
    <row r="2824" spans="2:8" x14ac:dyDescent="0.25">
      <c r="B2824" t="s">
        <v>3393</v>
      </c>
      <c r="C2824">
        <v>2023</v>
      </c>
      <c r="D2824" t="s">
        <v>3457</v>
      </c>
      <c r="E2824" t="s">
        <v>2760</v>
      </c>
      <c r="F2824" t="s">
        <v>2761</v>
      </c>
      <c r="G2824" t="s">
        <v>2838</v>
      </c>
      <c r="H2824" t="s">
        <v>5013</v>
      </c>
    </row>
    <row r="2825" spans="2:8" x14ac:dyDescent="0.25">
      <c r="B2825" t="s">
        <v>3393</v>
      </c>
      <c r="C2825">
        <v>2023</v>
      </c>
      <c r="D2825" t="s">
        <v>3457</v>
      </c>
      <c r="E2825" t="s">
        <v>2760</v>
      </c>
      <c r="F2825" t="s">
        <v>2761</v>
      </c>
      <c r="G2825" t="s">
        <v>2839</v>
      </c>
      <c r="H2825" t="s">
        <v>5014</v>
      </c>
    </row>
    <row r="2826" spans="2:8" x14ac:dyDescent="0.25">
      <c r="B2826" t="s">
        <v>3393</v>
      </c>
      <c r="C2826">
        <v>2023</v>
      </c>
      <c r="D2826" t="s">
        <v>3457</v>
      </c>
      <c r="E2826" t="s">
        <v>2760</v>
      </c>
      <c r="F2826" t="s">
        <v>2761</v>
      </c>
      <c r="G2826" t="s">
        <v>2840</v>
      </c>
      <c r="H2826" t="s">
        <v>5015</v>
      </c>
    </row>
    <row r="2827" spans="2:8" x14ac:dyDescent="0.25">
      <c r="B2827" t="s">
        <v>3393</v>
      </c>
      <c r="C2827">
        <v>2023</v>
      </c>
      <c r="D2827" t="s">
        <v>3457</v>
      </c>
      <c r="E2827" t="s">
        <v>2760</v>
      </c>
      <c r="F2827" t="s">
        <v>2761</v>
      </c>
      <c r="G2827" t="s">
        <v>2841</v>
      </c>
      <c r="H2827" t="s">
        <v>5016</v>
      </c>
    </row>
    <row r="2828" spans="2:8" x14ac:dyDescent="0.25">
      <c r="B2828" t="s">
        <v>3393</v>
      </c>
      <c r="C2828">
        <v>2023</v>
      </c>
      <c r="D2828" t="s">
        <v>3457</v>
      </c>
      <c r="E2828" t="s">
        <v>2760</v>
      </c>
      <c r="F2828" t="s">
        <v>2761</v>
      </c>
      <c r="G2828" t="s">
        <v>2842</v>
      </c>
      <c r="H2828" t="s">
        <v>5017</v>
      </c>
    </row>
    <row r="2829" spans="2:8" x14ac:dyDescent="0.25">
      <c r="B2829" t="s">
        <v>3393</v>
      </c>
      <c r="C2829">
        <v>2023</v>
      </c>
      <c r="D2829" t="s">
        <v>3457</v>
      </c>
      <c r="E2829" t="s">
        <v>2760</v>
      </c>
      <c r="F2829" t="s">
        <v>2761</v>
      </c>
      <c r="G2829" t="s">
        <v>2843</v>
      </c>
      <c r="H2829" t="s">
        <v>5018</v>
      </c>
    </row>
    <row r="2830" spans="2:8" x14ac:dyDescent="0.25">
      <c r="B2830" t="s">
        <v>3393</v>
      </c>
      <c r="C2830">
        <v>2023</v>
      </c>
      <c r="D2830" t="s">
        <v>3457</v>
      </c>
      <c r="E2830" t="s">
        <v>2760</v>
      </c>
      <c r="F2830" t="s">
        <v>2761</v>
      </c>
      <c r="G2830" t="s">
        <v>2844</v>
      </c>
      <c r="H2830" t="s">
        <v>5019</v>
      </c>
    </row>
    <row r="2831" spans="2:8" x14ac:dyDescent="0.25">
      <c r="B2831" t="s">
        <v>3393</v>
      </c>
      <c r="C2831">
        <v>2023</v>
      </c>
      <c r="D2831" t="s">
        <v>3457</v>
      </c>
      <c r="E2831" t="s">
        <v>2760</v>
      </c>
      <c r="F2831" t="s">
        <v>2761</v>
      </c>
      <c r="G2831" t="s">
        <v>2845</v>
      </c>
      <c r="H2831" t="s">
        <v>5020</v>
      </c>
    </row>
    <row r="2832" spans="2:8" x14ac:dyDescent="0.25">
      <c r="B2832" t="s">
        <v>3393</v>
      </c>
      <c r="C2832">
        <v>2023</v>
      </c>
      <c r="D2832" t="s">
        <v>3457</v>
      </c>
      <c r="E2832" t="s">
        <v>2760</v>
      </c>
      <c r="F2832" t="s">
        <v>2761</v>
      </c>
      <c r="G2832" t="s">
        <v>2846</v>
      </c>
      <c r="H2832" t="s">
        <v>5021</v>
      </c>
    </row>
    <row r="2833" spans="2:8" x14ac:dyDescent="0.25">
      <c r="B2833" t="s">
        <v>3393</v>
      </c>
      <c r="C2833">
        <v>2023</v>
      </c>
      <c r="D2833" t="s">
        <v>3457</v>
      </c>
      <c r="E2833" t="s">
        <v>2847</v>
      </c>
      <c r="F2833" t="s">
        <v>2848</v>
      </c>
      <c r="G2833" t="s">
        <v>2849</v>
      </c>
      <c r="H2833" t="s">
        <v>5022</v>
      </c>
    </row>
    <row r="2834" spans="2:8" x14ac:dyDescent="0.25">
      <c r="B2834" t="s">
        <v>3393</v>
      </c>
      <c r="C2834">
        <v>2023</v>
      </c>
      <c r="D2834" t="s">
        <v>3457</v>
      </c>
      <c r="E2834" t="s">
        <v>2847</v>
      </c>
      <c r="F2834" t="s">
        <v>2848</v>
      </c>
      <c r="G2834" t="s">
        <v>2850</v>
      </c>
      <c r="H2834" t="s">
        <v>5023</v>
      </c>
    </row>
    <row r="2835" spans="2:8" x14ac:dyDescent="0.25">
      <c r="B2835" t="s">
        <v>3393</v>
      </c>
      <c r="C2835">
        <v>2023</v>
      </c>
      <c r="D2835" t="s">
        <v>3457</v>
      </c>
      <c r="E2835" t="s">
        <v>2851</v>
      </c>
      <c r="F2835" t="s">
        <v>2852</v>
      </c>
      <c r="G2835" t="s">
        <v>2853</v>
      </c>
      <c r="H2835" t="s">
        <v>5024</v>
      </c>
    </row>
    <row r="2836" spans="2:8" x14ac:dyDescent="0.25">
      <c r="B2836" t="s">
        <v>3393</v>
      </c>
      <c r="C2836">
        <v>2023</v>
      </c>
      <c r="D2836" t="s">
        <v>3457</v>
      </c>
      <c r="E2836" t="s">
        <v>2854</v>
      </c>
      <c r="F2836" t="s">
        <v>2855</v>
      </c>
      <c r="G2836" t="s">
        <v>2856</v>
      </c>
      <c r="H2836" t="s">
        <v>5025</v>
      </c>
    </row>
    <row r="2837" spans="2:8" x14ac:dyDescent="0.25">
      <c r="B2837" t="s">
        <v>3393</v>
      </c>
      <c r="C2837">
        <v>2023</v>
      </c>
      <c r="D2837" t="s">
        <v>3457</v>
      </c>
      <c r="E2837" t="s">
        <v>2857</v>
      </c>
      <c r="F2837" t="s">
        <v>2858</v>
      </c>
      <c r="G2837" t="s">
        <v>2859</v>
      </c>
      <c r="H2837" t="s">
        <v>5013</v>
      </c>
    </row>
    <row r="2838" spans="2:8" x14ac:dyDescent="0.25">
      <c r="B2838" t="s">
        <v>3393</v>
      </c>
      <c r="C2838">
        <v>2023</v>
      </c>
      <c r="D2838" t="s">
        <v>3457</v>
      </c>
      <c r="E2838" t="s">
        <v>2860</v>
      </c>
      <c r="F2838" t="s">
        <v>2861</v>
      </c>
      <c r="G2838" t="s">
        <v>2862</v>
      </c>
      <c r="H2838" t="s">
        <v>1993</v>
      </c>
    </row>
    <row r="2839" spans="2:8" x14ac:dyDescent="0.25">
      <c r="B2839" t="s">
        <v>3393</v>
      </c>
      <c r="C2839">
        <v>2023</v>
      </c>
      <c r="D2839" t="s">
        <v>3457</v>
      </c>
      <c r="E2839" t="s">
        <v>2860</v>
      </c>
      <c r="F2839" t="s">
        <v>2861</v>
      </c>
      <c r="G2839" t="s">
        <v>2863</v>
      </c>
      <c r="H2839" t="s">
        <v>5026</v>
      </c>
    </row>
    <row r="2840" spans="2:8" x14ac:dyDescent="0.25">
      <c r="B2840" t="s">
        <v>3393</v>
      </c>
      <c r="C2840">
        <v>2023</v>
      </c>
      <c r="D2840" t="s">
        <v>3457</v>
      </c>
      <c r="E2840" t="s">
        <v>3286</v>
      </c>
      <c r="F2840" t="s">
        <v>3287</v>
      </c>
      <c r="G2840" t="s">
        <v>3288</v>
      </c>
      <c r="H2840" t="s">
        <v>1993</v>
      </c>
    </row>
    <row r="2841" spans="2:8" x14ac:dyDescent="0.25">
      <c r="B2841" t="s">
        <v>3393</v>
      </c>
      <c r="C2841">
        <v>2023</v>
      </c>
      <c r="D2841" t="s">
        <v>3457</v>
      </c>
      <c r="E2841" t="s">
        <v>3286</v>
      </c>
      <c r="F2841" t="s">
        <v>3287</v>
      </c>
      <c r="G2841" t="s">
        <v>3312</v>
      </c>
      <c r="H2841" t="s">
        <v>5027</v>
      </c>
    </row>
    <row r="2842" spans="2:8" x14ac:dyDescent="0.25">
      <c r="B2842" t="s">
        <v>3393</v>
      </c>
      <c r="C2842">
        <v>2023</v>
      </c>
      <c r="D2842" t="s">
        <v>3457</v>
      </c>
      <c r="E2842" t="s">
        <v>2864</v>
      </c>
      <c r="F2842" t="s">
        <v>2865</v>
      </c>
      <c r="G2842" t="s">
        <v>3051</v>
      </c>
      <c r="H2842" t="s">
        <v>5028</v>
      </c>
    </row>
    <row r="2843" spans="2:8" x14ac:dyDescent="0.25">
      <c r="B2843" t="s">
        <v>3393</v>
      </c>
      <c r="C2843">
        <v>2023</v>
      </c>
      <c r="D2843" t="s">
        <v>3457</v>
      </c>
      <c r="E2843" t="s">
        <v>2864</v>
      </c>
      <c r="F2843" t="s">
        <v>2865</v>
      </c>
      <c r="G2843" t="s">
        <v>2866</v>
      </c>
      <c r="H2843" t="s">
        <v>5029</v>
      </c>
    </row>
    <row r="2844" spans="2:8" x14ac:dyDescent="0.25">
      <c r="B2844" t="s">
        <v>3393</v>
      </c>
      <c r="C2844">
        <v>2023</v>
      </c>
      <c r="D2844" t="s">
        <v>3457</v>
      </c>
      <c r="E2844" t="s">
        <v>2864</v>
      </c>
      <c r="F2844" t="s">
        <v>2865</v>
      </c>
      <c r="G2844" t="s">
        <v>2409</v>
      </c>
      <c r="H2844" t="s">
        <v>5030</v>
      </c>
    </row>
    <row r="2845" spans="2:8" x14ac:dyDescent="0.25">
      <c r="B2845" t="s">
        <v>3393</v>
      </c>
      <c r="C2845">
        <v>2023</v>
      </c>
      <c r="D2845" t="s">
        <v>3457</v>
      </c>
      <c r="E2845" t="s">
        <v>2868</v>
      </c>
      <c r="F2845" t="s">
        <v>2869</v>
      </c>
      <c r="G2845" t="s">
        <v>2870</v>
      </c>
      <c r="H2845" t="s">
        <v>3727</v>
      </c>
    </row>
    <row r="2846" spans="2:8" x14ac:dyDescent="0.25">
      <c r="B2846" t="s">
        <v>3393</v>
      </c>
      <c r="C2846">
        <v>2023</v>
      </c>
      <c r="D2846" t="s">
        <v>3457</v>
      </c>
      <c r="E2846" t="s">
        <v>2871</v>
      </c>
      <c r="F2846" t="s">
        <v>2872</v>
      </c>
      <c r="G2846" t="s">
        <v>2873</v>
      </c>
      <c r="H2846" t="s">
        <v>5031</v>
      </c>
    </row>
    <row r="2847" spans="2:8" x14ac:dyDescent="0.25">
      <c r="B2847" t="s">
        <v>3393</v>
      </c>
      <c r="C2847">
        <v>2023</v>
      </c>
      <c r="D2847" t="s">
        <v>3457</v>
      </c>
      <c r="E2847" t="s">
        <v>2871</v>
      </c>
      <c r="F2847" t="s">
        <v>2872</v>
      </c>
      <c r="G2847" t="s">
        <v>2874</v>
      </c>
      <c r="H2847" t="s">
        <v>5032</v>
      </c>
    </row>
    <row r="2848" spans="2:8" x14ac:dyDescent="0.25">
      <c r="B2848" t="s">
        <v>3393</v>
      </c>
      <c r="C2848">
        <v>2023</v>
      </c>
      <c r="D2848" t="s">
        <v>3457</v>
      </c>
      <c r="E2848" t="s">
        <v>2871</v>
      </c>
      <c r="F2848" t="s">
        <v>2872</v>
      </c>
      <c r="G2848" t="s">
        <v>2875</v>
      </c>
      <c r="H2848" t="s">
        <v>5033</v>
      </c>
    </row>
    <row r="2849" spans="2:8" x14ac:dyDescent="0.25">
      <c r="B2849" t="s">
        <v>3393</v>
      </c>
      <c r="C2849">
        <v>2023</v>
      </c>
      <c r="D2849" t="s">
        <v>3457</v>
      </c>
      <c r="E2849" t="s">
        <v>2871</v>
      </c>
      <c r="F2849" t="s">
        <v>2872</v>
      </c>
      <c r="G2849" t="s">
        <v>2876</v>
      </c>
      <c r="H2849" t="s">
        <v>5034</v>
      </c>
    </row>
    <row r="2850" spans="2:8" x14ac:dyDescent="0.25">
      <c r="B2850" t="s">
        <v>3393</v>
      </c>
      <c r="C2850">
        <v>2023</v>
      </c>
      <c r="D2850" t="s">
        <v>3457</v>
      </c>
      <c r="E2850" t="s">
        <v>2871</v>
      </c>
      <c r="F2850" t="s">
        <v>2872</v>
      </c>
      <c r="G2850" t="s">
        <v>2877</v>
      </c>
      <c r="H2850" t="s">
        <v>5035</v>
      </c>
    </row>
    <row r="2851" spans="2:8" x14ac:dyDescent="0.25">
      <c r="B2851" t="s">
        <v>3393</v>
      </c>
      <c r="C2851">
        <v>2023</v>
      </c>
      <c r="D2851" t="s">
        <v>3457</v>
      </c>
      <c r="E2851" t="s">
        <v>2871</v>
      </c>
      <c r="F2851" t="s">
        <v>2872</v>
      </c>
      <c r="G2851" t="s">
        <v>608</v>
      </c>
      <c r="H2851" t="s">
        <v>5036</v>
      </c>
    </row>
    <row r="2852" spans="2:8" x14ac:dyDescent="0.25">
      <c r="B2852" t="s">
        <v>3393</v>
      </c>
      <c r="C2852">
        <v>2023</v>
      </c>
      <c r="D2852" t="s">
        <v>3457</v>
      </c>
      <c r="E2852" t="s">
        <v>2878</v>
      </c>
      <c r="F2852" t="s">
        <v>2879</v>
      </c>
      <c r="G2852" t="s">
        <v>2880</v>
      </c>
      <c r="H2852" t="s">
        <v>5037</v>
      </c>
    </row>
    <row r="2853" spans="2:8" x14ac:dyDescent="0.25">
      <c r="B2853" t="s">
        <v>3393</v>
      </c>
      <c r="C2853">
        <v>2023</v>
      </c>
      <c r="D2853" t="s">
        <v>3457</v>
      </c>
      <c r="E2853" t="s">
        <v>2878</v>
      </c>
      <c r="F2853" t="s">
        <v>2879</v>
      </c>
      <c r="G2853" t="s">
        <v>2881</v>
      </c>
      <c r="H2853" t="s">
        <v>4724</v>
      </c>
    </row>
    <row r="2854" spans="2:8" x14ac:dyDescent="0.25">
      <c r="B2854" t="s">
        <v>3393</v>
      </c>
      <c r="C2854">
        <v>2023</v>
      </c>
      <c r="D2854" t="s">
        <v>3457</v>
      </c>
      <c r="E2854" t="s">
        <v>2878</v>
      </c>
      <c r="F2854" t="s">
        <v>2879</v>
      </c>
      <c r="G2854" t="s">
        <v>2882</v>
      </c>
      <c r="H2854" t="s">
        <v>5038</v>
      </c>
    </row>
    <row r="2855" spans="2:8" x14ac:dyDescent="0.25">
      <c r="B2855" t="s">
        <v>3393</v>
      </c>
      <c r="C2855">
        <v>2023</v>
      </c>
      <c r="D2855" t="s">
        <v>3457</v>
      </c>
      <c r="E2855" t="s">
        <v>2878</v>
      </c>
      <c r="F2855" t="s">
        <v>2879</v>
      </c>
      <c r="G2855" t="s">
        <v>281</v>
      </c>
      <c r="H2855" t="s">
        <v>5039</v>
      </c>
    </row>
    <row r="2856" spans="2:8" x14ac:dyDescent="0.25">
      <c r="B2856" t="s">
        <v>3393</v>
      </c>
      <c r="C2856">
        <v>2023</v>
      </c>
      <c r="D2856" t="s">
        <v>3457</v>
      </c>
      <c r="E2856" t="s">
        <v>2878</v>
      </c>
      <c r="F2856" t="s">
        <v>2879</v>
      </c>
      <c r="G2856" t="s">
        <v>2883</v>
      </c>
      <c r="H2856" t="s">
        <v>3274</v>
      </c>
    </row>
    <row r="2857" spans="2:8" x14ac:dyDescent="0.25">
      <c r="B2857" t="s">
        <v>3393</v>
      </c>
      <c r="C2857">
        <v>2023</v>
      </c>
      <c r="D2857" t="s">
        <v>3457</v>
      </c>
      <c r="E2857" t="s">
        <v>2878</v>
      </c>
      <c r="F2857" t="s">
        <v>2879</v>
      </c>
      <c r="G2857" t="s">
        <v>2884</v>
      </c>
      <c r="H2857" t="s">
        <v>5040</v>
      </c>
    </row>
    <row r="2858" spans="2:8" x14ac:dyDescent="0.25">
      <c r="B2858" t="s">
        <v>3393</v>
      </c>
      <c r="C2858">
        <v>2023</v>
      </c>
      <c r="D2858" t="s">
        <v>3457</v>
      </c>
      <c r="E2858" t="s">
        <v>2878</v>
      </c>
      <c r="F2858" t="s">
        <v>2879</v>
      </c>
      <c r="G2858" t="s">
        <v>2885</v>
      </c>
      <c r="H2858" t="s">
        <v>4882</v>
      </c>
    </row>
    <row r="2859" spans="2:8" x14ac:dyDescent="0.25">
      <c r="B2859" t="s">
        <v>3393</v>
      </c>
      <c r="C2859">
        <v>2023</v>
      </c>
      <c r="D2859" t="s">
        <v>3457</v>
      </c>
      <c r="E2859" t="s">
        <v>2886</v>
      </c>
      <c r="F2859" t="s">
        <v>2887</v>
      </c>
      <c r="G2859" t="s">
        <v>2888</v>
      </c>
      <c r="H2859" t="s">
        <v>5041</v>
      </c>
    </row>
    <row r="2860" spans="2:8" x14ac:dyDescent="0.25">
      <c r="B2860" t="s">
        <v>3393</v>
      </c>
      <c r="C2860">
        <v>2023</v>
      </c>
      <c r="D2860" t="s">
        <v>3457</v>
      </c>
      <c r="E2860" t="s">
        <v>2886</v>
      </c>
      <c r="F2860" t="s">
        <v>2887</v>
      </c>
      <c r="G2860" t="s">
        <v>2873</v>
      </c>
      <c r="H2860" t="s">
        <v>5042</v>
      </c>
    </row>
    <row r="2861" spans="2:8" x14ac:dyDescent="0.25">
      <c r="B2861" t="s">
        <v>3393</v>
      </c>
      <c r="C2861">
        <v>2023</v>
      </c>
      <c r="D2861" t="s">
        <v>3457</v>
      </c>
      <c r="E2861" t="s">
        <v>2886</v>
      </c>
      <c r="F2861" t="s">
        <v>2887</v>
      </c>
      <c r="G2861" t="s">
        <v>2874</v>
      </c>
      <c r="H2861" t="s">
        <v>5043</v>
      </c>
    </row>
    <row r="2862" spans="2:8" x14ac:dyDescent="0.25">
      <c r="B2862" t="s">
        <v>3393</v>
      </c>
      <c r="C2862">
        <v>2023</v>
      </c>
      <c r="D2862" t="s">
        <v>3457</v>
      </c>
      <c r="E2862" t="s">
        <v>2886</v>
      </c>
      <c r="F2862" t="s">
        <v>2887</v>
      </c>
      <c r="G2862" t="s">
        <v>2875</v>
      </c>
      <c r="H2862" t="s">
        <v>5044</v>
      </c>
    </row>
    <row r="2863" spans="2:8" x14ac:dyDescent="0.25">
      <c r="B2863" t="s">
        <v>3393</v>
      </c>
      <c r="C2863">
        <v>2023</v>
      </c>
      <c r="D2863" t="s">
        <v>3457</v>
      </c>
      <c r="E2863" t="s">
        <v>2886</v>
      </c>
      <c r="F2863" t="s">
        <v>2887</v>
      </c>
      <c r="G2863" t="s">
        <v>2876</v>
      </c>
      <c r="H2863" t="s">
        <v>5045</v>
      </c>
    </row>
    <row r="2864" spans="2:8" x14ac:dyDescent="0.25">
      <c r="B2864" t="s">
        <v>3393</v>
      </c>
      <c r="C2864">
        <v>2023</v>
      </c>
      <c r="D2864" t="s">
        <v>3457</v>
      </c>
      <c r="E2864" t="s">
        <v>2886</v>
      </c>
      <c r="F2864" t="s">
        <v>2887</v>
      </c>
      <c r="G2864" t="s">
        <v>2889</v>
      </c>
      <c r="H2864" t="s">
        <v>5046</v>
      </c>
    </row>
    <row r="2865" spans="2:8" x14ac:dyDescent="0.25">
      <c r="B2865" t="s">
        <v>3393</v>
      </c>
      <c r="C2865">
        <v>2023</v>
      </c>
      <c r="D2865" t="s">
        <v>3457</v>
      </c>
      <c r="E2865" t="s">
        <v>2886</v>
      </c>
      <c r="F2865" t="s">
        <v>2887</v>
      </c>
      <c r="G2865" t="s">
        <v>611</v>
      </c>
      <c r="H2865" t="s">
        <v>5047</v>
      </c>
    </row>
    <row r="2866" spans="2:8" x14ac:dyDescent="0.25">
      <c r="B2866" t="s">
        <v>3393</v>
      </c>
      <c r="C2866">
        <v>2023</v>
      </c>
      <c r="D2866" t="s">
        <v>3457</v>
      </c>
      <c r="E2866" t="s">
        <v>2890</v>
      </c>
      <c r="F2866" t="s">
        <v>2891</v>
      </c>
      <c r="G2866" t="s">
        <v>2892</v>
      </c>
      <c r="H2866" t="s">
        <v>5048</v>
      </c>
    </row>
    <row r="2867" spans="2:8" x14ac:dyDescent="0.25">
      <c r="B2867" t="s">
        <v>3393</v>
      </c>
      <c r="C2867">
        <v>2023</v>
      </c>
      <c r="D2867" t="s">
        <v>3457</v>
      </c>
      <c r="E2867" t="s">
        <v>2890</v>
      </c>
      <c r="F2867" t="s">
        <v>2891</v>
      </c>
      <c r="G2867" t="s">
        <v>2893</v>
      </c>
      <c r="H2867" t="s">
        <v>3745</v>
      </c>
    </row>
    <row r="2868" spans="2:8" x14ac:dyDescent="0.25">
      <c r="B2868" t="s">
        <v>3393</v>
      </c>
      <c r="C2868">
        <v>2023</v>
      </c>
      <c r="D2868" t="s">
        <v>3457</v>
      </c>
      <c r="E2868" t="s">
        <v>2894</v>
      </c>
      <c r="F2868" t="s">
        <v>2895</v>
      </c>
      <c r="G2868" t="s">
        <v>2896</v>
      </c>
      <c r="H2868" t="s">
        <v>5049</v>
      </c>
    </row>
    <row r="2869" spans="2:8" x14ac:dyDescent="0.25">
      <c r="B2869" t="s">
        <v>3393</v>
      </c>
      <c r="C2869">
        <v>2023</v>
      </c>
      <c r="D2869" t="s">
        <v>3457</v>
      </c>
      <c r="E2869" t="s">
        <v>2894</v>
      </c>
      <c r="F2869" t="s">
        <v>2895</v>
      </c>
      <c r="G2869" t="s">
        <v>2897</v>
      </c>
      <c r="H2869" t="s">
        <v>3267</v>
      </c>
    </row>
    <row r="2870" spans="2:8" x14ac:dyDescent="0.25">
      <c r="B2870" t="s">
        <v>3393</v>
      </c>
      <c r="C2870">
        <v>2023</v>
      </c>
      <c r="D2870" t="s">
        <v>3457</v>
      </c>
      <c r="E2870" t="s">
        <v>2894</v>
      </c>
      <c r="F2870" t="s">
        <v>2895</v>
      </c>
      <c r="G2870" t="s">
        <v>2898</v>
      </c>
      <c r="H2870" t="s">
        <v>5050</v>
      </c>
    </row>
    <row r="2871" spans="2:8" x14ac:dyDescent="0.25">
      <c r="B2871" t="s">
        <v>3393</v>
      </c>
      <c r="C2871">
        <v>2023</v>
      </c>
      <c r="D2871" t="s">
        <v>3457</v>
      </c>
      <c r="E2871" t="s">
        <v>2894</v>
      </c>
      <c r="F2871" t="s">
        <v>2895</v>
      </c>
      <c r="G2871" t="s">
        <v>2899</v>
      </c>
      <c r="H2871" t="s">
        <v>5051</v>
      </c>
    </row>
    <row r="2872" spans="2:8" x14ac:dyDescent="0.25">
      <c r="B2872" t="s">
        <v>3393</v>
      </c>
      <c r="C2872">
        <v>2023</v>
      </c>
      <c r="D2872" t="s">
        <v>3457</v>
      </c>
      <c r="E2872" t="s">
        <v>2894</v>
      </c>
      <c r="F2872" t="s">
        <v>2895</v>
      </c>
      <c r="G2872" t="s">
        <v>2900</v>
      </c>
      <c r="H2872" t="s">
        <v>2661</v>
      </c>
    </row>
    <row r="2873" spans="2:8" x14ac:dyDescent="0.25">
      <c r="B2873" t="s">
        <v>3393</v>
      </c>
      <c r="C2873">
        <v>2023</v>
      </c>
      <c r="D2873" t="s">
        <v>3457</v>
      </c>
      <c r="E2873" t="s">
        <v>2894</v>
      </c>
      <c r="F2873" t="s">
        <v>2895</v>
      </c>
      <c r="G2873" t="s">
        <v>2901</v>
      </c>
      <c r="H2873" t="s">
        <v>4909</v>
      </c>
    </row>
    <row r="2874" spans="2:8" x14ac:dyDescent="0.25">
      <c r="B2874" t="s">
        <v>3393</v>
      </c>
      <c r="C2874">
        <v>2023</v>
      </c>
      <c r="D2874" t="s">
        <v>3457</v>
      </c>
      <c r="E2874" t="s">
        <v>2894</v>
      </c>
      <c r="F2874" t="s">
        <v>2895</v>
      </c>
      <c r="G2874" t="s">
        <v>2902</v>
      </c>
      <c r="H2874" t="s">
        <v>3420</v>
      </c>
    </row>
    <row r="2875" spans="2:8" x14ac:dyDescent="0.25">
      <c r="B2875" t="s">
        <v>3393</v>
      </c>
      <c r="C2875">
        <v>2023</v>
      </c>
      <c r="D2875" t="s">
        <v>3457</v>
      </c>
      <c r="E2875" t="s">
        <v>2894</v>
      </c>
      <c r="F2875" t="s">
        <v>2895</v>
      </c>
      <c r="G2875" t="s">
        <v>2903</v>
      </c>
      <c r="H2875" t="s">
        <v>5052</v>
      </c>
    </row>
    <row r="2876" spans="2:8" x14ac:dyDescent="0.25">
      <c r="B2876" t="s">
        <v>3393</v>
      </c>
      <c r="C2876">
        <v>2023</v>
      </c>
      <c r="D2876" t="s">
        <v>3457</v>
      </c>
      <c r="E2876" t="s">
        <v>2894</v>
      </c>
      <c r="F2876" t="s">
        <v>2895</v>
      </c>
      <c r="G2876" t="s">
        <v>2904</v>
      </c>
      <c r="H2876" t="s">
        <v>5053</v>
      </c>
    </row>
    <row r="2877" spans="2:8" x14ac:dyDescent="0.25">
      <c r="B2877" t="s">
        <v>3393</v>
      </c>
      <c r="C2877">
        <v>2023</v>
      </c>
      <c r="D2877" t="s">
        <v>3457</v>
      </c>
      <c r="E2877" t="s">
        <v>2894</v>
      </c>
      <c r="F2877" t="s">
        <v>2895</v>
      </c>
      <c r="G2877" t="s">
        <v>2905</v>
      </c>
      <c r="H2877" t="s">
        <v>5054</v>
      </c>
    </row>
    <row r="2878" spans="2:8" x14ac:dyDescent="0.25">
      <c r="B2878" t="s">
        <v>3393</v>
      </c>
      <c r="C2878">
        <v>2023</v>
      </c>
      <c r="D2878" t="s">
        <v>3457</v>
      </c>
      <c r="E2878" t="s">
        <v>2894</v>
      </c>
      <c r="F2878" t="s">
        <v>2895</v>
      </c>
      <c r="G2878" t="s">
        <v>2906</v>
      </c>
      <c r="H2878" t="s">
        <v>4594</v>
      </c>
    </row>
    <row r="2879" spans="2:8" x14ac:dyDescent="0.25">
      <c r="B2879" t="s">
        <v>3393</v>
      </c>
      <c r="C2879">
        <v>2023</v>
      </c>
      <c r="D2879" t="s">
        <v>3457</v>
      </c>
      <c r="E2879" t="s">
        <v>2894</v>
      </c>
      <c r="F2879" t="s">
        <v>2895</v>
      </c>
      <c r="G2879" t="s">
        <v>2907</v>
      </c>
      <c r="H2879" t="s">
        <v>5055</v>
      </c>
    </row>
    <row r="2880" spans="2:8" x14ac:dyDescent="0.25">
      <c r="B2880" t="s">
        <v>3393</v>
      </c>
      <c r="C2880">
        <v>2023</v>
      </c>
      <c r="D2880" t="s">
        <v>3457</v>
      </c>
      <c r="E2880" t="s">
        <v>2894</v>
      </c>
      <c r="F2880" t="s">
        <v>2895</v>
      </c>
      <c r="G2880" t="s">
        <v>2908</v>
      </c>
      <c r="H2880" t="s">
        <v>3327</v>
      </c>
    </row>
    <row r="2881" spans="2:8" x14ac:dyDescent="0.25">
      <c r="B2881" t="s">
        <v>3393</v>
      </c>
      <c r="C2881">
        <v>2023</v>
      </c>
      <c r="D2881" t="s">
        <v>3457</v>
      </c>
      <c r="E2881" t="s">
        <v>2894</v>
      </c>
      <c r="F2881" t="s">
        <v>2895</v>
      </c>
      <c r="G2881" t="s">
        <v>2909</v>
      </c>
      <c r="H2881" t="s">
        <v>3694</v>
      </c>
    </row>
    <row r="2882" spans="2:8" x14ac:dyDescent="0.25">
      <c r="B2882" t="s">
        <v>3393</v>
      </c>
      <c r="C2882">
        <v>2023</v>
      </c>
      <c r="D2882" t="s">
        <v>3457</v>
      </c>
      <c r="E2882" t="s">
        <v>2894</v>
      </c>
      <c r="F2882" t="s">
        <v>2895</v>
      </c>
      <c r="G2882" t="s">
        <v>2910</v>
      </c>
      <c r="H2882" t="s">
        <v>5056</v>
      </c>
    </row>
    <row r="2883" spans="2:8" x14ac:dyDescent="0.25">
      <c r="B2883" t="s">
        <v>3393</v>
      </c>
      <c r="C2883">
        <v>2023</v>
      </c>
      <c r="D2883" t="s">
        <v>3457</v>
      </c>
      <c r="E2883" t="s">
        <v>2911</v>
      </c>
      <c r="F2883" t="s">
        <v>2912</v>
      </c>
      <c r="G2883" t="s">
        <v>113</v>
      </c>
      <c r="H2883" t="s">
        <v>4907</v>
      </c>
    </row>
    <row r="2884" spans="2:8" x14ac:dyDescent="0.25">
      <c r="B2884" t="s">
        <v>3393</v>
      </c>
      <c r="C2884">
        <v>2023</v>
      </c>
      <c r="D2884" t="s">
        <v>3457</v>
      </c>
      <c r="E2884" t="s">
        <v>2911</v>
      </c>
      <c r="F2884" t="s">
        <v>2912</v>
      </c>
      <c r="G2884" t="s">
        <v>2913</v>
      </c>
      <c r="H2884" t="s">
        <v>2914</v>
      </c>
    </row>
    <row r="2885" spans="2:8" x14ac:dyDescent="0.25">
      <c r="B2885" t="s">
        <v>3393</v>
      </c>
      <c r="C2885">
        <v>2023</v>
      </c>
      <c r="D2885" t="s">
        <v>3457</v>
      </c>
      <c r="E2885" t="s">
        <v>2911</v>
      </c>
      <c r="F2885" t="s">
        <v>2912</v>
      </c>
      <c r="G2885" t="s">
        <v>890</v>
      </c>
      <c r="H2885" t="s">
        <v>5057</v>
      </c>
    </row>
    <row r="2886" spans="2:8" x14ac:dyDescent="0.25">
      <c r="B2886" t="s">
        <v>3393</v>
      </c>
      <c r="C2886">
        <v>2023</v>
      </c>
      <c r="D2886" t="s">
        <v>3457</v>
      </c>
      <c r="E2886" t="s">
        <v>2911</v>
      </c>
      <c r="F2886" t="s">
        <v>2912</v>
      </c>
      <c r="G2886" t="s">
        <v>892</v>
      </c>
      <c r="H2886" t="s">
        <v>5058</v>
      </c>
    </row>
    <row r="2887" spans="2:8" x14ac:dyDescent="0.25">
      <c r="B2887" t="s">
        <v>3393</v>
      </c>
      <c r="C2887">
        <v>2023</v>
      </c>
      <c r="D2887" t="s">
        <v>3457</v>
      </c>
      <c r="E2887" t="s">
        <v>2911</v>
      </c>
      <c r="F2887" t="s">
        <v>2912</v>
      </c>
      <c r="G2887" t="s">
        <v>891</v>
      </c>
      <c r="H2887" t="s">
        <v>5059</v>
      </c>
    </row>
    <row r="2888" spans="2:8" x14ac:dyDescent="0.25">
      <c r="B2888" t="s">
        <v>3393</v>
      </c>
      <c r="C2888">
        <v>2023</v>
      </c>
      <c r="D2888" t="s">
        <v>3457</v>
      </c>
      <c r="E2888" t="s">
        <v>2911</v>
      </c>
      <c r="F2888" t="s">
        <v>2912</v>
      </c>
      <c r="G2888" t="s">
        <v>115</v>
      </c>
      <c r="H2888" t="s">
        <v>5060</v>
      </c>
    </row>
    <row r="2889" spans="2:8" x14ac:dyDescent="0.25">
      <c r="B2889" t="s">
        <v>3393</v>
      </c>
      <c r="C2889">
        <v>2023</v>
      </c>
      <c r="D2889" t="s">
        <v>3457</v>
      </c>
      <c r="E2889" t="s">
        <v>2911</v>
      </c>
      <c r="F2889" t="s">
        <v>2912</v>
      </c>
      <c r="G2889" t="s">
        <v>888</v>
      </c>
      <c r="H2889" t="s">
        <v>1993</v>
      </c>
    </row>
    <row r="2890" spans="2:8" x14ac:dyDescent="0.25">
      <c r="B2890" t="s">
        <v>3393</v>
      </c>
      <c r="C2890">
        <v>2023</v>
      </c>
      <c r="D2890" t="s">
        <v>3457</v>
      </c>
      <c r="E2890" t="s">
        <v>2911</v>
      </c>
      <c r="F2890" t="s">
        <v>2912</v>
      </c>
      <c r="G2890" t="s">
        <v>182</v>
      </c>
      <c r="H2890" t="s">
        <v>5061</v>
      </c>
    </row>
    <row r="2891" spans="2:8" x14ac:dyDescent="0.25">
      <c r="B2891" t="s">
        <v>3393</v>
      </c>
      <c r="C2891">
        <v>2023</v>
      </c>
      <c r="D2891" t="s">
        <v>3457</v>
      </c>
      <c r="E2891" t="s">
        <v>2915</v>
      </c>
      <c r="F2891" t="s">
        <v>2916</v>
      </c>
      <c r="G2891" t="s">
        <v>113</v>
      </c>
      <c r="H2891" t="s">
        <v>1993</v>
      </c>
    </row>
    <row r="2892" spans="2:8" x14ac:dyDescent="0.25">
      <c r="B2892" t="s">
        <v>3393</v>
      </c>
      <c r="C2892">
        <v>2023</v>
      </c>
      <c r="D2892" t="s">
        <v>3457</v>
      </c>
      <c r="E2892" t="s">
        <v>2915</v>
      </c>
      <c r="F2892" t="s">
        <v>2916</v>
      </c>
      <c r="G2892" t="s">
        <v>2913</v>
      </c>
      <c r="H2892" t="s">
        <v>2914</v>
      </c>
    </row>
    <row r="2893" spans="2:8" x14ac:dyDescent="0.25">
      <c r="B2893" t="s">
        <v>3393</v>
      </c>
      <c r="C2893">
        <v>2023</v>
      </c>
      <c r="D2893" t="s">
        <v>3457</v>
      </c>
      <c r="E2893" t="s">
        <v>2915</v>
      </c>
      <c r="F2893" t="s">
        <v>2916</v>
      </c>
      <c r="G2893" t="s">
        <v>890</v>
      </c>
      <c r="H2893" t="s">
        <v>5062</v>
      </c>
    </row>
    <row r="2894" spans="2:8" x14ac:dyDescent="0.25">
      <c r="B2894" t="s">
        <v>3393</v>
      </c>
      <c r="C2894">
        <v>2023</v>
      </c>
      <c r="D2894" t="s">
        <v>3457</v>
      </c>
      <c r="E2894" t="s">
        <v>2915</v>
      </c>
      <c r="F2894" t="s">
        <v>2916</v>
      </c>
      <c r="G2894" t="s">
        <v>892</v>
      </c>
      <c r="H2894" t="s">
        <v>5063</v>
      </c>
    </row>
    <row r="2895" spans="2:8" x14ac:dyDescent="0.25">
      <c r="B2895" t="s">
        <v>3393</v>
      </c>
      <c r="C2895">
        <v>2023</v>
      </c>
      <c r="D2895" t="s">
        <v>3457</v>
      </c>
      <c r="E2895" t="s">
        <v>2915</v>
      </c>
      <c r="F2895" t="s">
        <v>2916</v>
      </c>
      <c r="G2895" t="s">
        <v>891</v>
      </c>
      <c r="H2895" t="s">
        <v>5064</v>
      </c>
    </row>
    <row r="2896" spans="2:8" x14ac:dyDescent="0.25">
      <c r="B2896" t="s">
        <v>3393</v>
      </c>
      <c r="C2896">
        <v>2023</v>
      </c>
      <c r="D2896" t="s">
        <v>3457</v>
      </c>
      <c r="E2896" t="s">
        <v>2915</v>
      </c>
      <c r="F2896" t="s">
        <v>2916</v>
      </c>
      <c r="G2896" t="s">
        <v>115</v>
      </c>
      <c r="H2896" t="s">
        <v>5065</v>
      </c>
    </row>
    <row r="2897" spans="2:8" x14ac:dyDescent="0.25">
      <c r="B2897" t="s">
        <v>3393</v>
      </c>
      <c r="C2897">
        <v>2023</v>
      </c>
      <c r="D2897" t="s">
        <v>3457</v>
      </c>
      <c r="E2897" t="s">
        <v>2915</v>
      </c>
      <c r="F2897" t="s">
        <v>2916</v>
      </c>
      <c r="G2897" t="s">
        <v>888</v>
      </c>
      <c r="H2897" t="s">
        <v>5066</v>
      </c>
    </row>
    <row r="2898" spans="2:8" x14ac:dyDescent="0.25">
      <c r="B2898" t="s">
        <v>3393</v>
      </c>
      <c r="C2898">
        <v>2023</v>
      </c>
      <c r="D2898" t="s">
        <v>3457</v>
      </c>
      <c r="E2898" t="s">
        <v>2915</v>
      </c>
      <c r="F2898" t="s">
        <v>2916</v>
      </c>
      <c r="G2898" t="s">
        <v>182</v>
      </c>
      <c r="H2898" t="s">
        <v>5067</v>
      </c>
    </row>
    <row r="2899" spans="2:8" x14ac:dyDescent="0.25">
      <c r="B2899" t="s">
        <v>3393</v>
      </c>
      <c r="C2899">
        <v>2023</v>
      </c>
      <c r="D2899" t="s">
        <v>3457</v>
      </c>
      <c r="E2899" t="s">
        <v>2917</v>
      </c>
      <c r="F2899" t="s">
        <v>2918</v>
      </c>
      <c r="G2899" t="s">
        <v>2919</v>
      </c>
      <c r="H2899" t="s">
        <v>5068</v>
      </c>
    </row>
    <row r="2900" spans="2:8" x14ac:dyDescent="0.25">
      <c r="B2900" t="s">
        <v>3393</v>
      </c>
      <c r="C2900">
        <v>2023</v>
      </c>
      <c r="D2900" t="s">
        <v>3457</v>
      </c>
      <c r="E2900" t="s">
        <v>2917</v>
      </c>
      <c r="F2900" t="s">
        <v>2918</v>
      </c>
      <c r="G2900" t="s">
        <v>2920</v>
      </c>
      <c r="H2900" t="s">
        <v>3114</v>
      </c>
    </row>
    <row r="2901" spans="2:8" x14ac:dyDescent="0.25">
      <c r="B2901" t="s">
        <v>3393</v>
      </c>
      <c r="C2901">
        <v>2023</v>
      </c>
      <c r="D2901" t="s">
        <v>3457</v>
      </c>
      <c r="E2901" t="s">
        <v>2917</v>
      </c>
      <c r="F2901" t="s">
        <v>2918</v>
      </c>
      <c r="G2901" t="s">
        <v>719</v>
      </c>
      <c r="H2901" t="s">
        <v>3511</v>
      </c>
    </row>
    <row r="2902" spans="2:8" x14ac:dyDescent="0.25">
      <c r="B2902" t="s">
        <v>3393</v>
      </c>
      <c r="C2902">
        <v>2023</v>
      </c>
      <c r="D2902" t="s">
        <v>3457</v>
      </c>
      <c r="E2902" t="s">
        <v>2917</v>
      </c>
      <c r="F2902" t="s">
        <v>2918</v>
      </c>
      <c r="G2902" t="s">
        <v>2921</v>
      </c>
      <c r="H2902" t="s">
        <v>3319</v>
      </c>
    </row>
    <row r="2903" spans="2:8" x14ac:dyDescent="0.25">
      <c r="B2903" t="s">
        <v>3393</v>
      </c>
      <c r="C2903">
        <v>2023</v>
      </c>
      <c r="D2903" t="s">
        <v>3457</v>
      </c>
      <c r="E2903" t="s">
        <v>2917</v>
      </c>
      <c r="F2903" t="s">
        <v>2918</v>
      </c>
      <c r="G2903" t="s">
        <v>2922</v>
      </c>
      <c r="H2903" t="s">
        <v>3270</v>
      </c>
    </row>
    <row r="2904" spans="2:8" x14ac:dyDescent="0.25">
      <c r="B2904" t="s">
        <v>3393</v>
      </c>
      <c r="C2904">
        <v>2023</v>
      </c>
      <c r="D2904" t="s">
        <v>3457</v>
      </c>
      <c r="E2904" t="s">
        <v>2917</v>
      </c>
      <c r="F2904" t="s">
        <v>2918</v>
      </c>
      <c r="G2904" t="s">
        <v>716</v>
      </c>
      <c r="H2904" t="s">
        <v>3773</v>
      </c>
    </row>
    <row r="2905" spans="2:8" x14ac:dyDescent="0.25">
      <c r="B2905" t="s">
        <v>3393</v>
      </c>
      <c r="C2905">
        <v>2023</v>
      </c>
      <c r="D2905" t="s">
        <v>3457</v>
      </c>
      <c r="E2905" t="s">
        <v>2917</v>
      </c>
      <c r="F2905" t="s">
        <v>2918</v>
      </c>
      <c r="G2905" t="s">
        <v>2923</v>
      </c>
      <c r="H2905" t="s">
        <v>3302</v>
      </c>
    </row>
    <row r="2906" spans="2:8" x14ac:dyDescent="0.25">
      <c r="B2906" t="s">
        <v>3393</v>
      </c>
      <c r="C2906">
        <v>2023</v>
      </c>
      <c r="D2906" t="s">
        <v>3457</v>
      </c>
      <c r="E2906" t="s">
        <v>2917</v>
      </c>
      <c r="F2906" t="s">
        <v>2918</v>
      </c>
      <c r="G2906" t="s">
        <v>2924</v>
      </c>
      <c r="H2906" t="s">
        <v>3782</v>
      </c>
    </row>
    <row r="2907" spans="2:8" x14ac:dyDescent="0.25">
      <c r="B2907" t="s">
        <v>3393</v>
      </c>
      <c r="C2907">
        <v>2023</v>
      </c>
      <c r="D2907" t="s">
        <v>3457</v>
      </c>
      <c r="E2907" t="s">
        <v>2917</v>
      </c>
      <c r="F2907" t="s">
        <v>2918</v>
      </c>
      <c r="G2907" t="s">
        <v>720</v>
      </c>
      <c r="H2907" t="s">
        <v>4678</v>
      </c>
    </row>
    <row r="2908" spans="2:8" x14ac:dyDescent="0.25">
      <c r="B2908" t="s">
        <v>3393</v>
      </c>
      <c r="C2908">
        <v>2023</v>
      </c>
      <c r="D2908" t="s">
        <v>3457</v>
      </c>
      <c r="E2908" t="s">
        <v>2925</v>
      </c>
      <c r="F2908" t="s">
        <v>2926</v>
      </c>
      <c r="G2908" t="s">
        <v>3051</v>
      </c>
      <c r="H2908" t="s">
        <v>5069</v>
      </c>
    </row>
    <row r="2909" spans="2:8" x14ac:dyDescent="0.25">
      <c r="B2909" t="s">
        <v>3393</v>
      </c>
      <c r="C2909">
        <v>2023</v>
      </c>
      <c r="D2909" t="s">
        <v>3457</v>
      </c>
      <c r="E2909" t="s">
        <v>2925</v>
      </c>
      <c r="F2909" t="s">
        <v>2926</v>
      </c>
      <c r="G2909" t="s">
        <v>2866</v>
      </c>
      <c r="H2909" t="s">
        <v>5070</v>
      </c>
    </row>
    <row r="2910" spans="2:8" x14ac:dyDescent="0.25">
      <c r="B2910" t="s">
        <v>3393</v>
      </c>
      <c r="C2910">
        <v>2023</v>
      </c>
      <c r="D2910" t="s">
        <v>3457</v>
      </c>
      <c r="E2910" t="s">
        <v>2925</v>
      </c>
      <c r="F2910" t="s">
        <v>2926</v>
      </c>
      <c r="G2910" t="s">
        <v>2409</v>
      </c>
      <c r="H2910" t="s">
        <v>5071</v>
      </c>
    </row>
    <row r="2911" spans="2:8" x14ac:dyDescent="0.25">
      <c r="B2911" t="s">
        <v>3393</v>
      </c>
      <c r="C2911">
        <v>2023</v>
      </c>
      <c r="D2911" t="s">
        <v>3457</v>
      </c>
      <c r="E2911" t="s">
        <v>2927</v>
      </c>
      <c r="F2911" t="s">
        <v>2928</v>
      </c>
      <c r="G2911" t="s">
        <v>724</v>
      </c>
      <c r="H2911" t="s">
        <v>5072</v>
      </c>
    </row>
    <row r="2912" spans="2:8" x14ac:dyDescent="0.25">
      <c r="B2912" t="s">
        <v>3393</v>
      </c>
      <c r="C2912">
        <v>2023</v>
      </c>
      <c r="D2912" t="s">
        <v>3457</v>
      </c>
      <c r="E2912" t="s">
        <v>2927</v>
      </c>
      <c r="F2912" t="s">
        <v>2928</v>
      </c>
      <c r="G2912" t="s">
        <v>2929</v>
      </c>
      <c r="H2912" t="s">
        <v>5073</v>
      </c>
    </row>
    <row r="2913" spans="2:8" x14ac:dyDescent="0.25">
      <c r="B2913" t="s">
        <v>3393</v>
      </c>
      <c r="C2913">
        <v>2023</v>
      </c>
      <c r="D2913" t="s">
        <v>3457</v>
      </c>
      <c r="E2913" t="s">
        <v>2927</v>
      </c>
      <c r="F2913" t="s">
        <v>2928</v>
      </c>
      <c r="G2913" t="s">
        <v>2930</v>
      </c>
      <c r="H2913" t="s">
        <v>3529</v>
      </c>
    </row>
    <row r="2914" spans="2:8" x14ac:dyDescent="0.25">
      <c r="B2914" t="s">
        <v>3393</v>
      </c>
      <c r="C2914">
        <v>2023</v>
      </c>
      <c r="D2914" t="s">
        <v>3457</v>
      </c>
      <c r="E2914" t="s">
        <v>2927</v>
      </c>
      <c r="F2914" t="s">
        <v>2928</v>
      </c>
      <c r="G2914" t="s">
        <v>727</v>
      </c>
      <c r="H2914" t="s">
        <v>2021</v>
      </c>
    </row>
    <row r="2915" spans="2:8" x14ac:dyDescent="0.25">
      <c r="B2915" t="s">
        <v>3393</v>
      </c>
      <c r="C2915">
        <v>2023</v>
      </c>
      <c r="D2915" t="s">
        <v>3457</v>
      </c>
      <c r="E2915" t="s">
        <v>2931</v>
      </c>
      <c r="F2915" t="s">
        <v>2544</v>
      </c>
      <c r="G2915" t="s">
        <v>2932</v>
      </c>
      <c r="H2915" t="s">
        <v>2748</v>
      </c>
    </row>
    <row r="2916" spans="2:8" x14ac:dyDescent="0.25">
      <c r="B2916" t="s">
        <v>3393</v>
      </c>
      <c r="C2916">
        <v>2023</v>
      </c>
      <c r="D2916" t="s">
        <v>3457</v>
      </c>
      <c r="E2916" t="s">
        <v>2931</v>
      </c>
      <c r="F2916" t="s">
        <v>2544</v>
      </c>
      <c r="G2916" t="s">
        <v>2545</v>
      </c>
      <c r="H2916" t="s">
        <v>2109</v>
      </c>
    </row>
    <row r="2917" spans="2:8" x14ac:dyDescent="0.25">
      <c r="B2917" t="s">
        <v>3393</v>
      </c>
      <c r="C2917">
        <v>2023</v>
      </c>
      <c r="D2917" t="s">
        <v>3457</v>
      </c>
      <c r="E2917" t="s">
        <v>2931</v>
      </c>
      <c r="F2917" t="s">
        <v>2544</v>
      </c>
      <c r="G2917" t="s">
        <v>2933</v>
      </c>
      <c r="H2917" t="s">
        <v>5074</v>
      </c>
    </row>
    <row r="2918" spans="2:8" x14ac:dyDescent="0.25">
      <c r="B2918" t="s">
        <v>3393</v>
      </c>
      <c r="C2918">
        <v>2023</v>
      </c>
      <c r="D2918" t="s">
        <v>3457</v>
      </c>
      <c r="E2918" t="s">
        <v>2931</v>
      </c>
      <c r="F2918" t="s">
        <v>2544</v>
      </c>
      <c r="G2918" t="s">
        <v>714</v>
      </c>
      <c r="H2918" t="s">
        <v>4838</v>
      </c>
    </row>
    <row r="2919" spans="2:8" x14ac:dyDescent="0.25">
      <c r="B2919" t="s">
        <v>3393</v>
      </c>
      <c r="C2919">
        <v>2023</v>
      </c>
      <c r="D2919" t="s">
        <v>3457</v>
      </c>
      <c r="E2919" t="s">
        <v>2931</v>
      </c>
      <c r="F2919" t="s">
        <v>2544</v>
      </c>
      <c r="G2919" t="s">
        <v>2934</v>
      </c>
      <c r="H2919" t="s">
        <v>2748</v>
      </c>
    </row>
    <row r="2920" spans="2:8" x14ac:dyDescent="0.25">
      <c r="B2920" t="s">
        <v>3393</v>
      </c>
      <c r="C2920">
        <v>2023</v>
      </c>
      <c r="D2920" t="s">
        <v>3457</v>
      </c>
      <c r="E2920" t="s">
        <v>2931</v>
      </c>
      <c r="F2920" t="s">
        <v>2544</v>
      </c>
      <c r="G2920" t="s">
        <v>2935</v>
      </c>
      <c r="H2920" t="s">
        <v>5075</v>
      </c>
    </row>
    <row r="2921" spans="2:8" x14ac:dyDescent="0.25">
      <c r="B2921" t="s">
        <v>3393</v>
      </c>
      <c r="C2921">
        <v>2023</v>
      </c>
      <c r="D2921" t="s">
        <v>3457</v>
      </c>
      <c r="E2921" t="s">
        <v>2936</v>
      </c>
      <c r="F2921" t="s">
        <v>2937</v>
      </c>
      <c r="G2921" t="s">
        <v>2938</v>
      </c>
      <c r="H2921" t="s">
        <v>4770</v>
      </c>
    </row>
    <row r="2922" spans="2:8" x14ac:dyDescent="0.25">
      <c r="B2922" t="s">
        <v>3393</v>
      </c>
      <c r="C2922">
        <v>2023</v>
      </c>
      <c r="D2922" t="s">
        <v>3457</v>
      </c>
      <c r="E2922" t="s">
        <v>2936</v>
      </c>
      <c r="F2922" t="s">
        <v>2937</v>
      </c>
      <c r="G2922" t="s">
        <v>2939</v>
      </c>
      <c r="H2922" t="s">
        <v>3782</v>
      </c>
    </row>
    <row r="2923" spans="2:8" x14ac:dyDescent="0.25">
      <c r="B2923" t="s">
        <v>3393</v>
      </c>
      <c r="C2923">
        <v>2023</v>
      </c>
      <c r="D2923" t="s">
        <v>3457</v>
      </c>
      <c r="E2923" t="s">
        <v>2941</v>
      </c>
      <c r="F2923" t="s">
        <v>2942</v>
      </c>
      <c r="G2923" t="s">
        <v>2943</v>
      </c>
      <c r="H2923" t="s">
        <v>4596</v>
      </c>
    </row>
    <row r="2924" spans="2:8" x14ac:dyDescent="0.25">
      <c r="B2924" t="s">
        <v>3393</v>
      </c>
      <c r="C2924">
        <v>2023</v>
      </c>
      <c r="D2924" t="s">
        <v>3457</v>
      </c>
      <c r="E2924" t="s">
        <v>2941</v>
      </c>
      <c r="F2924" t="s">
        <v>2942</v>
      </c>
      <c r="G2924" t="s">
        <v>2944</v>
      </c>
      <c r="H2924" t="s">
        <v>3002</v>
      </c>
    </row>
    <row r="2925" spans="2:8" x14ac:dyDescent="0.25">
      <c r="B2925" t="s">
        <v>3393</v>
      </c>
      <c r="C2925">
        <v>2023</v>
      </c>
      <c r="D2925" t="s">
        <v>3457</v>
      </c>
      <c r="E2925" t="s">
        <v>2945</v>
      </c>
      <c r="F2925" t="s">
        <v>2946</v>
      </c>
      <c r="G2925" t="s">
        <v>2245</v>
      </c>
      <c r="H2925" t="s">
        <v>2147</v>
      </c>
    </row>
    <row r="2926" spans="2:8" x14ac:dyDescent="0.25">
      <c r="B2926" t="s">
        <v>3393</v>
      </c>
      <c r="C2926">
        <v>2023</v>
      </c>
      <c r="D2926" t="s">
        <v>3457</v>
      </c>
      <c r="E2926" t="s">
        <v>2945</v>
      </c>
      <c r="F2926" t="s">
        <v>2946</v>
      </c>
      <c r="G2926" t="s">
        <v>2248</v>
      </c>
      <c r="H2926" t="s">
        <v>3419</v>
      </c>
    </row>
    <row r="2927" spans="2:8" x14ac:dyDescent="0.25">
      <c r="B2927" t="s">
        <v>3393</v>
      </c>
      <c r="C2927">
        <v>2023</v>
      </c>
      <c r="D2927" t="s">
        <v>3457</v>
      </c>
      <c r="E2927" t="s">
        <v>2945</v>
      </c>
      <c r="F2927" t="s">
        <v>2946</v>
      </c>
      <c r="G2927" t="s">
        <v>2250</v>
      </c>
      <c r="H2927" t="s">
        <v>3420</v>
      </c>
    </row>
    <row r="2928" spans="2:8" x14ac:dyDescent="0.25">
      <c r="B2928" t="s">
        <v>3393</v>
      </c>
      <c r="C2928">
        <v>2023</v>
      </c>
      <c r="D2928" t="s">
        <v>3457</v>
      </c>
      <c r="E2928" t="s">
        <v>2945</v>
      </c>
      <c r="F2928" t="s">
        <v>2946</v>
      </c>
      <c r="G2928" t="s">
        <v>2252</v>
      </c>
      <c r="H2928" t="s">
        <v>3421</v>
      </c>
    </row>
    <row r="2929" spans="2:8" x14ac:dyDescent="0.25">
      <c r="B2929" t="s">
        <v>3393</v>
      </c>
      <c r="C2929">
        <v>2023</v>
      </c>
      <c r="D2929" t="s">
        <v>3457</v>
      </c>
      <c r="E2929" t="s">
        <v>2945</v>
      </c>
      <c r="F2929" t="s">
        <v>2946</v>
      </c>
      <c r="G2929" t="s">
        <v>2254</v>
      </c>
      <c r="H2929" t="s">
        <v>2089</v>
      </c>
    </row>
    <row r="2930" spans="2:8" x14ac:dyDescent="0.25">
      <c r="B2930" t="s">
        <v>3393</v>
      </c>
      <c r="C2930">
        <v>2023</v>
      </c>
      <c r="D2930" t="s">
        <v>3457</v>
      </c>
      <c r="E2930" t="s">
        <v>2945</v>
      </c>
      <c r="F2930" t="s">
        <v>2946</v>
      </c>
      <c r="G2930" t="s">
        <v>2255</v>
      </c>
      <c r="H2930" t="s">
        <v>1997</v>
      </c>
    </row>
    <row r="2931" spans="2:8" x14ac:dyDescent="0.25">
      <c r="B2931" t="s">
        <v>3393</v>
      </c>
      <c r="C2931">
        <v>2023</v>
      </c>
      <c r="D2931" t="s">
        <v>3457</v>
      </c>
      <c r="E2931" t="s">
        <v>2945</v>
      </c>
      <c r="F2931" t="s">
        <v>2946</v>
      </c>
      <c r="G2931" t="s">
        <v>2256</v>
      </c>
      <c r="H2931" t="s">
        <v>3422</v>
      </c>
    </row>
    <row r="2932" spans="2:8" x14ac:dyDescent="0.25">
      <c r="B2932" t="s">
        <v>3393</v>
      </c>
      <c r="C2932">
        <v>2023</v>
      </c>
      <c r="D2932" t="s">
        <v>3457</v>
      </c>
      <c r="E2932" t="s">
        <v>2947</v>
      </c>
      <c r="F2932" t="s">
        <v>2948</v>
      </c>
      <c r="G2932" t="s">
        <v>2949</v>
      </c>
      <c r="H2932" t="s">
        <v>5076</v>
      </c>
    </row>
    <row r="2933" spans="2:8" x14ac:dyDescent="0.25">
      <c r="B2933" t="s">
        <v>3393</v>
      </c>
      <c r="C2933">
        <v>2023</v>
      </c>
      <c r="D2933" t="s">
        <v>3457</v>
      </c>
      <c r="E2933" t="s">
        <v>2947</v>
      </c>
      <c r="F2933" t="s">
        <v>2948</v>
      </c>
      <c r="G2933" t="s">
        <v>2950</v>
      </c>
      <c r="H2933" t="s">
        <v>2149</v>
      </c>
    </row>
    <row r="2934" spans="2:8" x14ac:dyDescent="0.25">
      <c r="B2934" t="s">
        <v>3393</v>
      </c>
      <c r="C2934">
        <v>2023</v>
      </c>
      <c r="D2934" t="s">
        <v>3457</v>
      </c>
      <c r="E2934" t="s">
        <v>2951</v>
      </c>
      <c r="F2934" t="s">
        <v>2952</v>
      </c>
      <c r="G2934" t="s">
        <v>2953</v>
      </c>
      <c r="H2934" t="s">
        <v>2017</v>
      </c>
    </row>
    <row r="2935" spans="2:8" x14ac:dyDescent="0.25">
      <c r="B2935" t="s">
        <v>3393</v>
      </c>
      <c r="C2935">
        <v>2023</v>
      </c>
      <c r="D2935" t="s">
        <v>3457</v>
      </c>
      <c r="E2935" t="s">
        <v>2951</v>
      </c>
      <c r="F2935" t="s">
        <v>2952</v>
      </c>
      <c r="G2935" t="s">
        <v>2954</v>
      </c>
      <c r="H2935" t="s">
        <v>5077</v>
      </c>
    </row>
    <row r="2936" spans="2:8" x14ac:dyDescent="0.25">
      <c r="B2936" t="s">
        <v>3393</v>
      </c>
      <c r="C2936">
        <v>2023</v>
      </c>
      <c r="D2936" t="s">
        <v>3457</v>
      </c>
      <c r="E2936" t="s">
        <v>2955</v>
      </c>
      <c r="F2936" t="s">
        <v>2956</v>
      </c>
      <c r="G2936" t="s">
        <v>2953</v>
      </c>
      <c r="H2936" t="s">
        <v>1993</v>
      </c>
    </row>
    <row r="2937" spans="2:8" x14ac:dyDescent="0.25">
      <c r="B2937" t="s">
        <v>3393</v>
      </c>
      <c r="C2937">
        <v>2023</v>
      </c>
      <c r="D2937" t="s">
        <v>3457</v>
      </c>
      <c r="E2937" t="s">
        <v>2955</v>
      </c>
      <c r="F2937" t="s">
        <v>2956</v>
      </c>
      <c r="G2937" t="s">
        <v>2954</v>
      </c>
      <c r="H2937" t="s">
        <v>5078</v>
      </c>
    </row>
    <row r="2938" spans="2:8" x14ac:dyDescent="0.25">
      <c r="B2938" t="s">
        <v>3393</v>
      </c>
      <c r="C2938">
        <v>2023</v>
      </c>
      <c r="D2938" t="s">
        <v>3457</v>
      </c>
      <c r="E2938" t="s">
        <v>2957</v>
      </c>
      <c r="F2938" t="s">
        <v>2958</v>
      </c>
      <c r="G2938" t="s">
        <v>2959</v>
      </c>
      <c r="H2938" t="s">
        <v>1995</v>
      </c>
    </row>
    <row r="2939" spans="2:8" x14ac:dyDescent="0.25">
      <c r="B2939" t="s">
        <v>3393</v>
      </c>
      <c r="C2939">
        <v>2023</v>
      </c>
      <c r="D2939" t="s">
        <v>3457</v>
      </c>
      <c r="E2939" t="s">
        <v>2957</v>
      </c>
      <c r="F2939" t="s">
        <v>2958</v>
      </c>
      <c r="G2939" t="s">
        <v>2960</v>
      </c>
      <c r="H2939" t="s">
        <v>5079</v>
      </c>
    </row>
    <row r="2940" spans="2:8" x14ac:dyDescent="0.25">
      <c r="B2940" t="s">
        <v>3393</v>
      </c>
      <c r="C2940">
        <v>2023</v>
      </c>
      <c r="D2940" t="s">
        <v>3457</v>
      </c>
      <c r="E2940" t="s">
        <v>2957</v>
      </c>
      <c r="F2940" t="s">
        <v>2958</v>
      </c>
      <c r="G2940" t="s">
        <v>2961</v>
      </c>
      <c r="H2940" t="s">
        <v>2151</v>
      </c>
    </row>
    <row r="2941" spans="2:8" x14ac:dyDescent="0.25">
      <c r="B2941" t="s">
        <v>3393</v>
      </c>
      <c r="C2941">
        <v>2023</v>
      </c>
      <c r="D2941" t="s">
        <v>3457</v>
      </c>
      <c r="E2941" t="s">
        <v>2957</v>
      </c>
      <c r="F2941" t="s">
        <v>2958</v>
      </c>
      <c r="G2941" t="s">
        <v>2962</v>
      </c>
      <c r="H2941" t="s">
        <v>2039</v>
      </c>
    </row>
    <row r="2942" spans="2:8" x14ac:dyDescent="0.25">
      <c r="B2942" t="s">
        <v>3393</v>
      </c>
      <c r="C2942">
        <v>2023</v>
      </c>
      <c r="D2942" t="s">
        <v>3457</v>
      </c>
      <c r="E2942" t="s">
        <v>2963</v>
      </c>
      <c r="F2942" t="s">
        <v>2964</v>
      </c>
      <c r="G2942" t="s">
        <v>2965</v>
      </c>
      <c r="H2942" t="s">
        <v>5080</v>
      </c>
    </row>
    <row r="2943" spans="2:8" x14ac:dyDescent="0.25">
      <c r="B2943" t="s">
        <v>3393</v>
      </c>
      <c r="C2943">
        <v>2023</v>
      </c>
      <c r="D2943" t="s">
        <v>3457</v>
      </c>
      <c r="E2943" t="s">
        <v>2966</v>
      </c>
      <c r="F2943" t="s">
        <v>2967</v>
      </c>
      <c r="G2943" t="s">
        <v>3051</v>
      </c>
      <c r="H2943" t="s">
        <v>5081</v>
      </c>
    </row>
    <row r="2944" spans="2:8" x14ac:dyDescent="0.25">
      <c r="B2944" t="s">
        <v>3393</v>
      </c>
      <c r="C2944">
        <v>2023</v>
      </c>
      <c r="D2944" t="s">
        <v>3457</v>
      </c>
      <c r="E2944" t="s">
        <v>2966</v>
      </c>
      <c r="F2944" t="s">
        <v>2967</v>
      </c>
      <c r="G2944" t="s">
        <v>2866</v>
      </c>
      <c r="H2944" t="s">
        <v>5082</v>
      </c>
    </row>
    <row r="2945" spans="2:8" x14ac:dyDescent="0.25">
      <c r="B2945" t="s">
        <v>3393</v>
      </c>
      <c r="C2945">
        <v>2023</v>
      </c>
      <c r="D2945" t="s">
        <v>3457</v>
      </c>
      <c r="E2945" t="s">
        <v>2966</v>
      </c>
      <c r="F2945" t="s">
        <v>2967</v>
      </c>
      <c r="G2945" t="s">
        <v>2409</v>
      </c>
      <c r="H2945" t="s">
        <v>5083</v>
      </c>
    </row>
    <row r="2946" spans="2:8" x14ac:dyDescent="0.25">
      <c r="B2946" t="s">
        <v>3393</v>
      </c>
      <c r="C2946">
        <v>2023</v>
      </c>
      <c r="D2946" t="s">
        <v>3457</v>
      </c>
      <c r="E2946" t="s">
        <v>2968</v>
      </c>
      <c r="F2946" t="s">
        <v>2969</v>
      </c>
      <c r="G2946" t="s">
        <v>2970</v>
      </c>
      <c r="H2946" t="s">
        <v>3391</v>
      </c>
    </row>
    <row r="2947" spans="2:8" x14ac:dyDescent="0.25">
      <c r="B2947" t="s">
        <v>3393</v>
      </c>
      <c r="C2947">
        <v>2023</v>
      </c>
      <c r="D2947" t="s">
        <v>3457</v>
      </c>
      <c r="E2947" t="s">
        <v>2968</v>
      </c>
      <c r="F2947" t="s">
        <v>2969</v>
      </c>
      <c r="G2947" t="s">
        <v>2971</v>
      </c>
      <c r="H2947" t="s">
        <v>5084</v>
      </c>
    </row>
    <row r="2948" spans="2:8" x14ac:dyDescent="0.25">
      <c r="B2948" t="s">
        <v>3393</v>
      </c>
      <c r="C2948">
        <v>2023</v>
      </c>
      <c r="D2948" t="s">
        <v>3457</v>
      </c>
      <c r="E2948" t="s">
        <v>2972</v>
      </c>
      <c r="F2948" t="s">
        <v>2973</v>
      </c>
      <c r="G2948" t="s">
        <v>3051</v>
      </c>
      <c r="H2948" t="s">
        <v>5085</v>
      </c>
    </row>
    <row r="2949" spans="2:8" x14ac:dyDescent="0.25">
      <c r="B2949" t="s">
        <v>3393</v>
      </c>
      <c r="C2949">
        <v>2023</v>
      </c>
      <c r="D2949" t="s">
        <v>3457</v>
      </c>
      <c r="E2949" t="s">
        <v>2972</v>
      </c>
      <c r="F2949" t="s">
        <v>2973</v>
      </c>
      <c r="G2949" t="s">
        <v>2866</v>
      </c>
      <c r="H2949" t="s">
        <v>5086</v>
      </c>
    </row>
    <row r="2950" spans="2:8" x14ac:dyDescent="0.25">
      <c r="B2950" t="s">
        <v>3393</v>
      </c>
      <c r="C2950">
        <v>2023</v>
      </c>
      <c r="D2950" t="s">
        <v>3457</v>
      </c>
      <c r="E2950" t="s">
        <v>2972</v>
      </c>
      <c r="F2950" t="s">
        <v>2973</v>
      </c>
      <c r="G2950" t="s">
        <v>2409</v>
      </c>
      <c r="H2950" t="s">
        <v>5087</v>
      </c>
    </row>
    <row r="2951" spans="2:8" x14ac:dyDescent="0.25">
      <c r="B2951" t="s">
        <v>3393</v>
      </c>
      <c r="C2951">
        <v>2023</v>
      </c>
      <c r="D2951" t="s">
        <v>3457</v>
      </c>
      <c r="E2951" t="s">
        <v>2974</v>
      </c>
      <c r="F2951" t="s">
        <v>2412</v>
      </c>
      <c r="G2951" t="s">
        <v>2408</v>
      </c>
      <c r="H2951" t="s">
        <v>4786</v>
      </c>
    </row>
    <row r="2952" spans="2:8" x14ac:dyDescent="0.25">
      <c r="B2952" t="s">
        <v>3393</v>
      </c>
      <c r="C2952">
        <v>2023</v>
      </c>
      <c r="D2952" t="s">
        <v>3457</v>
      </c>
      <c r="E2952" t="s">
        <v>2974</v>
      </c>
      <c r="F2952" t="s">
        <v>2412</v>
      </c>
      <c r="G2952" t="s">
        <v>2409</v>
      </c>
      <c r="H2952" t="s">
        <v>4787</v>
      </c>
    </row>
    <row r="2953" spans="2:8" x14ac:dyDescent="0.25">
      <c r="B2953" t="s">
        <v>3393</v>
      </c>
      <c r="C2953">
        <v>2023</v>
      </c>
      <c r="D2953" t="s">
        <v>3457</v>
      </c>
      <c r="E2953" t="s">
        <v>2974</v>
      </c>
      <c r="F2953" t="s">
        <v>2412</v>
      </c>
      <c r="G2953" t="s">
        <v>2410</v>
      </c>
      <c r="H2953" t="s">
        <v>4788</v>
      </c>
    </row>
    <row r="2954" spans="2:8" x14ac:dyDescent="0.25">
      <c r="B2954" t="s">
        <v>3393</v>
      </c>
      <c r="C2954">
        <v>2023</v>
      </c>
      <c r="D2954" t="s">
        <v>3457</v>
      </c>
      <c r="E2954" t="s">
        <v>2975</v>
      </c>
      <c r="F2954" t="s">
        <v>2506</v>
      </c>
      <c r="G2954" t="s">
        <v>2408</v>
      </c>
      <c r="H2954" t="s">
        <v>4817</v>
      </c>
    </row>
    <row r="2955" spans="2:8" x14ac:dyDescent="0.25">
      <c r="B2955" t="s">
        <v>3393</v>
      </c>
      <c r="C2955">
        <v>2023</v>
      </c>
      <c r="D2955" t="s">
        <v>3457</v>
      </c>
      <c r="E2955" t="s">
        <v>2975</v>
      </c>
      <c r="F2955" t="s">
        <v>2506</v>
      </c>
      <c r="G2955" t="s">
        <v>2409</v>
      </c>
      <c r="H2955" t="s">
        <v>4818</v>
      </c>
    </row>
    <row r="2956" spans="2:8" x14ac:dyDescent="0.25">
      <c r="B2956" t="s">
        <v>3393</v>
      </c>
      <c r="C2956">
        <v>2023</v>
      </c>
      <c r="D2956" t="s">
        <v>3457</v>
      </c>
      <c r="E2956" t="s">
        <v>2975</v>
      </c>
      <c r="F2956" t="s">
        <v>2506</v>
      </c>
      <c r="G2956" t="s">
        <v>2410</v>
      </c>
      <c r="H2956" t="s">
        <v>4819</v>
      </c>
    </row>
  </sheetData>
  <mergeCells count="1">
    <mergeCell ref="B2:F2"/>
  </mergeCell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DDA45-F7C9-40E2-B7CD-1B701B3F8904}">
  <sheetPr codeName="Feuil23">
    <tabColor theme="4" tint="0.39997558519241921"/>
  </sheetPr>
  <dimension ref="B2:CH154"/>
  <sheetViews>
    <sheetView topLeftCell="AT1" workbookViewId="0">
      <selection activeCell="BD5" sqref="BD5"/>
    </sheetView>
  </sheetViews>
  <sheetFormatPr defaultColWidth="11.42578125" defaultRowHeight="15" x14ac:dyDescent="0.25"/>
  <cols>
    <col min="2" max="2" width="7.7109375" bestFit="1" customWidth="1"/>
    <col min="3" max="3" width="8.42578125" bestFit="1" customWidth="1"/>
    <col min="4" max="4" width="53" bestFit="1" customWidth="1"/>
    <col min="5" max="5" width="8.42578125" bestFit="1" customWidth="1"/>
    <col min="9" max="9" width="7.7109375" bestFit="1" customWidth="1"/>
    <col min="10" max="10" width="8.42578125" bestFit="1" customWidth="1"/>
    <col min="11" max="11" width="63.28515625" bestFit="1" customWidth="1"/>
    <col min="12" max="12" width="8.42578125" bestFit="1" customWidth="1"/>
    <col min="16" max="16" width="7.7109375" bestFit="1" customWidth="1"/>
    <col min="17" max="17" width="8.42578125" bestFit="1" customWidth="1"/>
    <col min="18" max="18" width="9.7109375" bestFit="1" customWidth="1"/>
    <col min="19" max="19" width="10.28515625" bestFit="1" customWidth="1"/>
    <col min="20" max="20" width="14.140625" bestFit="1" customWidth="1"/>
    <col min="21" max="22" width="17.28515625" bestFit="1" customWidth="1"/>
    <col min="23" max="23" width="22.140625" bestFit="1" customWidth="1"/>
    <col min="27" max="27" width="7.7109375" bestFit="1" customWidth="1"/>
    <col min="28" max="28" width="8.42578125" bestFit="1" customWidth="1"/>
    <col min="29" max="29" width="12.7109375" bestFit="1" customWidth="1"/>
    <col min="30" max="30" width="8.42578125" bestFit="1" customWidth="1"/>
    <col min="34" max="34" width="7.7109375" bestFit="1" customWidth="1"/>
    <col min="35" max="35" width="8.42578125" bestFit="1" customWidth="1"/>
    <col min="36" max="36" width="80.85546875" bestFit="1" customWidth="1"/>
    <col min="37" max="37" width="8.42578125" bestFit="1" customWidth="1"/>
    <col min="41" max="41" width="7.7109375" bestFit="1" customWidth="1"/>
    <col min="42" max="42" width="8.42578125" bestFit="1" customWidth="1"/>
    <col min="43" max="43" width="80.85546875" bestFit="1" customWidth="1"/>
    <col min="44" max="44" width="8.42578125" bestFit="1" customWidth="1"/>
    <col min="48" max="48" width="7.7109375" bestFit="1" customWidth="1"/>
    <col min="49" max="49" width="8.42578125" bestFit="1" customWidth="1"/>
    <col min="50" max="50" width="30.7109375" bestFit="1" customWidth="1"/>
    <col min="51" max="51" width="8.42578125" bestFit="1" customWidth="1"/>
    <col min="52" max="52" width="17.7109375" bestFit="1" customWidth="1"/>
    <col min="55" max="55" width="7.7109375" bestFit="1" customWidth="1"/>
    <col min="56" max="56" width="8.42578125" bestFit="1" customWidth="1"/>
    <col min="57" max="57" width="7.42578125" bestFit="1" customWidth="1"/>
    <col min="58" max="58" width="63.28515625" bestFit="1" customWidth="1"/>
    <col min="59" max="59" width="17.140625" bestFit="1" customWidth="1"/>
    <col min="63" max="63" width="7.7109375" bestFit="1" customWidth="1"/>
    <col min="64" max="64" width="8.42578125" bestFit="1" customWidth="1"/>
    <col min="65" max="65" width="14.28515625" bestFit="1" customWidth="1"/>
    <col min="66" max="66" width="8.42578125" bestFit="1" customWidth="1"/>
    <col min="70" max="70" width="7.7109375" bestFit="1" customWidth="1"/>
    <col min="71" max="71" width="8.42578125" bestFit="1" customWidth="1"/>
    <col min="72" max="72" width="14.28515625" bestFit="1" customWidth="1"/>
    <col min="73" max="73" width="8.42578125" bestFit="1" customWidth="1"/>
    <col min="77" max="77" width="7.7109375" bestFit="1" customWidth="1"/>
    <col min="78" max="78" width="8.42578125" bestFit="1" customWidth="1"/>
    <col min="79" max="79" width="25.28515625" bestFit="1" customWidth="1"/>
    <col min="83" max="83" width="7.7109375" bestFit="1" customWidth="1"/>
    <col min="84" max="84" width="8.42578125" bestFit="1" customWidth="1"/>
    <col min="85" max="85" width="15.85546875" bestFit="1" customWidth="1"/>
    <col min="86" max="86" width="8.42578125" bestFit="1" customWidth="1"/>
    <col min="89" max="89" width="8" bestFit="1" customWidth="1"/>
    <col min="90" max="90" width="8.7109375" bestFit="1" customWidth="1"/>
    <col min="91" max="91" width="37.28515625" bestFit="1" customWidth="1"/>
    <col min="92" max="92" width="20.7109375" bestFit="1" customWidth="1"/>
    <col min="93" max="93" width="45.5703125" bestFit="1" customWidth="1"/>
    <col min="94" max="94" width="19.5703125" bestFit="1" customWidth="1"/>
    <col min="97" max="97" width="7.7109375" bestFit="1" customWidth="1"/>
    <col min="98" max="98" width="8.42578125" bestFit="1" customWidth="1"/>
    <col min="99" max="99" width="19.28515625" bestFit="1" customWidth="1"/>
    <col min="100" max="100" width="18.7109375" bestFit="1" customWidth="1"/>
    <col min="101" max="101" width="17.7109375" bestFit="1" customWidth="1"/>
    <col min="102" max="102" width="17.28515625" bestFit="1" customWidth="1"/>
    <col min="103" max="103" width="21.5703125" bestFit="1" customWidth="1"/>
    <col min="104" max="104" width="21.28515625" bestFit="1" customWidth="1"/>
    <col min="105" max="105" width="25.7109375" bestFit="1" customWidth="1"/>
    <col min="106" max="106" width="25.28515625" bestFit="1" customWidth="1"/>
    <col min="107" max="107" width="16.7109375" bestFit="1" customWidth="1"/>
    <col min="108" max="108" width="16.28515625" bestFit="1" customWidth="1"/>
    <col min="109" max="109" width="20.5703125" bestFit="1" customWidth="1"/>
    <col min="110" max="110" width="20.28515625" bestFit="1" customWidth="1"/>
    <col min="111" max="111" width="16.28515625" bestFit="1" customWidth="1"/>
    <col min="112" max="112" width="15.7109375" bestFit="1" customWidth="1"/>
    <col min="115" max="115" width="8" bestFit="1" customWidth="1"/>
    <col min="116" max="116" width="8.7109375" bestFit="1" customWidth="1"/>
    <col min="117" max="117" width="20.7109375" bestFit="1" customWidth="1"/>
    <col min="118" max="118" width="45.5703125" bestFit="1" customWidth="1"/>
    <col min="119" max="119" width="19.5703125" bestFit="1" customWidth="1"/>
    <col min="120" max="120" width="43.5703125" bestFit="1" customWidth="1"/>
  </cols>
  <sheetData>
    <row r="2" spans="2:86" ht="21" x14ac:dyDescent="0.35">
      <c r="B2" s="797" t="s">
        <v>3053</v>
      </c>
      <c r="C2" s="797"/>
      <c r="I2" s="797" t="s">
        <v>3054</v>
      </c>
      <c r="J2" s="797"/>
      <c r="P2" s="797" t="s">
        <v>3055</v>
      </c>
      <c r="Q2" s="797"/>
      <c r="AA2" s="797" t="s">
        <v>3056</v>
      </c>
      <c r="AB2" s="797"/>
      <c r="AH2" s="797" t="s">
        <v>3057</v>
      </c>
      <c r="AI2" s="797"/>
      <c r="AO2" s="797" t="s">
        <v>3058</v>
      </c>
      <c r="AP2" s="797"/>
      <c r="AV2" s="797" t="s">
        <v>3059</v>
      </c>
      <c r="AW2" s="797"/>
      <c r="BC2" s="797" t="s">
        <v>3060</v>
      </c>
      <c r="BD2" s="797"/>
      <c r="BK2" s="797" t="s">
        <v>3061</v>
      </c>
      <c r="BL2" s="797"/>
      <c r="BR2" s="797" t="s">
        <v>3062</v>
      </c>
      <c r="BS2" s="797"/>
      <c r="BY2" s="797" t="s">
        <v>3063</v>
      </c>
      <c r="BZ2" s="797"/>
      <c r="CE2" s="797" t="s">
        <v>3064</v>
      </c>
      <c r="CF2" s="797"/>
    </row>
    <row r="4" spans="2:86" x14ac:dyDescent="0.25">
      <c r="B4" t="s">
        <v>1356</v>
      </c>
      <c r="C4" t="s">
        <v>1357</v>
      </c>
      <c r="D4" t="s">
        <v>2236</v>
      </c>
      <c r="E4" t="s">
        <v>2237</v>
      </c>
      <c r="I4" t="s">
        <v>1356</v>
      </c>
      <c r="J4" t="s">
        <v>1357</v>
      </c>
      <c r="K4" t="s">
        <v>2236</v>
      </c>
      <c r="L4" t="s">
        <v>2237</v>
      </c>
      <c r="P4" t="s">
        <v>1356</v>
      </c>
      <c r="Q4" t="s">
        <v>1357</v>
      </c>
      <c r="R4" t="s">
        <v>3065</v>
      </c>
      <c r="S4" t="s">
        <v>3066</v>
      </c>
      <c r="T4" t="s">
        <v>3067</v>
      </c>
      <c r="U4" t="s">
        <v>3068</v>
      </c>
      <c r="V4" t="s">
        <v>3069</v>
      </c>
      <c r="W4" t="s">
        <v>3070</v>
      </c>
      <c r="AA4" t="s">
        <v>1356</v>
      </c>
      <c r="AB4" t="s">
        <v>1357</v>
      </c>
      <c r="AC4" t="s">
        <v>2236</v>
      </c>
      <c r="AD4" t="s">
        <v>2237</v>
      </c>
      <c r="AH4" t="s">
        <v>1356</v>
      </c>
      <c r="AI4" t="s">
        <v>1357</v>
      </c>
      <c r="AJ4" t="s">
        <v>2236</v>
      </c>
      <c r="AK4" t="s">
        <v>2237</v>
      </c>
      <c r="AO4" t="s">
        <v>1356</v>
      </c>
      <c r="AP4" t="s">
        <v>1357</v>
      </c>
      <c r="AQ4" t="s">
        <v>2236</v>
      </c>
      <c r="AR4" t="s">
        <v>2237</v>
      </c>
      <c r="AV4" t="s">
        <v>1356</v>
      </c>
      <c r="AW4" t="s">
        <v>1357</v>
      </c>
      <c r="AX4" t="s">
        <v>2236</v>
      </c>
      <c r="AY4" t="s">
        <v>2237</v>
      </c>
      <c r="BC4" t="s">
        <v>1356</v>
      </c>
      <c r="BD4" t="s">
        <v>1357</v>
      </c>
      <c r="BE4" t="s">
        <v>2405</v>
      </c>
      <c r="BF4" t="s">
        <v>2234</v>
      </c>
      <c r="BG4" t="s">
        <v>3071</v>
      </c>
      <c r="BK4" t="s">
        <v>1356</v>
      </c>
      <c r="BL4" t="s">
        <v>1357</v>
      </c>
      <c r="BM4" t="s">
        <v>2236</v>
      </c>
      <c r="BN4" t="s">
        <v>2237</v>
      </c>
      <c r="BR4" t="s">
        <v>1356</v>
      </c>
      <c r="BS4" t="s">
        <v>1357</v>
      </c>
      <c r="BT4" t="s">
        <v>2236</v>
      </c>
      <c r="BU4" t="s">
        <v>2237</v>
      </c>
      <c r="BY4" t="s">
        <v>1356</v>
      </c>
      <c r="BZ4" t="s">
        <v>1357</v>
      </c>
      <c r="CA4" t="s">
        <v>3072</v>
      </c>
      <c r="CE4" t="s">
        <v>1356</v>
      </c>
      <c r="CF4" t="s">
        <v>1357</v>
      </c>
      <c r="CG4" t="s">
        <v>2234</v>
      </c>
      <c r="CH4" t="s">
        <v>2237</v>
      </c>
    </row>
    <row r="5" spans="2:86" x14ac:dyDescent="0.25">
      <c r="B5" t="s">
        <v>3393</v>
      </c>
      <c r="C5">
        <v>2019</v>
      </c>
      <c r="D5" t="s">
        <v>996</v>
      </c>
      <c r="E5" t="s">
        <v>3567</v>
      </c>
      <c r="I5" t="s">
        <v>3393</v>
      </c>
      <c r="J5">
        <v>2019</v>
      </c>
      <c r="K5" t="s">
        <v>1010</v>
      </c>
      <c r="L5" t="s">
        <v>5160</v>
      </c>
      <c r="P5" t="s">
        <v>3393</v>
      </c>
      <c r="Q5">
        <v>2019</v>
      </c>
      <c r="R5" t="s">
        <v>5143</v>
      </c>
      <c r="S5" t="s">
        <v>3585</v>
      </c>
      <c r="T5" t="s">
        <v>3608</v>
      </c>
      <c r="U5">
        <v>2.0400000000000001E-2</v>
      </c>
      <c r="V5">
        <v>8.3900000000000002E-2</v>
      </c>
      <c r="W5" t="s">
        <v>5144</v>
      </c>
      <c r="AA5" t="s">
        <v>3393</v>
      </c>
      <c r="AB5">
        <v>2019</v>
      </c>
      <c r="AC5" t="s">
        <v>2863</v>
      </c>
      <c r="AD5" t="s">
        <v>3721</v>
      </c>
      <c r="AH5" t="s">
        <v>3393</v>
      </c>
      <c r="AI5">
        <v>2019</v>
      </c>
      <c r="AJ5" t="s">
        <v>858</v>
      </c>
      <c r="AK5">
        <v>2722</v>
      </c>
      <c r="AO5" t="s">
        <v>3393</v>
      </c>
      <c r="AP5">
        <v>2019</v>
      </c>
      <c r="AQ5" t="s">
        <v>858</v>
      </c>
      <c r="AR5">
        <v>0.17829999999999999</v>
      </c>
      <c r="AV5" t="s">
        <v>3393</v>
      </c>
      <c r="AW5">
        <v>2019</v>
      </c>
      <c r="AX5" t="s">
        <v>2870</v>
      </c>
      <c r="AY5" t="s">
        <v>5133</v>
      </c>
      <c r="BC5" t="s">
        <v>3393</v>
      </c>
      <c r="BD5">
        <v>2019</v>
      </c>
      <c r="BE5" t="s">
        <v>2675</v>
      </c>
      <c r="BF5" t="s">
        <v>1010</v>
      </c>
      <c r="BG5">
        <v>0</v>
      </c>
      <c r="BK5" t="s">
        <v>3393</v>
      </c>
      <c r="BL5">
        <v>2019</v>
      </c>
      <c r="BM5" t="s">
        <v>113</v>
      </c>
      <c r="BN5" t="s">
        <v>3758</v>
      </c>
      <c r="BR5" t="s">
        <v>3393</v>
      </c>
      <c r="BS5">
        <v>2019</v>
      </c>
      <c r="BT5" t="s">
        <v>113</v>
      </c>
      <c r="BU5" t="s">
        <v>1993</v>
      </c>
      <c r="BY5" t="s">
        <v>3393</v>
      </c>
      <c r="BZ5">
        <v>2019</v>
      </c>
      <c r="CA5">
        <v>1934</v>
      </c>
      <c r="CE5" t="s">
        <v>3393</v>
      </c>
      <c r="CF5">
        <v>2019</v>
      </c>
      <c r="CG5" t="s">
        <v>3073</v>
      </c>
      <c r="CH5">
        <v>0.65249999999999997</v>
      </c>
    </row>
    <row r="6" spans="2:86" x14ac:dyDescent="0.25">
      <c r="B6" t="s">
        <v>3393</v>
      </c>
      <c r="C6">
        <v>2019</v>
      </c>
      <c r="D6" t="s">
        <v>1005</v>
      </c>
      <c r="E6" t="s">
        <v>3568</v>
      </c>
      <c r="I6" t="s">
        <v>3393</v>
      </c>
      <c r="J6">
        <v>2019</v>
      </c>
      <c r="K6" t="s">
        <v>1011</v>
      </c>
      <c r="L6" t="s">
        <v>2927</v>
      </c>
      <c r="P6" t="s">
        <v>3393</v>
      </c>
      <c r="Q6">
        <v>2020</v>
      </c>
      <c r="R6" t="s">
        <v>5145</v>
      </c>
      <c r="S6" t="s">
        <v>5146</v>
      </c>
      <c r="T6" t="s">
        <v>5147</v>
      </c>
      <c r="U6">
        <v>0.1008</v>
      </c>
      <c r="V6">
        <v>8.3299999999999999E-2</v>
      </c>
      <c r="W6" t="s">
        <v>5148</v>
      </c>
      <c r="AA6" t="s">
        <v>3393</v>
      </c>
      <c r="AB6">
        <v>2020</v>
      </c>
      <c r="AC6" t="s">
        <v>2863</v>
      </c>
      <c r="AD6" t="s">
        <v>5135</v>
      </c>
      <c r="AH6" t="s">
        <v>3393</v>
      </c>
      <c r="AI6">
        <v>2020</v>
      </c>
      <c r="AJ6" t="s">
        <v>858</v>
      </c>
      <c r="AK6">
        <v>3800</v>
      </c>
      <c r="AO6" t="s">
        <v>3393</v>
      </c>
      <c r="AP6">
        <v>2019</v>
      </c>
      <c r="AQ6" t="s">
        <v>859</v>
      </c>
      <c r="AR6">
        <v>1.7999999999999999E-2</v>
      </c>
      <c r="AV6" t="s">
        <v>3393</v>
      </c>
      <c r="AW6">
        <v>2020</v>
      </c>
      <c r="AX6" t="s">
        <v>2870</v>
      </c>
      <c r="AY6" t="s">
        <v>5133</v>
      </c>
      <c r="BC6" t="s">
        <v>3393</v>
      </c>
      <c r="BD6">
        <v>2019</v>
      </c>
      <c r="BE6" t="s">
        <v>2675</v>
      </c>
      <c r="BF6" t="s">
        <v>3074</v>
      </c>
      <c r="BG6">
        <v>0</v>
      </c>
      <c r="BK6" t="s">
        <v>3393</v>
      </c>
      <c r="BL6">
        <v>2019</v>
      </c>
      <c r="BM6" t="s">
        <v>890</v>
      </c>
      <c r="BN6" t="s">
        <v>3759</v>
      </c>
      <c r="BR6" t="s">
        <v>3393</v>
      </c>
      <c r="BS6">
        <v>2019</v>
      </c>
      <c r="BT6" t="s">
        <v>890</v>
      </c>
      <c r="BU6" t="s">
        <v>5088</v>
      </c>
      <c r="BY6" t="s">
        <v>3393</v>
      </c>
      <c r="BZ6">
        <v>2020</v>
      </c>
      <c r="CA6">
        <v>1940</v>
      </c>
      <c r="CE6" t="s">
        <v>3393</v>
      </c>
      <c r="CF6">
        <v>2019</v>
      </c>
      <c r="CG6" t="s">
        <v>3075</v>
      </c>
      <c r="CH6">
        <v>0.91339999999999999</v>
      </c>
    </row>
    <row r="7" spans="2:86" x14ac:dyDescent="0.25">
      <c r="B7" t="s">
        <v>3393</v>
      </c>
      <c r="C7">
        <v>2019</v>
      </c>
      <c r="D7" t="s">
        <v>994</v>
      </c>
      <c r="E7" t="s">
        <v>3569</v>
      </c>
      <c r="I7" t="s">
        <v>3393</v>
      </c>
      <c r="J7">
        <v>2019</v>
      </c>
      <c r="K7" t="s">
        <v>1017</v>
      </c>
      <c r="L7" t="s">
        <v>3588</v>
      </c>
      <c r="P7" t="s">
        <v>3393</v>
      </c>
      <c r="Q7">
        <v>2021</v>
      </c>
      <c r="R7" t="s">
        <v>5149</v>
      </c>
      <c r="S7" t="s">
        <v>5150</v>
      </c>
      <c r="T7" t="s">
        <v>5151</v>
      </c>
      <c r="U7">
        <v>0.1883</v>
      </c>
      <c r="V7">
        <v>0.11940000000000001</v>
      </c>
      <c r="W7" t="s">
        <v>5152</v>
      </c>
      <c r="AA7" t="s">
        <v>3393</v>
      </c>
      <c r="AB7">
        <v>2021</v>
      </c>
      <c r="AC7" t="s">
        <v>2863</v>
      </c>
      <c r="AD7" t="s">
        <v>5136</v>
      </c>
      <c r="AH7" t="s">
        <v>3393</v>
      </c>
      <c r="AI7">
        <v>2021</v>
      </c>
      <c r="AJ7" t="s">
        <v>858</v>
      </c>
      <c r="AK7">
        <v>2788</v>
      </c>
      <c r="AO7" t="s">
        <v>3393</v>
      </c>
      <c r="AP7">
        <v>2019</v>
      </c>
      <c r="AQ7" t="s">
        <v>857</v>
      </c>
      <c r="AR7">
        <v>2.3699999999999999E-2</v>
      </c>
      <c r="AV7" t="s">
        <v>3393</v>
      </c>
      <c r="AW7">
        <v>2021</v>
      </c>
      <c r="AX7" t="s">
        <v>2870</v>
      </c>
      <c r="AY7" t="s">
        <v>5134</v>
      </c>
      <c r="BC7" t="s">
        <v>3393</v>
      </c>
      <c r="BD7">
        <v>2019</v>
      </c>
      <c r="BE7" t="s">
        <v>2675</v>
      </c>
      <c r="BF7" t="s">
        <v>1017</v>
      </c>
      <c r="BG7">
        <v>4.8800000000000003E-2</v>
      </c>
      <c r="BK7" t="s">
        <v>3393</v>
      </c>
      <c r="BL7">
        <v>2019</v>
      </c>
      <c r="BM7" t="s">
        <v>892</v>
      </c>
      <c r="BN7" t="s">
        <v>5114</v>
      </c>
      <c r="BR7" t="s">
        <v>3393</v>
      </c>
      <c r="BS7">
        <v>2019</v>
      </c>
      <c r="BT7" t="s">
        <v>892</v>
      </c>
      <c r="BU7" t="s">
        <v>5089</v>
      </c>
      <c r="BY7" t="s">
        <v>3393</v>
      </c>
      <c r="BZ7">
        <v>2021</v>
      </c>
      <c r="CA7">
        <v>1989</v>
      </c>
      <c r="CE7" t="s">
        <v>3393</v>
      </c>
      <c r="CF7">
        <v>2020</v>
      </c>
      <c r="CG7" t="s">
        <v>3073</v>
      </c>
      <c r="CH7">
        <v>0.66469999999999996</v>
      </c>
    </row>
    <row r="8" spans="2:86" x14ac:dyDescent="0.25">
      <c r="B8" t="s">
        <v>3393</v>
      </c>
      <c r="C8">
        <v>2019</v>
      </c>
      <c r="D8" t="s">
        <v>995</v>
      </c>
      <c r="E8" t="s">
        <v>3570</v>
      </c>
      <c r="I8" t="s">
        <v>3393</v>
      </c>
      <c r="J8">
        <v>2019</v>
      </c>
      <c r="K8" t="s">
        <v>1029</v>
      </c>
      <c r="L8" t="s">
        <v>5161</v>
      </c>
      <c r="P8" t="s">
        <v>3393</v>
      </c>
      <c r="Q8">
        <v>2022</v>
      </c>
      <c r="R8" t="s">
        <v>5153</v>
      </c>
      <c r="S8" t="s">
        <v>5154</v>
      </c>
      <c r="T8" t="s">
        <v>5155</v>
      </c>
      <c r="U8">
        <v>0.19040000000000001</v>
      </c>
      <c r="V8">
        <v>0.16200000000000001</v>
      </c>
      <c r="W8" t="s">
        <v>5156</v>
      </c>
      <c r="AA8" t="s">
        <v>3393</v>
      </c>
      <c r="AB8">
        <v>2022</v>
      </c>
      <c r="AC8" t="s">
        <v>2863</v>
      </c>
      <c r="AD8" t="s">
        <v>5137</v>
      </c>
      <c r="AH8" t="s">
        <v>3393</v>
      </c>
      <c r="AI8">
        <v>2022</v>
      </c>
      <c r="AJ8" t="s">
        <v>858</v>
      </c>
      <c r="AK8">
        <v>4295</v>
      </c>
      <c r="AO8" t="s">
        <v>3393</v>
      </c>
      <c r="AP8">
        <v>2019</v>
      </c>
      <c r="AQ8" t="s">
        <v>862</v>
      </c>
      <c r="AR8">
        <v>0.25359999999999999</v>
      </c>
      <c r="AV8" t="s">
        <v>3393</v>
      </c>
      <c r="AW8">
        <v>2022</v>
      </c>
      <c r="AX8" t="s">
        <v>2870</v>
      </c>
      <c r="AY8" t="s">
        <v>5133</v>
      </c>
      <c r="BC8" t="s">
        <v>3393</v>
      </c>
      <c r="BD8">
        <v>2019</v>
      </c>
      <c r="BE8" t="s">
        <v>2675</v>
      </c>
      <c r="BF8" t="s">
        <v>1029</v>
      </c>
      <c r="BG8">
        <v>0.216</v>
      </c>
      <c r="BK8" t="s">
        <v>3393</v>
      </c>
      <c r="BL8">
        <v>2019</v>
      </c>
      <c r="BM8" t="s">
        <v>891</v>
      </c>
      <c r="BN8" t="s">
        <v>5115</v>
      </c>
      <c r="BR8" t="s">
        <v>3393</v>
      </c>
      <c r="BS8">
        <v>2019</v>
      </c>
      <c r="BT8" t="s">
        <v>891</v>
      </c>
      <c r="BU8" t="s">
        <v>5090</v>
      </c>
      <c r="BY8" t="s">
        <v>3393</v>
      </c>
      <c r="BZ8">
        <v>2022</v>
      </c>
      <c r="CA8">
        <v>2499</v>
      </c>
      <c r="CE8" t="s">
        <v>3393</v>
      </c>
      <c r="CF8">
        <v>2020</v>
      </c>
      <c r="CG8" t="s">
        <v>3075</v>
      </c>
      <c r="CH8">
        <v>0.93020000000000003</v>
      </c>
    </row>
    <row r="9" spans="2:86" x14ac:dyDescent="0.25">
      <c r="B9" t="s">
        <v>3393</v>
      </c>
      <c r="C9">
        <v>2019</v>
      </c>
      <c r="D9" t="s">
        <v>990</v>
      </c>
      <c r="E9" t="s">
        <v>3571</v>
      </c>
      <c r="I9" t="s">
        <v>3393</v>
      </c>
      <c r="J9">
        <v>2019</v>
      </c>
      <c r="K9" t="s">
        <v>1013</v>
      </c>
      <c r="L9" t="s">
        <v>5162</v>
      </c>
      <c r="P9" t="s">
        <v>3393</v>
      </c>
      <c r="Q9">
        <v>2023</v>
      </c>
      <c r="R9" t="s">
        <v>5157</v>
      </c>
      <c r="S9" t="s">
        <v>5158</v>
      </c>
      <c r="T9" t="s">
        <v>5159</v>
      </c>
      <c r="U9">
        <v>-4.1000000000000002E-2</v>
      </c>
      <c r="V9">
        <v>-3.3500000000000002E-2</v>
      </c>
      <c r="W9" t="s">
        <v>4907</v>
      </c>
      <c r="AA9" t="s">
        <v>3393</v>
      </c>
      <c r="AB9">
        <v>2023</v>
      </c>
      <c r="AC9" t="s">
        <v>2863</v>
      </c>
      <c r="AD9" t="s">
        <v>5138</v>
      </c>
      <c r="AH9" t="s">
        <v>3393</v>
      </c>
      <c r="AI9">
        <v>2023</v>
      </c>
      <c r="AJ9" t="s">
        <v>858</v>
      </c>
      <c r="AK9">
        <v>7087</v>
      </c>
      <c r="AO9" t="s">
        <v>3393</v>
      </c>
      <c r="AP9">
        <v>2019</v>
      </c>
      <c r="AQ9" t="s">
        <v>872</v>
      </c>
      <c r="AR9">
        <v>7.1000000000000004E-3</v>
      </c>
      <c r="AV9" t="s">
        <v>3393</v>
      </c>
      <c r="AW9">
        <v>2023</v>
      </c>
      <c r="AX9" t="s">
        <v>2870</v>
      </c>
      <c r="AY9" t="s">
        <v>5133</v>
      </c>
      <c r="BC9" t="s">
        <v>3393</v>
      </c>
      <c r="BD9">
        <v>2019</v>
      </c>
      <c r="BE9" t="s">
        <v>2675</v>
      </c>
      <c r="BF9" t="s">
        <v>1028</v>
      </c>
      <c r="BG9">
        <v>0</v>
      </c>
      <c r="BK9" t="s">
        <v>3393</v>
      </c>
      <c r="BL9">
        <v>2019</v>
      </c>
      <c r="BM9" t="s">
        <v>115</v>
      </c>
      <c r="BN9" t="s">
        <v>5116</v>
      </c>
      <c r="BR9" t="s">
        <v>3393</v>
      </c>
      <c r="BS9">
        <v>2019</v>
      </c>
      <c r="BT9" t="s">
        <v>115</v>
      </c>
      <c r="BU9" t="s">
        <v>5091</v>
      </c>
      <c r="BY9" t="s">
        <v>3393</v>
      </c>
      <c r="BZ9">
        <v>2023</v>
      </c>
      <c r="CA9">
        <v>3428</v>
      </c>
      <c r="CE9" t="s">
        <v>3393</v>
      </c>
      <c r="CF9">
        <v>2021</v>
      </c>
      <c r="CG9" t="s">
        <v>3073</v>
      </c>
      <c r="CH9">
        <v>0.32229999999999998</v>
      </c>
    </row>
    <row r="10" spans="2:86" x14ac:dyDescent="0.25">
      <c r="B10" t="s">
        <v>3393</v>
      </c>
      <c r="C10">
        <v>2019</v>
      </c>
      <c r="D10" t="s">
        <v>1001</v>
      </c>
      <c r="E10" t="s">
        <v>2171</v>
      </c>
      <c r="I10" t="s">
        <v>3393</v>
      </c>
      <c r="J10">
        <v>2019</v>
      </c>
      <c r="K10" t="s">
        <v>1028</v>
      </c>
      <c r="L10" t="s">
        <v>5163</v>
      </c>
      <c r="AA10" t="s">
        <v>3393</v>
      </c>
      <c r="AB10">
        <v>2019</v>
      </c>
      <c r="AC10" t="s">
        <v>3312</v>
      </c>
      <c r="AD10" t="s">
        <v>3723</v>
      </c>
      <c r="AH10" t="s">
        <v>3393</v>
      </c>
      <c r="AI10">
        <v>2019</v>
      </c>
      <c r="AJ10" t="s">
        <v>859</v>
      </c>
      <c r="AK10">
        <v>275</v>
      </c>
      <c r="AO10" t="s">
        <v>3393</v>
      </c>
      <c r="AP10">
        <v>2019</v>
      </c>
      <c r="AQ10" t="s">
        <v>864</v>
      </c>
      <c r="AR10">
        <v>1.55E-2</v>
      </c>
      <c r="BC10" t="s">
        <v>3393</v>
      </c>
      <c r="BD10">
        <v>2019</v>
      </c>
      <c r="BE10" t="s">
        <v>2675</v>
      </c>
      <c r="BF10" t="s">
        <v>1020</v>
      </c>
      <c r="BG10">
        <v>0.51619999999999999</v>
      </c>
      <c r="BK10" t="s">
        <v>3393</v>
      </c>
      <c r="BL10">
        <v>2019</v>
      </c>
      <c r="BM10" t="s">
        <v>888</v>
      </c>
      <c r="BN10" t="s">
        <v>1993</v>
      </c>
      <c r="BR10" t="s">
        <v>3393</v>
      </c>
      <c r="BS10">
        <v>2019</v>
      </c>
      <c r="BT10" t="s">
        <v>888</v>
      </c>
      <c r="BU10" t="s">
        <v>5092</v>
      </c>
      <c r="CE10" t="s">
        <v>3393</v>
      </c>
      <c r="CF10">
        <v>2021</v>
      </c>
      <c r="CG10" t="s">
        <v>3075</v>
      </c>
      <c r="CH10">
        <v>0.88470000000000004</v>
      </c>
    </row>
    <row r="11" spans="2:86" x14ac:dyDescent="0.25">
      <c r="B11" t="s">
        <v>3393</v>
      </c>
      <c r="C11">
        <v>2019</v>
      </c>
      <c r="D11" t="s">
        <v>2602</v>
      </c>
      <c r="E11" t="s">
        <v>3572</v>
      </c>
      <c r="I11" t="s">
        <v>3393</v>
      </c>
      <c r="J11">
        <v>2019</v>
      </c>
      <c r="K11" t="s">
        <v>1020</v>
      </c>
      <c r="L11" t="s">
        <v>3592</v>
      </c>
      <c r="AA11" t="s">
        <v>3393</v>
      </c>
      <c r="AB11">
        <v>2020</v>
      </c>
      <c r="AC11" t="s">
        <v>3312</v>
      </c>
      <c r="AD11" t="s">
        <v>5139</v>
      </c>
      <c r="AH11" t="s">
        <v>3393</v>
      </c>
      <c r="AI11">
        <v>2020</v>
      </c>
      <c r="AJ11" t="s">
        <v>859</v>
      </c>
      <c r="AK11">
        <v>487</v>
      </c>
      <c r="AO11" t="s">
        <v>3393</v>
      </c>
      <c r="AP11">
        <v>2019</v>
      </c>
      <c r="AQ11" t="s">
        <v>866</v>
      </c>
      <c r="AR11">
        <v>2.1499999999999998E-2</v>
      </c>
      <c r="BC11" t="s">
        <v>3393</v>
      </c>
      <c r="BD11">
        <v>2019</v>
      </c>
      <c r="BE11" t="s">
        <v>2615</v>
      </c>
      <c r="BF11" t="s">
        <v>1005</v>
      </c>
      <c r="BG11">
        <v>4.7000000000000002E-3</v>
      </c>
      <c r="BK11" t="s">
        <v>3393</v>
      </c>
      <c r="BL11">
        <v>2019</v>
      </c>
      <c r="BM11" t="s">
        <v>182</v>
      </c>
      <c r="BN11" t="s">
        <v>3763</v>
      </c>
      <c r="BR11" t="s">
        <v>3393</v>
      </c>
      <c r="BS11">
        <v>2019</v>
      </c>
      <c r="BT11" t="s">
        <v>182</v>
      </c>
      <c r="BU11" t="s">
        <v>5093</v>
      </c>
      <c r="CE11" t="s">
        <v>3393</v>
      </c>
      <c r="CF11">
        <v>2022</v>
      </c>
      <c r="CG11" t="s">
        <v>3073</v>
      </c>
      <c r="CH11">
        <v>0.37130000000000002</v>
      </c>
    </row>
    <row r="12" spans="2:86" x14ac:dyDescent="0.25">
      <c r="B12" t="s">
        <v>3393</v>
      </c>
      <c r="C12">
        <v>2019</v>
      </c>
      <c r="D12" t="s">
        <v>989</v>
      </c>
      <c r="E12" t="s">
        <v>3573</v>
      </c>
      <c r="I12" t="s">
        <v>3393</v>
      </c>
      <c r="J12">
        <v>2019</v>
      </c>
      <c r="K12" t="s">
        <v>1016</v>
      </c>
      <c r="L12" t="s">
        <v>3593</v>
      </c>
      <c r="AA12" t="s">
        <v>3393</v>
      </c>
      <c r="AB12">
        <v>2021</v>
      </c>
      <c r="AC12" t="s">
        <v>3312</v>
      </c>
      <c r="AD12" t="s">
        <v>5140</v>
      </c>
      <c r="AH12" t="s">
        <v>3393</v>
      </c>
      <c r="AI12">
        <v>2021</v>
      </c>
      <c r="AJ12" t="s">
        <v>859</v>
      </c>
      <c r="AK12">
        <v>496</v>
      </c>
      <c r="AO12" t="s">
        <v>3393</v>
      </c>
      <c r="AP12">
        <v>2019</v>
      </c>
      <c r="AQ12" t="s">
        <v>860</v>
      </c>
      <c r="AR12">
        <v>9.0999999999999998E-2</v>
      </c>
      <c r="BC12" t="s">
        <v>3393</v>
      </c>
      <c r="BD12">
        <v>2019</v>
      </c>
      <c r="BE12" t="s">
        <v>2615</v>
      </c>
      <c r="BF12" t="s">
        <v>994</v>
      </c>
      <c r="BG12">
        <v>7.5399999999999995E-2</v>
      </c>
      <c r="BK12" t="s">
        <v>3393</v>
      </c>
      <c r="BL12">
        <v>2020</v>
      </c>
      <c r="BM12" t="s">
        <v>113</v>
      </c>
      <c r="BN12" t="s">
        <v>1993</v>
      </c>
      <c r="BR12" t="s">
        <v>3393</v>
      </c>
      <c r="BS12">
        <v>2020</v>
      </c>
      <c r="BT12" t="s">
        <v>113</v>
      </c>
      <c r="BU12" t="s">
        <v>1993</v>
      </c>
      <c r="CE12" t="s">
        <v>3393</v>
      </c>
      <c r="CF12">
        <v>2022</v>
      </c>
      <c r="CG12" t="s">
        <v>3075</v>
      </c>
      <c r="CH12">
        <v>0.88300000000000001</v>
      </c>
    </row>
    <row r="13" spans="2:86" x14ac:dyDescent="0.25">
      <c r="B13" t="s">
        <v>3393</v>
      </c>
      <c r="C13">
        <v>2019</v>
      </c>
      <c r="D13" t="s">
        <v>987</v>
      </c>
      <c r="E13" t="s">
        <v>5262</v>
      </c>
      <c r="I13" t="s">
        <v>3393</v>
      </c>
      <c r="J13">
        <v>2019</v>
      </c>
      <c r="K13" t="s">
        <v>1030</v>
      </c>
      <c r="L13" t="s">
        <v>5164</v>
      </c>
      <c r="AA13" t="s">
        <v>3393</v>
      </c>
      <c r="AB13">
        <v>2022</v>
      </c>
      <c r="AC13" t="s">
        <v>3312</v>
      </c>
      <c r="AD13" t="s">
        <v>5141</v>
      </c>
      <c r="AH13" t="s">
        <v>3393</v>
      </c>
      <c r="AI13">
        <v>2022</v>
      </c>
      <c r="AJ13" t="s">
        <v>859</v>
      </c>
      <c r="AK13">
        <v>813</v>
      </c>
      <c r="AO13" t="s">
        <v>3393</v>
      </c>
      <c r="AP13">
        <v>2019</v>
      </c>
      <c r="AQ13" t="s">
        <v>850</v>
      </c>
      <c r="AR13">
        <v>0.185</v>
      </c>
      <c r="BC13" t="s">
        <v>3393</v>
      </c>
      <c r="BD13">
        <v>2019</v>
      </c>
      <c r="BE13" t="s">
        <v>2675</v>
      </c>
      <c r="BF13" t="s">
        <v>1016</v>
      </c>
      <c r="BG13">
        <v>0</v>
      </c>
      <c r="BK13" t="s">
        <v>3393</v>
      </c>
      <c r="BL13">
        <v>2020</v>
      </c>
      <c r="BM13" t="s">
        <v>890</v>
      </c>
      <c r="BN13" t="s">
        <v>5117</v>
      </c>
      <c r="BR13" t="s">
        <v>3393</v>
      </c>
      <c r="BS13">
        <v>2020</v>
      </c>
      <c r="BT13" t="s">
        <v>890</v>
      </c>
      <c r="BU13" t="s">
        <v>5094</v>
      </c>
      <c r="CE13" t="s">
        <v>3393</v>
      </c>
      <c r="CF13">
        <v>2023</v>
      </c>
      <c r="CG13" t="s">
        <v>3073</v>
      </c>
      <c r="CH13">
        <v>0.32469999999999999</v>
      </c>
    </row>
    <row r="14" spans="2:86" x14ac:dyDescent="0.25">
      <c r="B14" t="s">
        <v>3393</v>
      </c>
      <c r="C14">
        <v>2019</v>
      </c>
      <c r="D14" t="s">
        <v>993</v>
      </c>
      <c r="E14" t="s">
        <v>5263</v>
      </c>
      <c r="I14" t="s">
        <v>3393</v>
      </c>
      <c r="J14">
        <v>2019</v>
      </c>
      <c r="K14" t="s">
        <v>1021</v>
      </c>
      <c r="L14" t="s">
        <v>5165</v>
      </c>
      <c r="AA14" t="s">
        <v>3393</v>
      </c>
      <c r="AB14">
        <v>2023</v>
      </c>
      <c r="AC14" t="s">
        <v>3312</v>
      </c>
      <c r="AD14" t="s">
        <v>5142</v>
      </c>
      <c r="AH14" t="s">
        <v>3393</v>
      </c>
      <c r="AI14">
        <v>2023</v>
      </c>
      <c r="AJ14" t="s">
        <v>859</v>
      </c>
      <c r="AK14">
        <v>451</v>
      </c>
      <c r="AO14" t="s">
        <v>3393</v>
      </c>
      <c r="AP14">
        <v>2019</v>
      </c>
      <c r="AQ14" t="s">
        <v>849</v>
      </c>
      <c r="AR14">
        <v>2.3400000000000001E-2</v>
      </c>
      <c r="BC14" t="s">
        <v>3393</v>
      </c>
      <c r="BD14">
        <v>2019</v>
      </c>
      <c r="BE14" t="s">
        <v>2675</v>
      </c>
      <c r="BF14" t="s">
        <v>1021</v>
      </c>
      <c r="BG14">
        <v>0.1123</v>
      </c>
      <c r="BK14" t="s">
        <v>3393</v>
      </c>
      <c r="BL14">
        <v>2020</v>
      </c>
      <c r="BM14" t="s">
        <v>892</v>
      </c>
      <c r="BN14" t="s">
        <v>5118</v>
      </c>
      <c r="BR14" t="s">
        <v>3393</v>
      </c>
      <c r="BS14">
        <v>2020</v>
      </c>
      <c r="BT14" t="s">
        <v>892</v>
      </c>
      <c r="BU14" t="s">
        <v>4140</v>
      </c>
      <c r="CE14" t="s">
        <v>3393</v>
      </c>
      <c r="CF14">
        <v>2023</v>
      </c>
      <c r="CG14" t="s">
        <v>3075</v>
      </c>
      <c r="CH14">
        <v>0.87839999999999996</v>
      </c>
    </row>
    <row r="15" spans="2:86" x14ac:dyDescent="0.25">
      <c r="B15" t="s">
        <v>3393</v>
      </c>
      <c r="C15">
        <v>2019</v>
      </c>
      <c r="D15" t="s">
        <v>992</v>
      </c>
      <c r="E15" t="s">
        <v>3576</v>
      </c>
      <c r="I15" t="s">
        <v>3393</v>
      </c>
      <c r="J15">
        <v>2019</v>
      </c>
      <c r="K15" t="s">
        <v>1009</v>
      </c>
      <c r="L15" t="s">
        <v>5166</v>
      </c>
      <c r="AH15" t="s">
        <v>3393</v>
      </c>
      <c r="AI15">
        <v>2019</v>
      </c>
      <c r="AJ15" t="s">
        <v>857</v>
      </c>
      <c r="AK15">
        <v>362</v>
      </c>
      <c r="AO15" t="s">
        <v>3393</v>
      </c>
      <c r="AP15">
        <v>2019</v>
      </c>
      <c r="AQ15" t="s">
        <v>852</v>
      </c>
      <c r="AR15">
        <v>3.0499999999999999E-2</v>
      </c>
      <c r="BC15" t="s">
        <v>3393</v>
      </c>
      <c r="BD15">
        <v>2019</v>
      </c>
      <c r="BE15" t="s">
        <v>2675</v>
      </c>
      <c r="BF15" t="s">
        <v>1061</v>
      </c>
      <c r="BG15">
        <v>1</v>
      </c>
      <c r="BK15" t="s">
        <v>3393</v>
      </c>
      <c r="BL15">
        <v>2020</v>
      </c>
      <c r="BM15" t="s">
        <v>891</v>
      </c>
      <c r="BN15" t="s">
        <v>5119</v>
      </c>
      <c r="BR15" t="s">
        <v>3393</v>
      </c>
      <c r="BS15">
        <v>2020</v>
      </c>
      <c r="BT15" t="s">
        <v>891</v>
      </c>
      <c r="BU15" t="s">
        <v>5095</v>
      </c>
    </row>
    <row r="16" spans="2:86" x14ac:dyDescent="0.25">
      <c r="B16" t="s">
        <v>3393</v>
      </c>
      <c r="C16">
        <v>2019</v>
      </c>
      <c r="D16" t="s">
        <v>1000</v>
      </c>
      <c r="E16" t="s">
        <v>2972</v>
      </c>
      <c r="I16" t="s">
        <v>3393</v>
      </c>
      <c r="J16">
        <v>2019</v>
      </c>
      <c r="K16" t="s">
        <v>1019</v>
      </c>
      <c r="L16" t="s">
        <v>5167</v>
      </c>
      <c r="AH16" t="s">
        <v>3393</v>
      </c>
      <c r="AI16">
        <v>2020</v>
      </c>
      <c r="AJ16" t="s">
        <v>857</v>
      </c>
      <c r="AK16">
        <v>449</v>
      </c>
      <c r="AO16" t="s">
        <v>3393</v>
      </c>
      <c r="AP16">
        <v>2019</v>
      </c>
      <c r="AQ16" t="s">
        <v>851</v>
      </c>
      <c r="AR16">
        <v>3.5299999999999998E-2</v>
      </c>
      <c r="BC16" t="s">
        <v>3393</v>
      </c>
      <c r="BD16">
        <v>2019</v>
      </c>
      <c r="BE16" t="s">
        <v>2675</v>
      </c>
      <c r="BF16" t="s">
        <v>1025</v>
      </c>
      <c r="BG16">
        <v>1</v>
      </c>
      <c r="BK16" t="s">
        <v>3393</v>
      </c>
      <c r="BL16">
        <v>2020</v>
      </c>
      <c r="BM16" t="s">
        <v>115</v>
      </c>
      <c r="BN16" t="s">
        <v>4138</v>
      </c>
      <c r="BR16" t="s">
        <v>3393</v>
      </c>
      <c r="BS16">
        <v>2020</v>
      </c>
      <c r="BT16" t="s">
        <v>115</v>
      </c>
      <c r="BU16" t="s">
        <v>5096</v>
      </c>
    </row>
    <row r="17" spans="2:73" x14ac:dyDescent="0.25">
      <c r="B17" t="s">
        <v>3393</v>
      </c>
      <c r="C17">
        <v>2019</v>
      </c>
      <c r="D17" t="s">
        <v>1004</v>
      </c>
      <c r="E17" t="s">
        <v>5264</v>
      </c>
      <c r="I17" t="s">
        <v>3393</v>
      </c>
      <c r="J17">
        <v>2019</v>
      </c>
      <c r="K17" t="s">
        <v>1025</v>
      </c>
      <c r="L17" t="s">
        <v>5168</v>
      </c>
      <c r="AH17" t="s">
        <v>3393</v>
      </c>
      <c r="AI17">
        <v>2021</v>
      </c>
      <c r="AJ17" t="s">
        <v>857</v>
      </c>
      <c r="AK17">
        <v>532</v>
      </c>
      <c r="AO17" t="s">
        <v>3393</v>
      </c>
      <c r="AP17">
        <v>2019</v>
      </c>
      <c r="AQ17" t="s">
        <v>855</v>
      </c>
      <c r="AR17">
        <v>8.9999999999999998E-4</v>
      </c>
      <c r="BC17" t="s">
        <v>3393</v>
      </c>
      <c r="BD17">
        <v>2019</v>
      </c>
      <c r="BE17" t="s">
        <v>2675</v>
      </c>
      <c r="BF17" t="s">
        <v>1024</v>
      </c>
      <c r="BG17">
        <v>1</v>
      </c>
      <c r="BK17" t="s">
        <v>3393</v>
      </c>
      <c r="BL17">
        <v>2020</v>
      </c>
      <c r="BM17" t="s">
        <v>888</v>
      </c>
      <c r="BN17" t="s">
        <v>1993</v>
      </c>
      <c r="BR17" t="s">
        <v>3393</v>
      </c>
      <c r="BS17">
        <v>2020</v>
      </c>
      <c r="BT17" t="s">
        <v>888</v>
      </c>
      <c r="BU17" t="s">
        <v>5097</v>
      </c>
    </row>
    <row r="18" spans="2:73" x14ac:dyDescent="0.25">
      <c r="B18" t="s">
        <v>3393</v>
      </c>
      <c r="C18">
        <v>2019</v>
      </c>
      <c r="D18" t="s">
        <v>1003</v>
      </c>
      <c r="E18" t="s">
        <v>3578</v>
      </c>
      <c r="I18" t="s">
        <v>3393</v>
      </c>
      <c r="J18">
        <v>2019</v>
      </c>
      <c r="K18" t="s">
        <v>1024</v>
      </c>
      <c r="L18" t="s">
        <v>5169</v>
      </c>
      <c r="AH18" t="s">
        <v>3393</v>
      </c>
      <c r="AI18">
        <v>2022</v>
      </c>
      <c r="AJ18" t="s">
        <v>857</v>
      </c>
      <c r="AK18">
        <v>188</v>
      </c>
      <c r="AO18" t="s">
        <v>3393</v>
      </c>
      <c r="AP18">
        <v>2019</v>
      </c>
      <c r="AQ18" t="s">
        <v>856</v>
      </c>
      <c r="AR18">
        <v>6.1000000000000004E-3</v>
      </c>
      <c r="BC18" t="s">
        <v>3393</v>
      </c>
      <c r="BD18">
        <v>2019</v>
      </c>
      <c r="BE18" t="s">
        <v>2675</v>
      </c>
      <c r="BF18" t="s">
        <v>1026</v>
      </c>
      <c r="BG18">
        <v>1</v>
      </c>
      <c r="BK18" t="s">
        <v>3393</v>
      </c>
      <c r="BL18">
        <v>2020</v>
      </c>
      <c r="BM18" t="s">
        <v>182</v>
      </c>
      <c r="BN18" t="s">
        <v>4138</v>
      </c>
      <c r="BR18" t="s">
        <v>3393</v>
      </c>
      <c r="BS18">
        <v>2020</v>
      </c>
      <c r="BT18" t="s">
        <v>182</v>
      </c>
      <c r="BU18" t="s">
        <v>5098</v>
      </c>
    </row>
    <row r="19" spans="2:73" x14ac:dyDescent="0.25">
      <c r="B19" t="s">
        <v>3393</v>
      </c>
      <c r="C19">
        <v>2019</v>
      </c>
      <c r="D19" t="s">
        <v>997</v>
      </c>
      <c r="E19" t="s">
        <v>5265</v>
      </c>
      <c r="I19" t="s">
        <v>3393</v>
      </c>
      <c r="J19">
        <v>2019</v>
      </c>
      <c r="K19" t="s">
        <v>1026</v>
      </c>
      <c r="L19" t="s">
        <v>1993</v>
      </c>
      <c r="AH19" t="s">
        <v>3393</v>
      </c>
      <c r="AI19">
        <v>2023</v>
      </c>
      <c r="AJ19" t="s">
        <v>857</v>
      </c>
      <c r="AK19">
        <v>160</v>
      </c>
      <c r="AO19" t="s">
        <v>3393</v>
      </c>
      <c r="AP19">
        <v>2019</v>
      </c>
      <c r="AQ19" t="s">
        <v>865</v>
      </c>
      <c r="AR19">
        <v>6.8500000000000005E-2</v>
      </c>
      <c r="BC19" t="s">
        <v>3393</v>
      </c>
      <c r="BD19">
        <v>2019</v>
      </c>
      <c r="BE19" t="s">
        <v>2615</v>
      </c>
      <c r="BF19" t="s">
        <v>1001</v>
      </c>
      <c r="BG19">
        <v>0</v>
      </c>
      <c r="BK19" t="s">
        <v>3393</v>
      </c>
      <c r="BL19">
        <v>2021</v>
      </c>
      <c r="BM19" t="s">
        <v>113</v>
      </c>
      <c r="BN19" t="s">
        <v>1993</v>
      </c>
      <c r="BR19" t="s">
        <v>3393</v>
      </c>
      <c r="BS19">
        <v>2021</v>
      </c>
      <c r="BT19" t="s">
        <v>113</v>
      </c>
      <c r="BU19" t="s">
        <v>1993</v>
      </c>
    </row>
    <row r="20" spans="2:73" x14ac:dyDescent="0.25">
      <c r="B20" t="s">
        <v>3393</v>
      </c>
      <c r="C20">
        <v>2019</v>
      </c>
      <c r="D20" t="s">
        <v>986</v>
      </c>
      <c r="E20" t="s">
        <v>5266</v>
      </c>
      <c r="I20" t="s">
        <v>3393</v>
      </c>
      <c r="J20">
        <v>2019</v>
      </c>
      <c r="K20" t="s">
        <v>1023</v>
      </c>
      <c r="L20" t="s">
        <v>3599</v>
      </c>
      <c r="AH20" t="s">
        <v>3393</v>
      </c>
      <c r="AI20">
        <v>2019</v>
      </c>
      <c r="AJ20" t="s">
        <v>862</v>
      </c>
      <c r="AK20">
        <v>3872</v>
      </c>
      <c r="AO20" t="s">
        <v>3393</v>
      </c>
      <c r="AP20">
        <v>2019</v>
      </c>
      <c r="AQ20" t="s">
        <v>861</v>
      </c>
      <c r="AR20">
        <v>5.3E-3</v>
      </c>
      <c r="BC20" t="s">
        <v>3393</v>
      </c>
      <c r="BD20">
        <v>2019</v>
      </c>
      <c r="BE20" t="s">
        <v>2615</v>
      </c>
      <c r="BF20" t="s">
        <v>1000</v>
      </c>
      <c r="BG20">
        <v>1</v>
      </c>
      <c r="BK20" t="s">
        <v>3393</v>
      </c>
      <c r="BL20">
        <v>2021</v>
      </c>
      <c r="BM20" t="s">
        <v>890</v>
      </c>
      <c r="BN20" t="s">
        <v>5120</v>
      </c>
      <c r="BR20" t="s">
        <v>3393</v>
      </c>
      <c r="BS20">
        <v>2021</v>
      </c>
      <c r="BT20" t="s">
        <v>890</v>
      </c>
      <c r="BU20" t="s">
        <v>5099</v>
      </c>
    </row>
    <row r="21" spans="2:73" x14ac:dyDescent="0.25">
      <c r="B21" t="s">
        <v>3393</v>
      </c>
      <c r="C21">
        <v>2019</v>
      </c>
      <c r="D21" t="s">
        <v>991</v>
      </c>
      <c r="E21" t="s">
        <v>5267</v>
      </c>
      <c r="I21" t="s">
        <v>3393</v>
      </c>
      <c r="J21">
        <v>2019</v>
      </c>
      <c r="K21" t="s">
        <v>1027</v>
      </c>
      <c r="L21" t="s">
        <v>3600</v>
      </c>
      <c r="AH21" t="s">
        <v>3393</v>
      </c>
      <c r="AI21">
        <v>2020</v>
      </c>
      <c r="AJ21" t="s">
        <v>862</v>
      </c>
      <c r="AK21">
        <v>3562</v>
      </c>
      <c r="AO21" t="s">
        <v>3393</v>
      </c>
      <c r="AP21">
        <v>2019</v>
      </c>
      <c r="AQ21" t="s">
        <v>871</v>
      </c>
      <c r="AR21">
        <v>0.1056</v>
      </c>
      <c r="BC21" t="s">
        <v>3393</v>
      </c>
      <c r="BD21">
        <v>2019</v>
      </c>
      <c r="BE21" t="s">
        <v>2615</v>
      </c>
      <c r="BF21" t="s">
        <v>1004</v>
      </c>
      <c r="BG21">
        <v>0</v>
      </c>
      <c r="BK21" t="s">
        <v>3393</v>
      </c>
      <c r="BL21">
        <v>2021</v>
      </c>
      <c r="BM21" t="s">
        <v>892</v>
      </c>
      <c r="BN21" t="s">
        <v>5121</v>
      </c>
      <c r="BR21" t="s">
        <v>3393</v>
      </c>
      <c r="BS21">
        <v>2021</v>
      </c>
      <c r="BT21" t="s">
        <v>892</v>
      </c>
      <c r="BU21" t="s">
        <v>2117</v>
      </c>
    </row>
    <row r="22" spans="2:73" x14ac:dyDescent="0.25">
      <c r="B22" t="s">
        <v>3393</v>
      </c>
      <c r="C22">
        <v>2019</v>
      </c>
      <c r="D22" t="s">
        <v>999</v>
      </c>
      <c r="E22" t="s">
        <v>3582</v>
      </c>
      <c r="I22" t="s">
        <v>3393</v>
      </c>
      <c r="J22">
        <v>2019</v>
      </c>
      <c r="K22" t="s">
        <v>1022</v>
      </c>
      <c r="L22" t="s">
        <v>5170</v>
      </c>
      <c r="AH22" t="s">
        <v>3393</v>
      </c>
      <c r="AI22">
        <v>2021</v>
      </c>
      <c r="AJ22" t="s">
        <v>862</v>
      </c>
      <c r="AK22">
        <v>2848</v>
      </c>
      <c r="AO22" t="s">
        <v>3393</v>
      </c>
      <c r="AP22">
        <v>2019</v>
      </c>
      <c r="AQ22" t="s">
        <v>848</v>
      </c>
      <c r="AR22">
        <v>0.3115</v>
      </c>
      <c r="BC22" t="s">
        <v>3393</v>
      </c>
      <c r="BD22">
        <v>2019</v>
      </c>
      <c r="BE22" t="s">
        <v>2615</v>
      </c>
      <c r="BF22" t="s">
        <v>1003</v>
      </c>
      <c r="BG22">
        <v>1</v>
      </c>
      <c r="BK22" t="s">
        <v>3393</v>
      </c>
      <c r="BL22">
        <v>2021</v>
      </c>
      <c r="BM22" t="s">
        <v>891</v>
      </c>
      <c r="BN22" t="s">
        <v>5122</v>
      </c>
      <c r="BR22" t="s">
        <v>3393</v>
      </c>
      <c r="BS22">
        <v>2021</v>
      </c>
      <c r="BT22" t="s">
        <v>891</v>
      </c>
      <c r="BU22" t="s">
        <v>5100</v>
      </c>
    </row>
    <row r="23" spans="2:73" x14ac:dyDescent="0.25">
      <c r="B23" t="s">
        <v>3393</v>
      </c>
      <c r="C23">
        <v>2019</v>
      </c>
      <c r="D23" t="s">
        <v>998</v>
      </c>
      <c r="E23" t="s">
        <v>3583</v>
      </c>
      <c r="I23" t="s">
        <v>3393</v>
      </c>
      <c r="J23">
        <v>2019</v>
      </c>
      <c r="K23" t="s">
        <v>1018</v>
      </c>
      <c r="L23" t="s">
        <v>5171</v>
      </c>
      <c r="AH23" t="s">
        <v>3393</v>
      </c>
      <c r="AI23">
        <v>2022</v>
      </c>
      <c r="AJ23" t="s">
        <v>862</v>
      </c>
      <c r="AK23">
        <v>722</v>
      </c>
      <c r="AO23" t="s">
        <v>3393</v>
      </c>
      <c r="AP23">
        <v>2019</v>
      </c>
      <c r="AQ23" t="s">
        <v>853</v>
      </c>
      <c r="AR23">
        <v>0.68240000000000001</v>
      </c>
      <c r="BC23" t="s">
        <v>3393</v>
      </c>
      <c r="BD23">
        <v>2019</v>
      </c>
      <c r="BE23" t="s">
        <v>2675</v>
      </c>
      <c r="BF23" t="s">
        <v>1023</v>
      </c>
      <c r="BG23">
        <v>1</v>
      </c>
      <c r="BK23" t="s">
        <v>3393</v>
      </c>
      <c r="BL23">
        <v>2021</v>
      </c>
      <c r="BM23" t="s">
        <v>115</v>
      </c>
      <c r="BN23" t="s">
        <v>5123</v>
      </c>
      <c r="BR23" t="s">
        <v>3393</v>
      </c>
      <c r="BS23">
        <v>2021</v>
      </c>
      <c r="BT23" t="s">
        <v>115</v>
      </c>
      <c r="BU23" t="s">
        <v>5101</v>
      </c>
    </row>
    <row r="24" spans="2:73" x14ac:dyDescent="0.25">
      <c r="B24" t="s">
        <v>3393</v>
      </c>
      <c r="C24">
        <v>2019</v>
      </c>
      <c r="D24" t="s">
        <v>1002</v>
      </c>
      <c r="E24" t="s">
        <v>5268</v>
      </c>
      <c r="I24" t="s">
        <v>3393</v>
      </c>
      <c r="J24">
        <v>2019</v>
      </c>
      <c r="K24" t="s">
        <v>1014</v>
      </c>
      <c r="L24" t="s">
        <v>5172</v>
      </c>
      <c r="AH24" t="s">
        <v>3393</v>
      </c>
      <c r="AI24">
        <v>2023</v>
      </c>
      <c r="AJ24" t="s">
        <v>862</v>
      </c>
      <c r="AK24">
        <v>0</v>
      </c>
      <c r="AO24" t="s">
        <v>3393</v>
      </c>
      <c r="AP24">
        <v>2019</v>
      </c>
      <c r="AQ24" t="s">
        <v>854</v>
      </c>
      <c r="AR24">
        <v>0.57679999999999998</v>
      </c>
      <c r="BC24" t="s">
        <v>3393</v>
      </c>
      <c r="BD24">
        <v>2019</v>
      </c>
      <c r="BE24" t="s">
        <v>2675</v>
      </c>
      <c r="BF24" t="s">
        <v>1027</v>
      </c>
      <c r="BG24">
        <v>1</v>
      </c>
      <c r="BK24" t="s">
        <v>3393</v>
      </c>
      <c r="BL24">
        <v>2021</v>
      </c>
      <c r="BM24" t="s">
        <v>888</v>
      </c>
      <c r="BN24" t="s">
        <v>1993</v>
      </c>
      <c r="BR24" t="s">
        <v>3393</v>
      </c>
      <c r="BS24">
        <v>2021</v>
      </c>
      <c r="BT24" t="s">
        <v>888</v>
      </c>
      <c r="BU24" t="s">
        <v>5102</v>
      </c>
    </row>
    <row r="25" spans="2:73" x14ac:dyDescent="0.25">
      <c r="B25" t="s">
        <v>3393</v>
      </c>
      <c r="C25">
        <v>2019</v>
      </c>
      <c r="D25" t="s">
        <v>1006</v>
      </c>
      <c r="E25" t="s">
        <v>3585</v>
      </c>
      <c r="I25" t="s">
        <v>3393</v>
      </c>
      <c r="J25">
        <v>2019</v>
      </c>
      <c r="K25" t="s">
        <v>792</v>
      </c>
      <c r="L25" t="s">
        <v>3603</v>
      </c>
      <c r="AH25" t="s">
        <v>3393</v>
      </c>
      <c r="AI25">
        <v>2019</v>
      </c>
      <c r="AJ25" t="s">
        <v>872</v>
      </c>
      <c r="AK25">
        <v>109</v>
      </c>
      <c r="AO25" t="s">
        <v>3393</v>
      </c>
      <c r="AP25">
        <v>2019</v>
      </c>
      <c r="AQ25" t="s">
        <v>863</v>
      </c>
      <c r="AR25">
        <v>0.1056</v>
      </c>
      <c r="BC25" t="s">
        <v>3393</v>
      </c>
      <c r="BD25">
        <v>2019</v>
      </c>
      <c r="BE25" t="s">
        <v>2675</v>
      </c>
      <c r="BF25" t="s">
        <v>1014</v>
      </c>
      <c r="BG25">
        <v>0</v>
      </c>
      <c r="BK25" t="s">
        <v>3393</v>
      </c>
      <c r="BL25">
        <v>2021</v>
      </c>
      <c r="BM25" t="s">
        <v>182</v>
      </c>
      <c r="BN25" t="s">
        <v>5123</v>
      </c>
      <c r="BR25" t="s">
        <v>3393</v>
      </c>
      <c r="BS25">
        <v>2021</v>
      </c>
      <c r="BT25" t="s">
        <v>182</v>
      </c>
      <c r="BU25" t="s">
        <v>5103</v>
      </c>
    </row>
    <row r="26" spans="2:73" x14ac:dyDescent="0.25">
      <c r="B26" t="s">
        <v>3393</v>
      </c>
      <c r="C26">
        <v>2020</v>
      </c>
      <c r="D26" t="s">
        <v>996</v>
      </c>
      <c r="E26" t="s">
        <v>5269</v>
      </c>
      <c r="I26" t="s">
        <v>3393</v>
      </c>
      <c r="J26">
        <v>2019</v>
      </c>
      <c r="K26" t="s">
        <v>1012</v>
      </c>
      <c r="L26" t="s">
        <v>5173</v>
      </c>
      <c r="AH26" t="s">
        <v>3393</v>
      </c>
      <c r="AI26">
        <v>2020</v>
      </c>
      <c r="AJ26" t="s">
        <v>872</v>
      </c>
      <c r="AK26">
        <v>25</v>
      </c>
      <c r="AO26" t="s">
        <v>3393</v>
      </c>
      <c r="AP26">
        <v>2019</v>
      </c>
      <c r="AQ26" t="s">
        <v>868</v>
      </c>
      <c r="AR26">
        <v>6.1000000000000004E-3</v>
      </c>
      <c r="BC26" t="s">
        <v>3393</v>
      </c>
      <c r="BD26">
        <v>2019</v>
      </c>
      <c r="BE26" t="s">
        <v>2675</v>
      </c>
      <c r="BF26" t="s">
        <v>792</v>
      </c>
      <c r="BG26">
        <v>0.54800000000000004</v>
      </c>
      <c r="BK26" t="s">
        <v>3393</v>
      </c>
      <c r="BL26">
        <v>2022</v>
      </c>
      <c r="BM26" t="s">
        <v>113</v>
      </c>
      <c r="BN26" t="s">
        <v>1993</v>
      </c>
      <c r="BR26" t="s">
        <v>3393</v>
      </c>
      <c r="BS26">
        <v>2022</v>
      </c>
      <c r="BT26" t="s">
        <v>113</v>
      </c>
      <c r="BU26" t="s">
        <v>1993</v>
      </c>
    </row>
    <row r="27" spans="2:73" x14ac:dyDescent="0.25">
      <c r="B27" t="s">
        <v>3393</v>
      </c>
      <c r="C27">
        <v>2020</v>
      </c>
      <c r="D27" t="s">
        <v>1005</v>
      </c>
      <c r="E27" t="s">
        <v>3921</v>
      </c>
      <c r="I27" t="s">
        <v>3393</v>
      </c>
      <c r="J27">
        <v>2019</v>
      </c>
      <c r="K27" t="s">
        <v>1015</v>
      </c>
      <c r="L27" t="s">
        <v>5174</v>
      </c>
      <c r="AH27" t="s">
        <v>3393</v>
      </c>
      <c r="AI27">
        <v>2021</v>
      </c>
      <c r="AJ27" t="s">
        <v>872</v>
      </c>
      <c r="AK27">
        <v>0</v>
      </c>
      <c r="AO27" t="s">
        <v>3393</v>
      </c>
      <c r="AP27">
        <v>2019</v>
      </c>
      <c r="AQ27" t="s">
        <v>869</v>
      </c>
      <c r="AR27">
        <v>0</v>
      </c>
      <c r="BC27" t="s">
        <v>3393</v>
      </c>
      <c r="BD27">
        <v>2019</v>
      </c>
      <c r="BE27" t="s">
        <v>2615</v>
      </c>
      <c r="BF27" t="s">
        <v>1054</v>
      </c>
      <c r="BG27">
        <v>0.999</v>
      </c>
      <c r="BK27" t="s">
        <v>3393</v>
      </c>
      <c r="BL27">
        <v>2022</v>
      </c>
      <c r="BM27" t="s">
        <v>890</v>
      </c>
      <c r="BN27" t="s">
        <v>5124</v>
      </c>
      <c r="BR27" t="s">
        <v>3393</v>
      </c>
      <c r="BS27">
        <v>2022</v>
      </c>
      <c r="BT27" t="s">
        <v>890</v>
      </c>
      <c r="BU27" t="s">
        <v>5104</v>
      </c>
    </row>
    <row r="28" spans="2:73" x14ac:dyDescent="0.25">
      <c r="B28" t="s">
        <v>3393</v>
      </c>
      <c r="C28">
        <v>2020</v>
      </c>
      <c r="D28" t="s">
        <v>994</v>
      </c>
      <c r="E28" t="s">
        <v>3922</v>
      </c>
      <c r="I28" t="s">
        <v>3393</v>
      </c>
      <c r="J28">
        <v>2019</v>
      </c>
      <c r="K28" t="s">
        <v>1031</v>
      </c>
      <c r="L28" t="s">
        <v>5143</v>
      </c>
      <c r="AH28" t="s">
        <v>3393</v>
      </c>
      <c r="AI28">
        <v>2022</v>
      </c>
      <c r="AJ28" t="s">
        <v>872</v>
      </c>
      <c r="AK28">
        <v>0</v>
      </c>
      <c r="AO28" t="s">
        <v>3393</v>
      </c>
      <c r="AP28">
        <v>2019</v>
      </c>
      <c r="AQ28" t="s">
        <v>870</v>
      </c>
      <c r="AR28">
        <v>1</v>
      </c>
      <c r="BC28" t="s">
        <v>3393</v>
      </c>
      <c r="BD28">
        <v>2019</v>
      </c>
      <c r="BE28" t="s">
        <v>2615</v>
      </c>
      <c r="BF28" t="s">
        <v>997</v>
      </c>
      <c r="BG28">
        <v>0.50719999999999998</v>
      </c>
      <c r="BK28" t="s">
        <v>3393</v>
      </c>
      <c r="BL28">
        <v>2022</v>
      </c>
      <c r="BM28" t="s">
        <v>892</v>
      </c>
      <c r="BN28" t="s">
        <v>5125</v>
      </c>
      <c r="BR28" t="s">
        <v>3393</v>
      </c>
      <c r="BS28">
        <v>2022</v>
      </c>
      <c r="BT28" t="s">
        <v>892</v>
      </c>
      <c r="BU28" t="s">
        <v>4756</v>
      </c>
    </row>
    <row r="29" spans="2:73" x14ac:dyDescent="0.25">
      <c r="B29" t="s">
        <v>3393</v>
      </c>
      <c r="C29">
        <v>2020</v>
      </c>
      <c r="D29" t="s">
        <v>995</v>
      </c>
      <c r="E29" t="s">
        <v>5270</v>
      </c>
      <c r="I29" t="s">
        <v>3393</v>
      </c>
      <c r="J29">
        <v>2019</v>
      </c>
      <c r="K29" t="s">
        <v>798</v>
      </c>
      <c r="L29" t="s">
        <v>3607</v>
      </c>
      <c r="AH29" t="s">
        <v>3393</v>
      </c>
      <c r="AI29">
        <v>2023</v>
      </c>
      <c r="AJ29" t="s">
        <v>872</v>
      </c>
      <c r="AK29">
        <v>0</v>
      </c>
      <c r="AO29" t="s">
        <v>3393</v>
      </c>
      <c r="AP29">
        <v>2020</v>
      </c>
      <c r="AQ29" t="s">
        <v>858</v>
      </c>
      <c r="AR29">
        <v>0.20949999999999999</v>
      </c>
      <c r="BC29" t="s">
        <v>3393</v>
      </c>
      <c r="BD29">
        <v>2019</v>
      </c>
      <c r="BE29" t="s">
        <v>2615</v>
      </c>
      <c r="BF29" t="s">
        <v>1053</v>
      </c>
      <c r="BG29">
        <v>1</v>
      </c>
      <c r="BK29" t="s">
        <v>3393</v>
      </c>
      <c r="BL29">
        <v>2022</v>
      </c>
      <c r="BM29" t="s">
        <v>891</v>
      </c>
      <c r="BN29" t="s">
        <v>5126</v>
      </c>
      <c r="BR29" t="s">
        <v>3393</v>
      </c>
      <c r="BS29">
        <v>2022</v>
      </c>
      <c r="BT29" t="s">
        <v>891</v>
      </c>
      <c r="BU29" t="s">
        <v>5105</v>
      </c>
    </row>
    <row r="30" spans="2:73" x14ac:dyDescent="0.25">
      <c r="B30" t="s">
        <v>3393</v>
      </c>
      <c r="C30">
        <v>2020</v>
      </c>
      <c r="D30" t="s">
        <v>990</v>
      </c>
      <c r="E30" t="s">
        <v>3924</v>
      </c>
      <c r="I30" t="s">
        <v>3393</v>
      </c>
      <c r="J30">
        <v>2020</v>
      </c>
      <c r="K30" t="s">
        <v>1010</v>
      </c>
      <c r="L30" t="s">
        <v>5175</v>
      </c>
      <c r="AH30" t="s">
        <v>3393</v>
      </c>
      <c r="AI30">
        <v>2019</v>
      </c>
      <c r="AJ30" t="s">
        <v>864</v>
      </c>
      <c r="AK30">
        <v>237</v>
      </c>
      <c r="AO30" t="s">
        <v>3393</v>
      </c>
      <c r="AP30">
        <v>2020</v>
      </c>
      <c r="AQ30" t="s">
        <v>859</v>
      </c>
      <c r="AR30">
        <v>2.6800000000000001E-2</v>
      </c>
      <c r="BC30" t="s">
        <v>3393</v>
      </c>
      <c r="BD30">
        <v>2019</v>
      </c>
      <c r="BE30" t="s">
        <v>2615</v>
      </c>
      <c r="BF30" t="s">
        <v>986</v>
      </c>
      <c r="BG30">
        <v>0.99419999999999997</v>
      </c>
      <c r="BK30" t="s">
        <v>3393</v>
      </c>
      <c r="BL30">
        <v>2022</v>
      </c>
      <c r="BM30" t="s">
        <v>115</v>
      </c>
      <c r="BN30" t="s">
        <v>5127</v>
      </c>
      <c r="BR30" t="s">
        <v>3393</v>
      </c>
      <c r="BS30">
        <v>2022</v>
      </c>
      <c r="BT30" t="s">
        <v>115</v>
      </c>
      <c r="BU30" t="s">
        <v>5106</v>
      </c>
    </row>
    <row r="31" spans="2:73" x14ac:dyDescent="0.25">
      <c r="B31" t="s">
        <v>3393</v>
      </c>
      <c r="C31">
        <v>2020</v>
      </c>
      <c r="D31" t="s">
        <v>1001</v>
      </c>
      <c r="E31" t="s">
        <v>1993</v>
      </c>
      <c r="I31" t="s">
        <v>3393</v>
      </c>
      <c r="J31">
        <v>2020</v>
      </c>
      <c r="K31" t="s">
        <v>1011</v>
      </c>
      <c r="L31" t="s">
        <v>5176</v>
      </c>
      <c r="AH31" t="s">
        <v>3393</v>
      </c>
      <c r="AI31">
        <v>2020</v>
      </c>
      <c r="AJ31" t="s">
        <v>864</v>
      </c>
      <c r="AK31">
        <v>838</v>
      </c>
      <c r="AO31" t="s">
        <v>3393</v>
      </c>
      <c r="AP31">
        <v>2020</v>
      </c>
      <c r="AQ31" t="s">
        <v>857</v>
      </c>
      <c r="AR31">
        <v>2.47E-2</v>
      </c>
      <c r="BC31" t="s">
        <v>3393</v>
      </c>
      <c r="BD31">
        <v>2019</v>
      </c>
      <c r="BE31" t="s">
        <v>2675</v>
      </c>
      <c r="BF31" t="s">
        <v>1012</v>
      </c>
      <c r="BG31">
        <v>1</v>
      </c>
      <c r="BK31" t="s">
        <v>3393</v>
      </c>
      <c r="BL31">
        <v>2022</v>
      </c>
      <c r="BM31" t="s">
        <v>888</v>
      </c>
      <c r="BN31" t="s">
        <v>1993</v>
      </c>
      <c r="BR31" t="s">
        <v>3393</v>
      </c>
      <c r="BS31">
        <v>2022</v>
      </c>
      <c r="BT31" t="s">
        <v>888</v>
      </c>
      <c r="BU31" t="s">
        <v>5107</v>
      </c>
    </row>
    <row r="32" spans="2:73" x14ac:dyDescent="0.25">
      <c r="B32" t="s">
        <v>3393</v>
      </c>
      <c r="C32">
        <v>2020</v>
      </c>
      <c r="D32" t="s">
        <v>2602</v>
      </c>
      <c r="E32" t="s">
        <v>5271</v>
      </c>
      <c r="I32" t="s">
        <v>3393</v>
      </c>
      <c r="J32">
        <v>2020</v>
      </c>
      <c r="K32" t="s">
        <v>1017</v>
      </c>
      <c r="L32" t="s">
        <v>5177</v>
      </c>
      <c r="AH32" t="s">
        <v>3393</v>
      </c>
      <c r="AI32">
        <v>2021</v>
      </c>
      <c r="AJ32" t="s">
        <v>864</v>
      </c>
      <c r="AK32">
        <v>944</v>
      </c>
      <c r="AO32" t="s">
        <v>3393</v>
      </c>
      <c r="AP32">
        <v>2020</v>
      </c>
      <c r="AQ32" t="s">
        <v>862</v>
      </c>
      <c r="AR32">
        <v>0.1963</v>
      </c>
      <c r="BC32" t="s">
        <v>3393</v>
      </c>
      <c r="BD32">
        <v>2019</v>
      </c>
      <c r="BE32" t="s">
        <v>2615</v>
      </c>
      <c r="BF32" t="s">
        <v>1055</v>
      </c>
      <c r="BG32">
        <v>0.2172</v>
      </c>
      <c r="BK32" t="s">
        <v>3393</v>
      </c>
      <c r="BL32">
        <v>2022</v>
      </c>
      <c r="BM32" t="s">
        <v>182</v>
      </c>
      <c r="BN32" t="s">
        <v>5127</v>
      </c>
      <c r="BR32" t="s">
        <v>3393</v>
      </c>
      <c r="BS32">
        <v>2022</v>
      </c>
      <c r="BT32" t="s">
        <v>182</v>
      </c>
      <c r="BU32" t="s">
        <v>5108</v>
      </c>
    </row>
    <row r="33" spans="2:73" x14ac:dyDescent="0.25">
      <c r="B33" t="s">
        <v>3393</v>
      </c>
      <c r="C33">
        <v>2020</v>
      </c>
      <c r="D33" t="s">
        <v>989</v>
      </c>
      <c r="E33" t="s">
        <v>5272</v>
      </c>
      <c r="I33" t="s">
        <v>3393</v>
      </c>
      <c r="J33">
        <v>2020</v>
      </c>
      <c r="K33" t="s">
        <v>1029</v>
      </c>
      <c r="L33" t="s">
        <v>5178</v>
      </c>
      <c r="AH33" t="s">
        <v>3393</v>
      </c>
      <c r="AI33">
        <v>2022</v>
      </c>
      <c r="AJ33" t="s">
        <v>864</v>
      </c>
      <c r="AK33">
        <v>317</v>
      </c>
      <c r="AO33" t="s">
        <v>3393</v>
      </c>
      <c r="AP33">
        <v>2020</v>
      </c>
      <c r="AQ33" t="s">
        <v>872</v>
      </c>
      <c r="AR33">
        <v>1.4E-3</v>
      </c>
      <c r="BC33" t="s">
        <v>3393</v>
      </c>
      <c r="BD33">
        <v>2019</v>
      </c>
      <c r="BE33" t="s">
        <v>2675</v>
      </c>
      <c r="BF33" t="s">
        <v>1015</v>
      </c>
      <c r="BG33">
        <v>0</v>
      </c>
      <c r="BK33" t="s">
        <v>3393</v>
      </c>
      <c r="BL33">
        <v>2023</v>
      </c>
      <c r="BM33" t="s">
        <v>113</v>
      </c>
      <c r="BN33" t="s">
        <v>4907</v>
      </c>
      <c r="BR33" t="s">
        <v>3393</v>
      </c>
      <c r="BS33">
        <v>2023</v>
      </c>
      <c r="BT33" t="s">
        <v>113</v>
      </c>
      <c r="BU33" t="s">
        <v>1993</v>
      </c>
    </row>
    <row r="34" spans="2:73" x14ac:dyDescent="0.25">
      <c r="B34" t="s">
        <v>3393</v>
      </c>
      <c r="C34">
        <v>2020</v>
      </c>
      <c r="D34" t="s">
        <v>987</v>
      </c>
      <c r="E34" t="s">
        <v>5273</v>
      </c>
      <c r="I34" t="s">
        <v>3393</v>
      </c>
      <c r="J34">
        <v>2020</v>
      </c>
      <c r="K34" t="s">
        <v>1013</v>
      </c>
      <c r="L34" t="s">
        <v>5179</v>
      </c>
      <c r="AH34" t="s">
        <v>3393</v>
      </c>
      <c r="AI34">
        <v>2023</v>
      </c>
      <c r="AJ34" t="s">
        <v>864</v>
      </c>
      <c r="AK34">
        <v>200</v>
      </c>
      <c r="AO34" t="s">
        <v>3393</v>
      </c>
      <c r="AP34">
        <v>2020</v>
      </c>
      <c r="AQ34" t="s">
        <v>864</v>
      </c>
      <c r="AR34">
        <v>4.6199999999999998E-2</v>
      </c>
      <c r="BC34" t="s">
        <v>3393</v>
      </c>
      <c r="BD34">
        <v>2019</v>
      </c>
      <c r="BE34" t="s">
        <v>2675</v>
      </c>
      <c r="BF34" t="s">
        <v>798</v>
      </c>
      <c r="BG34">
        <v>0.89980000000000004</v>
      </c>
      <c r="BK34" t="s">
        <v>3393</v>
      </c>
      <c r="BL34">
        <v>2023</v>
      </c>
      <c r="BM34" t="s">
        <v>890</v>
      </c>
      <c r="BN34" t="s">
        <v>5128</v>
      </c>
      <c r="BR34" t="s">
        <v>3393</v>
      </c>
      <c r="BS34">
        <v>2023</v>
      </c>
      <c r="BT34" t="s">
        <v>890</v>
      </c>
      <c r="BU34" t="s">
        <v>5109</v>
      </c>
    </row>
    <row r="35" spans="2:73" x14ac:dyDescent="0.25">
      <c r="B35" t="s">
        <v>3393</v>
      </c>
      <c r="C35">
        <v>2020</v>
      </c>
      <c r="D35" t="s">
        <v>993</v>
      </c>
      <c r="E35" t="s">
        <v>3928</v>
      </c>
      <c r="I35" t="s">
        <v>3393</v>
      </c>
      <c r="J35">
        <v>2020</v>
      </c>
      <c r="K35" t="s">
        <v>1028</v>
      </c>
      <c r="L35" t="s">
        <v>5180</v>
      </c>
      <c r="AH35" t="s">
        <v>3393</v>
      </c>
      <c r="AI35">
        <v>2019</v>
      </c>
      <c r="AJ35" t="s">
        <v>866</v>
      </c>
      <c r="AK35">
        <v>329</v>
      </c>
      <c r="AO35" t="s">
        <v>3393</v>
      </c>
      <c r="AP35">
        <v>2020</v>
      </c>
      <c r="AQ35" t="s">
        <v>866</v>
      </c>
      <c r="AR35">
        <v>2.7099999999999999E-2</v>
      </c>
      <c r="BC35" t="s">
        <v>3393</v>
      </c>
      <c r="BD35">
        <v>2020</v>
      </c>
      <c r="BE35" t="s">
        <v>2675</v>
      </c>
      <c r="BF35" t="s">
        <v>1010</v>
      </c>
      <c r="BG35">
        <v>0</v>
      </c>
      <c r="BK35" t="s">
        <v>3393</v>
      </c>
      <c r="BL35">
        <v>2023</v>
      </c>
      <c r="BM35" t="s">
        <v>892</v>
      </c>
      <c r="BN35" t="s">
        <v>5129</v>
      </c>
      <c r="BR35" t="s">
        <v>3393</v>
      </c>
      <c r="BS35">
        <v>2023</v>
      </c>
      <c r="BT35" t="s">
        <v>892</v>
      </c>
      <c r="BU35" t="s">
        <v>5063</v>
      </c>
    </row>
    <row r="36" spans="2:73" x14ac:dyDescent="0.25">
      <c r="B36" t="s">
        <v>3393</v>
      </c>
      <c r="C36">
        <v>2020</v>
      </c>
      <c r="D36" t="s">
        <v>992</v>
      </c>
      <c r="E36" t="s">
        <v>5274</v>
      </c>
      <c r="I36" t="s">
        <v>3393</v>
      </c>
      <c r="J36">
        <v>2020</v>
      </c>
      <c r="K36" t="s">
        <v>1020</v>
      </c>
      <c r="L36" t="s">
        <v>5181</v>
      </c>
      <c r="AH36" t="s">
        <v>3393</v>
      </c>
      <c r="AI36">
        <v>2020</v>
      </c>
      <c r="AJ36" t="s">
        <v>866</v>
      </c>
      <c r="AK36">
        <v>492</v>
      </c>
      <c r="AO36" t="s">
        <v>3393</v>
      </c>
      <c r="AP36">
        <v>2020</v>
      </c>
      <c r="AQ36" t="s">
        <v>860</v>
      </c>
      <c r="AR36">
        <v>2.7099999999999999E-2</v>
      </c>
      <c r="BC36" t="s">
        <v>3393</v>
      </c>
      <c r="BD36">
        <v>2020</v>
      </c>
      <c r="BE36" t="s">
        <v>2675</v>
      </c>
      <c r="BF36" t="s">
        <v>3074</v>
      </c>
      <c r="BG36">
        <v>0</v>
      </c>
      <c r="BK36" t="s">
        <v>3393</v>
      </c>
      <c r="BL36">
        <v>2023</v>
      </c>
      <c r="BM36" t="s">
        <v>891</v>
      </c>
      <c r="BN36" t="s">
        <v>5130</v>
      </c>
      <c r="BR36" t="s">
        <v>3393</v>
      </c>
      <c r="BS36">
        <v>2023</v>
      </c>
      <c r="BT36" t="s">
        <v>891</v>
      </c>
      <c r="BU36" t="s">
        <v>5110</v>
      </c>
    </row>
    <row r="37" spans="2:73" x14ac:dyDescent="0.25">
      <c r="B37" t="s">
        <v>3393</v>
      </c>
      <c r="C37">
        <v>2020</v>
      </c>
      <c r="D37" t="s">
        <v>1000</v>
      </c>
      <c r="E37" t="s">
        <v>2101</v>
      </c>
      <c r="I37" t="s">
        <v>3393</v>
      </c>
      <c r="J37">
        <v>2020</v>
      </c>
      <c r="K37" t="s">
        <v>1016</v>
      </c>
      <c r="L37" t="s">
        <v>5182</v>
      </c>
      <c r="AH37" t="s">
        <v>3393</v>
      </c>
      <c r="AI37">
        <v>2021</v>
      </c>
      <c r="AJ37" t="s">
        <v>866</v>
      </c>
      <c r="AK37">
        <v>545</v>
      </c>
      <c r="AO37" t="s">
        <v>3393</v>
      </c>
      <c r="AP37">
        <v>2020</v>
      </c>
      <c r="AQ37" t="s">
        <v>850</v>
      </c>
      <c r="AR37">
        <v>0.152</v>
      </c>
      <c r="BC37" t="s">
        <v>3393</v>
      </c>
      <c r="BD37">
        <v>2020</v>
      </c>
      <c r="BE37" t="s">
        <v>2675</v>
      </c>
      <c r="BF37" t="s">
        <v>1017</v>
      </c>
      <c r="BG37">
        <v>9.7699999999999995E-2</v>
      </c>
      <c r="BK37" t="s">
        <v>3393</v>
      </c>
      <c r="BL37">
        <v>2023</v>
      </c>
      <c r="BM37" t="s">
        <v>115</v>
      </c>
      <c r="BN37" t="s">
        <v>5131</v>
      </c>
      <c r="BR37" t="s">
        <v>3393</v>
      </c>
      <c r="BS37">
        <v>2023</v>
      </c>
      <c r="BT37" t="s">
        <v>115</v>
      </c>
      <c r="BU37" t="s">
        <v>5111</v>
      </c>
    </row>
    <row r="38" spans="2:73" x14ac:dyDescent="0.25">
      <c r="B38" t="s">
        <v>3393</v>
      </c>
      <c r="C38">
        <v>2020</v>
      </c>
      <c r="D38" t="s">
        <v>1004</v>
      </c>
      <c r="E38" t="s">
        <v>5275</v>
      </c>
      <c r="I38" t="s">
        <v>3393</v>
      </c>
      <c r="J38">
        <v>2020</v>
      </c>
      <c r="K38" t="s">
        <v>1030</v>
      </c>
      <c r="L38" t="s">
        <v>5183</v>
      </c>
      <c r="AH38" t="s">
        <v>3393</v>
      </c>
      <c r="AI38">
        <v>2022</v>
      </c>
      <c r="AJ38" t="s">
        <v>866</v>
      </c>
      <c r="AK38">
        <v>791</v>
      </c>
      <c r="AO38" t="s">
        <v>3393</v>
      </c>
      <c r="AP38">
        <v>2020</v>
      </c>
      <c r="AQ38" t="s">
        <v>849</v>
      </c>
      <c r="AR38">
        <v>4.6899999999999997E-2</v>
      </c>
      <c r="BC38" t="s">
        <v>3393</v>
      </c>
      <c r="BD38">
        <v>2020</v>
      </c>
      <c r="BE38" t="s">
        <v>2675</v>
      </c>
      <c r="BF38" t="s">
        <v>1029</v>
      </c>
      <c r="BG38">
        <v>0</v>
      </c>
      <c r="BK38" t="s">
        <v>3393</v>
      </c>
      <c r="BL38">
        <v>2023</v>
      </c>
      <c r="BM38" t="s">
        <v>888</v>
      </c>
      <c r="BN38" t="s">
        <v>1993</v>
      </c>
      <c r="BR38" t="s">
        <v>3393</v>
      </c>
      <c r="BS38">
        <v>2023</v>
      </c>
      <c r="BT38" t="s">
        <v>888</v>
      </c>
      <c r="BU38" t="s">
        <v>5112</v>
      </c>
    </row>
    <row r="39" spans="2:73" x14ac:dyDescent="0.25">
      <c r="B39" t="s">
        <v>3393</v>
      </c>
      <c r="C39">
        <v>2020</v>
      </c>
      <c r="D39" t="s">
        <v>1003</v>
      </c>
      <c r="E39" t="s">
        <v>3465</v>
      </c>
      <c r="I39" t="s">
        <v>3393</v>
      </c>
      <c r="J39">
        <v>2020</v>
      </c>
      <c r="K39" t="s">
        <v>1021</v>
      </c>
      <c r="L39" t="s">
        <v>5184</v>
      </c>
      <c r="AH39" t="s">
        <v>3393</v>
      </c>
      <c r="AI39">
        <v>2023</v>
      </c>
      <c r="AJ39" t="s">
        <v>866</v>
      </c>
      <c r="AK39">
        <v>520</v>
      </c>
      <c r="AO39" t="s">
        <v>3393</v>
      </c>
      <c r="AP39">
        <v>2020</v>
      </c>
      <c r="AQ39" t="s">
        <v>852</v>
      </c>
      <c r="AR39">
        <v>2.29E-2</v>
      </c>
      <c r="BC39" t="s">
        <v>3393</v>
      </c>
      <c r="BD39">
        <v>2020</v>
      </c>
      <c r="BE39" t="s">
        <v>2675</v>
      </c>
      <c r="BF39" t="s">
        <v>1028</v>
      </c>
      <c r="BG39">
        <v>0</v>
      </c>
      <c r="BK39" t="s">
        <v>3393</v>
      </c>
      <c r="BL39">
        <v>2023</v>
      </c>
      <c r="BM39" t="s">
        <v>182</v>
      </c>
      <c r="BN39" t="s">
        <v>5132</v>
      </c>
      <c r="BR39" t="s">
        <v>3393</v>
      </c>
      <c r="BS39">
        <v>2023</v>
      </c>
      <c r="BT39" t="s">
        <v>182</v>
      </c>
      <c r="BU39" t="s">
        <v>5113</v>
      </c>
    </row>
    <row r="40" spans="2:73" x14ac:dyDescent="0.25">
      <c r="B40" t="s">
        <v>3393</v>
      </c>
      <c r="C40">
        <v>2020</v>
      </c>
      <c r="D40" t="s">
        <v>997</v>
      </c>
      <c r="E40" t="s">
        <v>5276</v>
      </c>
      <c r="I40" t="s">
        <v>3393</v>
      </c>
      <c r="J40">
        <v>2020</v>
      </c>
      <c r="K40" t="s">
        <v>1009</v>
      </c>
      <c r="L40" t="s">
        <v>5185</v>
      </c>
      <c r="AH40" t="s">
        <v>3393</v>
      </c>
      <c r="AI40">
        <v>2019</v>
      </c>
      <c r="AJ40" t="s">
        <v>860</v>
      </c>
      <c r="AK40">
        <v>1389</v>
      </c>
      <c r="AO40" t="s">
        <v>3393</v>
      </c>
      <c r="AP40">
        <v>2020</v>
      </c>
      <c r="AQ40" t="s">
        <v>851</v>
      </c>
      <c r="AR40">
        <v>0.12659999999999999</v>
      </c>
      <c r="BC40" t="s">
        <v>3393</v>
      </c>
      <c r="BD40">
        <v>2020</v>
      </c>
      <c r="BE40" t="s">
        <v>2675</v>
      </c>
      <c r="BF40" t="s">
        <v>1020</v>
      </c>
      <c r="BG40">
        <v>0</v>
      </c>
    </row>
    <row r="41" spans="2:73" x14ac:dyDescent="0.25">
      <c r="B41" t="s">
        <v>3393</v>
      </c>
      <c r="C41">
        <v>2020</v>
      </c>
      <c r="D41" t="s">
        <v>986</v>
      </c>
      <c r="E41" t="s">
        <v>5277</v>
      </c>
      <c r="I41" t="s">
        <v>3393</v>
      </c>
      <c r="J41">
        <v>2020</v>
      </c>
      <c r="K41" t="s">
        <v>1019</v>
      </c>
      <c r="L41" t="s">
        <v>5186</v>
      </c>
      <c r="AH41" t="s">
        <v>3393</v>
      </c>
      <c r="AI41">
        <v>2020</v>
      </c>
      <c r="AJ41" t="s">
        <v>860</v>
      </c>
      <c r="AK41">
        <v>491</v>
      </c>
      <c r="AO41" t="s">
        <v>3393</v>
      </c>
      <c r="AP41">
        <v>2020</v>
      </c>
      <c r="AQ41" t="s">
        <v>855</v>
      </c>
      <c r="AR41">
        <v>8.6999999999999994E-3</v>
      </c>
      <c r="BC41" t="s">
        <v>3393</v>
      </c>
      <c r="BD41">
        <v>2020</v>
      </c>
      <c r="BE41" t="s">
        <v>2615</v>
      </c>
      <c r="BF41" t="s">
        <v>1005</v>
      </c>
      <c r="BG41">
        <v>0</v>
      </c>
    </row>
    <row r="42" spans="2:73" x14ac:dyDescent="0.25">
      <c r="B42" t="s">
        <v>3393</v>
      </c>
      <c r="C42">
        <v>2020</v>
      </c>
      <c r="D42" t="s">
        <v>991</v>
      </c>
      <c r="E42" t="s">
        <v>5278</v>
      </c>
      <c r="I42" t="s">
        <v>3393</v>
      </c>
      <c r="J42">
        <v>2020</v>
      </c>
      <c r="K42" t="s">
        <v>1025</v>
      </c>
      <c r="L42" t="s">
        <v>5187</v>
      </c>
      <c r="AH42" t="s">
        <v>3393</v>
      </c>
      <c r="AI42">
        <v>2021</v>
      </c>
      <c r="AJ42" t="s">
        <v>860</v>
      </c>
      <c r="AK42">
        <v>330</v>
      </c>
      <c r="AO42" t="s">
        <v>3393</v>
      </c>
      <c r="AP42">
        <v>2020</v>
      </c>
      <c r="AQ42" t="s">
        <v>856</v>
      </c>
      <c r="AR42">
        <v>3.5999999999999999E-3</v>
      </c>
      <c r="BC42" t="s">
        <v>3393</v>
      </c>
      <c r="BD42">
        <v>2020</v>
      </c>
      <c r="BE42" t="s">
        <v>2615</v>
      </c>
      <c r="BF42" t="s">
        <v>994</v>
      </c>
      <c r="BG42">
        <v>0</v>
      </c>
    </row>
    <row r="43" spans="2:73" x14ac:dyDescent="0.25">
      <c r="B43" t="s">
        <v>3393</v>
      </c>
      <c r="C43">
        <v>2020</v>
      </c>
      <c r="D43" t="s">
        <v>999</v>
      </c>
      <c r="E43" t="s">
        <v>2101</v>
      </c>
      <c r="I43" t="s">
        <v>3393</v>
      </c>
      <c r="J43">
        <v>2020</v>
      </c>
      <c r="K43" t="s">
        <v>1024</v>
      </c>
      <c r="L43" t="s">
        <v>5188</v>
      </c>
      <c r="AH43" t="s">
        <v>3393</v>
      </c>
      <c r="AI43">
        <v>2022</v>
      </c>
      <c r="AJ43" t="s">
        <v>860</v>
      </c>
      <c r="AK43">
        <v>620</v>
      </c>
      <c r="AO43" t="s">
        <v>3393</v>
      </c>
      <c r="AP43">
        <v>2020</v>
      </c>
      <c r="AQ43" t="s">
        <v>865</v>
      </c>
      <c r="AR43">
        <v>5.6800000000000003E-2</v>
      </c>
      <c r="BC43" t="s">
        <v>3393</v>
      </c>
      <c r="BD43">
        <v>2020</v>
      </c>
      <c r="BE43" t="s">
        <v>2675</v>
      </c>
      <c r="BF43" t="s">
        <v>1016</v>
      </c>
      <c r="BG43">
        <v>0</v>
      </c>
    </row>
    <row r="44" spans="2:73" x14ac:dyDescent="0.25">
      <c r="B44" t="s">
        <v>3393</v>
      </c>
      <c r="C44">
        <v>2020</v>
      </c>
      <c r="D44" t="s">
        <v>998</v>
      </c>
      <c r="E44" t="s">
        <v>5279</v>
      </c>
      <c r="I44" t="s">
        <v>3393</v>
      </c>
      <c r="J44">
        <v>2020</v>
      </c>
      <c r="K44" t="s">
        <v>1026</v>
      </c>
      <c r="L44" t="s">
        <v>1993</v>
      </c>
      <c r="AH44" t="s">
        <v>3393</v>
      </c>
      <c r="AI44">
        <v>2023</v>
      </c>
      <c r="AJ44" t="s">
        <v>860</v>
      </c>
      <c r="AK44">
        <v>413</v>
      </c>
      <c r="AO44" t="s">
        <v>3393</v>
      </c>
      <c r="AP44">
        <v>2020</v>
      </c>
      <c r="AQ44" t="s">
        <v>861</v>
      </c>
      <c r="AR44">
        <v>2.3999999999999998E-3</v>
      </c>
      <c r="BC44" t="s">
        <v>3393</v>
      </c>
      <c r="BD44">
        <v>2020</v>
      </c>
      <c r="BE44" t="s">
        <v>2675</v>
      </c>
      <c r="BF44" t="s">
        <v>1021</v>
      </c>
      <c r="BG44">
        <v>0</v>
      </c>
    </row>
    <row r="45" spans="2:73" x14ac:dyDescent="0.25">
      <c r="B45" t="s">
        <v>3393</v>
      </c>
      <c r="C45">
        <v>2020</v>
      </c>
      <c r="D45" t="s">
        <v>1002</v>
      </c>
      <c r="E45" t="s">
        <v>5280</v>
      </c>
      <c r="I45" t="s">
        <v>3393</v>
      </c>
      <c r="J45">
        <v>2020</v>
      </c>
      <c r="K45" t="s">
        <v>1023</v>
      </c>
      <c r="L45" t="s">
        <v>5189</v>
      </c>
      <c r="AH45" t="s">
        <v>3393</v>
      </c>
      <c r="AI45">
        <v>2019</v>
      </c>
      <c r="AJ45" t="s">
        <v>850</v>
      </c>
      <c r="AK45">
        <v>2825</v>
      </c>
      <c r="AO45" t="s">
        <v>3393</v>
      </c>
      <c r="AP45">
        <v>2020</v>
      </c>
      <c r="AQ45" t="s">
        <v>871</v>
      </c>
      <c r="AR45">
        <v>0.16880000000000001</v>
      </c>
      <c r="BC45" t="s">
        <v>3393</v>
      </c>
      <c r="BD45">
        <v>2020</v>
      </c>
      <c r="BE45" t="s">
        <v>2675</v>
      </c>
      <c r="BF45" t="s">
        <v>1061</v>
      </c>
      <c r="BG45">
        <v>0</v>
      </c>
    </row>
    <row r="46" spans="2:73" x14ac:dyDescent="0.25">
      <c r="B46" t="s">
        <v>3393</v>
      </c>
      <c r="C46">
        <v>2020</v>
      </c>
      <c r="D46" t="s">
        <v>1006</v>
      </c>
      <c r="E46" t="s">
        <v>5146</v>
      </c>
      <c r="I46" t="s">
        <v>3393</v>
      </c>
      <c r="J46">
        <v>2020</v>
      </c>
      <c r="K46" t="s">
        <v>1027</v>
      </c>
      <c r="L46" t="s">
        <v>3949</v>
      </c>
      <c r="AH46" t="s">
        <v>3393</v>
      </c>
      <c r="AI46">
        <v>2020</v>
      </c>
      <c r="AJ46" t="s">
        <v>850</v>
      </c>
      <c r="AK46">
        <v>2757</v>
      </c>
      <c r="AO46" t="s">
        <v>3393</v>
      </c>
      <c r="AP46">
        <v>2020</v>
      </c>
      <c r="AQ46" t="s">
        <v>848</v>
      </c>
      <c r="AR46">
        <v>0.36969999999999997</v>
      </c>
      <c r="BC46" t="s">
        <v>3393</v>
      </c>
      <c r="BD46">
        <v>2020</v>
      </c>
      <c r="BE46" t="s">
        <v>2675</v>
      </c>
      <c r="BF46" t="s">
        <v>1025</v>
      </c>
      <c r="BG46">
        <v>0</v>
      </c>
    </row>
    <row r="47" spans="2:73" x14ac:dyDescent="0.25">
      <c r="B47" t="s">
        <v>3393</v>
      </c>
      <c r="C47">
        <v>2021</v>
      </c>
      <c r="D47" t="s">
        <v>996</v>
      </c>
      <c r="E47" t="s">
        <v>5281</v>
      </c>
      <c r="I47" t="s">
        <v>3393</v>
      </c>
      <c r="J47">
        <v>2020</v>
      </c>
      <c r="K47" t="s">
        <v>1022</v>
      </c>
      <c r="L47" t="s">
        <v>5190</v>
      </c>
      <c r="AH47" t="s">
        <v>3393</v>
      </c>
      <c r="AI47">
        <v>2021</v>
      </c>
      <c r="AJ47" t="s">
        <v>850</v>
      </c>
      <c r="AK47">
        <v>2949</v>
      </c>
      <c r="AO47" t="s">
        <v>3393</v>
      </c>
      <c r="AP47">
        <v>2020</v>
      </c>
      <c r="AQ47" t="s">
        <v>853</v>
      </c>
      <c r="AR47">
        <v>0.62909999999999999</v>
      </c>
      <c r="BC47" t="s">
        <v>3393</v>
      </c>
      <c r="BD47">
        <v>2020</v>
      </c>
      <c r="BE47" t="s">
        <v>2675</v>
      </c>
      <c r="BF47" t="s">
        <v>1024</v>
      </c>
      <c r="BG47">
        <v>0</v>
      </c>
    </row>
    <row r="48" spans="2:73" x14ac:dyDescent="0.25">
      <c r="B48" t="s">
        <v>3393</v>
      </c>
      <c r="C48">
        <v>2021</v>
      </c>
      <c r="D48" t="s">
        <v>1005</v>
      </c>
      <c r="E48" t="s">
        <v>4255</v>
      </c>
      <c r="I48" t="s">
        <v>3393</v>
      </c>
      <c r="J48">
        <v>2020</v>
      </c>
      <c r="K48" t="s">
        <v>1018</v>
      </c>
      <c r="L48" t="s">
        <v>5191</v>
      </c>
      <c r="AH48" t="s">
        <v>3393</v>
      </c>
      <c r="AI48">
        <v>2022</v>
      </c>
      <c r="AJ48" t="s">
        <v>850</v>
      </c>
      <c r="AK48">
        <v>3902</v>
      </c>
      <c r="AO48" t="s">
        <v>3393</v>
      </c>
      <c r="AP48">
        <v>2020</v>
      </c>
      <c r="AQ48" t="s">
        <v>854</v>
      </c>
      <c r="AR48">
        <v>0.49909999999999999</v>
      </c>
      <c r="BC48" t="s">
        <v>3393</v>
      </c>
      <c r="BD48">
        <v>2020</v>
      </c>
      <c r="BE48" t="s">
        <v>2675</v>
      </c>
      <c r="BF48" t="s">
        <v>1026</v>
      </c>
      <c r="BG48">
        <v>0</v>
      </c>
    </row>
    <row r="49" spans="2:59" x14ac:dyDescent="0.25">
      <c r="B49" t="s">
        <v>3393</v>
      </c>
      <c r="C49">
        <v>2021</v>
      </c>
      <c r="D49" t="s">
        <v>994</v>
      </c>
      <c r="E49" t="s">
        <v>5282</v>
      </c>
      <c r="I49" t="s">
        <v>3393</v>
      </c>
      <c r="J49">
        <v>2020</v>
      </c>
      <c r="K49" t="s">
        <v>1014</v>
      </c>
      <c r="L49" t="s">
        <v>5192</v>
      </c>
      <c r="AH49" t="s">
        <v>3393</v>
      </c>
      <c r="AI49">
        <v>2023</v>
      </c>
      <c r="AJ49" t="s">
        <v>850</v>
      </c>
      <c r="AK49">
        <v>4997</v>
      </c>
      <c r="AO49" t="s">
        <v>3393</v>
      </c>
      <c r="AP49">
        <v>2020</v>
      </c>
      <c r="AQ49" t="s">
        <v>863</v>
      </c>
      <c r="AR49">
        <v>0.13</v>
      </c>
      <c r="BC49" t="s">
        <v>3393</v>
      </c>
      <c r="BD49">
        <v>2020</v>
      </c>
      <c r="BE49" t="s">
        <v>2615</v>
      </c>
      <c r="BF49" t="s">
        <v>1001</v>
      </c>
      <c r="BG49">
        <v>0</v>
      </c>
    </row>
    <row r="50" spans="2:59" x14ac:dyDescent="0.25">
      <c r="B50" t="s">
        <v>3393</v>
      </c>
      <c r="C50">
        <v>2021</v>
      </c>
      <c r="D50" t="s">
        <v>995</v>
      </c>
      <c r="E50" t="s">
        <v>5283</v>
      </c>
      <c r="I50" t="s">
        <v>3393</v>
      </c>
      <c r="J50">
        <v>2020</v>
      </c>
      <c r="K50" t="s">
        <v>792</v>
      </c>
      <c r="L50" t="s">
        <v>5193</v>
      </c>
      <c r="AH50" t="s">
        <v>3393</v>
      </c>
      <c r="AI50">
        <v>2019</v>
      </c>
      <c r="AJ50" t="s">
        <v>849</v>
      </c>
      <c r="AK50">
        <v>357</v>
      </c>
      <c r="AO50" t="s">
        <v>3393</v>
      </c>
      <c r="AP50">
        <v>2020</v>
      </c>
      <c r="AQ50" t="s">
        <v>868</v>
      </c>
      <c r="AR50">
        <v>1.1999999999999999E-3</v>
      </c>
      <c r="BC50" t="s">
        <v>3393</v>
      </c>
      <c r="BD50">
        <v>2020</v>
      </c>
      <c r="BE50" t="s">
        <v>2615</v>
      </c>
      <c r="BF50" t="s">
        <v>1000</v>
      </c>
      <c r="BG50">
        <v>0</v>
      </c>
    </row>
    <row r="51" spans="2:59" x14ac:dyDescent="0.25">
      <c r="B51" t="s">
        <v>3393</v>
      </c>
      <c r="C51">
        <v>2021</v>
      </c>
      <c r="D51" t="s">
        <v>990</v>
      </c>
      <c r="E51" t="s">
        <v>2552</v>
      </c>
      <c r="I51" t="s">
        <v>3393</v>
      </c>
      <c r="J51">
        <v>2020</v>
      </c>
      <c r="K51" t="s">
        <v>1012</v>
      </c>
      <c r="L51" t="s">
        <v>5194</v>
      </c>
      <c r="AH51" t="s">
        <v>3393</v>
      </c>
      <c r="AI51">
        <v>2020</v>
      </c>
      <c r="AJ51" t="s">
        <v>849</v>
      </c>
      <c r="AK51">
        <v>851</v>
      </c>
      <c r="AO51" t="s">
        <v>3393</v>
      </c>
      <c r="AP51">
        <v>2020</v>
      </c>
      <c r="AQ51" t="s">
        <v>869</v>
      </c>
      <c r="AR51">
        <v>0</v>
      </c>
      <c r="BC51" t="s">
        <v>3393</v>
      </c>
      <c r="BD51">
        <v>2020</v>
      </c>
      <c r="BE51" t="s">
        <v>2615</v>
      </c>
      <c r="BF51" t="s">
        <v>1004</v>
      </c>
      <c r="BG51">
        <v>0</v>
      </c>
    </row>
    <row r="52" spans="2:59" x14ac:dyDescent="0.25">
      <c r="B52" t="s">
        <v>3393</v>
      </c>
      <c r="C52">
        <v>2021</v>
      </c>
      <c r="D52" t="s">
        <v>1001</v>
      </c>
      <c r="E52" t="s">
        <v>1993</v>
      </c>
      <c r="I52" t="s">
        <v>3393</v>
      </c>
      <c r="J52">
        <v>2020</v>
      </c>
      <c r="K52" t="s">
        <v>1015</v>
      </c>
      <c r="L52" t="s">
        <v>5195</v>
      </c>
      <c r="AH52" t="s">
        <v>3393</v>
      </c>
      <c r="AI52">
        <v>2021</v>
      </c>
      <c r="AJ52" t="s">
        <v>849</v>
      </c>
      <c r="AK52">
        <v>552</v>
      </c>
      <c r="AO52" t="s">
        <v>3393</v>
      </c>
      <c r="AP52">
        <v>2020</v>
      </c>
      <c r="AQ52" t="s">
        <v>870</v>
      </c>
      <c r="AR52">
        <v>1</v>
      </c>
      <c r="BC52" t="s">
        <v>3393</v>
      </c>
      <c r="BD52">
        <v>2020</v>
      </c>
      <c r="BE52" t="s">
        <v>2615</v>
      </c>
      <c r="BF52" t="s">
        <v>1003</v>
      </c>
      <c r="BG52">
        <v>1</v>
      </c>
    </row>
    <row r="53" spans="2:59" x14ac:dyDescent="0.25">
      <c r="B53" t="s">
        <v>3393</v>
      </c>
      <c r="C53">
        <v>2021</v>
      </c>
      <c r="D53" t="s">
        <v>2602</v>
      </c>
      <c r="E53" t="s">
        <v>5284</v>
      </c>
      <c r="I53" t="s">
        <v>3393</v>
      </c>
      <c r="J53">
        <v>2020</v>
      </c>
      <c r="K53" t="s">
        <v>1031</v>
      </c>
      <c r="L53" t="s">
        <v>5145</v>
      </c>
      <c r="AH53" t="s">
        <v>3393</v>
      </c>
      <c r="AI53">
        <v>2022</v>
      </c>
      <c r="AJ53" t="s">
        <v>849</v>
      </c>
      <c r="AK53">
        <v>806</v>
      </c>
      <c r="AO53" t="s">
        <v>3393</v>
      </c>
      <c r="AP53">
        <v>2021</v>
      </c>
      <c r="AQ53" t="s">
        <v>858</v>
      </c>
      <c r="AR53">
        <v>0.14460000000000001</v>
      </c>
      <c r="BC53" t="s">
        <v>3393</v>
      </c>
      <c r="BD53">
        <v>2020</v>
      </c>
      <c r="BE53" t="s">
        <v>2675</v>
      </c>
      <c r="BF53" t="s">
        <v>1023</v>
      </c>
      <c r="BG53">
        <v>0</v>
      </c>
    </row>
    <row r="54" spans="2:59" x14ac:dyDescent="0.25">
      <c r="B54" t="s">
        <v>3393</v>
      </c>
      <c r="C54">
        <v>2021</v>
      </c>
      <c r="D54" t="s">
        <v>989</v>
      </c>
      <c r="E54" t="s">
        <v>5285</v>
      </c>
      <c r="I54" t="s">
        <v>3393</v>
      </c>
      <c r="J54">
        <v>2020</v>
      </c>
      <c r="K54" t="s">
        <v>798</v>
      </c>
      <c r="L54" t="s">
        <v>5196</v>
      </c>
      <c r="AH54" t="s">
        <v>3393</v>
      </c>
      <c r="AI54">
        <v>2023</v>
      </c>
      <c r="AJ54" t="s">
        <v>849</v>
      </c>
      <c r="AK54">
        <v>174</v>
      </c>
      <c r="AO54" t="s">
        <v>3393</v>
      </c>
      <c r="AP54">
        <v>2021</v>
      </c>
      <c r="AQ54" t="s">
        <v>859</v>
      </c>
      <c r="AR54">
        <v>2.5700000000000001E-2</v>
      </c>
      <c r="BC54" t="s">
        <v>3393</v>
      </c>
      <c r="BD54">
        <v>2020</v>
      </c>
      <c r="BE54" t="s">
        <v>2675</v>
      </c>
      <c r="BF54" t="s">
        <v>1027</v>
      </c>
      <c r="BG54">
        <v>0</v>
      </c>
    </row>
    <row r="55" spans="2:59" x14ac:dyDescent="0.25">
      <c r="B55" t="s">
        <v>3393</v>
      </c>
      <c r="C55">
        <v>2021</v>
      </c>
      <c r="D55" t="s">
        <v>987</v>
      </c>
      <c r="E55" t="s">
        <v>5286</v>
      </c>
      <c r="I55" t="s">
        <v>3393</v>
      </c>
      <c r="J55">
        <v>2021</v>
      </c>
      <c r="K55" t="s">
        <v>1010</v>
      </c>
      <c r="L55" t="s">
        <v>5197</v>
      </c>
      <c r="AH55" t="s">
        <v>3393</v>
      </c>
      <c r="AI55">
        <v>2019</v>
      </c>
      <c r="AJ55" t="s">
        <v>852</v>
      </c>
      <c r="AK55">
        <v>466</v>
      </c>
      <c r="AO55" t="s">
        <v>3393</v>
      </c>
      <c r="AP55">
        <v>2021</v>
      </c>
      <c r="AQ55" t="s">
        <v>857</v>
      </c>
      <c r="AR55">
        <v>2.76E-2</v>
      </c>
      <c r="BC55" t="s">
        <v>3393</v>
      </c>
      <c r="BD55">
        <v>2020</v>
      </c>
      <c r="BE55" t="s">
        <v>2675</v>
      </c>
      <c r="BF55" t="s">
        <v>1014</v>
      </c>
      <c r="BG55">
        <v>0</v>
      </c>
    </row>
    <row r="56" spans="2:59" x14ac:dyDescent="0.25">
      <c r="B56" t="s">
        <v>3393</v>
      </c>
      <c r="C56">
        <v>2021</v>
      </c>
      <c r="D56" t="s">
        <v>993</v>
      </c>
      <c r="E56" t="s">
        <v>3347</v>
      </c>
      <c r="I56" t="s">
        <v>3393</v>
      </c>
      <c r="J56">
        <v>2021</v>
      </c>
      <c r="K56" t="s">
        <v>1011</v>
      </c>
      <c r="L56" t="s">
        <v>5198</v>
      </c>
      <c r="AH56" t="s">
        <v>3393</v>
      </c>
      <c r="AI56">
        <v>2020</v>
      </c>
      <c r="AJ56" t="s">
        <v>852</v>
      </c>
      <c r="AK56">
        <v>416</v>
      </c>
      <c r="AO56" t="s">
        <v>3393</v>
      </c>
      <c r="AP56">
        <v>2021</v>
      </c>
      <c r="AQ56" t="s">
        <v>862</v>
      </c>
      <c r="AR56">
        <v>0.1477</v>
      </c>
      <c r="BC56" t="s">
        <v>3393</v>
      </c>
      <c r="BD56">
        <v>2020</v>
      </c>
      <c r="BE56" t="s">
        <v>2675</v>
      </c>
      <c r="BF56" t="s">
        <v>792</v>
      </c>
      <c r="BG56">
        <v>0</v>
      </c>
    </row>
    <row r="57" spans="2:59" x14ac:dyDescent="0.25">
      <c r="B57" t="s">
        <v>3393</v>
      </c>
      <c r="C57">
        <v>2021</v>
      </c>
      <c r="D57" t="s">
        <v>992</v>
      </c>
      <c r="E57" t="s">
        <v>5287</v>
      </c>
      <c r="I57" t="s">
        <v>3393</v>
      </c>
      <c r="J57">
        <v>2021</v>
      </c>
      <c r="K57" t="s">
        <v>1017</v>
      </c>
      <c r="L57" t="s">
        <v>5199</v>
      </c>
      <c r="AH57" t="s">
        <v>3393</v>
      </c>
      <c r="AI57">
        <v>2021</v>
      </c>
      <c r="AJ57" t="s">
        <v>852</v>
      </c>
      <c r="AK57">
        <v>621</v>
      </c>
      <c r="AO57" t="s">
        <v>3393</v>
      </c>
      <c r="AP57">
        <v>2021</v>
      </c>
      <c r="AQ57" t="s">
        <v>872</v>
      </c>
      <c r="AR57">
        <v>0</v>
      </c>
      <c r="BC57" t="s">
        <v>3393</v>
      </c>
      <c r="BD57">
        <v>2020</v>
      </c>
      <c r="BE57" t="s">
        <v>2615</v>
      </c>
      <c r="BF57" t="s">
        <v>1054</v>
      </c>
      <c r="BG57">
        <v>0</v>
      </c>
    </row>
    <row r="58" spans="2:59" x14ac:dyDescent="0.25">
      <c r="B58" t="s">
        <v>3393</v>
      </c>
      <c r="C58">
        <v>2021</v>
      </c>
      <c r="D58" t="s">
        <v>1000</v>
      </c>
      <c r="E58" t="s">
        <v>5288</v>
      </c>
      <c r="I58" t="s">
        <v>3393</v>
      </c>
      <c r="J58">
        <v>2021</v>
      </c>
      <c r="K58" t="s">
        <v>1029</v>
      </c>
      <c r="L58" t="s">
        <v>5200</v>
      </c>
      <c r="AH58" t="s">
        <v>3393</v>
      </c>
      <c r="AI58">
        <v>2022</v>
      </c>
      <c r="AJ58" t="s">
        <v>852</v>
      </c>
      <c r="AK58">
        <v>1514</v>
      </c>
      <c r="AO58" t="s">
        <v>3393</v>
      </c>
      <c r="AP58">
        <v>2021</v>
      </c>
      <c r="AQ58" t="s">
        <v>864</v>
      </c>
      <c r="AR58">
        <v>4.9000000000000002E-2</v>
      </c>
      <c r="BC58" t="s">
        <v>3393</v>
      </c>
      <c r="BD58">
        <v>2020</v>
      </c>
      <c r="BE58" t="s">
        <v>2615</v>
      </c>
      <c r="BF58" t="s">
        <v>997</v>
      </c>
      <c r="BG58">
        <v>0</v>
      </c>
    </row>
    <row r="59" spans="2:59" x14ac:dyDescent="0.25">
      <c r="B59" t="s">
        <v>3393</v>
      </c>
      <c r="C59">
        <v>2021</v>
      </c>
      <c r="D59" t="s">
        <v>1004</v>
      </c>
      <c r="E59" t="s">
        <v>5289</v>
      </c>
      <c r="I59" t="s">
        <v>3393</v>
      </c>
      <c r="J59">
        <v>2021</v>
      </c>
      <c r="K59" t="s">
        <v>1013</v>
      </c>
      <c r="L59" t="s">
        <v>5201</v>
      </c>
      <c r="AH59" t="s">
        <v>3393</v>
      </c>
      <c r="AI59">
        <v>2023</v>
      </c>
      <c r="AJ59" t="s">
        <v>852</v>
      </c>
      <c r="AK59">
        <v>2863</v>
      </c>
      <c r="AO59" t="s">
        <v>3393</v>
      </c>
      <c r="AP59">
        <v>2021</v>
      </c>
      <c r="AQ59" t="s">
        <v>866</v>
      </c>
      <c r="AR59">
        <v>2.8299999999999999E-2</v>
      </c>
      <c r="BC59" t="s">
        <v>3393</v>
      </c>
      <c r="BD59">
        <v>2020</v>
      </c>
      <c r="BE59" t="s">
        <v>2615</v>
      </c>
      <c r="BF59" t="s">
        <v>1053</v>
      </c>
      <c r="BG59">
        <v>1</v>
      </c>
    </row>
    <row r="60" spans="2:59" x14ac:dyDescent="0.25">
      <c r="B60" t="s">
        <v>3393</v>
      </c>
      <c r="C60">
        <v>2021</v>
      </c>
      <c r="D60" t="s">
        <v>1003</v>
      </c>
      <c r="E60" t="s">
        <v>5290</v>
      </c>
      <c r="I60" t="s">
        <v>3393</v>
      </c>
      <c r="J60">
        <v>2021</v>
      </c>
      <c r="K60" t="s">
        <v>1028</v>
      </c>
      <c r="L60" t="s">
        <v>5202</v>
      </c>
      <c r="AH60" t="s">
        <v>3393</v>
      </c>
      <c r="AI60">
        <v>2019</v>
      </c>
      <c r="AJ60" t="s">
        <v>851</v>
      </c>
      <c r="AK60">
        <v>539</v>
      </c>
      <c r="AO60" t="s">
        <v>3393</v>
      </c>
      <c r="AP60">
        <v>2021</v>
      </c>
      <c r="AQ60" t="s">
        <v>860</v>
      </c>
      <c r="AR60">
        <v>1.7100000000000001E-2</v>
      </c>
      <c r="BC60" t="s">
        <v>3393</v>
      </c>
      <c r="BD60">
        <v>2020</v>
      </c>
      <c r="BE60" t="s">
        <v>2615</v>
      </c>
      <c r="BF60" t="s">
        <v>986</v>
      </c>
      <c r="BG60">
        <v>0</v>
      </c>
    </row>
    <row r="61" spans="2:59" x14ac:dyDescent="0.25">
      <c r="B61" t="s">
        <v>3393</v>
      </c>
      <c r="C61">
        <v>2021</v>
      </c>
      <c r="D61" t="s">
        <v>997</v>
      </c>
      <c r="E61" t="s">
        <v>5291</v>
      </c>
      <c r="I61" t="s">
        <v>3393</v>
      </c>
      <c r="J61">
        <v>2021</v>
      </c>
      <c r="K61" t="s">
        <v>1020</v>
      </c>
      <c r="L61" t="s">
        <v>5203</v>
      </c>
      <c r="AH61" t="s">
        <v>3393</v>
      </c>
      <c r="AI61">
        <v>2020</v>
      </c>
      <c r="AJ61" t="s">
        <v>851</v>
      </c>
      <c r="AK61">
        <v>2297</v>
      </c>
      <c r="AO61" t="s">
        <v>3393</v>
      </c>
      <c r="AP61">
        <v>2021</v>
      </c>
      <c r="AQ61" t="s">
        <v>850</v>
      </c>
      <c r="AR61">
        <v>0.153</v>
      </c>
      <c r="BC61" t="s">
        <v>3393</v>
      </c>
      <c r="BD61">
        <v>2020</v>
      </c>
      <c r="BE61" t="s">
        <v>2675</v>
      </c>
      <c r="BF61" t="s">
        <v>1012</v>
      </c>
      <c r="BG61">
        <v>0</v>
      </c>
    </row>
    <row r="62" spans="2:59" x14ac:dyDescent="0.25">
      <c r="B62" t="s">
        <v>3393</v>
      </c>
      <c r="C62">
        <v>2021</v>
      </c>
      <c r="D62" t="s">
        <v>986</v>
      </c>
      <c r="E62" t="s">
        <v>5292</v>
      </c>
      <c r="I62" t="s">
        <v>3393</v>
      </c>
      <c r="J62">
        <v>2021</v>
      </c>
      <c r="K62" t="s">
        <v>1016</v>
      </c>
      <c r="L62" t="s">
        <v>5204</v>
      </c>
      <c r="AH62" t="s">
        <v>3393</v>
      </c>
      <c r="AI62">
        <v>2021</v>
      </c>
      <c r="AJ62" t="s">
        <v>851</v>
      </c>
      <c r="AK62">
        <v>4785</v>
      </c>
      <c r="AO62" t="s">
        <v>3393</v>
      </c>
      <c r="AP62">
        <v>2021</v>
      </c>
      <c r="AQ62" t="s">
        <v>849</v>
      </c>
      <c r="AR62">
        <v>2.86E-2</v>
      </c>
      <c r="BC62" t="s">
        <v>3393</v>
      </c>
      <c r="BD62">
        <v>2020</v>
      </c>
      <c r="BE62" t="s">
        <v>2615</v>
      </c>
      <c r="BF62" t="s">
        <v>1055</v>
      </c>
      <c r="BG62">
        <v>0</v>
      </c>
    </row>
    <row r="63" spans="2:59" x14ac:dyDescent="0.25">
      <c r="B63" t="s">
        <v>3393</v>
      </c>
      <c r="C63">
        <v>2021</v>
      </c>
      <c r="D63" t="s">
        <v>991</v>
      </c>
      <c r="E63" t="s">
        <v>5293</v>
      </c>
      <c r="I63" t="s">
        <v>3393</v>
      </c>
      <c r="J63">
        <v>2021</v>
      </c>
      <c r="K63" t="s">
        <v>1030</v>
      </c>
      <c r="L63" t="s">
        <v>5205</v>
      </c>
      <c r="AH63" t="s">
        <v>3393</v>
      </c>
      <c r="AI63">
        <v>2022</v>
      </c>
      <c r="AJ63" t="s">
        <v>851</v>
      </c>
      <c r="AK63">
        <v>452</v>
      </c>
      <c r="AO63" t="s">
        <v>3393</v>
      </c>
      <c r="AP63">
        <v>2021</v>
      </c>
      <c r="AQ63" t="s">
        <v>852</v>
      </c>
      <c r="AR63">
        <v>3.2199999999999999E-2</v>
      </c>
      <c r="BC63" t="s">
        <v>3393</v>
      </c>
      <c r="BD63">
        <v>2020</v>
      </c>
      <c r="BE63" t="s">
        <v>2675</v>
      </c>
      <c r="BF63" t="s">
        <v>1015</v>
      </c>
      <c r="BG63">
        <v>0</v>
      </c>
    </row>
    <row r="64" spans="2:59" x14ac:dyDescent="0.25">
      <c r="B64" t="s">
        <v>3393</v>
      </c>
      <c r="C64">
        <v>2021</v>
      </c>
      <c r="D64" t="s">
        <v>999</v>
      </c>
      <c r="E64" t="s">
        <v>5288</v>
      </c>
      <c r="I64" t="s">
        <v>3393</v>
      </c>
      <c r="J64">
        <v>2021</v>
      </c>
      <c r="K64" t="s">
        <v>1021</v>
      </c>
      <c r="L64" t="s">
        <v>5206</v>
      </c>
      <c r="AH64" t="s">
        <v>3393</v>
      </c>
      <c r="AI64">
        <v>2023</v>
      </c>
      <c r="AJ64" t="s">
        <v>851</v>
      </c>
      <c r="AK64">
        <v>364</v>
      </c>
      <c r="AO64" t="s">
        <v>3393</v>
      </c>
      <c r="AP64">
        <v>2021</v>
      </c>
      <c r="AQ64" t="s">
        <v>851</v>
      </c>
      <c r="AR64">
        <v>0.2482</v>
      </c>
      <c r="BC64" t="s">
        <v>3393</v>
      </c>
      <c r="BD64">
        <v>2020</v>
      </c>
      <c r="BE64" t="s">
        <v>2675</v>
      </c>
      <c r="BF64" t="s">
        <v>798</v>
      </c>
      <c r="BG64">
        <v>0</v>
      </c>
    </row>
    <row r="65" spans="2:59" x14ac:dyDescent="0.25">
      <c r="B65" t="s">
        <v>3393</v>
      </c>
      <c r="C65">
        <v>2021</v>
      </c>
      <c r="D65" t="s">
        <v>998</v>
      </c>
      <c r="E65" t="s">
        <v>5294</v>
      </c>
      <c r="I65" t="s">
        <v>3393</v>
      </c>
      <c r="J65">
        <v>2021</v>
      </c>
      <c r="K65" t="s">
        <v>1009</v>
      </c>
      <c r="L65" t="s">
        <v>5207</v>
      </c>
      <c r="AH65" t="s">
        <v>3393</v>
      </c>
      <c r="AI65">
        <v>2019</v>
      </c>
      <c r="AJ65" t="s">
        <v>855</v>
      </c>
      <c r="AK65">
        <v>14</v>
      </c>
      <c r="AO65" t="s">
        <v>3393</v>
      </c>
      <c r="AP65">
        <v>2021</v>
      </c>
      <c r="AQ65" t="s">
        <v>855</v>
      </c>
      <c r="AR65">
        <v>4.0000000000000001E-3</v>
      </c>
      <c r="BC65" t="s">
        <v>3393</v>
      </c>
      <c r="BD65">
        <v>2021</v>
      </c>
      <c r="BE65" t="s">
        <v>2675</v>
      </c>
      <c r="BF65" t="s">
        <v>1010</v>
      </c>
      <c r="BG65">
        <v>0</v>
      </c>
    </row>
    <row r="66" spans="2:59" x14ac:dyDescent="0.25">
      <c r="B66" t="s">
        <v>3393</v>
      </c>
      <c r="C66">
        <v>2021</v>
      </c>
      <c r="D66" t="s">
        <v>1002</v>
      </c>
      <c r="E66" t="s">
        <v>5114</v>
      </c>
      <c r="I66" t="s">
        <v>3393</v>
      </c>
      <c r="J66">
        <v>2021</v>
      </c>
      <c r="K66" t="s">
        <v>1019</v>
      </c>
      <c r="L66" t="s">
        <v>2534</v>
      </c>
      <c r="AH66" t="s">
        <v>3393</v>
      </c>
      <c r="AI66">
        <v>2020</v>
      </c>
      <c r="AJ66" t="s">
        <v>855</v>
      </c>
      <c r="AK66">
        <v>157</v>
      </c>
      <c r="AO66" t="s">
        <v>3393</v>
      </c>
      <c r="AP66">
        <v>2021</v>
      </c>
      <c r="AQ66" t="s">
        <v>856</v>
      </c>
      <c r="AR66">
        <v>5.0000000000000001E-4</v>
      </c>
      <c r="BC66" t="s">
        <v>3393</v>
      </c>
      <c r="BD66">
        <v>2021</v>
      </c>
      <c r="BE66" t="s">
        <v>2675</v>
      </c>
      <c r="BF66" t="s">
        <v>3074</v>
      </c>
      <c r="BG66">
        <v>0</v>
      </c>
    </row>
    <row r="67" spans="2:59" x14ac:dyDescent="0.25">
      <c r="B67" t="s">
        <v>3393</v>
      </c>
      <c r="C67">
        <v>2021</v>
      </c>
      <c r="D67" t="s">
        <v>1006</v>
      </c>
      <c r="E67" t="s">
        <v>5150</v>
      </c>
      <c r="I67" t="s">
        <v>3393</v>
      </c>
      <c r="J67">
        <v>2021</v>
      </c>
      <c r="K67" t="s">
        <v>1025</v>
      </c>
      <c r="L67" t="s">
        <v>5208</v>
      </c>
      <c r="AH67" t="s">
        <v>3393</v>
      </c>
      <c r="AI67">
        <v>2021</v>
      </c>
      <c r="AJ67" t="s">
        <v>855</v>
      </c>
      <c r="AK67">
        <v>78</v>
      </c>
      <c r="AO67" t="s">
        <v>3393</v>
      </c>
      <c r="AP67">
        <v>2021</v>
      </c>
      <c r="AQ67" t="s">
        <v>865</v>
      </c>
      <c r="AR67">
        <v>5.8500000000000003E-2</v>
      </c>
      <c r="BC67" t="s">
        <v>3393</v>
      </c>
      <c r="BD67">
        <v>2021</v>
      </c>
      <c r="BE67" t="s">
        <v>2675</v>
      </c>
      <c r="BF67" t="s">
        <v>1017</v>
      </c>
      <c r="BG67">
        <v>0.106</v>
      </c>
    </row>
    <row r="68" spans="2:59" x14ac:dyDescent="0.25">
      <c r="B68" t="s">
        <v>3393</v>
      </c>
      <c r="C68">
        <v>2022</v>
      </c>
      <c r="D68" t="s">
        <v>996</v>
      </c>
      <c r="E68" t="s">
        <v>5295</v>
      </c>
      <c r="I68" t="s">
        <v>3393</v>
      </c>
      <c r="J68">
        <v>2021</v>
      </c>
      <c r="K68" t="s">
        <v>1024</v>
      </c>
      <c r="L68" t="s">
        <v>5209</v>
      </c>
      <c r="AH68" t="s">
        <v>3393</v>
      </c>
      <c r="AI68">
        <v>2022</v>
      </c>
      <c r="AJ68" t="s">
        <v>855</v>
      </c>
      <c r="AK68">
        <v>118</v>
      </c>
      <c r="AO68" t="s">
        <v>3393</v>
      </c>
      <c r="AP68">
        <v>2021</v>
      </c>
      <c r="AQ68" t="s">
        <v>861</v>
      </c>
      <c r="AR68">
        <v>2.3999999999999998E-3</v>
      </c>
      <c r="BC68" t="s">
        <v>3393</v>
      </c>
      <c r="BD68">
        <v>2021</v>
      </c>
      <c r="BE68" t="s">
        <v>2675</v>
      </c>
      <c r="BF68" t="s">
        <v>1029</v>
      </c>
      <c r="BG68">
        <v>0.1913</v>
      </c>
    </row>
    <row r="69" spans="2:59" x14ac:dyDescent="0.25">
      <c r="B69" t="s">
        <v>3393</v>
      </c>
      <c r="C69">
        <v>2022</v>
      </c>
      <c r="D69" t="s">
        <v>1005</v>
      </c>
      <c r="E69" t="s">
        <v>5296</v>
      </c>
      <c r="I69" t="s">
        <v>3393</v>
      </c>
      <c r="J69">
        <v>2021</v>
      </c>
      <c r="K69" t="s">
        <v>1026</v>
      </c>
      <c r="L69" t="s">
        <v>1993</v>
      </c>
      <c r="AH69" t="s">
        <v>3393</v>
      </c>
      <c r="AI69">
        <v>2023</v>
      </c>
      <c r="AJ69" t="s">
        <v>855</v>
      </c>
      <c r="AK69">
        <v>94</v>
      </c>
      <c r="AO69" t="s">
        <v>3393</v>
      </c>
      <c r="AP69">
        <v>2021</v>
      </c>
      <c r="AQ69" t="s">
        <v>871</v>
      </c>
      <c r="AR69">
        <v>0.1018</v>
      </c>
      <c r="BC69" t="s">
        <v>3393</v>
      </c>
      <c r="BD69">
        <v>2021</v>
      </c>
      <c r="BE69" t="s">
        <v>2675</v>
      </c>
      <c r="BF69" t="s">
        <v>1028</v>
      </c>
      <c r="BG69">
        <v>0</v>
      </c>
    </row>
    <row r="70" spans="2:59" x14ac:dyDescent="0.25">
      <c r="B70" t="s">
        <v>3393</v>
      </c>
      <c r="C70">
        <v>2022</v>
      </c>
      <c r="D70" t="s">
        <v>994</v>
      </c>
      <c r="E70" t="s">
        <v>5297</v>
      </c>
      <c r="I70" t="s">
        <v>3393</v>
      </c>
      <c r="J70">
        <v>2021</v>
      </c>
      <c r="K70" t="s">
        <v>1023</v>
      </c>
      <c r="L70" t="s">
        <v>5210</v>
      </c>
      <c r="AH70" t="s">
        <v>3393</v>
      </c>
      <c r="AI70">
        <v>2019</v>
      </c>
      <c r="AJ70" t="s">
        <v>856</v>
      </c>
      <c r="AK70">
        <v>93</v>
      </c>
      <c r="AO70" t="s">
        <v>3393</v>
      </c>
      <c r="AP70">
        <v>2021</v>
      </c>
      <c r="AQ70" t="s">
        <v>848</v>
      </c>
      <c r="AR70">
        <v>0.48899999999999999</v>
      </c>
      <c r="BC70" t="s">
        <v>3393</v>
      </c>
      <c r="BD70">
        <v>2021</v>
      </c>
      <c r="BE70" t="s">
        <v>2675</v>
      </c>
      <c r="BF70" t="s">
        <v>1020</v>
      </c>
      <c r="BG70">
        <v>0.57599999999999996</v>
      </c>
    </row>
    <row r="71" spans="2:59" x14ac:dyDescent="0.25">
      <c r="B71" t="s">
        <v>3393</v>
      </c>
      <c r="C71">
        <v>2022</v>
      </c>
      <c r="D71" t="s">
        <v>995</v>
      </c>
      <c r="E71" t="s">
        <v>5298</v>
      </c>
      <c r="I71" t="s">
        <v>3393</v>
      </c>
      <c r="J71">
        <v>2021</v>
      </c>
      <c r="K71" t="s">
        <v>1027</v>
      </c>
      <c r="L71" t="s">
        <v>4282</v>
      </c>
      <c r="AH71" t="s">
        <v>3393</v>
      </c>
      <c r="AI71">
        <v>2020</v>
      </c>
      <c r="AJ71" t="s">
        <v>856</v>
      </c>
      <c r="AK71">
        <v>66</v>
      </c>
      <c r="AO71" t="s">
        <v>3393</v>
      </c>
      <c r="AP71">
        <v>2021</v>
      </c>
      <c r="AQ71" t="s">
        <v>853</v>
      </c>
      <c r="AR71">
        <v>0.50539999999999996</v>
      </c>
      <c r="BC71" t="s">
        <v>3393</v>
      </c>
      <c r="BD71">
        <v>2021</v>
      </c>
      <c r="BE71" t="s">
        <v>2615</v>
      </c>
      <c r="BF71" t="s">
        <v>1005</v>
      </c>
      <c r="BG71">
        <v>1.1599999999999999E-2</v>
      </c>
    </row>
    <row r="72" spans="2:59" x14ac:dyDescent="0.25">
      <c r="B72" t="s">
        <v>3393</v>
      </c>
      <c r="C72">
        <v>2022</v>
      </c>
      <c r="D72" t="s">
        <v>990</v>
      </c>
      <c r="E72" t="s">
        <v>2023</v>
      </c>
      <c r="I72" t="s">
        <v>3393</v>
      </c>
      <c r="J72">
        <v>2021</v>
      </c>
      <c r="K72" t="s">
        <v>1022</v>
      </c>
      <c r="L72" t="s">
        <v>5211</v>
      </c>
      <c r="AH72" t="s">
        <v>3393</v>
      </c>
      <c r="AI72">
        <v>2021</v>
      </c>
      <c r="AJ72" t="s">
        <v>856</v>
      </c>
      <c r="AK72">
        <v>10</v>
      </c>
      <c r="AO72" t="s">
        <v>3393</v>
      </c>
      <c r="AP72">
        <v>2021</v>
      </c>
      <c r="AQ72" t="s">
        <v>854</v>
      </c>
      <c r="AR72">
        <v>0.36980000000000002</v>
      </c>
      <c r="BC72" t="s">
        <v>3393</v>
      </c>
      <c r="BD72">
        <v>2021</v>
      </c>
      <c r="BE72" t="s">
        <v>2615</v>
      </c>
      <c r="BF72" t="s">
        <v>994</v>
      </c>
      <c r="BG72">
        <v>4.9700000000000001E-2</v>
      </c>
    </row>
    <row r="73" spans="2:59" x14ac:dyDescent="0.25">
      <c r="B73" t="s">
        <v>3393</v>
      </c>
      <c r="C73">
        <v>2022</v>
      </c>
      <c r="D73" t="s">
        <v>1001</v>
      </c>
      <c r="E73" t="s">
        <v>1993</v>
      </c>
      <c r="I73" t="s">
        <v>3393</v>
      </c>
      <c r="J73">
        <v>2021</v>
      </c>
      <c r="K73" t="s">
        <v>1018</v>
      </c>
      <c r="L73" t="s">
        <v>5212</v>
      </c>
      <c r="AH73" t="s">
        <v>3393</v>
      </c>
      <c r="AI73">
        <v>2022</v>
      </c>
      <c r="AJ73" t="s">
        <v>856</v>
      </c>
      <c r="AK73">
        <v>0</v>
      </c>
      <c r="AO73" t="s">
        <v>3393</v>
      </c>
      <c r="AP73">
        <v>2021</v>
      </c>
      <c r="AQ73" t="s">
        <v>863</v>
      </c>
      <c r="AR73">
        <v>0.13569999999999999</v>
      </c>
      <c r="BC73" t="s">
        <v>3393</v>
      </c>
      <c r="BD73">
        <v>2021</v>
      </c>
      <c r="BE73" t="s">
        <v>2675</v>
      </c>
      <c r="BF73" t="s">
        <v>1016</v>
      </c>
      <c r="BG73">
        <v>0</v>
      </c>
    </row>
    <row r="74" spans="2:59" x14ac:dyDescent="0.25">
      <c r="B74" t="s">
        <v>3393</v>
      </c>
      <c r="C74">
        <v>2022</v>
      </c>
      <c r="D74" t="s">
        <v>2602</v>
      </c>
      <c r="E74" t="s">
        <v>5299</v>
      </c>
      <c r="I74" t="s">
        <v>3393</v>
      </c>
      <c r="J74">
        <v>2021</v>
      </c>
      <c r="K74" t="s">
        <v>1014</v>
      </c>
      <c r="L74" t="s">
        <v>5213</v>
      </c>
      <c r="AH74" t="s">
        <v>3393</v>
      </c>
      <c r="AI74">
        <v>2023</v>
      </c>
      <c r="AJ74" t="s">
        <v>856</v>
      </c>
      <c r="AK74">
        <v>0</v>
      </c>
      <c r="AO74" t="s">
        <v>3393</v>
      </c>
      <c r="AP74">
        <v>2021</v>
      </c>
      <c r="AQ74" t="s">
        <v>868</v>
      </c>
      <c r="AR74">
        <v>5.5999999999999999E-3</v>
      </c>
      <c r="BC74" t="s">
        <v>3393</v>
      </c>
      <c r="BD74">
        <v>2021</v>
      </c>
      <c r="BE74" t="s">
        <v>2675</v>
      </c>
      <c r="BF74" t="s">
        <v>1021</v>
      </c>
      <c r="BG74">
        <v>0.1381</v>
      </c>
    </row>
    <row r="75" spans="2:59" x14ac:dyDescent="0.25">
      <c r="B75" t="s">
        <v>3393</v>
      </c>
      <c r="C75">
        <v>2022</v>
      </c>
      <c r="D75" t="s">
        <v>989</v>
      </c>
      <c r="E75" t="s">
        <v>5300</v>
      </c>
      <c r="I75" t="s">
        <v>3393</v>
      </c>
      <c r="J75">
        <v>2021</v>
      </c>
      <c r="K75" t="s">
        <v>792</v>
      </c>
      <c r="L75" t="s">
        <v>5214</v>
      </c>
      <c r="AH75" t="s">
        <v>3393</v>
      </c>
      <c r="AI75">
        <v>2019</v>
      </c>
      <c r="AJ75" t="s">
        <v>865</v>
      </c>
      <c r="AK75">
        <v>1046</v>
      </c>
      <c r="AO75" t="s">
        <v>3393</v>
      </c>
      <c r="AP75">
        <v>2021</v>
      </c>
      <c r="AQ75" t="s">
        <v>869</v>
      </c>
      <c r="AR75">
        <v>0</v>
      </c>
      <c r="BC75" t="s">
        <v>3393</v>
      </c>
      <c r="BD75">
        <v>2021</v>
      </c>
      <c r="BE75" t="s">
        <v>2675</v>
      </c>
      <c r="BF75" t="s">
        <v>1061</v>
      </c>
      <c r="BG75">
        <v>1</v>
      </c>
    </row>
    <row r="76" spans="2:59" x14ac:dyDescent="0.25">
      <c r="B76" t="s">
        <v>3393</v>
      </c>
      <c r="C76">
        <v>2022</v>
      </c>
      <c r="D76" t="s">
        <v>987</v>
      </c>
      <c r="E76" t="s">
        <v>5301</v>
      </c>
      <c r="I76" t="s">
        <v>3393</v>
      </c>
      <c r="J76">
        <v>2021</v>
      </c>
      <c r="K76" t="s">
        <v>1012</v>
      </c>
      <c r="L76" t="s">
        <v>5215</v>
      </c>
      <c r="AH76" t="s">
        <v>3393</v>
      </c>
      <c r="AI76">
        <v>2020</v>
      </c>
      <c r="AJ76" t="s">
        <v>865</v>
      </c>
      <c r="AK76">
        <v>1030</v>
      </c>
      <c r="AO76" t="s">
        <v>3393</v>
      </c>
      <c r="AP76">
        <v>2021</v>
      </c>
      <c r="AQ76" t="s">
        <v>870</v>
      </c>
      <c r="AR76">
        <v>1</v>
      </c>
      <c r="BC76" t="s">
        <v>3393</v>
      </c>
      <c r="BD76">
        <v>2021</v>
      </c>
      <c r="BE76" t="s">
        <v>2675</v>
      </c>
      <c r="BF76" t="s">
        <v>1025</v>
      </c>
      <c r="BG76">
        <v>1</v>
      </c>
    </row>
    <row r="77" spans="2:59" x14ac:dyDescent="0.25">
      <c r="B77" t="s">
        <v>3393</v>
      </c>
      <c r="C77">
        <v>2022</v>
      </c>
      <c r="D77" t="s">
        <v>993</v>
      </c>
      <c r="E77" t="s">
        <v>4556</v>
      </c>
      <c r="I77" t="s">
        <v>3393</v>
      </c>
      <c r="J77">
        <v>2021</v>
      </c>
      <c r="K77" t="s">
        <v>1015</v>
      </c>
      <c r="L77" t="s">
        <v>5216</v>
      </c>
      <c r="AH77" t="s">
        <v>3393</v>
      </c>
      <c r="AI77">
        <v>2021</v>
      </c>
      <c r="AJ77" t="s">
        <v>865</v>
      </c>
      <c r="AK77">
        <v>1127</v>
      </c>
      <c r="AO77" t="s">
        <v>3393</v>
      </c>
      <c r="AP77">
        <v>2022</v>
      </c>
      <c r="AQ77" t="s">
        <v>858</v>
      </c>
      <c r="AR77">
        <v>0.25619999999999998</v>
      </c>
      <c r="BC77" t="s">
        <v>3393</v>
      </c>
      <c r="BD77">
        <v>2021</v>
      </c>
      <c r="BE77" t="s">
        <v>2675</v>
      </c>
      <c r="BF77" t="s">
        <v>1024</v>
      </c>
      <c r="BG77">
        <v>1</v>
      </c>
    </row>
    <row r="78" spans="2:59" x14ac:dyDescent="0.25">
      <c r="B78" t="s">
        <v>3393</v>
      </c>
      <c r="C78">
        <v>2022</v>
      </c>
      <c r="D78" t="s">
        <v>992</v>
      </c>
      <c r="E78" t="s">
        <v>5302</v>
      </c>
      <c r="I78" t="s">
        <v>3393</v>
      </c>
      <c r="J78">
        <v>2021</v>
      </c>
      <c r="K78" t="s">
        <v>1031</v>
      </c>
      <c r="L78" t="s">
        <v>5149</v>
      </c>
      <c r="AH78" t="s">
        <v>3393</v>
      </c>
      <c r="AI78">
        <v>2022</v>
      </c>
      <c r="AJ78" t="s">
        <v>865</v>
      </c>
      <c r="AK78">
        <v>1063</v>
      </c>
      <c r="AO78" t="s">
        <v>3393</v>
      </c>
      <c r="AP78">
        <v>2022</v>
      </c>
      <c r="AQ78" t="s">
        <v>859</v>
      </c>
      <c r="AR78">
        <v>4.8500000000000001E-2</v>
      </c>
      <c r="BC78" t="s">
        <v>3393</v>
      </c>
      <c r="BD78">
        <v>2021</v>
      </c>
      <c r="BE78" t="s">
        <v>2675</v>
      </c>
      <c r="BF78" t="s">
        <v>1026</v>
      </c>
      <c r="BG78">
        <v>1</v>
      </c>
    </row>
    <row r="79" spans="2:59" x14ac:dyDescent="0.25">
      <c r="B79" t="s">
        <v>3393</v>
      </c>
      <c r="C79">
        <v>2022</v>
      </c>
      <c r="D79" t="s">
        <v>1000</v>
      </c>
      <c r="E79" t="s">
        <v>5303</v>
      </c>
      <c r="I79" t="s">
        <v>3393</v>
      </c>
      <c r="J79">
        <v>2021</v>
      </c>
      <c r="K79" t="s">
        <v>798</v>
      </c>
      <c r="L79" t="s">
        <v>5217</v>
      </c>
      <c r="AH79" t="s">
        <v>3393</v>
      </c>
      <c r="AI79">
        <v>2023</v>
      </c>
      <c r="AJ79" t="s">
        <v>865</v>
      </c>
      <c r="AK79">
        <v>950</v>
      </c>
      <c r="AO79" t="s">
        <v>3393</v>
      </c>
      <c r="AP79">
        <v>2022</v>
      </c>
      <c r="AQ79" t="s">
        <v>857</v>
      </c>
      <c r="AR79">
        <v>1.12E-2</v>
      </c>
      <c r="BC79" t="s">
        <v>3393</v>
      </c>
      <c r="BD79">
        <v>2021</v>
      </c>
      <c r="BE79" t="s">
        <v>2615</v>
      </c>
      <c r="BF79" t="s">
        <v>1001</v>
      </c>
      <c r="BG79">
        <v>1</v>
      </c>
    </row>
    <row r="80" spans="2:59" x14ac:dyDescent="0.25">
      <c r="B80" t="s">
        <v>3393</v>
      </c>
      <c r="C80">
        <v>2022</v>
      </c>
      <c r="D80" t="s">
        <v>1004</v>
      </c>
      <c r="E80" t="s">
        <v>5304</v>
      </c>
      <c r="I80" t="s">
        <v>3393</v>
      </c>
      <c r="J80">
        <v>2022</v>
      </c>
      <c r="K80" t="s">
        <v>1010</v>
      </c>
      <c r="L80" t="s">
        <v>5218</v>
      </c>
      <c r="AH80" t="s">
        <v>3393</v>
      </c>
      <c r="AI80">
        <v>2019</v>
      </c>
      <c r="AJ80" t="s">
        <v>861</v>
      </c>
      <c r="AK80">
        <v>81</v>
      </c>
      <c r="AO80" t="s">
        <v>3393</v>
      </c>
      <c r="AP80">
        <v>2022</v>
      </c>
      <c r="AQ80" t="s">
        <v>862</v>
      </c>
      <c r="AR80">
        <v>4.3099999999999999E-2</v>
      </c>
      <c r="BC80" t="s">
        <v>3393</v>
      </c>
      <c r="BD80">
        <v>2021</v>
      </c>
      <c r="BE80" t="s">
        <v>2615</v>
      </c>
      <c r="BF80" t="s">
        <v>1000</v>
      </c>
      <c r="BG80">
        <v>1</v>
      </c>
    </row>
    <row r="81" spans="2:59" x14ac:dyDescent="0.25">
      <c r="B81" t="s">
        <v>3393</v>
      </c>
      <c r="C81">
        <v>2022</v>
      </c>
      <c r="D81" t="s">
        <v>1003</v>
      </c>
      <c r="E81" t="s">
        <v>4560</v>
      </c>
      <c r="I81" t="s">
        <v>3393</v>
      </c>
      <c r="J81">
        <v>2022</v>
      </c>
      <c r="K81" t="s">
        <v>1011</v>
      </c>
      <c r="L81" t="s">
        <v>5219</v>
      </c>
      <c r="AH81" t="s">
        <v>3393</v>
      </c>
      <c r="AI81">
        <v>2020</v>
      </c>
      <c r="AJ81" t="s">
        <v>861</v>
      </c>
      <c r="AK81">
        <v>43</v>
      </c>
      <c r="AO81" t="s">
        <v>3393</v>
      </c>
      <c r="AP81">
        <v>2022</v>
      </c>
      <c r="AQ81" t="s">
        <v>872</v>
      </c>
      <c r="AR81">
        <v>0</v>
      </c>
      <c r="BC81" t="s">
        <v>3393</v>
      </c>
      <c r="BD81">
        <v>2021</v>
      </c>
      <c r="BE81" t="s">
        <v>2615</v>
      </c>
      <c r="BF81" t="s">
        <v>1004</v>
      </c>
      <c r="BG81">
        <v>0</v>
      </c>
    </row>
    <row r="82" spans="2:59" x14ac:dyDescent="0.25">
      <c r="B82" t="s">
        <v>3393</v>
      </c>
      <c r="C82">
        <v>2022</v>
      </c>
      <c r="D82" t="s">
        <v>997</v>
      </c>
      <c r="E82" t="s">
        <v>5305</v>
      </c>
      <c r="I82" t="s">
        <v>3393</v>
      </c>
      <c r="J82">
        <v>2022</v>
      </c>
      <c r="K82" t="s">
        <v>1017</v>
      </c>
      <c r="L82" t="s">
        <v>5220</v>
      </c>
      <c r="AH82" t="s">
        <v>3393</v>
      </c>
      <c r="AI82">
        <v>2021</v>
      </c>
      <c r="AJ82" t="s">
        <v>861</v>
      </c>
      <c r="AK82">
        <v>47</v>
      </c>
      <c r="AO82" t="s">
        <v>3393</v>
      </c>
      <c r="AP82">
        <v>2022</v>
      </c>
      <c r="AQ82" t="s">
        <v>864</v>
      </c>
      <c r="AR82">
        <v>1.89E-2</v>
      </c>
      <c r="BC82" t="s">
        <v>3393</v>
      </c>
      <c r="BD82">
        <v>2021</v>
      </c>
      <c r="BE82" t="s">
        <v>2615</v>
      </c>
      <c r="BF82" t="s">
        <v>1003</v>
      </c>
      <c r="BG82">
        <v>1</v>
      </c>
    </row>
    <row r="83" spans="2:59" x14ac:dyDescent="0.25">
      <c r="B83" t="s">
        <v>3393</v>
      </c>
      <c r="C83">
        <v>2022</v>
      </c>
      <c r="D83" t="s">
        <v>986</v>
      </c>
      <c r="E83" t="s">
        <v>5306</v>
      </c>
      <c r="I83" t="s">
        <v>3393</v>
      </c>
      <c r="J83">
        <v>2022</v>
      </c>
      <c r="K83" t="s">
        <v>1029</v>
      </c>
      <c r="L83" t="s">
        <v>5221</v>
      </c>
      <c r="AH83" t="s">
        <v>3393</v>
      </c>
      <c r="AI83">
        <v>2022</v>
      </c>
      <c r="AJ83" t="s">
        <v>861</v>
      </c>
      <c r="AK83">
        <v>42</v>
      </c>
      <c r="AO83" t="s">
        <v>3393</v>
      </c>
      <c r="AP83">
        <v>2022</v>
      </c>
      <c r="AQ83" t="s">
        <v>866</v>
      </c>
      <c r="AR83">
        <v>4.7199999999999999E-2</v>
      </c>
      <c r="BC83" t="s">
        <v>3393</v>
      </c>
      <c r="BD83">
        <v>2021</v>
      </c>
      <c r="BE83" t="s">
        <v>2675</v>
      </c>
      <c r="BF83" t="s">
        <v>1023</v>
      </c>
      <c r="BG83">
        <v>1</v>
      </c>
    </row>
    <row r="84" spans="2:59" x14ac:dyDescent="0.25">
      <c r="B84" t="s">
        <v>3393</v>
      </c>
      <c r="C84">
        <v>2022</v>
      </c>
      <c r="D84" t="s">
        <v>991</v>
      </c>
      <c r="E84" t="s">
        <v>5307</v>
      </c>
      <c r="I84" t="s">
        <v>3393</v>
      </c>
      <c r="J84">
        <v>2022</v>
      </c>
      <c r="K84" t="s">
        <v>1013</v>
      </c>
      <c r="L84" t="s">
        <v>5222</v>
      </c>
      <c r="AH84" t="s">
        <v>3393</v>
      </c>
      <c r="AI84">
        <v>2023</v>
      </c>
      <c r="AJ84" t="s">
        <v>861</v>
      </c>
      <c r="AK84">
        <v>14</v>
      </c>
      <c r="AO84" t="s">
        <v>3393</v>
      </c>
      <c r="AP84">
        <v>2022</v>
      </c>
      <c r="AQ84" t="s">
        <v>860</v>
      </c>
      <c r="AR84">
        <v>3.6999999999999998E-2</v>
      </c>
      <c r="BC84" t="s">
        <v>3393</v>
      </c>
      <c r="BD84">
        <v>2021</v>
      </c>
      <c r="BE84" t="s">
        <v>2675</v>
      </c>
      <c r="BF84" t="s">
        <v>1027</v>
      </c>
      <c r="BG84">
        <v>1</v>
      </c>
    </row>
    <row r="85" spans="2:59" x14ac:dyDescent="0.25">
      <c r="B85" t="s">
        <v>3393</v>
      </c>
      <c r="C85">
        <v>2022</v>
      </c>
      <c r="D85" t="s">
        <v>999</v>
      </c>
      <c r="E85" t="s">
        <v>5303</v>
      </c>
      <c r="I85" t="s">
        <v>3393</v>
      </c>
      <c r="J85">
        <v>2022</v>
      </c>
      <c r="K85" t="s">
        <v>1028</v>
      </c>
      <c r="L85" t="s">
        <v>5223</v>
      </c>
      <c r="AH85" t="s">
        <v>3393</v>
      </c>
      <c r="AI85">
        <v>2019</v>
      </c>
      <c r="AJ85" t="s">
        <v>871</v>
      </c>
      <c r="AK85">
        <v>1613</v>
      </c>
      <c r="AO85" t="s">
        <v>3393</v>
      </c>
      <c r="AP85">
        <v>2022</v>
      </c>
      <c r="AQ85" t="s">
        <v>850</v>
      </c>
      <c r="AR85">
        <v>0.23280000000000001</v>
      </c>
      <c r="BC85" t="s">
        <v>3393</v>
      </c>
      <c r="BD85">
        <v>2021</v>
      </c>
      <c r="BE85" t="s">
        <v>2675</v>
      </c>
      <c r="BF85" t="s">
        <v>1014</v>
      </c>
      <c r="BG85">
        <v>0</v>
      </c>
    </row>
    <row r="86" spans="2:59" x14ac:dyDescent="0.25">
      <c r="B86" t="s">
        <v>3393</v>
      </c>
      <c r="C86">
        <v>2022</v>
      </c>
      <c r="D86" t="s">
        <v>998</v>
      </c>
      <c r="E86" t="s">
        <v>5308</v>
      </c>
      <c r="I86" t="s">
        <v>3393</v>
      </c>
      <c r="J86">
        <v>2022</v>
      </c>
      <c r="K86" t="s">
        <v>1020</v>
      </c>
      <c r="L86" t="s">
        <v>5224</v>
      </c>
      <c r="AH86" t="s">
        <v>3393</v>
      </c>
      <c r="AI86">
        <v>2020</v>
      </c>
      <c r="AJ86" t="s">
        <v>871</v>
      </c>
      <c r="AK86">
        <v>3062</v>
      </c>
      <c r="AO86" t="s">
        <v>3393</v>
      </c>
      <c r="AP86">
        <v>2022</v>
      </c>
      <c r="AQ86" t="s">
        <v>849</v>
      </c>
      <c r="AR86">
        <v>4.8099999999999997E-2</v>
      </c>
      <c r="BC86" t="s">
        <v>3393</v>
      </c>
      <c r="BD86">
        <v>2021</v>
      </c>
      <c r="BE86" t="s">
        <v>2675</v>
      </c>
      <c r="BF86" t="s">
        <v>792</v>
      </c>
      <c r="BG86">
        <v>0.60970000000000002</v>
      </c>
    </row>
    <row r="87" spans="2:59" x14ac:dyDescent="0.25">
      <c r="B87" t="s">
        <v>3393</v>
      </c>
      <c r="C87">
        <v>2022</v>
      </c>
      <c r="D87" t="s">
        <v>1002</v>
      </c>
      <c r="E87" t="s">
        <v>5309</v>
      </c>
      <c r="I87" t="s">
        <v>3393</v>
      </c>
      <c r="J87">
        <v>2022</v>
      </c>
      <c r="K87" t="s">
        <v>1016</v>
      </c>
      <c r="L87" t="s">
        <v>5225</v>
      </c>
      <c r="AH87" t="s">
        <v>3393</v>
      </c>
      <c r="AI87">
        <v>2021</v>
      </c>
      <c r="AJ87" t="s">
        <v>871</v>
      </c>
      <c r="AK87">
        <v>1962</v>
      </c>
      <c r="AO87" t="s">
        <v>3393</v>
      </c>
      <c r="AP87">
        <v>2022</v>
      </c>
      <c r="AQ87" t="s">
        <v>852</v>
      </c>
      <c r="AR87">
        <v>9.0300000000000005E-2</v>
      </c>
      <c r="BC87" t="s">
        <v>3393</v>
      </c>
      <c r="BD87">
        <v>2021</v>
      </c>
      <c r="BE87" t="s">
        <v>2615</v>
      </c>
      <c r="BF87" t="s">
        <v>1054</v>
      </c>
      <c r="BG87">
        <v>0.98919999999999997</v>
      </c>
    </row>
    <row r="88" spans="2:59" x14ac:dyDescent="0.25">
      <c r="B88" t="s">
        <v>3393</v>
      </c>
      <c r="C88">
        <v>2022</v>
      </c>
      <c r="D88" t="s">
        <v>1006</v>
      </c>
      <c r="E88" t="s">
        <v>5154</v>
      </c>
      <c r="I88" t="s">
        <v>3393</v>
      </c>
      <c r="J88">
        <v>2022</v>
      </c>
      <c r="K88" t="s">
        <v>1030</v>
      </c>
      <c r="L88" t="s">
        <v>5226</v>
      </c>
      <c r="AH88" t="s">
        <v>3393</v>
      </c>
      <c r="AI88">
        <v>2022</v>
      </c>
      <c r="AJ88" t="s">
        <v>871</v>
      </c>
      <c r="AK88">
        <v>2958</v>
      </c>
      <c r="AO88" t="s">
        <v>3393</v>
      </c>
      <c r="AP88">
        <v>2022</v>
      </c>
      <c r="AQ88" t="s">
        <v>851</v>
      </c>
      <c r="AR88">
        <v>2.7E-2</v>
      </c>
      <c r="BC88" t="s">
        <v>3393</v>
      </c>
      <c r="BD88">
        <v>2021</v>
      </c>
      <c r="BE88" t="s">
        <v>2615</v>
      </c>
      <c r="BF88" t="s">
        <v>997</v>
      </c>
      <c r="BG88">
        <v>0.66769999999999996</v>
      </c>
    </row>
    <row r="89" spans="2:59" x14ac:dyDescent="0.25">
      <c r="B89" t="s">
        <v>3393</v>
      </c>
      <c r="C89">
        <v>2023</v>
      </c>
      <c r="D89" t="s">
        <v>996</v>
      </c>
      <c r="E89" t="s">
        <v>5310</v>
      </c>
      <c r="I89" t="s">
        <v>3393</v>
      </c>
      <c r="J89">
        <v>2022</v>
      </c>
      <c r="K89" t="s">
        <v>1021</v>
      </c>
      <c r="L89" t="s">
        <v>5227</v>
      </c>
      <c r="AH89" t="s">
        <v>3393</v>
      </c>
      <c r="AI89">
        <v>2023</v>
      </c>
      <c r="AJ89" t="s">
        <v>871</v>
      </c>
      <c r="AK89">
        <v>4378</v>
      </c>
      <c r="AO89" t="s">
        <v>3393</v>
      </c>
      <c r="AP89">
        <v>2022</v>
      </c>
      <c r="AQ89" t="s">
        <v>855</v>
      </c>
      <c r="AR89">
        <v>7.0000000000000001E-3</v>
      </c>
      <c r="BC89" t="s">
        <v>3393</v>
      </c>
      <c r="BD89">
        <v>2021</v>
      </c>
      <c r="BE89" t="s">
        <v>2615</v>
      </c>
      <c r="BF89" t="s">
        <v>1053</v>
      </c>
      <c r="BG89">
        <v>1</v>
      </c>
    </row>
    <row r="90" spans="2:59" x14ac:dyDescent="0.25">
      <c r="B90" t="s">
        <v>3393</v>
      </c>
      <c r="C90">
        <v>2023</v>
      </c>
      <c r="D90" t="s">
        <v>1005</v>
      </c>
      <c r="E90" t="s">
        <v>4871</v>
      </c>
      <c r="I90" t="s">
        <v>3393</v>
      </c>
      <c r="J90">
        <v>2022</v>
      </c>
      <c r="K90" t="s">
        <v>1009</v>
      </c>
      <c r="L90" t="s">
        <v>5228</v>
      </c>
      <c r="AH90" t="s">
        <v>3393</v>
      </c>
      <c r="AI90">
        <v>2019</v>
      </c>
      <c r="AJ90" t="s">
        <v>848</v>
      </c>
      <c r="AK90">
        <v>4756</v>
      </c>
      <c r="AO90" t="s">
        <v>3393</v>
      </c>
      <c r="AP90">
        <v>2022</v>
      </c>
      <c r="AQ90" t="s">
        <v>856</v>
      </c>
      <c r="AR90">
        <v>0</v>
      </c>
      <c r="BC90" t="s">
        <v>3393</v>
      </c>
      <c r="BD90">
        <v>2021</v>
      </c>
      <c r="BE90" t="s">
        <v>2615</v>
      </c>
      <c r="BF90" t="s">
        <v>986</v>
      </c>
      <c r="BG90">
        <v>0.99199999999999999</v>
      </c>
    </row>
    <row r="91" spans="2:59" x14ac:dyDescent="0.25">
      <c r="B91" t="s">
        <v>3393</v>
      </c>
      <c r="C91">
        <v>2023</v>
      </c>
      <c r="D91" t="s">
        <v>994</v>
      </c>
      <c r="E91" t="s">
        <v>5311</v>
      </c>
      <c r="I91" t="s">
        <v>3393</v>
      </c>
      <c r="J91">
        <v>2022</v>
      </c>
      <c r="K91" t="s">
        <v>1019</v>
      </c>
      <c r="L91" t="s">
        <v>5229</v>
      </c>
      <c r="AH91" t="s">
        <v>3393</v>
      </c>
      <c r="AI91">
        <v>2020</v>
      </c>
      <c r="AJ91" t="s">
        <v>848</v>
      </c>
      <c r="AK91">
        <v>6707</v>
      </c>
      <c r="AO91" t="s">
        <v>3393</v>
      </c>
      <c r="AP91">
        <v>2022</v>
      </c>
      <c r="AQ91" t="s">
        <v>865</v>
      </c>
      <c r="AR91">
        <v>6.3399999999999998E-2</v>
      </c>
      <c r="BC91" t="s">
        <v>3393</v>
      </c>
      <c r="BD91">
        <v>2021</v>
      </c>
      <c r="BE91" t="s">
        <v>2675</v>
      </c>
      <c r="BF91" t="s">
        <v>1012</v>
      </c>
      <c r="BG91">
        <v>1</v>
      </c>
    </row>
    <row r="92" spans="2:59" x14ac:dyDescent="0.25">
      <c r="B92" t="s">
        <v>3393</v>
      </c>
      <c r="C92">
        <v>2023</v>
      </c>
      <c r="D92" t="s">
        <v>995</v>
      </c>
      <c r="E92" t="s">
        <v>5312</v>
      </c>
      <c r="I92" t="s">
        <v>3393</v>
      </c>
      <c r="J92">
        <v>2022</v>
      </c>
      <c r="K92" t="s">
        <v>1025</v>
      </c>
      <c r="L92" t="s">
        <v>5230</v>
      </c>
      <c r="AH92" t="s">
        <v>3393</v>
      </c>
      <c r="AI92">
        <v>2021</v>
      </c>
      <c r="AJ92" t="s">
        <v>848</v>
      </c>
      <c r="AK92">
        <v>9427</v>
      </c>
      <c r="AO92" t="s">
        <v>3393</v>
      </c>
      <c r="AP92">
        <v>2022</v>
      </c>
      <c r="AQ92" t="s">
        <v>861</v>
      </c>
      <c r="AR92">
        <v>2.5000000000000001E-3</v>
      </c>
      <c r="BC92" t="s">
        <v>3393</v>
      </c>
      <c r="BD92">
        <v>2021</v>
      </c>
      <c r="BE92" t="s">
        <v>2615</v>
      </c>
      <c r="BF92" t="s">
        <v>1055</v>
      </c>
      <c r="BG92">
        <v>0.54390000000000005</v>
      </c>
    </row>
    <row r="93" spans="2:59" x14ac:dyDescent="0.25">
      <c r="B93" t="s">
        <v>3393</v>
      </c>
      <c r="C93">
        <v>2023</v>
      </c>
      <c r="D93" t="s">
        <v>990</v>
      </c>
      <c r="E93" t="s">
        <v>4874</v>
      </c>
      <c r="I93" t="s">
        <v>3393</v>
      </c>
      <c r="J93">
        <v>2022</v>
      </c>
      <c r="K93" t="s">
        <v>1024</v>
      </c>
      <c r="L93" t="s">
        <v>5231</v>
      </c>
      <c r="AH93" t="s">
        <v>3393</v>
      </c>
      <c r="AI93">
        <v>2022</v>
      </c>
      <c r="AJ93" t="s">
        <v>848</v>
      </c>
      <c r="AK93">
        <v>7046</v>
      </c>
      <c r="AO93" t="s">
        <v>3393</v>
      </c>
      <c r="AP93">
        <v>2022</v>
      </c>
      <c r="AQ93" t="s">
        <v>871</v>
      </c>
      <c r="AR93">
        <v>0.17649999999999999</v>
      </c>
      <c r="BC93" t="s">
        <v>3393</v>
      </c>
      <c r="BD93">
        <v>2021</v>
      </c>
      <c r="BE93" t="s">
        <v>2675</v>
      </c>
      <c r="BF93" t="s">
        <v>1015</v>
      </c>
      <c r="BG93">
        <v>0</v>
      </c>
    </row>
    <row r="94" spans="2:59" x14ac:dyDescent="0.25">
      <c r="B94" t="s">
        <v>3393</v>
      </c>
      <c r="C94">
        <v>2023</v>
      </c>
      <c r="D94" t="s">
        <v>1001</v>
      </c>
      <c r="E94" t="s">
        <v>1993</v>
      </c>
      <c r="I94" t="s">
        <v>3393</v>
      </c>
      <c r="J94">
        <v>2022</v>
      </c>
      <c r="K94" t="s">
        <v>1026</v>
      </c>
      <c r="L94" t="s">
        <v>1993</v>
      </c>
      <c r="AH94" t="s">
        <v>3393</v>
      </c>
      <c r="AI94">
        <v>2023</v>
      </c>
      <c r="AJ94" t="s">
        <v>848</v>
      </c>
      <c r="AK94">
        <v>9688</v>
      </c>
      <c r="AO94" t="s">
        <v>3393</v>
      </c>
      <c r="AP94">
        <v>2022</v>
      </c>
      <c r="AQ94" t="s">
        <v>848</v>
      </c>
      <c r="AR94">
        <v>0.42030000000000001</v>
      </c>
      <c r="BC94" t="s">
        <v>3393</v>
      </c>
      <c r="BD94">
        <v>2021</v>
      </c>
      <c r="BE94" t="s">
        <v>2675</v>
      </c>
      <c r="BF94" t="s">
        <v>798</v>
      </c>
      <c r="BG94">
        <v>0.89580000000000004</v>
      </c>
    </row>
    <row r="95" spans="2:59" x14ac:dyDescent="0.25">
      <c r="B95" t="s">
        <v>3393</v>
      </c>
      <c r="C95">
        <v>2023</v>
      </c>
      <c r="D95" t="s">
        <v>2602</v>
      </c>
      <c r="E95" t="s">
        <v>5313</v>
      </c>
      <c r="I95" t="s">
        <v>3393</v>
      </c>
      <c r="J95">
        <v>2022</v>
      </c>
      <c r="K95" t="s">
        <v>1023</v>
      </c>
      <c r="L95" t="s">
        <v>5232</v>
      </c>
      <c r="AH95" t="s">
        <v>3393</v>
      </c>
      <c r="AI95">
        <v>2019</v>
      </c>
      <c r="AJ95" t="s">
        <v>853</v>
      </c>
      <c r="AK95">
        <v>10421</v>
      </c>
      <c r="AO95" t="s">
        <v>3393</v>
      </c>
      <c r="AP95">
        <v>2022</v>
      </c>
      <c r="AQ95" t="s">
        <v>853</v>
      </c>
      <c r="AR95">
        <v>0.53500000000000003</v>
      </c>
      <c r="BC95" t="s">
        <v>3393</v>
      </c>
      <c r="BD95">
        <v>2022</v>
      </c>
      <c r="BE95" t="s">
        <v>2675</v>
      </c>
      <c r="BF95" t="s">
        <v>1010</v>
      </c>
      <c r="BG95">
        <v>0</v>
      </c>
    </row>
    <row r="96" spans="2:59" x14ac:dyDescent="0.25">
      <c r="B96" t="s">
        <v>3393</v>
      </c>
      <c r="C96">
        <v>2023</v>
      </c>
      <c r="D96" t="s">
        <v>989</v>
      </c>
      <c r="E96" t="s">
        <v>5314</v>
      </c>
      <c r="I96" t="s">
        <v>3393</v>
      </c>
      <c r="J96">
        <v>2022</v>
      </c>
      <c r="K96" t="s">
        <v>1027</v>
      </c>
      <c r="L96" t="s">
        <v>4582</v>
      </c>
      <c r="AH96" t="s">
        <v>3393</v>
      </c>
      <c r="AI96">
        <v>2020</v>
      </c>
      <c r="AJ96" t="s">
        <v>853</v>
      </c>
      <c r="AK96">
        <v>11414</v>
      </c>
      <c r="AO96" t="s">
        <v>3393</v>
      </c>
      <c r="AP96">
        <v>2022</v>
      </c>
      <c r="AQ96" t="s">
        <v>854</v>
      </c>
      <c r="AR96">
        <v>0.40560000000000002</v>
      </c>
      <c r="BC96" t="s">
        <v>3393</v>
      </c>
      <c r="BD96">
        <v>2022</v>
      </c>
      <c r="BE96" t="s">
        <v>2675</v>
      </c>
      <c r="BF96" t="s">
        <v>3074</v>
      </c>
      <c r="BG96">
        <v>0</v>
      </c>
    </row>
    <row r="97" spans="2:59" x14ac:dyDescent="0.25">
      <c r="B97" t="s">
        <v>3393</v>
      </c>
      <c r="C97">
        <v>2023</v>
      </c>
      <c r="D97" t="s">
        <v>987</v>
      </c>
      <c r="E97" t="s">
        <v>5315</v>
      </c>
      <c r="I97" t="s">
        <v>3393</v>
      </c>
      <c r="J97">
        <v>2022</v>
      </c>
      <c r="K97" t="s">
        <v>1022</v>
      </c>
      <c r="L97" t="s">
        <v>5233</v>
      </c>
      <c r="AH97" t="s">
        <v>3393</v>
      </c>
      <c r="AI97">
        <v>2021</v>
      </c>
      <c r="AJ97" t="s">
        <v>853</v>
      </c>
      <c r="AK97">
        <v>9745</v>
      </c>
      <c r="AO97" t="s">
        <v>3393</v>
      </c>
      <c r="AP97">
        <v>2022</v>
      </c>
      <c r="AQ97" t="s">
        <v>863</v>
      </c>
      <c r="AR97">
        <v>0.1295</v>
      </c>
      <c r="BC97" t="s">
        <v>3393</v>
      </c>
      <c r="BD97">
        <v>2022</v>
      </c>
      <c r="BE97" t="s">
        <v>2675</v>
      </c>
      <c r="BF97" t="s">
        <v>1017</v>
      </c>
      <c r="BG97">
        <v>0.14779999999999999</v>
      </c>
    </row>
    <row r="98" spans="2:59" x14ac:dyDescent="0.25">
      <c r="B98" t="s">
        <v>3393</v>
      </c>
      <c r="C98">
        <v>2023</v>
      </c>
      <c r="D98" t="s">
        <v>993</v>
      </c>
      <c r="E98" t="s">
        <v>2661</v>
      </c>
      <c r="I98" t="s">
        <v>3393</v>
      </c>
      <c r="J98">
        <v>2022</v>
      </c>
      <c r="K98" t="s">
        <v>1018</v>
      </c>
      <c r="L98" t="s">
        <v>5234</v>
      </c>
      <c r="AH98" t="s">
        <v>3393</v>
      </c>
      <c r="AI98">
        <v>2022</v>
      </c>
      <c r="AJ98" t="s">
        <v>853</v>
      </c>
      <c r="AK98">
        <v>8969</v>
      </c>
      <c r="AO98" t="s">
        <v>3393</v>
      </c>
      <c r="AP98">
        <v>2022</v>
      </c>
      <c r="AQ98" t="s">
        <v>868</v>
      </c>
      <c r="AR98">
        <v>4.4600000000000001E-2</v>
      </c>
      <c r="BC98" t="s">
        <v>3393</v>
      </c>
      <c r="BD98">
        <v>2022</v>
      </c>
      <c r="BE98" t="s">
        <v>2675</v>
      </c>
      <c r="BF98" t="s">
        <v>1029</v>
      </c>
      <c r="BG98">
        <v>0.22159999999999999</v>
      </c>
    </row>
    <row r="99" spans="2:59" x14ac:dyDescent="0.25">
      <c r="B99" t="s">
        <v>3393</v>
      </c>
      <c r="C99">
        <v>2023</v>
      </c>
      <c r="D99" t="s">
        <v>992</v>
      </c>
      <c r="E99" t="s">
        <v>5316</v>
      </c>
      <c r="I99" t="s">
        <v>3393</v>
      </c>
      <c r="J99">
        <v>2022</v>
      </c>
      <c r="K99" t="s">
        <v>1014</v>
      </c>
      <c r="L99" t="s">
        <v>5235</v>
      </c>
      <c r="AH99" t="s">
        <v>3393</v>
      </c>
      <c r="AI99">
        <v>2023</v>
      </c>
      <c r="AJ99" t="s">
        <v>853</v>
      </c>
      <c r="AK99">
        <v>9890</v>
      </c>
      <c r="AO99" t="s">
        <v>3393</v>
      </c>
      <c r="AP99">
        <v>2022</v>
      </c>
      <c r="AQ99" t="s">
        <v>869</v>
      </c>
      <c r="AR99">
        <v>0</v>
      </c>
      <c r="BC99" t="s">
        <v>3393</v>
      </c>
      <c r="BD99">
        <v>2022</v>
      </c>
      <c r="BE99" t="s">
        <v>2675</v>
      </c>
      <c r="BF99" t="s">
        <v>1028</v>
      </c>
      <c r="BG99">
        <v>0</v>
      </c>
    </row>
    <row r="100" spans="2:59" x14ac:dyDescent="0.25">
      <c r="B100" t="s">
        <v>3393</v>
      </c>
      <c r="C100">
        <v>2023</v>
      </c>
      <c r="D100" t="s">
        <v>1000</v>
      </c>
      <c r="E100" t="s">
        <v>3411</v>
      </c>
      <c r="I100" t="s">
        <v>3393</v>
      </c>
      <c r="J100">
        <v>2022</v>
      </c>
      <c r="K100" t="s">
        <v>792</v>
      </c>
      <c r="L100" t="s">
        <v>5236</v>
      </c>
      <c r="AH100" t="s">
        <v>3393</v>
      </c>
      <c r="AI100">
        <v>2019</v>
      </c>
      <c r="AJ100" t="s">
        <v>854</v>
      </c>
      <c r="AK100">
        <v>8808</v>
      </c>
      <c r="AO100" t="s">
        <v>3393</v>
      </c>
      <c r="AP100">
        <v>2022</v>
      </c>
      <c r="AQ100" t="s">
        <v>870</v>
      </c>
      <c r="AR100">
        <v>1</v>
      </c>
      <c r="BC100" t="s">
        <v>3393</v>
      </c>
      <c r="BD100">
        <v>2022</v>
      </c>
      <c r="BE100" t="s">
        <v>2675</v>
      </c>
      <c r="BF100" t="s">
        <v>1020</v>
      </c>
      <c r="BG100">
        <v>0.55820000000000003</v>
      </c>
    </row>
    <row r="101" spans="2:59" x14ac:dyDescent="0.25">
      <c r="B101" t="s">
        <v>3393</v>
      </c>
      <c r="C101">
        <v>2023</v>
      </c>
      <c r="D101" t="s">
        <v>1004</v>
      </c>
      <c r="E101" t="s">
        <v>5317</v>
      </c>
      <c r="I101" t="s">
        <v>3393</v>
      </c>
      <c r="J101">
        <v>2022</v>
      </c>
      <c r="K101" t="s">
        <v>1012</v>
      </c>
      <c r="L101" t="s">
        <v>5237</v>
      </c>
      <c r="AH101" t="s">
        <v>3393</v>
      </c>
      <c r="AI101">
        <v>2020</v>
      </c>
      <c r="AJ101" t="s">
        <v>854</v>
      </c>
      <c r="AK101">
        <v>9055</v>
      </c>
      <c r="AO101" t="s">
        <v>3393</v>
      </c>
      <c r="AP101">
        <v>2023</v>
      </c>
      <c r="AQ101" t="s">
        <v>858</v>
      </c>
      <c r="AR101">
        <v>0.35780000000000001</v>
      </c>
      <c r="BC101" t="s">
        <v>3393</v>
      </c>
      <c r="BD101">
        <v>2022</v>
      </c>
      <c r="BE101" t="s">
        <v>2615</v>
      </c>
      <c r="BF101" t="s">
        <v>1005</v>
      </c>
      <c r="BG101">
        <v>0.88539999999999996</v>
      </c>
    </row>
    <row r="102" spans="2:59" x14ac:dyDescent="0.25">
      <c r="B102" t="s">
        <v>3393</v>
      </c>
      <c r="C102">
        <v>2023</v>
      </c>
      <c r="D102" t="s">
        <v>1003</v>
      </c>
      <c r="E102" t="s">
        <v>4841</v>
      </c>
      <c r="I102" t="s">
        <v>3393</v>
      </c>
      <c r="J102">
        <v>2022</v>
      </c>
      <c r="K102" t="s">
        <v>1015</v>
      </c>
      <c r="L102" t="s">
        <v>5238</v>
      </c>
      <c r="AH102" t="s">
        <v>3393</v>
      </c>
      <c r="AI102">
        <v>2021</v>
      </c>
      <c r="AJ102" t="s">
        <v>854</v>
      </c>
      <c r="AK102">
        <v>7129</v>
      </c>
      <c r="AO102" t="s">
        <v>3393</v>
      </c>
      <c r="AP102">
        <v>2023</v>
      </c>
      <c r="AQ102" t="s">
        <v>859</v>
      </c>
      <c r="AR102">
        <v>2.2800000000000001E-2</v>
      </c>
      <c r="BC102" t="s">
        <v>3393</v>
      </c>
      <c r="BD102">
        <v>2022</v>
      </c>
      <c r="BE102" t="s">
        <v>2615</v>
      </c>
      <c r="BF102" t="s">
        <v>994</v>
      </c>
      <c r="BG102">
        <v>5.0599999999999999E-2</v>
      </c>
    </row>
    <row r="103" spans="2:59" x14ac:dyDescent="0.25">
      <c r="B103" t="s">
        <v>3393</v>
      </c>
      <c r="C103">
        <v>2023</v>
      </c>
      <c r="D103" t="s">
        <v>997</v>
      </c>
      <c r="E103" t="s">
        <v>5318</v>
      </c>
      <c r="I103" t="s">
        <v>3393</v>
      </c>
      <c r="J103">
        <v>2022</v>
      </c>
      <c r="K103" t="s">
        <v>1031</v>
      </c>
      <c r="L103" t="s">
        <v>5153</v>
      </c>
      <c r="AH103" t="s">
        <v>3393</v>
      </c>
      <c r="AI103">
        <v>2022</v>
      </c>
      <c r="AJ103" t="s">
        <v>854</v>
      </c>
      <c r="AK103">
        <v>6799</v>
      </c>
      <c r="AO103" t="s">
        <v>3393</v>
      </c>
      <c r="AP103">
        <v>2023</v>
      </c>
      <c r="AQ103" t="s">
        <v>857</v>
      </c>
      <c r="AR103">
        <v>8.0999999999999996E-3</v>
      </c>
      <c r="BC103" t="s">
        <v>3393</v>
      </c>
      <c r="BD103">
        <v>2022</v>
      </c>
      <c r="BE103" t="s">
        <v>2675</v>
      </c>
      <c r="BF103" t="s">
        <v>1016</v>
      </c>
      <c r="BG103">
        <v>0</v>
      </c>
    </row>
    <row r="104" spans="2:59" x14ac:dyDescent="0.25">
      <c r="B104" t="s">
        <v>3393</v>
      </c>
      <c r="C104">
        <v>2023</v>
      </c>
      <c r="D104" t="s">
        <v>986</v>
      </c>
      <c r="E104" t="s">
        <v>5319</v>
      </c>
      <c r="I104" t="s">
        <v>3393</v>
      </c>
      <c r="J104">
        <v>2022</v>
      </c>
      <c r="K104" t="s">
        <v>798</v>
      </c>
      <c r="L104" t="s">
        <v>5239</v>
      </c>
      <c r="AH104" t="s">
        <v>3393</v>
      </c>
      <c r="AI104">
        <v>2023</v>
      </c>
      <c r="AJ104" t="s">
        <v>854</v>
      </c>
      <c r="AK104">
        <v>8219</v>
      </c>
      <c r="AO104" t="s">
        <v>3393</v>
      </c>
      <c r="AP104">
        <v>2023</v>
      </c>
      <c r="AQ104" t="s">
        <v>862</v>
      </c>
      <c r="AR104">
        <v>0</v>
      </c>
      <c r="BC104" t="s">
        <v>3393</v>
      </c>
      <c r="BD104">
        <v>2022</v>
      </c>
      <c r="BE104" t="s">
        <v>2675</v>
      </c>
      <c r="BF104" t="s">
        <v>1021</v>
      </c>
      <c r="BG104">
        <v>0.12790000000000001</v>
      </c>
    </row>
    <row r="105" spans="2:59" x14ac:dyDescent="0.25">
      <c r="B105" t="s">
        <v>3393</v>
      </c>
      <c r="C105">
        <v>2023</v>
      </c>
      <c r="D105" t="s">
        <v>991</v>
      </c>
      <c r="E105" t="s">
        <v>5320</v>
      </c>
      <c r="I105" t="s">
        <v>3393</v>
      </c>
      <c r="J105">
        <v>2023</v>
      </c>
      <c r="K105" t="s">
        <v>1010</v>
      </c>
      <c r="L105" t="s">
        <v>5240</v>
      </c>
      <c r="AH105" t="s">
        <v>3393</v>
      </c>
      <c r="AI105">
        <v>2019</v>
      </c>
      <c r="AJ105" t="s">
        <v>863</v>
      </c>
      <c r="AK105">
        <v>1613</v>
      </c>
      <c r="AO105" t="s">
        <v>3393</v>
      </c>
      <c r="AP105">
        <v>2023</v>
      </c>
      <c r="AQ105" t="s">
        <v>872</v>
      </c>
      <c r="AR105">
        <v>0</v>
      </c>
      <c r="BC105" t="s">
        <v>3393</v>
      </c>
      <c r="BD105">
        <v>2022</v>
      </c>
      <c r="BE105" t="s">
        <v>2675</v>
      </c>
      <c r="BF105" t="s">
        <v>1061</v>
      </c>
      <c r="BG105">
        <v>1</v>
      </c>
    </row>
    <row r="106" spans="2:59" x14ac:dyDescent="0.25">
      <c r="B106" t="s">
        <v>3393</v>
      </c>
      <c r="C106">
        <v>2023</v>
      </c>
      <c r="D106" t="s">
        <v>999</v>
      </c>
      <c r="E106" t="s">
        <v>3411</v>
      </c>
      <c r="I106" t="s">
        <v>3393</v>
      </c>
      <c r="J106">
        <v>2023</v>
      </c>
      <c r="K106" t="s">
        <v>1011</v>
      </c>
      <c r="L106" t="s">
        <v>5241</v>
      </c>
      <c r="AH106" t="s">
        <v>3393</v>
      </c>
      <c r="AI106">
        <v>2020</v>
      </c>
      <c r="AJ106" t="s">
        <v>863</v>
      </c>
      <c r="AK106">
        <v>2359</v>
      </c>
      <c r="AO106" t="s">
        <v>3393</v>
      </c>
      <c r="AP106">
        <v>2023</v>
      </c>
      <c r="AQ106" t="s">
        <v>864</v>
      </c>
      <c r="AR106">
        <v>1.01E-2</v>
      </c>
      <c r="BC106" t="s">
        <v>3393</v>
      </c>
      <c r="BD106">
        <v>2022</v>
      </c>
      <c r="BE106" t="s">
        <v>2675</v>
      </c>
      <c r="BF106" t="s">
        <v>1025</v>
      </c>
      <c r="BG106">
        <v>1</v>
      </c>
    </row>
    <row r="107" spans="2:59" x14ac:dyDescent="0.25">
      <c r="B107" t="s">
        <v>3393</v>
      </c>
      <c r="C107">
        <v>2023</v>
      </c>
      <c r="D107" t="s">
        <v>998</v>
      </c>
      <c r="E107" t="s">
        <v>5321</v>
      </c>
      <c r="I107" t="s">
        <v>3393</v>
      </c>
      <c r="J107">
        <v>2023</v>
      </c>
      <c r="K107" t="s">
        <v>1017</v>
      </c>
      <c r="L107" t="s">
        <v>5242</v>
      </c>
      <c r="AH107" t="s">
        <v>3393</v>
      </c>
      <c r="AI107">
        <v>2021</v>
      </c>
      <c r="AJ107" t="s">
        <v>863</v>
      </c>
      <c r="AK107">
        <v>2616</v>
      </c>
      <c r="AO107" t="s">
        <v>3393</v>
      </c>
      <c r="AP107">
        <v>2023</v>
      </c>
      <c r="AQ107" t="s">
        <v>866</v>
      </c>
      <c r="AR107">
        <v>2.63E-2</v>
      </c>
      <c r="BC107" t="s">
        <v>3393</v>
      </c>
      <c r="BD107">
        <v>2022</v>
      </c>
      <c r="BE107" t="s">
        <v>2675</v>
      </c>
      <c r="BF107" t="s">
        <v>1024</v>
      </c>
      <c r="BG107">
        <v>1</v>
      </c>
    </row>
    <row r="108" spans="2:59" x14ac:dyDescent="0.25">
      <c r="B108" t="s">
        <v>3393</v>
      </c>
      <c r="C108">
        <v>2023</v>
      </c>
      <c r="D108" t="s">
        <v>1002</v>
      </c>
      <c r="E108" t="s">
        <v>5322</v>
      </c>
      <c r="I108" t="s">
        <v>3393</v>
      </c>
      <c r="J108">
        <v>2023</v>
      </c>
      <c r="K108" t="s">
        <v>1029</v>
      </c>
      <c r="L108" t="s">
        <v>5243</v>
      </c>
      <c r="AH108" t="s">
        <v>3393</v>
      </c>
      <c r="AI108">
        <v>2022</v>
      </c>
      <c r="AJ108" t="s">
        <v>863</v>
      </c>
      <c r="AK108">
        <v>2171</v>
      </c>
      <c r="AO108" t="s">
        <v>3393</v>
      </c>
      <c r="AP108">
        <v>2023</v>
      </c>
      <c r="AQ108" t="s">
        <v>860</v>
      </c>
      <c r="AR108">
        <v>2.0799999999999999E-2</v>
      </c>
      <c r="BC108" t="s">
        <v>3393</v>
      </c>
      <c r="BD108">
        <v>2022</v>
      </c>
      <c r="BE108" t="s">
        <v>2675</v>
      </c>
      <c r="BF108" t="s">
        <v>1026</v>
      </c>
      <c r="BG108">
        <v>1</v>
      </c>
    </row>
    <row r="109" spans="2:59" x14ac:dyDescent="0.25">
      <c r="B109" t="s">
        <v>3393</v>
      </c>
      <c r="C109">
        <v>2023</v>
      </c>
      <c r="D109" t="s">
        <v>1006</v>
      </c>
      <c r="E109" t="s">
        <v>5158</v>
      </c>
      <c r="I109" t="s">
        <v>3393</v>
      </c>
      <c r="J109">
        <v>2023</v>
      </c>
      <c r="K109" t="s">
        <v>1013</v>
      </c>
      <c r="L109" t="s">
        <v>5244</v>
      </c>
      <c r="AH109" t="s">
        <v>3393</v>
      </c>
      <c r="AI109">
        <v>2023</v>
      </c>
      <c r="AJ109" t="s">
        <v>863</v>
      </c>
      <c r="AK109">
        <v>1671</v>
      </c>
      <c r="AO109" t="s">
        <v>3393</v>
      </c>
      <c r="AP109">
        <v>2023</v>
      </c>
      <c r="AQ109" t="s">
        <v>850</v>
      </c>
      <c r="AR109">
        <v>0.25230000000000002</v>
      </c>
      <c r="BC109" t="s">
        <v>3393</v>
      </c>
      <c r="BD109">
        <v>2022</v>
      </c>
      <c r="BE109" t="s">
        <v>2615</v>
      </c>
      <c r="BF109" t="s">
        <v>1001</v>
      </c>
      <c r="BG109">
        <v>1</v>
      </c>
    </row>
    <row r="110" spans="2:59" x14ac:dyDescent="0.25">
      <c r="I110" t="s">
        <v>3393</v>
      </c>
      <c r="J110">
        <v>2023</v>
      </c>
      <c r="K110" t="s">
        <v>1028</v>
      </c>
      <c r="L110" t="s">
        <v>5245</v>
      </c>
      <c r="AH110" t="s">
        <v>3393</v>
      </c>
      <c r="AI110">
        <v>2019</v>
      </c>
      <c r="AJ110" t="s">
        <v>868</v>
      </c>
      <c r="AK110">
        <v>93</v>
      </c>
      <c r="AO110" t="s">
        <v>3393</v>
      </c>
      <c r="AP110">
        <v>2023</v>
      </c>
      <c r="AQ110" t="s">
        <v>849</v>
      </c>
      <c r="AR110">
        <v>8.8000000000000005E-3</v>
      </c>
      <c r="BC110" t="s">
        <v>3393</v>
      </c>
      <c r="BD110">
        <v>2022</v>
      </c>
      <c r="BE110" t="s">
        <v>2615</v>
      </c>
      <c r="BF110" t="s">
        <v>1000</v>
      </c>
      <c r="BG110">
        <v>1</v>
      </c>
    </row>
    <row r="111" spans="2:59" x14ac:dyDescent="0.25">
      <c r="I111" t="s">
        <v>3393</v>
      </c>
      <c r="J111">
        <v>2023</v>
      </c>
      <c r="K111" t="s">
        <v>1020</v>
      </c>
      <c r="L111" t="s">
        <v>5246</v>
      </c>
      <c r="AH111" t="s">
        <v>3393</v>
      </c>
      <c r="AI111">
        <v>2020</v>
      </c>
      <c r="AJ111" t="s">
        <v>868</v>
      </c>
      <c r="AK111">
        <v>21</v>
      </c>
      <c r="AO111" t="s">
        <v>3393</v>
      </c>
      <c r="AP111">
        <v>2023</v>
      </c>
      <c r="AQ111" t="s">
        <v>852</v>
      </c>
      <c r="AR111">
        <v>0.14449999999999999</v>
      </c>
      <c r="BC111" t="s">
        <v>3393</v>
      </c>
      <c r="BD111">
        <v>2022</v>
      </c>
      <c r="BE111" t="s">
        <v>2615</v>
      </c>
      <c r="BF111" t="s">
        <v>1004</v>
      </c>
      <c r="BG111">
        <v>0</v>
      </c>
    </row>
    <row r="112" spans="2:59" x14ac:dyDescent="0.25">
      <c r="I112" t="s">
        <v>3393</v>
      </c>
      <c r="J112">
        <v>2023</v>
      </c>
      <c r="K112" t="s">
        <v>1016</v>
      </c>
      <c r="L112" t="s">
        <v>5247</v>
      </c>
      <c r="AH112" t="s">
        <v>3393</v>
      </c>
      <c r="AI112">
        <v>2021</v>
      </c>
      <c r="AJ112" t="s">
        <v>868</v>
      </c>
      <c r="AK112">
        <v>108</v>
      </c>
      <c r="AO112" t="s">
        <v>3393</v>
      </c>
      <c r="AP112">
        <v>2023</v>
      </c>
      <c r="AQ112" t="s">
        <v>851</v>
      </c>
      <c r="AR112">
        <v>1.84E-2</v>
      </c>
      <c r="BC112" t="s">
        <v>3393</v>
      </c>
      <c r="BD112">
        <v>2022</v>
      </c>
      <c r="BE112" t="s">
        <v>2615</v>
      </c>
      <c r="BF112" t="s">
        <v>1003</v>
      </c>
      <c r="BG112">
        <v>1</v>
      </c>
    </row>
    <row r="113" spans="9:59" x14ac:dyDescent="0.25">
      <c r="I113" t="s">
        <v>3393</v>
      </c>
      <c r="J113">
        <v>2023</v>
      </c>
      <c r="K113" t="s">
        <v>1030</v>
      </c>
      <c r="L113" t="s">
        <v>5248</v>
      </c>
      <c r="AH113" t="s">
        <v>3393</v>
      </c>
      <c r="AI113">
        <v>2022</v>
      </c>
      <c r="AJ113" t="s">
        <v>868</v>
      </c>
      <c r="AK113">
        <v>748</v>
      </c>
      <c r="AO113" t="s">
        <v>3393</v>
      </c>
      <c r="AP113">
        <v>2023</v>
      </c>
      <c r="AQ113" t="s">
        <v>855</v>
      </c>
      <c r="AR113">
        <v>4.7000000000000002E-3</v>
      </c>
      <c r="BC113" t="s">
        <v>3393</v>
      </c>
      <c r="BD113">
        <v>2022</v>
      </c>
      <c r="BE113" t="s">
        <v>2675</v>
      </c>
      <c r="BF113" t="s">
        <v>1023</v>
      </c>
      <c r="BG113">
        <v>1</v>
      </c>
    </row>
    <row r="114" spans="9:59" x14ac:dyDescent="0.25">
      <c r="I114" t="s">
        <v>3393</v>
      </c>
      <c r="J114">
        <v>2023</v>
      </c>
      <c r="K114" t="s">
        <v>1021</v>
      </c>
      <c r="L114" t="s">
        <v>5249</v>
      </c>
      <c r="AH114" t="s">
        <v>3393</v>
      </c>
      <c r="AI114">
        <v>2023</v>
      </c>
      <c r="AJ114" t="s">
        <v>3238</v>
      </c>
      <c r="AK114">
        <v>232</v>
      </c>
      <c r="AO114" t="s">
        <v>3393</v>
      </c>
      <c r="AP114">
        <v>2023</v>
      </c>
      <c r="AQ114" t="s">
        <v>856</v>
      </c>
      <c r="AR114">
        <v>0</v>
      </c>
      <c r="BC114" t="s">
        <v>3393</v>
      </c>
      <c r="BD114">
        <v>2022</v>
      </c>
      <c r="BE114" t="s">
        <v>2675</v>
      </c>
      <c r="BF114" t="s">
        <v>1027</v>
      </c>
      <c r="BG114">
        <v>1</v>
      </c>
    </row>
    <row r="115" spans="9:59" x14ac:dyDescent="0.25">
      <c r="I115" t="s">
        <v>3393</v>
      </c>
      <c r="J115">
        <v>2023</v>
      </c>
      <c r="K115" t="s">
        <v>1009</v>
      </c>
      <c r="L115" t="s">
        <v>5250</v>
      </c>
      <c r="AH115" t="s">
        <v>3393</v>
      </c>
      <c r="AI115">
        <v>2019</v>
      </c>
      <c r="AJ115" t="s">
        <v>869</v>
      </c>
      <c r="AK115">
        <v>0</v>
      </c>
      <c r="AO115" t="s">
        <v>3393</v>
      </c>
      <c r="AP115">
        <v>2023</v>
      </c>
      <c r="AQ115" t="s">
        <v>865</v>
      </c>
      <c r="AR115">
        <v>4.8000000000000001E-2</v>
      </c>
      <c r="BC115" t="s">
        <v>3393</v>
      </c>
      <c r="BD115">
        <v>2022</v>
      </c>
      <c r="BE115" t="s">
        <v>2675</v>
      </c>
      <c r="BF115" t="s">
        <v>1014</v>
      </c>
      <c r="BG115">
        <v>0</v>
      </c>
    </row>
    <row r="116" spans="9:59" x14ac:dyDescent="0.25">
      <c r="I116" t="s">
        <v>3393</v>
      </c>
      <c r="J116">
        <v>2023</v>
      </c>
      <c r="K116" t="s">
        <v>1019</v>
      </c>
      <c r="L116" t="s">
        <v>5251</v>
      </c>
      <c r="AH116" t="s">
        <v>3393</v>
      </c>
      <c r="AI116">
        <v>2020</v>
      </c>
      <c r="AJ116" t="s">
        <v>869</v>
      </c>
      <c r="AK116">
        <v>0</v>
      </c>
      <c r="AO116" t="s">
        <v>3393</v>
      </c>
      <c r="AP116">
        <v>2023</v>
      </c>
      <c r="AQ116" t="s">
        <v>861</v>
      </c>
      <c r="AR116">
        <v>6.9999999999999999E-4</v>
      </c>
      <c r="BC116" t="s">
        <v>3393</v>
      </c>
      <c r="BD116">
        <v>2022</v>
      </c>
      <c r="BE116" t="s">
        <v>2675</v>
      </c>
      <c r="BF116" t="s">
        <v>792</v>
      </c>
      <c r="BG116">
        <v>0.67230000000000001</v>
      </c>
    </row>
    <row r="117" spans="9:59" x14ac:dyDescent="0.25">
      <c r="I117" t="s">
        <v>3393</v>
      </c>
      <c r="J117">
        <v>2023</v>
      </c>
      <c r="K117" t="s">
        <v>1025</v>
      </c>
      <c r="L117" t="s">
        <v>5252</v>
      </c>
      <c r="AH117" t="s">
        <v>3393</v>
      </c>
      <c r="AI117">
        <v>2021</v>
      </c>
      <c r="AJ117" t="s">
        <v>869</v>
      </c>
      <c r="AK117">
        <v>0</v>
      </c>
      <c r="AO117" t="s">
        <v>3393</v>
      </c>
      <c r="AP117">
        <v>2023</v>
      </c>
      <c r="AQ117" t="s">
        <v>871</v>
      </c>
      <c r="AR117">
        <v>0.221</v>
      </c>
      <c r="BC117" t="s">
        <v>3393</v>
      </c>
      <c r="BD117">
        <v>2022</v>
      </c>
      <c r="BE117" t="s">
        <v>2615</v>
      </c>
      <c r="BF117" t="s">
        <v>1054</v>
      </c>
      <c r="BG117">
        <v>0.99890000000000001</v>
      </c>
    </row>
    <row r="118" spans="9:59" x14ac:dyDescent="0.25">
      <c r="I118" t="s">
        <v>3393</v>
      </c>
      <c r="J118">
        <v>2023</v>
      </c>
      <c r="K118" t="s">
        <v>1024</v>
      </c>
      <c r="L118" t="s">
        <v>5253</v>
      </c>
      <c r="AH118" t="s">
        <v>3393</v>
      </c>
      <c r="AI118">
        <v>2022</v>
      </c>
      <c r="AJ118" t="s">
        <v>869</v>
      </c>
      <c r="AK118">
        <v>0</v>
      </c>
      <c r="AO118" t="s">
        <v>3393</v>
      </c>
      <c r="AP118">
        <v>2023</v>
      </c>
      <c r="AQ118" t="s">
        <v>848</v>
      </c>
      <c r="AR118">
        <v>0.48909999999999998</v>
      </c>
      <c r="BC118" t="s">
        <v>3393</v>
      </c>
      <c r="BD118">
        <v>2022</v>
      </c>
      <c r="BE118" t="s">
        <v>2615</v>
      </c>
      <c r="BF118" t="s">
        <v>997</v>
      </c>
      <c r="BG118">
        <v>0.70669999999999999</v>
      </c>
    </row>
    <row r="119" spans="9:59" x14ac:dyDescent="0.25">
      <c r="I119" t="s">
        <v>3393</v>
      </c>
      <c r="J119">
        <v>2023</v>
      </c>
      <c r="K119" t="s">
        <v>1026</v>
      </c>
      <c r="L119" t="s">
        <v>1993</v>
      </c>
      <c r="AH119" t="s">
        <v>3393</v>
      </c>
      <c r="AI119">
        <v>2023</v>
      </c>
      <c r="AJ119" t="s">
        <v>869</v>
      </c>
      <c r="AK119">
        <v>0</v>
      </c>
      <c r="AO119" t="s">
        <v>3393</v>
      </c>
      <c r="AP119">
        <v>2023</v>
      </c>
      <c r="AQ119" t="s">
        <v>853</v>
      </c>
      <c r="AR119">
        <v>0.49930000000000002</v>
      </c>
      <c r="BC119" t="s">
        <v>3393</v>
      </c>
      <c r="BD119">
        <v>2022</v>
      </c>
      <c r="BE119" t="s">
        <v>2615</v>
      </c>
      <c r="BF119" t="s">
        <v>1053</v>
      </c>
      <c r="BG119">
        <v>1</v>
      </c>
    </row>
    <row r="120" spans="9:59" x14ac:dyDescent="0.25">
      <c r="I120" t="s">
        <v>3393</v>
      </c>
      <c r="J120">
        <v>2023</v>
      </c>
      <c r="K120" t="s">
        <v>1023</v>
      </c>
      <c r="L120" t="s">
        <v>5254</v>
      </c>
      <c r="AH120" t="s">
        <v>3393</v>
      </c>
      <c r="AI120">
        <v>2023</v>
      </c>
      <c r="AJ120" t="s">
        <v>3239</v>
      </c>
      <c r="AK120">
        <v>19809</v>
      </c>
      <c r="AO120" t="s">
        <v>3393</v>
      </c>
      <c r="AP120">
        <v>2023</v>
      </c>
      <c r="AQ120" t="s">
        <v>854</v>
      </c>
      <c r="AR120">
        <v>0.41489999999999999</v>
      </c>
      <c r="BC120" t="s">
        <v>3393</v>
      </c>
      <c r="BD120">
        <v>2022</v>
      </c>
      <c r="BE120" t="s">
        <v>2615</v>
      </c>
      <c r="BF120" t="s">
        <v>986</v>
      </c>
      <c r="BG120">
        <v>0.99990000000000001</v>
      </c>
    </row>
    <row r="121" spans="9:59" x14ac:dyDescent="0.25">
      <c r="I121" t="s">
        <v>3393</v>
      </c>
      <c r="J121">
        <v>2023</v>
      </c>
      <c r="K121" t="s">
        <v>1027</v>
      </c>
      <c r="L121" t="s">
        <v>2021</v>
      </c>
      <c r="AH121" t="s">
        <v>3393</v>
      </c>
      <c r="AI121">
        <v>2019</v>
      </c>
      <c r="AJ121" t="s">
        <v>870</v>
      </c>
      <c r="AK121">
        <v>15270</v>
      </c>
      <c r="AO121" t="s">
        <v>3393</v>
      </c>
      <c r="AP121">
        <v>2023</v>
      </c>
      <c r="AQ121" t="s">
        <v>863</v>
      </c>
      <c r="AR121">
        <v>8.4400000000000003E-2</v>
      </c>
      <c r="BC121" t="s">
        <v>3393</v>
      </c>
      <c r="BD121">
        <v>2022</v>
      </c>
      <c r="BE121" t="s">
        <v>2675</v>
      </c>
      <c r="BF121" t="s">
        <v>1012</v>
      </c>
      <c r="BG121">
        <v>1</v>
      </c>
    </row>
    <row r="122" spans="9:59" x14ac:dyDescent="0.25">
      <c r="I122" t="s">
        <v>3393</v>
      </c>
      <c r="J122">
        <v>2023</v>
      </c>
      <c r="K122" t="s">
        <v>1022</v>
      </c>
      <c r="L122" t="s">
        <v>5255</v>
      </c>
      <c r="AH122" t="s">
        <v>3393</v>
      </c>
      <c r="AI122">
        <v>2020</v>
      </c>
      <c r="AJ122" t="s">
        <v>870</v>
      </c>
      <c r="AK122">
        <v>18142</v>
      </c>
      <c r="AO122" t="s">
        <v>3393</v>
      </c>
      <c r="AP122">
        <v>2023</v>
      </c>
      <c r="AQ122" t="s">
        <v>3238</v>
      </c>
      <c r="AR122">
        <v>1.17E-2</v>
      </c>
      <c r="BC122" t="s">
        <v>3393</v>
      </c>
      <c r="BD122">
        <v>2022</v>
      </c>
      <c r="BE122" t="s">
        <v>2615</v>
      </c>
      <c r="BF122" t="s">
        <v>1055</v>
      </c>
      <c r="BG122">
        <v>0.53669999999999995</v>
      </c>
    </row>
    <row r="123" spans="9:59" x14ac:dyDescent="0.25">
      <c r="I123" t="s">
        <v>3393</v>
      </c>
      <c r="J123">
        <v>2023</v>
      </c>
      <c r="K123" t="s">
        <v>1018</v>
      </c>
      <c r="L123" t="s">
        <v>5256</v>
      </c>
      <c r="AH123" t="s">
        <v>3393</v>
      </c>
      <c r="AI123">
        <v>2021</v>
      </c>
      <c r="AJ123" t="s">
        <v>870</v>
      </c>
      <c r="AK123">
        <v>19280</v>
      </c>
      <c r="AO123" t="s">
        <v>3393</v>
      </c>
      <c r="AP123">
        <v>2023</v>
      </c>
      <c r="AQ123" t="s">
        <v>869</v>
      </c>
      <c r="AR123">
        <v>0</v>
      </c>
      <c r="BC123" t="s">
        <v>3393</v>
      </c>
      <c r="BD123">
        <v>2022</v>
      </c>
      <c r="BE123" t="s">
        <v>2675</v>
      </c>
      <c r="BF123" t="s">
        <v>1015</v>
      </c>
      <c r="BG123">
        <v>0</v>
      </c>
    </row>
    <row r="124" spans="9:59" x14ac:dyDescent="0.25">
      <c r="I124" t="s">
        <v>3393</v>
      </c>
      <c r="J124">
        <v>2023</v>
      </c>
      <c r="K124" t="s">
        <v>1014</v>
      </c>
      <c r="L124" t="s">
        <v>5257</v>
      </c>
      <c r="AH124" t="s">
        <v>3393</v>
      </c>
      <c r="AI124">
        <v>2022</v>
      </c>
      <c r="AJ124" t="s">
        <v>870</v>
      </c>
      <c r="AK124">
        <v>16763</v>
      </c>
      <c r="AO124" t="s">
        <v>3393</v>
      </c>
      <c r="AP124">
        <v>2023</v>
      </c>
      <c r="AQ124" t="s">
        <v>3239</v>
      </c>
      <c r="AR124">
        <v>1</v>
      </c>
      <c r="BC124" t="s">
        <v>3393</v>
      </c>
      <c r="BD124">
        <v>2022</v>
      </c>
      <c r="BE124" t="s">
        <v>2675</v>
      </c>
      <c r="BF124" t="s">
        <v>798</v>
      </c>
      <c r="BG124">
        <v>0.91520000000000001</v>
      </c>
    </row>
    <row r="125" spans="9:59" x14ac:dyDescent="0.25">
      <c r="I125" t="s">
        <v>3393</v>
      </c>
      <c r="J125">
        <v>2023</v>
      </c>
      <c r="K125" t="s">
        <v>792</v>
      </c>
      <c r="L125" t="s">
        <v>5258</v>
      </c>
      <c r="BC125" t="s">
        <v>3393</v>
      </c>
      <c r="BD125">
        <v>2023</v>
      </c>
      <c r="BE125" t="s">
        <v>2675</v>
      </c>
      <c r="BF125" t="s">
        <v>1010</v>
      </c>
      <c r="BG125">
        <v>0</v>
      </c>
    </row>
    <row r="126" spans="9:59" x14ac:dyDescent="0.25">
      <c r="I126" t="s">
        <v>3393</v>
      </c>
      <c r="J126">
        <v>2023</v>
      </c>
      <c r="K126" t="s">
        <v>1012</v>
      </c>
      <c r="L126" t="s">
        <v>5259</v>
      </c>
      <c r="BC126" t="s">
        <v>3393</v>
      </c>
      <c r="BD126">
        <v>2023</v>
      </c>
      <c r="BE126" t="s">
        <v>2675</v>
      </c>
      <c r="BF126" t="s">
        <v>3074</v>
      </c>
      <c r="BG126">
        <v>0</v>
      </c>
    </row>
    <row r="127" spans="9:59" x14ac:dyDescent="0.25">
      <c r="I127" t="s">
        <v>3393</v>
      </c>
      <c r="J127">
        <v>2023</v>
      </c>
      <c r="K127" t="s">
        <v>1015</v>
      </c>
      <c r="L127" t="s">
        <v>5260</v>
      </c>
      <c r="BC127" t="s">
        <v>3393</v>
      </c>
      <c r="BD127">
        <v>2023</v>
      </c>
      <c r="BE127" t="s">
        <v>2675</v>
      </c>
      <c r="BF127" t="s">
        <v>1017</v>
      </c>
      <c r="BG127">
        <v>0.12239999999999999</v>
      </c>
    </row>
    <row r="128" spans="9:59" x14ac:dyDescent="0.25">
      <c r="I128" t="s">
        <v>3393</v>
      </c>
      <c r="J128">
        <v>2023</v>
      </c>
      <c r="K128" t="s">
        <v>1031</v>
      </c>
      <c r="L128" t="s">
        <v>5157</v>
      </c>
      <c r="BC128" t="s">
        <v>3393</v>
      </c>
      <c r="BD128">
        <v>2023</v>
      </c>
      <c r="BE128" t="s">
        <v>2675</v>
      </c>
      <c r="BF128" t="s">
        <v>1029</v>
      </c>
      <c r="BG128">
        <v>0.13669999999999999</v>
      </c>
    </row>
    <row r="129" spans="9:59" x14ac:dyDescent="0.25">
      <c r="I129" t="s">
        <v>3393</v>
      </c>
      <c r="J129">
        <v>2023</v>
      </c>
      <c r="K129" t="s">
        <v>798</v>
      </c>
      <c r="L129" t="s">
        <v>5261</v>
      </c>
      <c r="BC129" t="s">
        <v>3393</v>
      </c>
      <c r="BD129">
        <v>2023</v>
      </c>
      <c r="BE129" t="s">
        <v>2675</v>
      </c>
      <c r="BF129" t="s">
        <v>1028</v>
      </c>
      <c r="BG129">
        <v>0</v>
      </c>
    </row>
    <row r="130" spans="9:59" x14ac:dyDescent="0.25">
      <c r="BC130" t="s">
        <v>3393</v>
      </c>
      <c r="BD130">
        <v>2023</v>
      </c>
      <c r="BE130" t="s">
        <v>2675</v>
      </c>
      <c r="BF130" t="s">
        <v>1020</v>
      </c>
      <c r="BG130">
        <v>0.63060000000000005</v>
      </c>
    </row>
    <row r="131" spans="9:59" x14ac:dyDescent="0.25">
      <c r="BC131" t="s">
        <v>3393</v>
      </c>
      <c r="BD131">
        <v>2023</v>
      </c>
      <c r="BE131" t="s">
        <v>2615</v>
      </c>
      <c r="BF131" t="s">
        <v>1005</v>
      </c>
      <c r="BG131">
        <v>2.4500000000000001E-2</v>
      </c>
    </row>
    <row r="132" spans="9:59" x14ac:dyDescent="0.25">
      <c r="BC132" t="s">
        <v>3393</v>
      </c>
      <c r="BD132">
        <v>2023</v>
      </c>
      <c r="BE132" t="s">
        <v>2615</v>
      </c>
      <c r="BF132" t="s">
        <v>994</v>
      </c>
      <c r="BG132">
        <v>0.1973</v>
      </c>
    </row>
    <row r="133" spans="9:59" x14ac:dyDescent="0.25">
      <c r="BC133" t="s">
        <v>3393</v>
      </c>
      <c r="BD133">
        <v>2023</v>
      </c>
      <c r="BE133" t="s">
        <v>2675</v>
      </c>
      <c r="BF133" t="s">
        <v>1016</v>
      </c>
      <c r="BG133">
        <v>0</v>
      </c>
    </row>
    <row r="134" spans="9:59" x14ac:dyDescent="0.25">
      <c r="BC134" t="s">
        <v>3393</v>
      </c>
      <c r="BD134">
        <v>2023</v>
      </c>
      <c r="BE134" t="s">
        <v>2675</v>
      </c>
      <c r="BF134" t="s">
        <v>1021</v>
      </c>
      <c r="BG134">
        <v>0.1421</v>
      </c>
    </row>
    <row r="135" spans="9:59" x14ac:dyDescent="0.25">
      <c r="BC135" t="s">
        <v>3393</v>
      </c>
      <c r="BD135">
        <v>2023</v>
      </c>
      <c r="BE135" t="s">
        <v>2675</v>
      </c>
      <c r="BF135" t="s">
        <v>1061</v>
      </c>
      <c r="BG135">
        <v>1</v>
      </c>
    </row>
    <row r="136" spans="9:59" x14ac:dyDescent="0.25">
      <c r="BC136" t="s">
        <v>3393</v>
      </c>
      <c r="BD136">
        <v>2023</v>
      </c>
      <c r="BE136" t="s">
        <v>2675</v>
      </c>
      <c r="BF136" t="s">
        <v>1025</v>
      </c>
      <c r="BG136">
        <v>1</v>
      </c>
    </row>
    <row r="137" spans="9:59" x14ac:dyDescent="0.25">
      <c r="BC137" t="s">
        <v>3393</v>
      </c>
      <c r="BD137">
        <v>2023</v>
      </c>
      <c r="BE137" t="s">
        <v>2675</v>
      </c>
      <c r="BF137" t="s">
        <v>1024</v>
      </c>
      <c r="BG137">
        <v>1</v>
      </c>
    </row>
    <row r="138" spans="9:59" x14ac:dyDescent="0.25">
      <c r="BC138" t="s">
        <v>3393</v>
      </c>
      <c r="BD138">
        <v>2023</v>
      </c>
      <c r="BE138" t="s">
        <v>2675</v>
      </c>
      <c r="BF138" t="s">
        <v>1026</v>
      </c>
      <c r="BG138">
        <v>1</v>
      </c>
    </row>
    <row r="139" spans="9:59" x14ac:dyDescent="0.25">
      <c r="BC139" t="s">
        <v>3393</v>
      </c>
      <c r="BD139">
        <v>2023</v>
      </c>
      <c r="BE139" t="s">
        <v>2615</v>
      </c>
      <c r="BF139" t="s">
        <v>1001</v>
      </c>
      <c r="BG139">
        <v>1</v>
      </c>
    </row>
    <row r="140" spans="9:59" x14ac:dyDescent="0.25">
      <c r="BC140" t="s">
        <v>3393</v>
      </c>
      <c r="BD140">
        <v>2023</v>
      </c>
      <c r="BE140" t="s">
        <v>2615</v>
      </c>
      <c r="BF140" t="s">
        <v>1000</v>
      </c>
      <c r="BG140">
        <v>1</v>
      </c>
    </row>
    <row r="141" spans="9:59" x14ac:dyDescent="0.25">
      <c r="BC141" t="s">
        <v>3393</v>
      </c>
      <c r="BD141">
        <v>2023</v>
      </c>
      <c r="BE141" t="s">
        <v>2615</v>
      </c>
      <c r="BF141" t="s">
        <v>1004</v>
      </c>
      <c r="BG141">
        <v>0</v>
      </c>
    </row>
    <row r="142" spans="9:59" x14ac:dyDescent="0.25">
      <c r="BC142" t="s">
        <v>3393</v>
      </c>
      <c r="BD142">
        <v>2023</v>
      </c>
      <c r="BE142" t="s">
        <v>2615</v>
      </c>
      <c r="BF142" t="s">
        <v>1003</v>
      </c>
      <c r="BG142">
        <v>1</v>
      </c>
    </row>
    <row r="143" spans="9:59" x14ac:dyDescent="0.25">
      <c r="BC143" t="s">
        <v>3393</v>
      </c>
      <c r="BD143">
        <v>2023</v>
      </c>
      <c r="BE143" t="s">
        <v>2675</v>
      </c>
      <c r="BF143" t="s">
        <v>1023</v>
      </c>
      <c r="BG143">
        <v>1</v>
      </c>
    </row>
    <row r="144" spans="9:59" x14ac:dyDescent="0.25">
      <c r="BC144" t="s">
        <v>3393</v>
      </c>
      <c r="BD144">
        <v>2023</v>
      </c>
      <c r="BE144" t="s">
        <v>2675</v>
      </c>
      <c r="BF144" t="s">
        <v>1027</v>
      </c>
      <c r="BG144">
        <v>1</v>
      </c>
    </row>
    <row r="145" spans="55:59" x14ac:dyDescent="0.25">
      <c r="BC145" t="s">
        <v>3393</v>
      </c>
      <c r="BD145">
        <v>2023</v>
      </c>
      <c r="BE145" t="s">
        <v>2675</v>
      </c>
      <c r="BF145" t="s">
        <v>1014</v>
      </c>
      <c r="BG145">
        <v>0</v>
      </c>
    </row>
    <row r="146" spans="55:59" x14ac:dyDescent="0.25">
      <c r="BC146" t="s">
        <v>3393</v>
      </c>
      <c r="BD146">
        <v>2023</v>
      </c>
      <c r="BE146" t="s">
        <v>2675</v>
      </c>
      <c r="BF146" t="s">
        <v>792</v>
      </c>
      <c r="BG146">
        <v>0.68010000000000004</v>
      </c>
    </row>
    <row r="147" spans="55:59" x14ac:dyDescent="0.25">
      <c r="BC147" t="s">
        <v>3393</v>
      </c>
      <c r="BD147">
        <v>2023</v>
      </c>
      <c r="BE147" t="s">
        <v>2615</v>
      </c>
      <c r="BF147" t="s">
        <v>1054</v>
      </c>
      <c r="BG147">
        <v>0.99380000000000002</v>
      </c>
    </row>
    <row r="148" spans="55:59" x14ac:dyDescent="0.25">
      <c r="BC148" t="s">
        <v>3393</v>
      </c>
      <c r="BD148">
        <v>2023</v>
      </c>
      <c r="BE148" t="s">
        <v>2615</v>
      </c>
      <c r="BF148" t="s">
        <v>997</v>
      </c>
      <c r="BG148">
        <v>0.73450000000000004</v>
      </c>
    </row>
    <row r="149" spans="55:59" x14ac:dyDescent="0.25">
      <c r="BC149" t="s">
        <v>3393</v>
      </c>
      <c r="BD149">
        <v>2023</v>
      </c>
      <c r="BE149" t="s">
        <v>2615</v>
      </c>
      <c r="BF149" t="s">
        <v>1053</v>
      </c>
      <c r="BG149">
        <v>1</v>
      </c>
    </row>
    <row r="150" spans="55:59" x14ac:dyDescent="0.25">
      <c r="BC150" t="s">
        <v>3393</v>
      </c>
      <c r="BD150">
        <v>2023</v>
      </c>
      <c r="BE150" t="s">
        <v>2615</v>
      </c>
      <c r="BF150" t="s">
        <v>986</v>
      </c>
      <c r="BG150">
        <v>0.99750000000000005</v>
      </c>
    </row>
    <row r="151" spans="55:59" x14ac:dyDescent="0.25">
      <c r="BC151" t="s">
        <v>3393</v>
      </c>
      <c r="BD151">
        <v>2023</v>
      </c>
      <c r="BE151" t="s">
        <v>2675</v>
      </c>
      <c r="BF151" t="s">
        <v>1012</v>
      </c>
      <c r="BG151">
        <v>1</v>
      </c>
    </row>
    <row r="152" spans="55:59" x14ac:dyDescent="0.25">
      <c r="BC152" t="s">
        <v>3393</v>
      </c>
      <c r="BD152">
        <v>2023</v>
      </c>
      <c r="BE152" t="s">
        <v>2615</v>
      </c>
      <c r="BF152" t="s">
        <v>1055</v>
      </c>
      <c r="BG152">
        <v>6.3799999999999996E-2</v>
      </c>
    </row>
    <row r="153" spans="55:59" x14ac:dyDescent="0.25">
      <c r="BC153" t="s">
        <v>3393</v>
      </c>
      <c r="BD153">
        <v>2023</v>
      </c>
      <c r="BE153" t="s">
        <v>2675</v>
      </c>
      <c r="BF153" t="s">
        <v>1015</v>
      </c>
      <c r="BG153">
        <v>9.2999999999999992E-3</v>
      </c>
    </row>
    <row r="154" spans="55:59" x14ac:dyDescent="0.25">
      <c r="BC154" t="s">
        <v>3393</v>
      </c>
      <c r="BD154">
        <v>2023</v>
      </c>
      <c r="BE154" t="s">
        <v>2675</v>
      </c>
      <c r="BF154" t="s">
        <v>798</v>
      </c>
      <c r="BG154">
        <v>0.88870000000000005</v>
      </c>
    </row>
  </sheetData>
  <mergeCells count="12">
    <mergeCell ref="CE2:CF2"/>
    <mergeCell ref="AV2:AW2"/>
    <mergeCell ref="BC2:BD2"/>
    <mergeCell ref="BK2:BL2"/>
    <mergeCell ref="BR2:BS2"/>
    <mergeCell ref="BY2:BZ2"/>
    <mergeCell ref="AO2:AP2"/>
    <mergeCell ref="B2:C2"/>
    <mergeCell ref="I2:J2"/>
    <mergeCell ref="P2:Q2"/>
    <mergeCell ref="AA2:AB2"/>
    <mergeCell ref="AH2:AI2"/>
  </mergeCells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3F23-67E1-42CC-BD9D-43D701EA36AF}">
  <sheetPr codeName="Feuil24">
    <tabColor theme="4" tint="0.39997558519241921"/>
  </sheetPr>
  <dimension ref="B1:AB8"/>
  <sheetViews>
    <sheetView topLeftCell="L1" zoomScale="70" zoomScaleNormal="70" workbookViewId="0">
      <selection activeCell="Z5" sqref="Z5"/>
    </sheetView>
  </sheetViews>
  <sheetFormatPr defaultColWidth="11.42578125" defaultRowHeight="15" x14ac:dyDescent="0.25"/>
  <cols>
    <col min="2" max="2" width="9" bestFit="1" customWidth="1"/>
    <col min="3" max="3" width="9.7109375" bestFit="1" customWidth="1"/>
    <col min="4" max="4" width="27.5703125" bestFit="1" customWidth="1"/>
    <col min="5" max="5" width="29.42578125" bestFit="1" customWidth="1"/>
    <col min="6" max="6" width="15.7109375" bestFit="1" customWidth="1"/>
    <col min="7" max="7" width="15.5703125" bestFit="1" customWidth="1"/>
    <col min="8" max="8" width="23.85546875" bestFit="1" customWidth="1"/>
    <col min="9" max="9" width="30.5703125" bestFit="1" customWidth="1"/>
    <col min="10" max="10" width="29.140625" bestFit="1" customWidth="1"/>
    <col min="11" max="11" width="20.28515625" bestFit="1" customWidth="1"/>
    <col min="12" max="12" width="36.140625" bestFit="1" customWidth="1"/>
    <col min="13" max="13" width="17.140625" bestFit="1" customWidth="1"/>
    <col min="14" max="14" width="33" bestFit="1" customWidth="1"/>
    <col min="15" max="15" width="10.85546875" bestFit="1" customWidth="1"/>
    <col min="16" max="16" width="14.42578125" bestFit="1" customWidth="1"/>
    <col min="17" max="17" width="12.28515625" bestFit="1" customWidth="1"/>
    <col min="18" max="18" width="19" bestFit="1" customWidth="1"/>
    <col min="19" max="19" width="20.5703125" bestFit="1" customWidth="1"/>
    <col min="20" max="20" width="19.28515625" bestFit="1" customWidth="1"/>
    <col min="21" max="21" width="18" bestFit="1" customWidth="1"/>
    <col min="22" max="22" width="15.28515625" bestFit="1" customWidth="1"/>
    <col min="23" max="23" width="15.5703125" bestFit="1" customWidth="1"/>
    <col min="24" max="24" width="14.42578125" bestFit="1" customWidth="1"/>
    <col min="25" max="25" width="10.7109375" bestFit="1" customWidth="1"/>
    <col min="26" max="26" width="13.28515625" bestFit="1" customWidth="1"/>
    <col min="27" max="27" width="10.7109375" bestFit="1" customWidth="1"/>
    <col min="28" max="28" width="11.28515625" bestFit="1" customWidth="1"/>
  </cols>
  <sheetData>
    <row r="1" spans="2:28" ht="15.75" x14ac:dyDescent="0.25">
      <c r="B1" s="796" t="s">
        <v>3076</v>
      </c>
      <c r="C1" s="796"/>
      <c r="D1" s="796"/>
    </row>
    <row r="3" spans="2:28" x14ac:dyDescent="0.25">
      <c r="B3" t="s">
        <v>1356</v>
      </c>
      <c r="C3" t="s">
        <v>1357</v>
      </c>
      <c r="D3" t="s">
        <v>3077</v>
      </c>
      <c r="E3" t="s">
        <v>3078</v>
      </c>
      <c r="F3" t="s">
        <v>3079</v>
      </c>
      <c r="G3" t="s">
        <v>3080</v>
      </c>
      <c r="H3" t="s">
        <v>3081</v>
      </c>
      <c r="I3" t="s">
        <v>3082</v>
      </c>
      <c r="J3" t="s">
        <v>3083</v>
      </c>
      <c r="K3" t="s">
        <v>3084</v>
      </c>
      <c r="L3" t="s">
        <v>3085</v>
      </c>
      <c r="M3" t="s">
        <v>3086</v>
      </c>
      <c r="N3" t="s">
        <v>3087</v>
      </c>
      <c r="O3" t="s">
        <v>1614</v>
      </c>
      <c r="P3" t="s">
        <v>3088</v>
      </c>
      <c r="Q3" t="s">
        <v>1500</v>
      </c>
      <c r="R3" t="s">
        <v>3089</v>
      </c>
      <c r="S3" t="s">
        <v>3090</v>
      </c>
      <c r="T3" t="s">
        <v>3091</v>
      </c>
      <c r="U3" t="s">
        <v>3092</v>
      </c>
      <c r="V3" t="s">
        <v>3093</v>
      </c>
      <c r="W3" t="s">
        <v>3094</v>
      </c>
      <c r="X3" t="s">
        <v>3095</v>
      </c>
      <c r="Y3" t="s">
        <v>3096</v>
      </c>
      <c r="Z3" t="s">
        <v>3097</v>
      </c>
      <c r="AA3" t="s">
        <v>3098</v>
      </c>
      <c r="AB3" t="s">
        <v>1605</v>
      </c>
    </row>
    <row r="4" spans="2:28" x14ac:dyDescent="0.25">
      <c r="B4" t="s">
        <v>3393</v>
      </c>
      <c r="C4">
        <v>2019</v>
      </c>
      <c r="D4">
        <v>431</v>
      </c>
      <c r="E4">
        <v>400</v>
      </c>
      <c r="F4">
        <v>22</v>
      </c>
      <c r="G4">
        <v>378</v>
      </c>
      <c r="H4">
        <v>301869</v>
      </c>
      <c r="I4">
        <v>178965</v>
      </c>
      <c r="J4">
        <v>145148</v>
      </c>
      <c r="K4">
        <v>24</v>
      </c>
      <c r="L4">
        <v>19</v>
      </c>
      <c r="M4">
        <v>2241</v>
      </c>
      <c r="N4">
        <v>1725</v>
      </c>
      <c r="O4">
        <v>178058</v>
      </c>
      <c r="P4">
        <v>0</v>
      </c>
      <c r="Q4">
        <v>1794</v>
      </c>
      <c r="R4">
        <v>4692.8599999999997</v>
      </c>
      <c r="S4">
        <v>4016</v>
      </c>
      <c r="T4">
        <v>4029</v>
      </c>
      <c r="U4">
        <v>3638.029</v>
      </c>
      <c r="V4">
        <v>8330.8889999999992</v>
      </c>
      <c r="W4">
        <v>529578973.22822797</v>
      </c>
      <c r="X4">
        <v>0.56697192339111602</v>
      </c>
      <c r="Y4">
        <v>73930</v>
      </c>
      <c r="Z4">
        <v>1734495</v>
      </c>
      <c r="AA4">
        <v>200000</v>
      </c>
      <c r="AB4">
        <v>0</v>
      </c>
    </row>
    <row r="5" spans="2:28" x14ac:dyDescent="0.25">
      <c r="B5" t="s">
        <v>3393</v>
      </c>
      <c r="C5">
        <v>2020</v>
      </c>
      <c r="D5">
        <v>431</v>
      </c>
      <c r="E5">
        <v>400</v>
      </c>
      <c r="F5">
        <v>22</v>
      </c>
      <c r="G5">
        <v>378</v>
      </c>
      <c r="H5">
        <v>303030</v>
      </c>
      <c r="I5">
        <v>180384</v>
      </c>
      <c r="J5">
        <v>145017</v>
      </c>
      <c r="K5">
        <v>24</v>
      </c>
      <c r="L5">
        <v>19</v>
      </c>
      <c r="M5">
        <v>2241</v>
      </c>
      <c r="N5">
        <v>1725</v>
      </c>
      <c r="O5">
        <v>179132</v>
      </c>
      <c r="P5">
        <v>114826</v>
      </c>
      <c r="Q5">
        <v>1985</v>
      </c>
      <c r="R5">
        <v>4712.0510000000004</v>
      </c>
      <c r="S5">
        <v>4032</v>
      </c>
      <c r="T5">
        <v>4045</v>
      </c>
      <c r="U5">
        <v>3659.8470000000002</v>
      </c>
      <c r="V5">
        <v>8371.8979999999992</v>
      </c>
      <c r="W5">
        <v>546272223.91222799</v>
      </c>
      <c r="X5">
        <v>0.55779510214955996</v>
      </c>
      <c r="Y5">
        <v>82241</v>
      </c>
      <c r="Z5">
        <v>5097178</v>
      </c>
      <c r="AA5">
        <v>200000</v>
      </c>
      <c r="AB5">
        <v>0</v>
      </c>
    </row>
    <row r="6" spans="2:28" x14ac:dyDescent="0.25">
      <c r="B6" t="s">
        <v>3393</v>
      </c>
      <c r="C6">
        <v>2021</v>
      </c>
      <c r="D6">
        <v>431</v>
      </c>
      <c r="E6">
        <v>400</v>
      </c>
      <c r="F6">
        <v>25</v>
      </c>
      <c r="G6">
        <v>375</v>
      </c>
      <c r="H6">
        <v>303044</v>
      </c>
      <c r="I6">
        <v>180615</v>
      </c>
      <c r="J6">
        <v>144887</v>
      </c>
      <c r="K6">
        <v>28</v>
      </c>
      <c r="L6">
        <v>19</v>
      </c>
      <c r="M6">
        <v>2673</v>
      </c>
      <c r="N6">
        <v>1725</v>
      </c>
      <c r="O6">
        <v>180537</v>
      </c>
      <c r="P6">
        <v>105836</v>
      </c>
      <c r="Q6">
        <v>0</v>
      </c>
      <c r="R6">
        <v>4859.2719999999999</v>
      </c>
      <c r="S6">
        <v>4059</v>
      </c>
      <c r="T6">
        <v>4067</v>
      </c>
      <c r="U6">
        <v>3691.21</v>
      </c>
      <c r="V6">
        <v>8550.482</v>
      </c>
      <c r="W6">
        <v>568318518.73040104</v>
      </c>
      <c r="X6">
        <v>0.55295094355036301</v>
      </c>
      <c r="Y6">
        <v>92765</v>
      </c>
      <c r="Z6">
        <v>3531940</v>
      </c>
      <c r="AA6">
        <v>187168</v>
      </c>
      <c r="AB6">
        <v>0</v>
      </c>
    </row>
    <row r="7" spans="2:28" x14ac:dyDescent="0.25">
      <c r="B7" t="s">
        <v>3393</v>
      </c>
      <c r="C7">
        <v>2022</v>
      </c>
      <c r="D7">
        <v>431</v>
      </c>
      <c r="E7">
        <v>400</v>
      </c>
      <c r="F7">
        <v>25</v>
      </c>
      <c r="G7">
        <v>375</v>
      </c>
      <c r="H7">
        <v>303270</v>
      </c>
      <c r="I7">
        <v>181075</v>
      </c>
      <c r="J7">
        <v>144745</v>
      </c>
      <c r="K7">
        <v>28</v>
      </c>
      <c r="L7">
        <v>19</v>
      </c>
      <c r="M7">
        <v>2673</v>
      </c>
      <c r="N7">
        <v>1725</v>
      </c>
      <c r="O7">
        <v>181759</v>
      </c>
      <c r="P7">
        <v>0</v>
      </c>
      <c r="Q7">
        <v>2821</v>
      </c>
      <c r="R7">
        <v>4893.4189999999999</v>
      </c>
      <c r="S7">
        <v>4089</v>
      </c>
      <c r="T7">
        <v>4099</v>
      </c>
      <c r="U7">
        <v>3706.7539999999999</v>
      </c>
      <c r="V7">
        <v>8600.1730000000007</v>
      </c>
      <c r="W7">
        <v>588238296.58207595</v>
      </c>
      <c r="X7">
        <v>0.54028315780880198</v>
      </c>
      <c r="Y7">
        <v>80693</v>
      </c>
      <c r="Z7">
        <v>4520488</v>
      </c>
      <c r="AA7">
        <v>200000</v>
      </c>
      <c r="AB7">
        <v>0</v>
      </c>
    </row>
    <row r="8" spans="2:28" x14ac:dyDescent="0.25">
      <c r="B8" t="s">
        <v>3393</v>
      </c>
      <c r="C8">
        <v>2023</v>
      </c>
      <c r="D8">
        <v>431</v>
      </c>
      <c r="E8">
        <v>401</v>
      </c>
      <c r="F8">
        <v>25</v>
      </c>
      <c r="G8">
        <v>376</v>
      </c>
      <c r="H8">
        <v>304497</v>
      </c>
      <c r="I8">
        <v>182537</v>
      </c>
      <c r="J8">
        <v>144529</v>
      </c>
      <c r="K8">
        <v>28</v>
      </c>
      <c r="L8">
        <v>19</v>
      </c>
      <c r="M8">
        <v>2673</v>
      </c>
      <c r="N8">
        <v>1725</v>
      </c>
      <c r="O8">
        <v>182484</v>
      </c>
      <c r="P8">
        <v>102140</v>
      </c>
      <c r="Q8">
        <v>3776</v>
      </c>
      <c r="R8">
        <v>4926.7299999999996</v>
      </c>
      <c r="S8">
        <v>4137</v>
      </c>
      <c r="T8">
        <v>4144</v>
      </c>
      <c r="U8">
        <v>3739.9059999999999</v>
      </c>
      <c r="V8">
        <v>8666.6360000000004</v>
      </c>
      <c r="W8">
        <v>605877099.20944095</v>
      </c>
      <c r="X8">
        <v>0.53160676443062904</v>
      </c>
      <c r="Y8">
        <v>85809</v>
      </c>
      <c r="Z8">
        <v>2126638</v>
      </c>
      <c r="AA8">
        <v>200000</v>
      </c>
      <c r="AB8">
        <v>0</v>
      </c>
    </row>
  </sheetData>
  <mergeCells count="1">
    <mergeCell ref="B1:D1"/>
  </mergeCells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DFF9C0-7147-4595-8075-FF8CFF6E36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in</vt:lpstr>
      <vt:lpstr>Synth</vt:lpstr>
      <vt:lpstr>Pat_Tech</vt:lpstr>
      <vt:lpstr>Continuité</vt:lpstr>
      <vt:lpstr>Tension</vt:lpstr>
      <vt:lpstr>Invest</vt:lpstr>
      <vt:lpstr>Pat_fin</vt:lpstr>
      <vt:lpstr>CEX</vt:lpstr>
      <vt:lpstr>Clientèle</vt:lpstr>
      <vt:lpstr>Evolution</vt:lpstr>
      <vt:lpstr>Enfouissement</vt:lpstr>
      <vt:lpstr>Cohérence_inv</vt:lpstr>
      <vt:lpstr>Fin de contrat</vt:lpstr>
      <vt:lpstr>Maille benchmark</vt:lpstr>
      <vt:lpstr>D_Pat_Tech</vt:lpstr>
      <vt:lpstr>D_Inc</vt:lpstr>
      <vt:lpstr>D_Tens</vt:lpstr>
      <vt:lpstr>D_Pat_Fin</vt:lpstr>
      <vt:lpstr>D_evol</vt:lpstr>
      <vt:lpstr>D_enf</vt:lpstr>
      <vt:lpstr>D_client</vt:lpstr>
      <vt:lpstr>D_cohé</vt:lpstr>
      <vt:lpstr>D_CRAC</vt:lpstr>
      <vt:lpstr>D_cex</vt:lpstr>
      <vt:lpstr>D_synth</vt:lpstr>
      <vt:lpstr>annee_CRAC</vt:lpstr>
      <vt:lpstr>syndicat_etude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Franck NAUDIN</dc:creator>
  <cp:keywords/>
  <dc:description/>
  <cp:lastModifiedBy>Djalil KHELLADI</cp:lastModifiedBy>
  <cp:revision/>
  <dcterms:created xsi:type="dcterms:W3CDTF">2020-06-19T12:08:36Z</dcterms:created>
  <dcterms:modified xsi:type="dcterms:W3CDTF">2024-10-29T13:25:25Z</dcterms:modified>
  <cp:category/>
  <cp:contentStatus/>
</cp:coreProperties>
</file>