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Work\proposals\choreo-service-architectures\"/>
    </mc:Choice>
  </mc:AlternateContent>
  <xr:revisionPtr revIDLastSave="0" documentId="13_ncr:1_{A36E978B-480F-4FCE-B93B-32753D3B54CF}" xr6:coauthVersionLast="47" xr6:coauthVersionMax="47" xr10:uidLastSave="{00000000-0000-0000-0000-000000000000}"/>
  <bookViews>
    <workbookView xWindow="36045" yWindow="0" windowWidth="21555" windowHeight="23280" tabRatio="644" firstSheet="1" activeTab="1" xr2:uid="{00000000-000D-0000-FFFF-FFFF00000000}"/>
  </bookViews>
  <sheets>
    <sheet name="Budget (no PI effort)" sheetId="6" state="hidden" r:id="rId1"/>
    <sheet name="Budget" sheetId="13" r:id="rId2"/>
    <sheet name="Original Budget" sheetId="14" r:id="rId3"/>
    <sheet name="Fringe" sheetId="9" r:id="rId4"/>
    <sheet name="Staff" sheetId="8" state="hidden" r:id="rId5"/>
    <sheet name="PA" sheetId="7" state="hidden" r:id="rId6"/>
    <sheet name="NSF Travel" sheetId="10" state="hidden" r:id="rId7"/>
    <sheet name="DOD-DOE Travel" sheetId="11" state="hidden" r:id="rId8"/>
    <sheet name="Simplified Budget" sheetId="12" state="hidden" r:id="rId9"/>
  </sheets>
  <externalReferences>
    <externalReference r:id="rId10"/>
    <externalReference r:id="rId11"/>
  </externalReferences>
  <definedNames>
    <definedName name="Fringe_Categories">'[1]Fringe Rates'!$A$4:$A$19</definedName>
    <definedName name="_xlnm.Print_Area" localSheetId="1">Budget!$A$1:$N$107,Budget!$P$1:$U$93</definedName>
    <definedName name="_xlnm.Print_Area" localSheetId="0">'Budget (no PI effort)'!$A$1:$N$107,'Budget (no PI effort)'!$P$1:$U$93</definedName>
    <definedName name="_xlnm.Print_Area" localSheetId="2">'Original Budget'!$A$1:$N$107,'Original Budget'!$P$1:$U$93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14" l="1"/>
  <c r="Q5" i="14"/>
  <c r="S5" i="14" s="1"/>
  <c r="T5" i="14" s="1"/>
  <c r="K6" i="14"/>
  <c r="L6" i="14"/>
  <c r="Q6" i="14"/>
  <c r="H6" i="14" s="1"/>
  <c r="Q7" i="14"/>
  <c r="H7" i="14" s="1"/>
  <c r="Q8" i="14"/>
  <c r="H8" i="14" s="1"/>
  <c r="H9" i="14"/>
  <c r="Q9" i="14"/>
  <c r="I9" i="14" s="1"/>
  <c r="H10" i="14"/>
  <c r="I10" i="14"/>
  <c r="J10" i="14"/>
  <c r="Q10" i="14"/>
  <c r="K10" i="14" s="1"/>
  <c r="H11" i="14"/>
  <c r="N11" i="14" s="1"/>
  <c r="I11" i="14"/>
  <c r="J11" i="14"/>
  <c r="K11" i="14"/>
  <c r="Q11" i="14"/>
  <c r="L11" i="14" s="1"/>
  <c r="H12" i="14"/>
  <c r="N12" i="14" s="1"/>
  <c r="I12" i="14"/>
  <c r="J12" i="14"/>
  <c r="K12" i="14"/>
  <c r="L12" i="14"/>
  <c r="Q12" i="14"/>
  <c r="H13" i="14"/>
  <c r="I13" i="14"/>
  <c r="J13" i="14"/>
  <c r="N13" i="14" s="1"/>
  <c r="K13" i="14"/>
  <c r="L13" i="14"/>
  <c r="Q13" i="14"/>
  <c r="K14" i="14"/>
  <c r="L14" i="14"/>
  <c r="Q14" i="14"/>
  <c r="H14" i="14" s="1"/>
  <c r="Q15" i="14"/>
  <c r="H15" i="14" s="1"/>
  <c r="Q16" i="14"/>
  <c r="H16" i="14" s="1"/>
  <c r="H17" i="14"/>
  <c r="Q17" i="14"/>
  <c r="I17" i="14" s="1"/>
  <c r="H18" i="14"/>
  <c r="I18" i="14"/>
  <c r="J18" i="14"/>
  <c r="Q18" i="14"/>
  <c r="K18" i="14" s="1"/>
  <c r="H19" i="14"/>
  <c r="I19" i="14"/>
  <c r="J19" i="14"/>
  <c r="K19" i="14"/>
  <c r="Q19" i="14"/>
  <c r="L19" i="14" s="1"/>
  <c r="C21" i="14"/>
  <c r="D21" i="14"/>
  <c r="E21" i="14"/>
  <c r="F21" i="14"/>
  <c r="G21" i="14"/>
  <c r="I24" i="14"/>
  <c r="J24" i="14" s="1"/>
  <c r="K24" i="14" s="1"/>
  <c r="L24" i="14" s="1"/>
  <c r="I25" i="14"/>
  <c r="J25" i="14"/>
  <c r="N25" i="14" s="1"/>
  <c r="K25" i="14"/>
  <c r="L25" i="14"/>
  <c r="S26" i="14"/>
  <c r="S32" i="14" s="1"/>
  <c r="H26" i="14" s="1"/>
  <c r="I27" i="14"/>
  <c r="J27" i="14" s="1"/>
  <c r="K27" i="14" s="1"/>
  <c r="L27" i="14" s="1"/>
  <c r="S27" i="14"/>
  <c r="I28" i="14"/>
  <c r="J28" i="14"/>
  <c r="K28" i="14" s="1"/>
  <c r="L28" i="14" s="1"/>
  <c r="S28" i="14"/>
  <c r="I29" i="14"/>
  <c r="J29" i="14"/>
  <c r="N29" i="14" s="1"/>
  <c r="K29" i="14"/>
  <c r="L29" i="14"/>
  <c r="S29" i="14"/>
  <c r="V29" i="14"/>
  <c r="W29" i="14"/>
  <c r="S30" i="14"/>
  <c r="V30" i="14"/>
  <c r="W30" i="14"/>
  <c r="S31" i="14"/>
  <c r="V31" i="14"/>
  <c r="W31" i="14"/>
  <c r="Q32" i="14"/>
  <c r="A33" i="14"/>
  <c r="C33" i="14"/>
  <c r="F33" i="14"/>
  <c r="A34" i="14"/>
  <c r="C34" i="14"/>
  <c r="F34" i="14"/>
  <c r="T34" i="14"/>
  <c r="S34" i="14" s="1"/>
  <c r="T35" i="14"/>
  <c r="T38" i="14" s="1"/>
  <c r="S38" i="14" s="1"/>
  <c r="S36" i="14"/>
  <c r="T36" i="14"/>
  <c r="V37" i="14"/>
  <c r="W37" i="14"/>
  <c r="N38" i="14"/>
  <c r="V38" i="14"/>
  <c r="W38" i="14"/>
  <c r="N39" i="14"/>
  <c r="T39" i="14"/>
  <c r="S39" i="14" s="1"/>
  <c r="V39" i="14"/>
  <c r="V47" i="14" s="1"/>
  <c r="W39" i="14"/>
  <c r="N40" i="14"/>
  <c r="Q40" i="14"/>
  <c r="N41" i="14"/>
  <c r="S41" i="14"/>
  <c r="H42" i="14"/>
  <c r="N42" i="14" s="1"/>
  <c r="I42" i="14"/>
  <c r="J42" i="14"/>
  <c r="K42" i="14"/>
  <c r="L42" i="14"/>
  <c r="N44" i="14"/>
  <c r="N46" i="14" s="1"/>
  <c r="S44" i="14"/>
  <c r="T44" i="14"/>
  <c r="N45" i="14"/>
  <c r="V45" i="14"/>
  <c r="V53" i="14" s="1"/>
  <c r="W45" i="14"/>
  <c r="H46" i="14"/>
  <c r="I46" i="14"/>
  <c r="J46" i="14"/>
  <c r="K46" i="14"/>
  <c r="L46" i="14"/>
  <c r="M46" i="14"/>
  <c r="V46" i="14"/>
  <c r="W46" i="14" s="1"/>
  <c r="T47" i="14"/>
  <c r="S47" i="14" s="1"/>
  <c r="Q48" i="14"/>
  <c r="J67" i="14" s="1"/>
  <c r="N67" i="14" s="1"/>
  <c r="N49" i="14"/>
  <c r="N50" i="14"/>
  <c r="N51" i="14"/>
  <c r="N52" i="14"/>
  <c r="S52" i="14"/>
  <c r="T52" i="14"/>
  <c r="H53" i="14"/>
  <c r="I53" i="14"/>
  <c r="J53" i="14"/>
  <c r="K53" i="14"/>
  <c r="L53" i="14"/>
  <c r="N53" i="14"/>
  <c r="V54" i="14"/>
  <c r="W54" i="14"/>
  <c r="S55" i="14"/>
  <c r="T55" i="14"/>
  <c r="N56" i="14"/>
  <c r="Q56" i="14"/>
  <c r="N57" i="14"/>
  <c r="N58" i="14"/>
  <c r="L59" i="14"/>
  <c r="N60" i="14"/>
  <c r="T60" i="14"/>
  <c r="T63" i="14" s="1"/>
  <c r="S63" i="14" s="1"/>
  <c r="N61" i="14"/>
  <c r="N62" i="14"/>
  <c r="V62" i="14"/>
  <c r="W62" i="14"/>
  <c r="N63" i="14"/>
  <c r="N64" i="14"/>
  <c r="Q64" i="14"/>
  <c r="L67" i="14" s="1"/>
  <c r="N65" i="14"/>
  <c r="N66" i="14"/>
  <c r="H67" i="14"/>
  <c r="I67" i="14"/>
  <c r="K67" i="14"/>
  <c r="R68" i="14"/>
  <c r="J59" i="14" s="1"/>
  <c r="N74" i="14"/>
  <c r="H78" i="14"/>
  <c r="I78" i="14"/>
  <c r="J78" i="14"/>
  <c r="K78" i="14"/>
  <c r="L78" i="14"/>
  <c r="H80" i="14"/>
  <c r="I80" i="14"/>
  <c r="J80" i="14"/>
  <c r="K80" i="14"/>
  <c r="L80" i="14"/>
  <c r="N80" i="14"/>
  <c r="V55" i="14" l="1"/>
  <c r="W47" i="14"/>
  <c r="N28" i="14"/>
  <c r="N18" i="14"/>
  <c r="L68" i="14"/>
  <c r="J68" i="14"/>
  <c r="V61" i="14"/>
  <c r="W61" i="14" s="1"/>
  <c r="W53" i="14"/>
  <c r="N19" i="14"/>
  <c r="K59" i="14"/>
  <c r="K68" i="14" s="1"/>
  <c r="T43" i="14"/>
  <c r="S60" i="14"/>
  <c r="I59" i="14"/>
  <c r="I68" i="14" s="1"/>
  <c r="T42" i="14"/>
  <c r="N27" i="14"/>
  <c r="L16" i="14"/>
  <c r="K15" i="14"/>
  <c r="J14" i="14"/>
  <c r="N14" i="14" s="1"/>
  <c r="L8" i="14"/>
  <c r="K7" i="14"/>
  <c r="J6" i="14"/>
  <c r="K5" i="14"/>
  <c r="S35" i="14"/>
  <c r="S40" i="14" s="1"/>
  <c r="I26" i="14" s="1"/>
  <c r="L15" i="14"/>
  <c r="L7" i="14"/>
  <c r="H59" i="14"/>
  <c r="T37" i="14"/>
  <c r="S37" i="14" s="1"/>
  <c r="N24" i="14"/>
  <c r="L17" i="14"/>
  <c r="N17" i="14" s="1"/>
  <c r="K16" i="14"/>
  <c r="J15" i="14"/>
  <c r="I14" i="14"/>
  <c r="L9" i="14"/>
  <c r="K8" i="14"/>
  <c r="J7" i="14"/>
  <c r="I6" i="14"/>
  <c r="N6" i="14" s="1"/>
  <c r="J5" i="14"/>
  <c r="J20" i="14" s="1"/>
  <c r="L18" i="14"/>
  <c r="K17" i="14"/>
  <c r="J16" i="14"/>
  <c r="I15" i="14"/>
  <c r="N15" i="14" s="1"/>
  <c r="L10" i="14"/>
  <c r="N10" i="14" s="1"/>
  <c r="K9" i="14"/>
  <c r="J8" i="14"/>
  <c r="I7" i="14"/>
  <c r="N7" i="14" s="1"/>
  <c r="I5" i="14"/>
  <c r="L5" i="14"/>
  <c r="J17" i="14"/>
  <c r="I16" i="14"/>
  <c r="N16" i="14" s="1"/>
  <c r="J9" i="14"/>
  <c r="N9" i="14" s="1"/>
  <c r="I8" i="14"/>
  <c r="N8" i="14" s="1"/>
  <c r="H5" i="14"/>
  <c r="N59" i="14" l="1"/>
  <c r="H68" i="14"/>
  <c r="N5" i="14"/>
  <c r="H20" i="14"/>
  <c r="T46" i="14"/>
  <c r="S46" i="14" s="1"/>
  <c r="S43" i="14"/>
  <c r="T51" i="14"/>
  <c r="L20" i="14"/>
  <c r="W55" i="14"/>
  <c r="V63" i="14"/>
  <c r="W63" i="14" s="1"/>
  <c r="I20" i="14"/>
  <c r="K20" i="14"/>
  <c r="S42" i="14"/>
  <c r="T50" i="14"/>
  <c r="T45" i="14"/>
  <c r="S45" i="14" s="1"/>
  <c r="T59" i="14" l="1"/>
  <c r="S51" i="14"/>
  <c r="T54" i="14"/>
  <c r="S54" i="14" s="1"/>
  <c r="N68" i="14"/>
  <c r="S48" i="14"/>
  <c r="J26" i="14" s="1"/>
  <c r="T53" i="14"/>
  <c r="S53" i="14" s="1"/>
  <c r="S50" i="14"/>
  <c r="T58" i="14"/>
  <c r="I34" i="14"/>
  <c r="I35" i="14" s="1"/>
  <c r="I70" i="14" s="1"/>
  <c r="I30" i="14"/>
  <c r="H34" i="14"/>
  <c r="N20" i="14"/>
  <c r="H30" i="14"/>
  <c r="I77" i="14" l="1"/>
  <c r="I72" i="14" s="1"/>
  <c r="I73" i="14"/>
  <c r="I75" i="14" s="1"/>
  <c r="H35" i="14"/>
  <c r="T61" i="14"/>
  <c r="S61" i="14" s="1"/>
  <c r="S58" i="14"/>
  <c r="S59" i="14"/>
  <c r="T62" i="14"/>
  <c r="S62" i="14" s="1"/>
  <c r="J34" i="14"/>
  <c r="J35" i="14" s="1"/>
  <c r="J70" i="14" s="1"/>
  <c r="J30" i="14"/>
  <c r="S56" i="14"/>
  <c r="K26" i="14" s="1"/>
  <c r="K34" i="14" l="1"/>
  <c r="K30" i="14"/>
  <c r="S64" i="14"/>
  <c r="L26" i="14" s="1"/>
  <c r="H70" i="14"/>
  <c r="J77" i="14"/>
  <c r="J72" i="14" s="1"/>
  <c r="J73" i="14" s="1"/>
  <c r="J75" i="14" s="1"/>
  <c r="H77" i="14" l="1"/>
  <c r="H72" i="14" s="1"/>
  <c r="H73" i="14" s="1"/>
  <c r="L30" i="14"/>
  <c r="N30" i="14" s="1"/>
  <c r="L34" i="14"/>
  <c r="N26" i="14"/>
  <c r="K35" i="14"/>
  <c r="L35" i="14" l="1"/>
  <c r="L70" i="14" s="1"/>
  <c r="N34" i="14"/>
  <c r="K70" i="14"/>
  <c r="H75" i="14"/>
  <c r="N35" i="14" l="1"/>
  <c r="K77" i="14"/>
  <c r="K72" i="14" s="1"/>
  <c r="N70" i="14"/>
  <c r="L77" i="14"/>
  <c r="L72" i="14" s="1"/>
  <c r="L73" i="14" s="1"/>
  <c r="L75" i="14" s="1"/>
  <c r="N72" i="14" l="1"/>
  <c r="K73" i="14"/>
  <c r="K75" i="14" l="1"/>
  <c r="N75" i="14" s="1"/>
  <c r="N73" i="14"/>
  <c r="L80" i="13" l="1"/>
  <c r="K80" i="13"/>
  <c r="J80" i="13"/>
  <c r="I80" i="13"/>
  <c r="H80" i="13"/>
  <c r="N80" i="13" s="1"/>
  <c r="L78" i="13"/>
  <c r="K78" i="13"/>
  <c r="J78" i="13"/>
  <c r="I78" i="13"/>
  <c r="H78" i="13"/>
  <c r="N74" i="13"/>
  <c r="R68" i="13"/>
  <c r="N66" i="13"/>
  <c r="N65" i="13"/>
  <c r="Q64" i="13"/>
  <c r="L67" i="13" s="1"/>
  <c r="N64" i="13"/>
  <c r="N63" i="13"/>
  <c r="N62" i="13"/>
  <c r="N61" i="13"/>
  <c r="N60" i="13"/>
  <c r="L59" i="13"/>
  <c r="K59" i="13"/>
  <c r="J59" i="13"/>
  <c r="I59" i="13"/>
  <c r="H59" i="13"/>
  <c r="N58" i="13"/>
  <c r="N57" i="13"/>
  <c r="Q56" i="13"/>
  <c r="K67" i="13" s="1"/>
  <c r="N56" i="13"/>
  <c r="L53" i="13"/>
  <c r="K53" i="13"/>
  <c r="J53" i="13"/>
  <c r="N53" i="13" s="1"/>
  <c r="I53" i="13"/>
  <c r="H53" i="13"/>
  <c r="N52" i="13"/>
  <c r="N51" i="13"/>
  <c r="N50" i="13"/>
  <c r="N49" i="13"/>
  <c r="Q48" i="13"/>
  <c r="J67" i="13" s="1"/>
  <c r="W47" i="13"/>
  <c r="V47" i="13"/>
  <c r="V55" i="13" s="1"/>
  <c r="M46" i="13"/>
  <c r="L46" i="13"/>
  <c r="K46" i="13"/>
  <c r="J46" i="13"/>
  <c r="I46" i="13"/>
  <c r="H46" i="13"/>
  <c r="V45" i="13"/>
  <c r="W45" i="13" s="1"/>
  <c r="N45" i="13"/>
  <c r="N44" i="13"/>
  <c r="T42" i="13"/>
  <c r="T45" i="13" s="1"/>
  <c r="S45" i="13" s="1"/>
  <c r="L42" i="13"/>
  <c r="K42" i="13"/>
  <c r="J42" i="13"/>
  <c r="I42" i="13"/>
  <c r="H42" i="13"/>
  <c r="N42" i="13" s="1"/>
  <c r="S41" i="13"/>
  <c r="N41" i="13"/>
  <c r="Q40" i="13"/>
  <c r="I67" i="13" s="1"/>
  <c r="N40" i="13"/>
  <c r="V39" i="13"/>
  <c r="W39" i="13" s="1"/>
  <c r="T39" i="13"/>
  <c r="S39" i="13" s="1"/>
  <c r="N39" i="13"/>
  <c r="N38" i="13"/>
  <c r="W37" i="13"/>
  <c r="V37" i="13"/>
  <c r="T36" i="13"/>
  <c r="T44" i="13" s="1"/>
  <c r="T35" i="13"/>
  <c r="T43" i="13" s="1"/>
  <c r="S35" i="13"/>
  <c r="T34" i="13"/>
  <c r="T37" i="13" s="1"/>
  <c r="S37" i="13" s="1"/>
  <c r="S34" i="13"/>
  <c r="F34" i="13"/>
  <c r="C34" i="13"/>
  <c r="A34" i="13"/>
  <c r="F33" i="13"/>
  <c r="C33" i="13"/>
  <c r="A33" i="13"/>
  <c r="Q32" i="13"/>
  <c r="H67" i="13" s="1"/>
  <c r="V31" i="13"/>
  <c r="W31" i="13" s="1"/>
  <c r="T31" i="13"/>
  <c r="S31" i="13" s="1"/>
  <c r="V30" i="13"/>
  <c r="W30" i="13" s="1"/>
  <c r="T30" i="13"/>
  <c r="S30" i="13"/>
  <c r="V29" i="13"/>
  <c r="W29" i="13" s="1"/>
  <c r="T29" i="13"/>
  <c r="S29" i="13" s="1"/>
  <c r="I29" i="13"/>
  <c r="J29" i="13" s="1"/>
  <c r="S28" i="13"/>
  <c r="K28" i="13"/>
  <c r="L28" i="13" s="1"/>
  <c r="J28" i="13"/>
  <c r="I28" i="13"/>
  <c r="N28" i="13" s="1"/>
  <c r="S27" i="13"/>
  <c r="I27" i="13"/>
  <c r="J27" i="13" s="1"/>
  <c r="K27" i="13" s="1"/>
  <c r="L27" i="13" s="1"/>
  <c r="S26" i="13"/>
  <c r="J25" i="13"/>
  <c r="K25" i="13" s="1"/>
  <c r="I25" i="13"/>
  <c r="J24" i="13"/>
  <c r="K24" i="13" s="1"/>
  <c r="L24" i="13" s="1"/>
  <c r="I24" i="13"/>
  <c r="N24" i="13" s="1"/>
  <c r="G21" i="13"/>
  <c r="F21" i="13"/>
  <c r="E21" i="13"/>
  <c r="D21" i="13"/>
  <c r="C21" i="13"/>
  <c r="Q19" i="13"/>
  <c r="L19" i="13" s="1"/>
  <c r="K19" i="13"/>
  <c r="J19" i="13"/>
  <c r="I19" i="13"/>
  <c r="H19" i="13"/>
  <c r="Q18" i="13"/>
  <c r="L18" i="13" s="1"/>
  <c r="J18" i="13"/>
  <c r="I18" i="13"/>
  <c r="H18" i="13"/>
  <c r="Q17" i="13"/>
  <c r="K17" i="13" s="1"/>
  <c r="J17" i="13"/>
  <c r="I17" i="13"/>
  <c r="H17" i="13"/>
  <c r="Q16" i="13"/>
  <c r="J16" i="13" s="1"/>
  <c r="I16" i="13"/>
  <c r="H16" i="13"/>
  <c r="Q15" i="13"/>
  <c r="I15" i="13" s="1"/>
  <c r="Q14" i="13"/>
  <c r="H14" i="13" s="1"/>
  <c r="Q13" i="13"/>
  <c r="N13" i="13"/>
  <c r="L13" i="13"/>
  <c r="K13" i="13"/>
  <c r="J13" i="13"/>
  <c r="I13" i="13"/>
  <c r="H13" i="13"/>
  <c r="Q12" i="13"/>
  <c r="L12" i="13"/>
  <c r="K12" i="13"/>
  <c r="J12" i="13"/>
  <c r="I12" i="13"/>
  <c r="H12" i="13"/>
  <c r="N12" i="13" s="1"/>
  <c r="Q11" i="13"/>
  <c r="L11" i="13" s="1"/>
  <c r="K11" i="13"/>
  <c r="J11" i="13"/>
  <c r="I11" i="13"/>
  <c r="H11" i="13"/>
  <c r="N11" i="13" s="1"/>
  <c r="Q10" i="13"/>
  <c r="L10" i="13" s="1"/>
  <c r="K10" i="13"/>
  <c r="J10" i="13"/>
  <c r="I10" i="13"/>
  <c r="H10" i="13"/>
  <c r="N10" i="13" s="1"/>
  <c r="Q9" i="13"/>
  <c r="L9" i="13" s="1"/>
  <c r="K9" i="13"/>
  <c r="J9" i="13"/>
  <c r="I9" i="13"/>
  <c r="H9" i="13"/>
  <c r="S8" i="13"/>
  <c r="T8" i="13" s="1"/>
  <c r="Q8" i="13"/>
  <c r="L8" i="13"/>
  <c r="K8" i="13"/>
  <c r="J8" i="13"/>
  <c r="I8" i="13"/>
  <c r="H8" i="13"/>
  <c r="N8" i="13" s="1"/>
  <c r="Q7" i="13"/>
  <c r="S7" i="13" s="1"/>
  <c r="T7" i="13" s="1"/>
  <c r="N7" i="13"/>
  <c r="L7" i="13"/>
  <c r="K7" i="13"/>
  <c r="J7" i="13"/>
  <c r="I7" i="13"/>
  <c r="H7" i="13"/>
  <c r="Q6" i="13"/>
  <c r="H6" i="13" s="1"/>
  <c r="S5" i="13"/>
  <c r="T5" i="13" s="1"/>
  <c r="L5" i="13"/>
  <c r="K5" i="13"/>
  <c r="J5" i="13"/>
  <c r="I5" i="13"/>
  <c r="H5" i="13"/>
  <c r="N1" i="13"/>
  <c r="Q6" i="6"/>
  <c r="Q7" i="6"/>
  <c r="Q8" i="6"/>
  <c r="Q9" i="6"/>
  <c r="Q10" i="6"/>
  <c r="T31" i="6"/>
  <c r="T30" i="6"/>
  <c r="T29" i="6"/>
  <c r="W38" i="6"/>
  <c r="W39" i="6"/>
  <c r="V39" i="6"/>
  <c r="V38" i="6"/>
  <c r="V37" i="6"/>
  <c r="V30" i="6"/>
  <c r="V31" i="6"/>
  <c r="V29" i="6"/>
  <c r="K68" i="13" l="1"/>
  <c r="N46" i="13"/>
  <c r="S32" i="13"/>
  <c r="H26" i="13" s="1"/>
  <c r="I68" i="13"/>
  <c r="N67" i="13"/>
  <c r="N5" i="13"/>
  <c r="I20" i="13"/>
  <c r="L25" i="13"/>
  <c r="N25" i="13" s="1"/>
  <c r="K29" i="13"/>
  <c r="L29" i="13" s="1"/>
  <c r="N29" i="13"/>
  <c r="J68" i="13"/>
  <c r="N18" i="13"/>
  <c r="N9" i="13"/>
  <c r="T46" i="13"/>
  <c r="S46" i="13" s="1"/>
  <c r="T51" i="13"/>
  <c r="S43" i="13"/>
  <c r="L68" i="13"/>
  <c r="N6" i="13"/>
  <c r="N19" i="13"/>
  <c r="T47" i="13"/>
  <c r="S47" i="13" s="1"/>
  <c r="T52" i="13"/>
  <c r="S44" i="13"/>
  <c r="H20" i="13"/>
  <c r="J20" i="13"/>
  <c r="V63" i="13"/>
  <c r="W63" i="13" s="1"/>
  <c r="W55" i="13"/>
  <c r="H68" i="13"/>
  <c r="I6" i="13"/>
  <c r="I14" i="13"/>
  <c r="J15" i="13"/>
  <c r="K16" i="13"/>
  <c r="N16" i="13" s="1"/>
  <c r="L17" i="13"/>
  <c r="N17" i="13" s="1"/>
  <c r="S36" i="13"/>
  <c r="T38" i="13"/>
  <c r="S38" i="13" s="1"/>
  <c r="N59" i="13"/>
  <c r="J6" i="13"/>
  <c r="S9" i="13"/>
  <c r="T9" i="13" s="1"/>
  <c r="J14" i="13"/>
  <c r="K15" i="13"/>
  <c r="L16" i="13"/>
  <c r="N27" i="13"/>
  <c r="V38" i="13"/>
  <c r="K6" i="13"/>
  <c r="K20" i="13" s="1"/>
  <c r="K14" i="13"/>
  <c r="L15" i="13"/>
  <c r="V53" i="13"/>
  <c r="L6" i="13"/>
  <c r="L14" i="13"/>
  <c r="N14" i="13" s="1"/>
  <c r="S42" i="13"/>
  <c r="T50" i="13"/>
  <c r="S6" i="13"/>
  <c r="T6" i="13" s="1"/>
  <c r="H15" i="13"/>
  <c r="K18" i="13"/>
  <c r="J6" i="9"/>
  <c r="J11" i="9"/>
  <c r="J10" i="9"/>
  <c r="J9" i="9"/>
  <c r="J7" i="9"/>
  <c r="E8" i="12"/>
  <c r="F8" i="12"/>
  <c r="E7" i="12"/>
  <c r="F7" i="12"/>
  <c r="D8" i="12"/>
  <c r="D7" i="12"/>
  <c r="D4" i="12"/>
  <c r="S40" i="13" l="1"/>
  <c r="I26" i="13" s="1"/>
  <c r="I30" i="13" s="1"/>
  <c r="H30" i="13"/>
  <c r="H34" i="13"/>
  <c r="N15" i="13"/>
  <c r="T55" i="13"/>
  <c r="S55" i="13" s="1"/>
  <c r="T60" i="13"/>
  <c r="S52" i="13"/>
  <c r="T59" i="13"/>
  <c r="S51" i="13"/>
  <c r="T54" i="13"/>
  <c r="S54" i="13" s="1"/>
  <c r="T58" i="13"/>
  <c r="S50" i="13"/>
  <c r="T53" i="13"/>
  <c r="S53" i="13" s="1"/>
  <c r="W38" i="13"/>
  <c r="V46" i="13"/>
  <c r="L20" i="13"/>
  <c r="N20" i="13" s="1"/>
  <c r="W53" i="13"/>
  <c r="V61" i="13"/>
  <c r="W61" i="13" s="1"/>
  <c r="N68" i="13"/>
  <c r="S48" i="13"/>
  <c r="J26" i="13" s="1"/>
  <c r="G7" i="12"/>
  <c r="G8" i="12"/>
  <c r="T7" i="6"/>
  <c r="T8" i="6"/>
  <c r="T9" i="6"/>
  <c r="S6" i="6"/>
  <c r="T6" i="6" s="1"/>
  <c r="S7" i="6"/>
  <c r="S8" i="6"/>
  <c r="S9" i="6"/>
  <c r="W30" i="6"/>
  <c r="W31" i="6"/>
  <c r="W29" i="6"/>
  <c r="T36" i="6"/>
  <c r="T35" i="6"/>
  <c r="T34" i="6"/>
  <c r="E8" i="7"/>
  <c r="E11" i="7" s="1"/>
  <c r="E14" i="7" s="1"/>
  <c r="E17" i="7" s="1"/>
  <c r="S5" i="6"/>
  <c r="T5" i="6" s="1"/>
  <c r="F15" i="10"/>
  <c r="G15" i="10" s="1"/>
  <c r="H15" i="10" s="1"/>
  <c r="F16" i="10"/>
  <c r="G16" i="10" s="1"/>
  <c r="F14" i="10"/>
  <c r="G14" i="10" s="1"/>
  <c r="F5" i="10"/>
  <c r="G5" i="10" s="1"/>
  <c r="H5" i="10" s="1"/>
  <c r="F6" i="10"/>
  <c r="G6" i="10" s="1"/>
  <c r="H6" i="10" s="1"/>
  <c r="I6" i="10" s="1"/>
  <c r="F7" i="10"/>
  <c r="G7" i="10" s="1"/>
  <c r="H7" i="10" s="1"/>
  <c r="F4" i="10"/>
  <c r="G18" i="10"/>
  <c r="H18" i="10" s="1"/>
  <c r="I18" i="10" s="1"/>
  <c r="J18" i="10" s="1"/>
  <c r="G17" i="10"/>
  <c r="G8" i="10"/>
  <c r="H8" i="10" s="1"/>
  <c r="I34" i="13" l="1"/>
  <c r="I35" i="13" s="1"/>
  <c r="I70" i="13" s="1"/>
  <c r="H35" i="13"/>
  <c r="J34" i="13"/>
  <c r="T62" i="13"/>
  <c r="S62" i="13" s="1"/>
  <c r="S59" i="13"/>
  <c r="S56" i="13"/>
  <c r="K26" i="13" s="1"/>
  <c r="J30" i="13"/>
  <c r="S58" i="13"/>
  <c r="T61" i="13"/>
  <c r="S61" i="13" s="1"/>
  <c r="S60" i="13"/>
  <c r="T63" i="13"/>
  <c r="S63" i="13" s="1"/>
  <c r="V54" i="13"/>
  <c r="W46" i="13"/>
  <c r="V45" i="6"/>
  <c r="V53" i="6" s="1"/>
  <c r="V61" i="6" s="1"/>
  <c r="W37" i="6"/>
  <c r="V47" i="6"/>
  <c r="V46" i="6"/>
  <c r="W45" i="6"/>
  <c r="W53" i="6"/>
  <c r="G19" i="10"/>
  <c r="H14" i="10"/>
  <c r="F19" i="10"/>
  <c r="F9" i="10"/>
  <c r="G4" i="10"/>
  <c r="H4" i="10" s="1"/>
  <c r="I8" i="10"/>
  <c r="J8" i="10" s="1"/>
  <c r="I15" i="10"/>
  <c r="J15" i="10" s="1"/>
  <c r="J6" i="10"/>
  <c r="K6" i="10" s="1"/>
  <c r="I5" i="10"/>
  <c r="J5" i="10" s="1"/>
  <c r="H17" i="10"/>
  <c r="I17" i="10" s="1"/>
  <c r="J17" i="10" s="1"/>
  <c r="K18" i="10"/>
  <c r="I7" i="10"/>
  <c r="J7" i="10" s="1"/>
  <c r="I14" i="10"/>
  <c r="G9" i="10"/>
  <c r="H16" i="10"/>
  <c r="I16" i="10" s="1"/>
  <c r="J16" i="10" s="1"/>
  <c r="J35" i="13" l="1"/>
  <c r="J70" i="13" s="1"/>
  <c r="J77" i="13" s="1"/>
  <c r="J72" i="13" s="1"/>
  <c r="J73" i="13" s="1"/>
  <c r="J75" i="13" s="1"/>
  <c r="W54" i="13"/>
  <c r="V62" i="13"/>
  <c r="W62" i="13" s="1"/>
  <c r="K30" i="13"/>
  <c r="K34" i="13"/>
  <c r="K35" i="13" s="1"/>
  <c r="K70" i="13" s="1"/>
  <c r="H70" i="13"/>
  <c r="S64" i="13"/>
  <c r="L26" i="13" s="1"/>
  <c r="I77" i="13"/>
  <c r="I72" i="13" s="1"/>
  <c r="I73" i="13" s="1"/>
  <c r="I75" i="13" s="1"/>
  <c r="V55" i="6"/>
  <c r="W47" i="6"/>
  <c r="W46" i="6"/>
  <c r="V54" i="6"/>
  <c r="K16" i="10"/>
  <c r="H19" i="10"/>
  <c r="I19" i="10"/>
  <c r="J14" i="10"/>
  <c r="J19" i="10" s="1"/>
  <c r="K8" i="10"/>
  <c r="K7" i="10"/>
  <c r="K17" i="10"/>
  <c r="K15" i="10"/>
  <c r="H9" i="10"/>
  <c r="I4" i="10"/>
  <c r="K5" i="10"/>
  <c r="N34" i="13" l="1"/>
  <c r="K77" i="13"/>
  <c r="K72" i="13" s="1"/>
  <c r="K73" i="13" s="1"/>
  <c r="K75" i="13" s="1"/>
  <c r="L34" i="13"/>
  <c r="L35" i="13" s="1"/>
  <c r="L70" i="13" s="1"/>
  <c r="N70" i="13" s="1"/>
  <c r="L30" i="13"/>
  <c r="N30" i="13" s="1"/>
  <c r="N26" i="13"/>
  <c r="H77" i="13"/>
  <c r="H72" i="13" s="1"/>
  <c r="V63" i="6"/>
  <c r="W55" i="6"/>
  <c r="W54" i="6"/>
  <c r="V62" i="6"/>
  <c r="K19" i="10"/>
  <c r="K14" i="10"/>
  <c r="I9" i="10"/>
  <c r="J4" i="10"/>
  <c r="J9" i="10" s="1"/>
  <c r="N35" i="13" l="1"/>
  <c r="H73" i="13"/>
  <c r="L77" i="13"/>
  <c r="L72" i="13" s="1"/>
  <c r="N72" i="13" s="1"/>
  <c r="K9" i="10"/>
  <c r="K4" i="10"/>
  <c r="L73" i="13" l="1"/>
  <c r="L75" i="13" s="1"/>
  <c r="H75" i="13"/>
  <c r="N75" i="13" s="1"/>
  <c r="N73" i="13"/>
  <c r="S28" i="6"/>
  <c r="T44" i="6"/>
  <c r="T52" i="6" s="1"/>
  <c r="T60" i="6" s="1"/>
  <c r="H7" i="11"/>
  <c r="Q7" i="11" s="1"/>
  <c r="I7" i="11"/>
  <c r="J7" i="11"/>
  <c r="K7" i="11"/>
  <c r="N7" i="11"/>
  <c r="H9" i="11"/>
  <c r="I9" i="11"/>
  <c r="Q9" i="11" s="1"/>
  <c r="J9" i="11"/>
  <c r="K9" i="11"/>
  <c r="N9" i="11"/>
  <c r="H12" i="11"/>
  <c r="I12" i="11"/>
  <c r="J12" i="11"/>
  <c r="K12" i="11"/>
  <c r="N12" i="11"/>
  <c r="Q12" i="11"/>
  <c r="H14" i="11"/>
  <c r="Q14" i="11" s="1"/>
  <c r="I14" i="11"/>
  <c r="J14" i="11"/>
  <c r="K14" i="11"/>
  <c r="H17" i="11"/>
  <c r="Q17" i="11" s="1"/>
  <c r="I17" i="11"/>
  <c r="J17" i="11"/>
  <c r="K17" i="11"/>
  <c r="H19" i="11"/>
  <c r="I19" i="11"/>
  <c r="J19" i="11"/>
  <c r="K19" i="11"/>
  <c r="Q19" i="11"/>
  <c r="H22" i="11"/>
  <c r="Q22" i="11" s="1"/>
  <c r="I22" i="11"/>
  <c r="J22" i="11"/>
  <c r="K22" i="11"/>
  <c r="H24" i="11"/>
  <c r="I24" i="11"/>
  <c r="J24" i="11"/>
  <c r="K24" i="11"/>
  <c r="Q24" i="11"/>
  <c r="H27" i="11"/>
  <c r="I27" i="11"/>
  <c r="Q27" i="11" s="1"/>
  <c r="J27" i="11"/>
  <c r="K27" i="11"/>
  <c r="H29" i="11"/>
  <c r="Q29" i="11" s="1"/>
  <c r="I29" i="11"/>
  <c r="J29" i="11"/>
  <c r="K29" i="11"/>
  <c r="W62" i="6"/>
  <c r="W63" i="6"/>
  <c r="W61" i="6"/>
  <c r="T43" i="6"/>
  <c r="T51" i="6" s="1"/>
  <c r="T59" i="6" s="1"/>
  <c r="T42" i="6"/>
  <c r="T50" i="6" s="1"/>
  <c r="T58" i="6" s="1"/>
  <c r="S29" i="6"/>
  <c r="S30" i="6"/>
  <c r="N60" i="6"/>
  <c r="Q30" i="11" l="1"/>
  <c r="S31" i="6"/>
  <c r="N65" i="6"/>
  <c r="N66" i="6"/>
  <c r="L5" i="6" l="1"/>
  <c r="S27" i="6"/>
  <c r="D10" i="9"/>
  <c r="D9" i="9"/>
  <c r="D8" i="9"/>
  <c r="D7" i="9"/>
  <c r="D6" i="9"/>
  <c r="D5" i="9"/>
  <c r="K6" i="9" s="1"/>
  <c r="I29" i="6"/>
  <c r="J29" i="6" s="1"/>
  <c r="K29" i="6" s="1"/>
  <c r="L29" i="6" s="1"/>
  <c r="I28" i="6"/>
  <c r="J28" i="6" s="1"/>
  <c r="K28" i="6" s="1"/>
  <c r="L28" i="6" s="1"/>
  <c r="I27" i="6"/>
  <c r="J27" i="6" s="1"/>
  <c r="K27" i="6" s="1"/>
  <c r="L27" i="6" s="1"/>
  <c r="S26" i="6"/>
  <c r="I25" i="6"/>
  <c r="J25" i="6" s="1"/>
  <c r="K25" i="6" s="1"/>
  <c r="L25" i="6" s="1"/>
  <c r="I24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T9" i="8"/>
  <c r="T10" i="8"/>
  <c r="S9" i="8"/>
  <c r="S10" i="8"/>
  <c r="R9" i="8"/>
  <c r="R10" i="8"/>
  <c r="Q9" i="8"/>
  <c r="Q10" i="8"/>
  <c r="P9" i="8"/>
  <c r="P10" i="8"/>
  <c r="O9" i="8"/>
  <c r="O10" i="8"/>
  <c r="S5" i="8"/>
  <c r="S6" i="8"/>
  <c r="S7" i="8"/>
  <c r="S8" i="8"/>
  <c r="S4" i="8"/>
  <c r="R5" i="8"/>
  <c r="R6" i="8"/>
  <c r="R7" i="8"/>
  <c r="R8" i="8"/>
  <c r="R4" i="8"/>
  <c r="Q5" i="8"/>
  <c r="Q6" i="8"/>
  <c r="Q7" i="8"/>
  <c r="Q8" i="8"/>
  <c r="Q4" i="8"/>
  <c r="P5" i="8"/>
  <c r="P6" i="8"/>
  <c r="P7" i="8"/>
  <c r="P8" i="8"/>
  <c r="P4" i="8"/>
  <c r="C18" i="7"/>
  <c r="C15" i="7"/>
  <c r="C12" i="7"/>
  <c r="C9" i="7"/>
  <c r="D8" i="7"/>
  <c r="D9" i="7" s="1"/>
  <c r="C6" i="7"/>
  <c r="D5" i="7"/>
  <c r="D6" i="7" s="1"/>
  <c r="I78" i="6"/>
  <c r="J78" i="6"/>
  <c r="K78" i="6"/>
  <c r="L78" i="6"/>
  <c r="J24" i="6" l="1"/>
  <c r="E4" i="12"/>
  <c r="E6" i="9"/>
  <c r="K7" i="9"/>
  <c r="E5" i="9"/>
  <c r="L6" i="9" s="1"/>
  <c r="E9" i="9"/>
  <c r="K10" i="9"/>
  <c r="E10" i="9"/>
  <c r="K11" i="9"/>
  <c r="E8" i="9"/>
  <c r="K9" i="9"/>
  <c r="E7" i="9"/>
  <c r="I5" i="6"/>
  <c r="K5" i="6"/>
  <c r="J5" i="6"/>
  <c r="H5" i="6"/>
  <c r="D11" i="7"/>
  <c r="D12" i="7" s="1"/>
  <c r="Q11" i="6"/>
  <c r="Q12" i="6"/>
  <c r="Q13" i="6"/>
  <c r="Q14" i="6"/>
  <c r="Q15" i="6"/>
  <c r="Q16" i="6"/>
  <c r="Q17" i="6"/>
  <c r="Q18" i="6"/>
  <c r="H78" i="6"/>
  <c r="K24" i="6" l="1"/>
  <c r="L24" i="6" s="1"/>
  <c r="F4" i="12"/>
  <c r="G4" i="12" s="1"/>
  <c r="F10" i="9"/>
  <c r="L11" i="9"/>
  <c r="F5" i="9"/>
  <c r="M6" i="9" s="1"/>
  <c r="F9" i="9"/>
  <c r="L10" i="9"/>
  <c r="F7" i="9"/>
  <c r="F8" i="9"/>
  <c r="L9" i="9"/>
  <c r="F6" i="9"/>
  <c r="L7" i="9"/>
  <c r="L16" i="6"/>
  <c r="K16" i="6"/>
  <c r="J16" i="6"/>
  <c r="I16" i="6"/>
  <c r="H16" i="6"/>
  <c r="L11" i="6"/>
  <c r="K11" i="6"/>
  <c r="J11" i="6"/>
  <c r="I11" i="6"/>
  <c r="H11" i="6"/>
  <c r="L17" i="6"/>
  <c r="I17" i="6"/>
  <c r="K17" i="6"/>
  <c r="J17" i="6"/>
  <c r="H17" i="6"/>
  <c r="I15" i="6"/>
  <c r="H15" i="6"/>
  <c r="J15" i="6"/>
  <c r="K15" i="6"/>
  <c r="L15" i="6"/>
  <c r="K13" i="6"/>
  <c r="J13" i="6"/>
  <c r="L13" i="6"/>
  <c r="I13" i="6"/>
  <c r="H13" i="6"/>
  <c r="H12" i="6"/>
  <c r="J12" i="6"/>
  <c r="L12" i="6"/>
  <c r="K12" i="6"/>
  <c r="I12" i="6"/>
  <c r="J18" i="6"/>
  <c r="I18" i="6"/>
  <c r="H18" i="6"/>
  <c r="L18" i="6"/>
  <c r="K18" i="6"/>
  <c r="H14" i="6"/>
  <c r="L14" i="6"/>
  <c r="K14" i="6"/>
  <c r="J14" i="6"/>
  <c r="I14" i="6"/>
  <c r="N14" i="6" s="1"/>
  <c r="D17" i="7"/>
  <c r="D18" i="7" s="1"/>
  <c r="N10" i="6"/>
  <c r="O4" i="8"/>
  <c r="O5" i="8"/>
  <c r="P11" i="8"/>
  <c r="O6" i="8"/>
  <c r="O7" i="8"/>
  <c r="T7" i="8" s="1"/>
  <c r="O8" i="8"/>
  <c r="T8" i="8" s="1"/>
  <c r="G6" i="9" l="1"/>
  <c r="N7" i="9" s="1"/>
  <c r="M7" i="9"/>
  <c r="G5" i="9"/>
  <c r="G7" i="9"/>
  <c r="G9" i="9"/>
  <c r="N10" i="9" s="1"/>
  <c r="M10" i="9"/>
  <c r="G8" i="9"/>
  <c r="N9" i="9" s="1"/>
  <c r="M9" i="9"/>
  <c r="G10" i="9"/>
  <c r="N11" i="9" s="1"/>
  <c r="M11" i="9"/>
  <c r="N17" i="6"/>
  <c r="N12" i="6"/>
  <c r="N13" i="6"/>
  <c r="N16" i="6"/>
  <c r="N18" i="6"/>
  <c r="N11" i="6"/>
  <c r="D14" i="7"/>
  <c r="D15" i="7" s="1"/>
  <c r="N15" i="6"/>
  <c r="R11" i="8"/>
  <c r="S11" i="8"/>
  <c r="T6" i="8"/>
  <c r="T5" i="8"/>
  <c r="O11" i="8"/>
  <c r="Q11" i="8"/>
  <c r="T4" i="8"/>
  <c r="N6" i="9" l="1"/>
  <c r="T11" i="8"/>
  <c r="T37" i="6" l="1"/>
  <c r="S37" i="6" s="1"/>
  <c r="Q32" i="6"/>
  <c r="H67" i="6" s="1"/>
  <c r="D9" i="12" s="1"/>
  <c r="Q19" i="6"/>
  <c r="S35" i="6" l="1"/>
  <c r="T38" i="6"/>
  <c r="S38" i="6" s="1"/>
  <c r="S36" i="6"/>
  <c r="T39" i="6"/>
  <c r="S39" i="6" s="1"/>
  <c r="L19" i="6"/>
  <c r="K19" i="6"/>
  <c r="J19" i="6"/>
  <c r="I19" i="6"/>
  <c r="H19" i="6"/>
  <c r="T45" i="6"/>
  <c r="S34" i="6"/>
  <c r="T47" i="6"/>
  <c r="T46" i="6"/>
  <c r="S42" i="6" l="1"/>
  <c r="S45" i="6"/>
  <c r="S43" i="6"/>
  <c r="S46" i="6"/>
  <c r="S47" i="6"/>
  <c r="S44" i="6"/>
  <c r="T55" i="6"/>
  <c r="H80" i="6"/>
  <c r="I80" i="6"/>
  <c r="N63" i="6"/>
  <c r="S50" i="6" l="1"/>
  <c r="T53" i="6"/>
  <c r="S53" i="6" s="1"/>
  <c r="S51" i="6"/>
  <c r="T54" i="6"/>
  <c r="S54" i="6" s="1"/>
  <c r="S55" i="6"/>
  <c r="S52" i="6"/>
  <c r="S60" i="6"/>
  <c r="R68" i="6"/>
  <c r="S58" i="6" l="1"/>
  <c r="T61" i="6"/>
  <c r="S61" i="6" s="1"/>
  <c r="S59" i="6"/>
  <c r="T62" i="6"/>
  <c r="S62" i="6" s="1"/>
  <c r="L59" i="6"/>
  <c r="K59" i="6"/>
  <c r="J59" i="6"/>
  <c r="I59" i="6"/>
  <c r="H59" i="6"/>
  <c r="T63" i="6"/>
  <c r="S63" i="6" s="1"/>
  <c r="F34" i="6"/>
  <c r="Q64" i="6" l="1"/>
  <c r="L67" i="6" s="1"/>
  <c r="D21" i="6" l="1"/>
  <c r="E21" i="6"/>
  <c r="F21" i="6"/>
  <c r="G21" i="6"/>
  <c r="C21" i="6"/>
  <c r="Q56" i="6" l="1"/>
  <c r="K67" i="6" s="1"/>
  <c r="Q40" i="6"/>
  <c r="I67" i="6" s="1"/>
  <c r="E9" i="12" s="1"/>
  <c r="Q48" i="6"/>
  <c r="J67" i="6" s="1"/>
  <c r="F9" i="12" s="1"/>
  <c r="G9" i="12" l="1"/>
  <c r="N6" i="6"/>
  <c r="N7" i="6"/>
  <c r="N19" i="6"/>
  <c r="N9" i="6"/>
  <c r="F33" i="6"/>
  <c r="C34" i="6"/>
  <c r="C33" i="6"/>
  <c r="A34" i="6"/>
  <c r="A33" i="6"/>
  <c r="J80" i="6"/>
  <c r="K80" i="6"/>
  <c r="L80" i="6"/>
  <c r="N1" i="6"/>
  <c r="N8" i="6"/>
  <c r="N38" i="6"/>
  <c r="N39" i="6"/>
  <c r="N40" i="6"/>
  <c r="N41" i="6"/>
  <c r="H42" i="6"/>
  <c r="I42" i="6"/>
  <c r="J42" i="6"/>
  <c r="K42" i="6"/>
  <c r="L42" i="6"/>
  <c r="N44" i="6"/>
  <c r="N45" i="6"/>
  <c r="H46" i="6"/>
  <c r="I46" i="6"/>
  <c r="J46" i="6"/>
  <c r="K46" i="6"/>
  <c r="L46" i="6"/>
  <c r="M46" i="6"/>
  <c r="N49" i="6"/>
  <c r="N50" i="6"/>
  <c r="N51" i="6"/>
  <c r="N52" i="6"/>
  <c r="H53" i="6"/>
  <c r="I53" i="6"/>
  <c r="J53" i="6"/>
  <c r="K53" i="6"/>
  <c r="L53" i="6"/>
  <c r="N56" i="6"/>
  <c r="N57" i="6"/>
  <c r="N58" i="6"/>
  <c r="N61" i="6"/>
  <c r="N62" i="6"/>
  <c r="N64" i="6"/>
  <c r="I68" i="6"/>
  <c r="L68" i="6"/>
  <c r="N74" i="6"/>
  <c r="N53" i="6" l="1"/>
  <c r="S41" i="6"/>
  <c r="N80" i="6"/>
  <c r="N42" i="6"/>
  <c r="N28" i="6"/>
  <c r="N25" i="6"/>
  <c r="K20" i="6"/>
  <c r="M5" i="9" s="1"/>
  <c r="H20" i="6"/>
  <c r="I20" i="6"/>
  <c r="N59" i="6"/>
  <c r="N46" i="6"/>
  <c r="J20" i="6"/>
  <c r="K68" i="6"/>
  <c r="L20" i="6"/>
  <c r="N5" i="9" s="1"/>
  <c r="J68" i="6"/>
  <c r="N67" i="6"/>
  <c r="S32" i="6"/>
  <c r="H26" i="6" s="1"/>
  <c r="H68" i="6"/>
  <c r="N5" i="6"/>
  <c r="J5" i="9" l="1"/>
  <c r="D3" i="12"/>
  <c r="F3" i="12"/>
  <c r="L5" i="9"/>
  <c r="E3" i="12"/>
  <c r="K5" i="9"/>
  <c r="D5" i="12"/>
  <c r="J8" i="9"/>
  <c r="H34" i="6"/>
  <c r="D6" i="12" s="1"/>
  <c r="S40" i="6"/>
  <c r="I26" i="6" s="1"/>
  <c r="N27" i="6"/>
  <c r="N29" i="6"/>
  <c r="H30" i="6"/>
  <c r="N68" i="6"/>
  <c r="N24" i="6"/>
  <c r="N20" i="6"/>
  <c r="J12" i="9" l="1"/>
  <c r="G3" i="12"/>
  <c r="I34" i="6"/>
  <c r="E6" i="12" s="1"/>
  <c r="E5" i="12"/>
  <c r="K8" i="9"/>
  <c r="K12" i="9" s="1"/>
  <c r="S48" i="6"/>
  <c r="J26" i="6" s="1"/>
  <c r="H35" i="6"/>
  <c r="H70" i="6" s="1"/>
  <c r="J34" i="6" l="1"/>
  <c r="F6" i="12" s="1"/>
  <c r="G6" i="12" s="1"/>
  <c r="F5" i="12"/>
  <c r="G5" i="12" s="1"/>
  <c r="L8" i="9"/>
  <c r="L12" i="9" s="1"/>
  <c r="I30" i="6"/>
  <c r="I35" i="6" s="1"/>
  <c r="I70" i="6" s="1"/>
  <c r="I77" i="6" s="1"/>
  <c r="I72" i="6" s="1"/>
  <c r="E10" i="12" s="1"/>
  <c r="E11" i="12" s="1"/>
  <c r="H77" i="6"/>
  <c r="H72" i="6" s="1"/>
  <c r="D10" i="12" s="1"/>
  <c r="S56" i="6"/>
  <c r="K26" i="6" s="1"/>
  <c r="S64" i="6"/>
  <c r="L26" i="6" s="1"/>
  <c r="L34" i="6" l="1"/>
  <c r="N8" i="9"/>
  <c r="N12" i="9" s="1"/>
  <c r="K34" i="6"/>
  <c r="M8" i="9"/>
  <c r="M12" i="9" s="1"/>
  <c r="D11" i="12"/>
  <c r="J30" i="6"/>
  <c r="J35" i="6" s="1"/>
  <c r="J70" i="6" s="1"/>
  <c r="J77" i="6" s="1"/>
  <c r="J72" i="6" s="1"/>
  <c r="F10" i="12" s="1"/>
  <c r="F11" i="12" s="1"/>
  <c r="L30" i="6"/>
  <c r="I73" i="6"/>
  <c r="I75" i="6" s="1"/>
  <c r="H73" i="6"/>
  <c r="G10" i="12" l="1"/>
  <c r="G11" i="12" s="1"/>
  <c r="K30" i="6"/>
  <c r="K35" i="6" s="1"/>
  <c r="K70" i="6" s="1"/>
  <c r="K77" i="6" s="1"/>
  <c r="K72" i="6" s="1"/>
  <c r="N26" i="6"/>
  <c r="N34" i="6"/>
  <c r="J73" i="6"/>
  <c r="J75" i="6" s="1"/>
  <c r="H75" i="6"/>
  <c r="N30" i="6" l="1"/>
  <c r="L35" i="6"/>
  <c r="L70" i="6" l="1"/>
  <c r="N35" i="6"/>
  <c r="K73" i="6"/>
  <c r="L77" i="6" l="1"/>
  <c r="L72" i="6" s="1"/>
  <c r="N70" i="6"/>
  <c r="K75" i="6"/>
  <c r="L73" i="6" l="1"/>
  <c r="N72" i="6"/>
  <c r="L75" i="6" l="1"/>
  <c r="N75" i="6" s="1"/>
  <c r="N73" i="6"/>
</calcChain>
</file>

<file path=xl/sharedStrings.xml><?xml version="1.0" encoding="utf-8"?>
<sst xmlns="http://schemas.openxmlformats.org/spreadsheetml/2006/main" count="897" uniqueCount="225">
  <si>
    <t>Budget:</t>
  </si>
  <si>
    <t xml:space="preserve"> </t>
  </si>
  <si>
    <t xml:space="preserve">Principal Investigator/Project Director:   </t>
  </si>
  <si>
    <t>A. Senior Personnel:</t>
  </si>
  <si>
    <t>Year 1</t>
  </si>
  <si>
    <t>Year 2</t>
  </si>
  <si>
    <t>Year 3</t>
  </si>
  <si>
    <t>Year 4</t>
  </si>
  <si>
    <t>Year 5</t>
  </si>
  <si>
    <t>Total</t>
  </si>
  <si>
    <t>1.</t>
  </si>
  <si>
    <t>2.</t>
  </si>
  <si>
    <t>3.</t>
  </si>
  <si>
    <t>4.</t>
  </si>
  <si>
    <t>5.</t>
  </si>
  <si>
    <t>6.</t>
  </si>
  <si>
    <t xml:space="preserve">   Total Senior Personnel</t>
  </si>
  <si>
    <t>Time Commitment/Person Months</t>
  </si>
  <si>
    <t>B.  Other Personnel(# shown in brackets)</t>
  </si>
  <si>
    <t>RA Breakdown</t>
  </si>
  <si>
    <t>grant funded1.</t>
  </si>
  <si>
    <t>Post Doc RAssoc/grad intern rate</t>
  </si>
  <si>
    <t>#</t>
  </si>
  <si>
    <t>total cost</t>
  </si>
  <si>
    <t xml:space="preserve">Staff/Other Professionals </t>
  </si>
  <si>
    <t>Yr 1</t>
  </si>
  <si>
    <t>RAs, PAs, TAs, pre-doc fellows and trainees</t>
  </si>
  <si>
    <t>Student hourly</t>
  </si>
  <si>
    <t>Regular classified</t>
  </si>
  <si>
    <t>Post Doc Fellow or Trainee</t>
  </si>
  <si>
    <t>summ</t>
  </si>
  <si>
    <t xml:space="preserve">    Total Salaries and Wages</t>
  </si>
  <si>
    <t>Yr 2</t>
  </si>
  <si>
    <t>C. Fringe Benefits</t>
  </si>
  <si>
    <t>*(A+B.2),</t>
  </si>
  <si>
    <t>*B1,</t>
  </si>
  <si>
    <t>*B4</t>
  </si>
  <si>
    <t>*B3 plus</t>
  </si>
  <si>
    <t>*B.5</t>
  </si>
  <si>
    <t xml:space="preserve">    Total Salaries, Wages and Fringe Benefits</t>
  </si>
  <si>
    <t>D.  Permanent Equipment</t>
  </si>
  <si>
    <t>Yr 3</t>
  </si>
  <si>
    <t>Workstations</t>
  </si>
  <si>
    <t>Compute Server</t>
  </si>
  <si>
    <t xml:space="preserve">   Total Permanent Equipment</t>
  </si>
  <si>
    <t>Yr 4</t>
  </si>
  <si>
    <t>E.  Travel  1. Domestic</t>
  </si>
  <si>
    <t xml:space="preserve">2. International </t>
  </si>
  <si>
    <t xml:space="preserve">   Total Travel Costs</t>
  </si>
  <si>
    <t>F.  Participant Support</t>
  </si>
  <si>
    <t>1. Stipends</t>
  </si>
  <si>
    <t>Yr5</t>
  </si>
  <si>
    <t>2. Travel</t>
  </si>
  <si>
    <t>3. Subsistence</t>
  </si>
  <si>
    <t>4. Other</t>
  </si>
  <si>
    <t xml:space="preserve">   Total Participant Costs</t>
  </si>
  <si>
    <t>G.  Other Direct Costs</t>
  </si>
  <si>
    <t>1. Materials and Supplies</t>
  </si>
  <si>
    <t>2. Publication Costs/Page Charges</t>
  </si>
  <si>
    <t>Computing Costs</t>
  </si>
  <si>
    <t>3. Consultant Services</t>
  </si>
  <si>
    <t>4. Computer (ADPE) Services</t>
  </si>
  <si>
    <t>5. Subawards</t>
  </si>
  <si>
    <t>a.</t>
  </si>
  <si>
    <t>b.</t>
  </si>
  <si>
    <t xml:space="preserve">   Total Other Direct Costs</t>
  </si>
  <si>
    <t>H.  Total Direct Costs (A through G)</t>
  </si>
  <si>
    <t>I.  Indirect Costs</t>
  </si>
  <si>
    <t>Overhead</t>
  </si>
  <si>
    <t>J.  Total Direct and Indirect Costs (H + I)</t>
  </si>
  <si>
    <t>K.  Residual Funds</t>
  </si>
  <si>
    <t>L.  Amount of this Request (J) or (J - K)</t>
  </si>
  <si>
    <t>Year One</t>
  </si>
  <si>
    <t>Year Two</t>
  </si>
  <si>
    <t>Fringe Benefits</t>
  </si>
  <si>
    <t>Tuition Remission =</t>
  </si>
  <si>
    <t xml:space="preserve">  :  A + B.2</t>
  </si>
  <si>
    <t xml:space="preserve">  :  B.3</t>
  </si>
  <si>
    <t>Faculty/staff rate</t>
  </si>
  <si>
    <t xml:space="preserve">  :  B.1</t>
  </si>
  <si>
    <t>Equipment Maintenance =</t>
  </si>
  <si>
    <t xml:space="preserve">  :  B.4</t>
  </si>
  <si>
    <t>Year Three</t>
  </si>
  <si>
    <t>Year Four</t>
  </si>
  <si>
    <t>$25k X # of subawards</t>
  </si>
  <si>
    <t>Year Five</t>
  </si>
  <si>
    <t xml:space="preserve">sem </t>
  </si>
  <si>
    <t xml:space="preserve">Year  </t>
  </si>
  <si>
    <t># of people</t>
  </si>
  <si>
    <t xml:space="preserve">  :  B.5</t>
  </si>
  <si>
    <t xml:space="preserve">  :  B.6</t>
  </si>
  <si>
    <t>Research Interns/Trainees</t>
  </si>
  <si>
    <t>*B6</t>
  </si>
  <si>
    <t xml:space="preserve">d/ </t>
  </si>
  <si>
    <t xml:space="preserve">c. </t>
  </si>
  <si>
    <t>Current salary</t>
  </si>
  <si>
    <t>Level 1</t>
  </si>
  <si>
    <t>Level 2</t>
  </si>
  <si>
    <t>Level 3</t>
  </si>
  <si>
    <t xml:space="preserve">   </t>
  </si>
  <si>
    <t>New, Entry-Level RAs</t>
  </si>
  <si>
    <t>Dissertator</t>
  </si>
  <si>
    <t>FY 2026</t>
  </si>
  <si>
    <t>RA who has successfully passed qualifier exam</t>
  </si>
  <si>
    <t>FY 2027</t>
  </si>
  <si>
    <t>Level</t>
  </si>
  <si>
    <t>Hourly (H basis)</t>
  </si>
  <si>
    <t>Student Hourly Employes</t>
  </si>
  <si>
    <t>Annual (A basis)</t>
  </si>
  <si>
    <t>Academic Staff</t>
  </si>
  <si>
    <t>Year 1 Effort</t>
  </si>
  <si>
    <t>Months</t>
  </si>
  <si>
    <t>Name</t>
  </si>
  <si>
    <t>Title</t>
  </si>
  <si>
    <t>Classification</t>
  </si>
  <si>
    <t>Salary</t>
  </si>
  <si>
    <t xml:space="preserve">Appt </t>
  </si>
  <si>
    <t>PA Breakdown</t>
  </si>
  <si>
    <t xml:space="preserve">Notes: </t>
  </si>
  <si>
    <t>MTDC Overhead Base</t>
  </si>
  <si>
    <t xml:space="preserve">Cloud Computing Overhead </t>
  </si>
  <si>
    <t>MTDC Overhead =</t>
  </si>
  <si>
    <t xml:space="preserve">Cloud Computing Overhead = </t>
  </si>
  <si>
    <t>4.a. Cloud Computing Resources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</si>
  <si>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</si>
  <si>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</si>
  <si>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</si>
  <si>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</si>
  <si>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</si>
  <si>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</si>
  <si>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</si>
  <si>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</si>
  <si>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</si>
  <si>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FY 2028</t>
  </si>
  <si>
    <t>Ground transportation</t>
  </si>
  <si>
    <t>Airfare</t>
  </si>
  <si>
    <t>Rate</t>
  </si>
  <si>
    <t>Cost category</t>
  </si>
  <si>
    <t>FY 2029</t>
  </si>
  <si>
    <t>Conference Fees</t>
  </si>
  <si>
    <t>6.b. Human Subject Research</t>
  </si>
  <si>
    <t>6.c. Other - Tuition Remission</t>
  </si>
  <si>
    <t>6.a. Workshops</t>
  </si>
  <si>
    <t>12 months</t>
  </si>
  <si>
    <t>Per month</t>
  </si>
  <si>
    <r>
      <t>•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Do not combine any categories.</t>
    </r>
  </si>
  <si>
    <t>TOTAL</t>
  </si>
  <si>
    <t>trip costs</t>
  </si>
  <si>
    <t>other domestic conference</t>
  </si>
  <si>
    <t>TBD</t>
  </si>
  <si>
    <t>To:</t>
  </si>
  <si>
    <t xml:space="preserve">SC, OSDI, NeurIPS or </t>
  </si>
  <si>
    <t>Madison, WI</t>
  </si>
  <si>
    <t>From:</t>
  </si>
  <si>
    <t xml:space="preserve"> TBD</t>
  </si>
  <si>
    <t xml:space="preserve">SC, NeurIPS or </t>
  </si>
  <si>
    <t>Conference</t>
  </si>
  <si>
    <t>Boston, MA</t>
  </si>
  <si>
    <t>OSDI 2023</t>
  </si>
  <si>
    <t>New Orleans, LA</t>
  </si>
  <si>
    <t>NeurIPS 2022</t>
  </si>
  <si>
    <t>Dallas, TX</t>
  </si>
  <si>
    <t>SC 2022</t>
  </si>
  <si>
    <t>City, State</t>
  </si>
  <si>
    <t>(Note 3)</t>
  </si>
  <si>
    <t>Fee</t>
  </si>
  <si>
    <t>Rental</t>
  </si>
  <si>
    <t>LODGING</t>
  </si>
  <si>
    <t>MEALS</t>
  </si>
  <si>
    <t>NIGHTS</t>
  </si>
  <si>
    <t>DAYS</t>
  </si>
  <si>
    <t>TRVLRS</t>
  </si>
  <si>
    <t>TRIPS</t>
  </si>
  <si>
    <t>Purpose</t>
  </si>
  <si>
    <t>Other</t>
  </si>
  <si>
    <t>Taxi</t>
  </si>
  <si>
    <t xml:space="preserve">Conference </t>
  </si>
  <si>
    <t>Mileage</t>
  </si>
  <si>
    <t>Parking</t>
  </si>
  <si>
    <t>Car</t>
  </si>
  <si>
    <t>Per Diem</t>
  </si>
  <si>
    <t>Air/Rail</t>
  </si>
  <si>
    <t>Number</t>
  </si>
  <si>
    <t>Trip</t>
  </si>
  <si>
    <t>(Notes 1 and 2)</t>
  </si>
  <si>
    <t xml:space="preserve"> TRAVEL</t>
  </si>
  <si>
    <t>Number of Travelers</t>
  </si>
  <si>
    <t>Price per</t>
  </si>
  <si>
    <t>$xxx/person/trip</t>
  </si>
  <si>
    <t>Lodging (# nights)</t>
  </si>
  <si>
    <t>$xxx/night</t>
  </si>
  <si>
    <t>Meals &amp; incidental expenses (# days)</t>
  </si>
  <si>
    <t>$XX/day; first &amp; last days @ $YY</t>
  </si>
  <si>
    <t>$$/Member; $$/Student</t>
  </si>
  <si>
    <t>Annualized</t>
  </si>
  <si>
    <t>Monthly</t>
  </si>
  <si>
    <t>2025-2026 rate</t>
  </si>
  <si>
    <t>FY 2030</t>
  </si>
  <si>
    <t>2025-2026</t>
  </si>
  <si>
    <t>L&amp;S has a student hourly max of $25 per hour</t>
  </si>
  <si>
    <t>Indirect Costs</t>
  </si>
  <si>
    <t>Tuition Remission</t>
  </si>
  <si>
    <t>Materials and Supplies</t>
  </si>
  <si>
    <t>Travel</t>
  </si>
  <si>
    <t>Personnel Fringe</t>
  </si>
  <si>
    <t>Item</t>
  </si>
  <si>
    <t>Postdoc Research Associate</t>
  </si>
  <si>
    <t>PI</t>
  </si>
  <si>
    <t>Grad Students (RA/PA)</t>
  </si>
  <si>
    <t>*Totals should autopopulate from Budget spreadsheet for categories listed</t>
  </si>
  <si>
    <t>**Add categories and formulas as needed</t>
  </si>
  <si>
    <t>Faculty</t>
  </si>
  <si>
    <t>Staff</t>
  </si>
  <si>
    <t>Research Associate</t>
  </si>
  <si>
    <t>Fellows</t>
  </si>
  <si>
    <t>University Staff</t>
  </si>
  <si>
    <t>Student Hourlies</t>
  </si>
  <si>
    <t>$5364/semester - AY 2026</t>
  </si>
  <si>
    <t>*NIH SALARY CAP!</t>
  </si>
  <si>
    <t>225,700 annual</t>
  </si>
  <si>
    <t>233k</t>
  </si>
  <si>
    <t>Ethan Cecchetti</t>
  </si>
  <si>
    <t>2024-2025</t>
  </si>
  <si>
    <t>$400k</t>
  </si>
  <si>
    <t>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</si>
</sst>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&quot;$&quot;#,##0.00"/>
    <numFmt numFmtId="167" formatCode="_(&quot;$&quot;* #,##0.0_);_(&quot;$&quot;* \(#,##0.0\);_(&quot;$&quot;* &quot;-&quot;?_);_(@_)"/>
    <numFmt numFmtId="168" formatCode="&quot;$&quot;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1"/>
      <color rgb="FF0070C0"/>
      <name val="Arial"/>
      <family val="2"/>
    </font>
    <font>
      <b/>
      <i/>
      <sz val="11"/>
      <color rgb="FF0070C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Calibri"/>
      <family val="2"/>
    </font>
    <font>
      <sz val="7"/>
      <name val="Times New Roman"/>
      <family val="1"/>
    </font>
    <font>
      <b/>
      <sz val="12"/>
      <name val="Calibri"/>
      <family val="2"/>
    </font>
    <font>
      <b/>
      <sz val="9"/>
      <color rgb="FFFF0000"/>
      <name val="Arial"/>
      <family val="2"/>
    </font>
    <font>
      <b/>
      <i/>
      <sz val="12"/>
      <name val="Calibri"/>
      <family val="2"/>
    </font>
    <font>
      <b/>
      <i/>
      <sz val="9"/>
      <color rgb="FFFF0000"/>
      <name val="Arial"/>
      <family val="2"/>
    </font>
    <font>
      <sz val="8"/>
      <name val="Arial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37" fontId="4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9" fontId="6" fillId="0" borderId="0" xfId="0" applyNumberFormat="1" applyFont="1"/>
    <xf numFmtId="0" fontId="6" fillId="0" borderId="0" xfId="0" quotePrefix="1" applyFont="1"/>
    <xf numFmtId="164" fontId="7" fillId="0" borderId="0" xfId="0" applyNumberFormat="1" applyFont="1" applyProtection="1">
      <protection locked="0"/>
    </xf>
    <xf numFmtId="9" fontId="7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165" fontId="7" fillId="0" borderId="0" xfId="1" applyNumberFormat="1" applyFont="1" applyProtection="1">
      <protection locked="0"/>
    </xf>
    <xf numFmtId="165" fontId="6" fillId="0" borderId="0" xfId="1" applyNumberFormat="1" applyFont="1" applyProtection="1"/>
    <xf numFmtId="165" fontId="6" fillId="0" borderId="0" xfId="1" applyNumberFormat="1" applyFont="1" applyAlignment="1" applyProtection="1">
      <alignment horizontal="left"/>
    </xf>
    <xf numFmtId="165" fontId="6" fillId="0" borderId="0" xfId="1" applyNumberFormat="1" applyFont="1"/>
    <xf numFmtId="9" fontId="6" fillId="0" borderId="0" xfId="0" applyNumberFormat="1" applyFont="1" applyAlignment="1">
      <alignment horizontal="left"/>
    </xf>
    <xf numFmtId="14" fontId="7" fillId="0" borderId="0" xfId="0" applyNumberFormat="1" applyFont="1" applyProtection="1">
      <protection locked="0"/>
    </xf>
    <xf numFmtId="0" fontId="6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1" fontId="4" fillId="0" borderId="3" xfId="0" applyNumberFormat="1" applyFont="1" applyBorder="1"/>
    <xf numFmtId="0" fontId="4" fillId="0" borderId="4" xfId="0" applyFont="1" applyBorder="1"/>
    <xf numFmtId="9" fontId="4" fillId="0" borderId="0" xfId="0" applyNumberFormat="1" applyFont="1"/>
    <xf numFmtId="1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9" fontId="4" fillId="0" borderId="2" xfId="0" applyNumberFormat="1" applyFont="1" applyBorder="1"/>
    <xf numFmtId="3" fontId="4" fillId="0" borderId="0" xfId="0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left"/>
    </xf>
    <xf numFmtId="166" fontId="0" fillId="0" borderId="0" xfId="0" applyNumberFormat="1"/>
    <xf numFmtId="164" fontId="13" fillId="0" borderId="0" xfId="0" applyNumberFormat="1" applyFont="1" applyProtection="1">
      <protection locked="0"/>
    </xf>
    <xf numFmtId="14" fontId="4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165" fontId="7" fillId="0" borderId="0" xfId="1" applyNumberFormat="1" applyFont="1" applyBorder="1" applyProtection="1">
      <protection locked="0"/>
    </xf>
    <xf numFmtId="165" fontId="6" fillId="0" borderId="0" xfId="1" applyNumberFormat="1" applyFont="1" applyBorder="1" applyProtection="1"/>
    <xf numFmtId="165" fontId="7" fillId="0" borderId="7" xfId="1" applyNumberFormat="1" applyFont="1" applyBorder="1" applyProtection="1">
      <protection locked="0"/>
    </xf>
    <xf numFmtId="165" fontId="6" fillId="0" borderId="7" xfId="1" applyNumberFormat="1" applyFont="1" applyBorder="1" applyProtection="1"/>
    <xf numFmtId="165" fontId="6" fillId="0" borderId="5" xfId="1" applyNumberFormat="1" applyFont="1" applyBorder="1" applyProtection="1"/>
    <xf numFmtId="165" fontId="0" fillId="0" borderId="0" xfId="1" applyNumberFormat="1" applyFont="1" applyBorder="1"/>
    <xf numFmtId="165" fontId="6" fillId="0" borderId="0" xfId="1" applyNumberFormat="1" applyFont="1" applyBorder="1"/>
    <xf numFmtId="165" fontId="6" fillId="0" borderId="5" xfId="1" applyNumberFormat="1" applyFont="1" applyBorder="1"/>
    <xf numFmtId="165" fontId="6" fillId="0" borderId="7" xfId="1" applyNumberFormat="1" applyFont="1" applyBorder="1"/>
    <xf numFmtId="165" fontId="6" fillId="0" borderId="5" xfId="1" applyNumberFormat="1" applyFont="1" applyBorder="1" applyAlignment="1" applyProtection="1">
      <alignment horizontal="left"/>
    </xf>
    <xf numFmtId="167" fontId="6" fillId="0" borderId="0" xfId="0" applyNumberFormat="1" applyFont="1" applyProtection="1">
      <protection locked="0"/>
    </xf>
    <xf numFmtId="0" fontId="4" fillId="2" borderId="0" xfId="0" applyFont="1" applyFill="1"/>
    <xf numFmtId="1" fontId="4" fillId="3" borderId="5" xfId="0" applyNumberFormat="1" applyFont="1" applyFill="1" applyBorder="1"/>
    <xf numFmtId="1" fontId="4" fillId="0" borderId="0" xfId="0" applyNumberFormat="1" applyFont="1"/>
    <xf numFmtId="0" fontId="4" fillId="4" borderId="8" xfId="0" applyFont="1" applyFill="1" applyBorder="1"/>
    <xf numFmtId="0" fontId="14" fillId="0" borderId="0" xfId="0" applyFont="1"/>
    <xf numFmtId="0" fontId="4" fillId="0" borderId="8" xfId="0" applyFont="1" applyBorder="1"/>
    <xf numFmtId="164" fontId="6" fillId="0" borderId="0" xfId="0" applyNumberFormat="1" applyFont="1" applyAlignment="1">
      <alignment horizontal="left"/>
    </xf>
    <xf numFmtId="164" fontId="13" fillId="0" borderId="0" xfId="0" applyNumberFormat="1" applyFont="1"/>
    <xf numFmtId="10" fontId="13" fillId="0" borderId="0" xfId="0" applyNumberFormat="1" applyFont="1"/>
    <xf numFmtId="17" fontId="6" fillId="0" borderId="0" xfId="0" applyNumberFormat="1" applyFont="1"/>
    <xf numFmtId="1" fontId="4" fillId="0" borderId="0" xfId="2" applyNumberFormat="1" applyFont="1" applyBorder="1"/>
    <xf numFmtId="1" fontId="4" fillId="0" borderId="0" xfId="2" applyNumberFormat="1" applyFont="1"/>
    <xf numFmtId="1" fontId="4" fillId="0" borderId="0" xfId="1" applyNumberFormat="1" applyFont="1" applyBorder="1"/>
    <xf numFmtId="1" fontId="4" fillId="3" borderId="0" xfId="2" applyNumberFormat="1" applyFont="1" applyFill="1" applyBorder="1"/>
    <xf numFmtId="1" fontId="4" fillId="0" borderId="8" xfId="0" applyNumberFormat="1" applyFont="1" applyBorder="1"/>
    <xf numFmtId="1" fontId="4" fillId="4" borderId="8" xfId="2" applyNumberFormat="1" applyFont="1" applyFill="1" applyBorder="1"/>
    <xf numFmtId="0" fontId="2" fillId="0" borderId="0" xfId="0" applyFont="1"/>
    <xf numFmtId="49" fontId="17" fillId="0" borderId="8" xfId="0" applyNumberFormat="1" applyFont="1" applyBorder="1" applyAlignment="1" applyProtection="1">
      <alignment horizontal="left" wrapText="1"/>
      <protection locked="0"/>
    </xf>
    <xf numFmtId="49" fontId="16" fillId="0" borderId="8" xfId="0" applyNumberFormat="1" applyFont="1" applyBorder="1" applyAlignment="1" applyProtection="1">
      <alignment horizontal="left" wrapText="1"/>
      <protection locked="0"/>
    </xf>
    <xf numFmtId="0" fontId="16" fillId="0" borderId="8" xfId="0" applyFont="1" applyBorder="1" applyAlignment="1" applyProtection="1">
      <alignment wrapText="1"/>
      <protection locked="0"/>
    </xf>
    <xf numFmtId="3" fontId="18" fillId="0" borderId="8" xfId="0" applyNumberFormat="1" applyFont="1" applyBorder="1" applyProtection="1">
      <protection locked="0"/>
    </xf>
    <xf numFmtId="1" fontId="2" fillId="0" borderId="8" xfId="4" applyNumberFormat="1" applyFont="1" applyFill="1" applyBorder="1" applyProtection="1">
      <protection locked="0"/>
    </xf>
    <xf numFmtId="0" fontId="2" fillId="0" borderId="8" xfId="4" applyNumberFormat="1" applyFont="1" applyFill="1" applyBorder="1" applyProtection="1">
      <protection locked="0"/>
    </xf>
    <xf numFmtId="9" fontId="2" fillId="0" borderId="8" xfId="3" applyFill="1" applyBorder="1" applyProtection="1">
      <protection locked="0"/>
    </xf>
    <xf numFmtId="1" fontId="0" fillId="0" borderId="0" xfId="0" applyNumberFormat="1"/>
    <xf numFmtId="3" fontId="2" fillId="0" borderId="8" xfId="3" applyNumberFormat="1" applyFill="1" applyBorder="1" applyProtection="1">
      <protection locked="0"/>
    </xf>
    <xf numFmtId="3" fontId="2" fillId="0" borderId="8" xfId="0" applyNumberFormat="1" applyFont="1" applyBorder="1" applyProtection="1">
      <protection locked="0"/>
    </xf>
    <xf numFmtId="0" fontId="19" fillId="0" borderId="0" xfId="0" applyFont="1"/>
    <xf numFmtId="1" fontId="4" fillId="0" borderId="0" xfId="2" applyNumberFormat="1" applyFont="1" applyFill="1" applyBorder="1"/>
    <xf numFmtId="49" fontId="6" fillId="0" borderId="0" xfId="0" applyNumberFormat="1" applyFont="1" applyAlignment="1">
      <alignment horizontal="right"/>
    </xf>
    <xf numFmtId="1" fontId="4" fillId="0" borderId="0" xfId="3" applyNumberFormat="1" applyFont="1" applyBorder="1"/>
    <xf numFmtId="1" fontId="4" fillId="3" borderId="0" xfId="3" applyNumberFormat="1" applyFont="1" applyFill="1" applyBorder="1"/>
    <xf numFmtId="0" fontId="2" fillId="0" borderId="0" xfId="5"/>
    <xf numFmtId="166" fontId="2" fillId="0" borderId="0" xfId="5" applyNumberFormat="1"/>
    <xf numFmtId="166" fontId="20" fillId="0" borderId="9" xfId="5" applyNumberFormat="1" applyFont="1" applyBorder="1" applyAlignment="1">
      <alignment vertical="center" wrapText="1"/>
    </xf>
    <xf numFmtId="0" fontId="20" fillId="0" borderId="9" xfId="5" applyFont="1" applyBorder="1" applyAlignment="1">
      <alignment vertical="center" wrapText="1"/>
    </xf>
    <xf numFmtId="0" fontId="20" fillId="0" borderId="12" xfId="5" applyFont="1" applyBorder="1" applyAlignment="1">
      <alignment vertical="center" wrapText="1"/>
    </xf>
    <xf numFmtId="166" fontId="21" fillId="0" borderId="10" xfId="5" applyNumberFormat="1" applyFont="1" applyBorder="1" applyAlignment="1">
      <alignment vertical="center" wrapText="1"/>
    </xf>
    <xf numFmtId="0" fontId="21" fillId="0" borderId="10" xfId="5" applyFont="1" applyBorder="1" applyAlignment="1">
      <alignment vertical="center" wrapText="1"/>
    </xf>
    <xf numFmtId="0" fontId="21" fillId="0" borderId="13" xfId="5" applyFont="1" applyBorder="1" applyAlignment="1">
      <alignment vertical="center" wrapText="1"/>
    </xf>
    <xf numFmtId="4" fontId="4" fillId="0" borderId="0" xfId="0" applyNumberFormat="1" applyFont="1"/>
    <xf numFmtId="9" fontId="4" fillId="5" borderId="0" xfId="0" applyNumberFormat="1" applyFont="1" applyFill="1"/>
    <xf numFmtId="3" fontId="19" fillId="0" borderId="0" xfId="0" applyNumberFormat="1" applyFont="1"/>
    <xf numFmtId="0" fontId="14" fillId="0" borderId="8" xfId="0" applyFont="1" applyBorder="1"/>
    <xf numFmtId="0" fontId="1" fillId="0" borderId="0" xfId="6"/>
    <xf numFmtId="0" fontId="18" fillId="0" borderId="0" xfId="6" applyFont="1" applyAlignment="1">
      <alignment horizontal="justify" vertical="center"/>
    </xf>
    <xf numFmtId="0" fontId="2" fillId="0" borderId="0" xfId="6" applyFont="1"/>
    <xf numFmtId="0" fontId="22" fillId="0" borderId="0" xfId="6" applyFont="1"/>
    <xf numFmtId="0" fontId="9" fillId="0" borderId="0" xfId="6" applyFont="1"/>
    <xf numFmtId="0" fontId="9" fillId="0" borderId="0" xfId="6" applyFont="1" applyAlignment="1">
      <alignment wrapText="1"/>
    </xf>
    <xf numFmtId="0" fontId="1" fillId="0" borderId="0" xfId="6" applyAlignment="1">
      <alignment wrapText="1"/>
    </xf>
    <xf numFmtId="0" fontId="9" fillId="0" borderId="0" xfId="6" applyFont="1" applyAlignment="1">
      <alignment vertical="top"/>
    </xf>
    <xf numFmtId="6" fontId="24" fillId="6" borderId="10" xfId="6" applyNumberFormat="1" applyFont="1" applyFill="1" applyBorder="1"/>
    <xf numFmtId="6" fontId="22" fillId="0" borderId="14" xfId="6" applyNumberFormat="1" applyFont="1" applyBorder="1"/>
    <xf numFmtId="0" fontId="22" fillId="0" borderId="14" xfId="6" applyFont="1" applyBorder="1"/>
    <xf numFmtId="0" fontId="22" fillId="0" borderId="15" xfId="6" applyFont="1" applyBorder="1" applyAlignment="1">
      <alignment horizontal="center"/>
    </xf>
    <xf numFmtId="0" fontId="24" fillId="0" borderId="0" xfId="6" applyFont="1" applyAlignment="1">
      <alignment horizontal="center"/>
    </xf>
    <xf numFmtId="6" fontId="22" fillId="0" borderId="16" xfId="6" applyNumberFormat="1" applyFont="1" applyBorder="1"/>
    <xf numFmtId="6" fontId="22" fillId="0" borderId="7" xfId="6" applyNumberFormat="1" applyFont="1" applyBorder="1"/>
    <xf numFmtId="168" fontId="22" fillId="0" borderId="7" xfId="6" applyNumberFormat="1" applyFont="1" applyBorder="1"/>
    <xf numFmtId="0" fontId="22" fillId="0" borderId="7" xfId="6" applyFont="1" applyBorder="1"/>
    <xf numFmtId="0" fontId="18" fillId="0" borderId="17" xfId="6" applyFont="1" applyBorder="1" applyAlignment="1">
      <alignment horizontal="center" vertical="center"/>
    </xf>
    <xf numFmtId="0" fontId="22" fillId="0" borderId="0" xfId="6" applyFont="1" applyAlignment="1">
      <alignment horizontal="center"/>
    </xf>
    <xf numFmtId="0" fontId="22" fillId="0" borderId="18" xfId="6" applyFont="1" applyBorder="1"/>
    <xf numFmtId="8" fontId="22" fillId="0" borderId="0" xfId="6" applyNumberFormat="1" applyFont="1"/>
    <xf numFmtId="168" fontId="22" fillId="0" borderId="0" xfId="6" applyNumberFormat="1" applyFont="1"/>
    <xf numFmtId="168" fontId="22" fillId="0" borderId="0" xfId="7" applyNumberFormat="1" applyFont="1" applyFill="1" applyBorder="1"/>
    <xf numFmtId="6" fontId="22" fillId="0" borderId="0" xfId="6" applyNumberFormat="1" applyFont="1"/>
    <xf numFmtId="0" fontId="18" fillId="0" borderId="19" xfId="6" applyFont="1" applyBorder="1" applyAlignment="1">
      <alignment horizontal="center" vertical="center"/>
    </xf>
    <xf numFmtId="0" fontId="22" fillId="0" borderId="0" xfId="6" applyFont="1" applyAlignment="1">
      <alignment horizontal="left"/>
    </xf>
    <xf numFmtId="6" fontId="22" fillId="0" borderId="10" xfId="6" applyNumberFormat="1" applyFont="1" applyBorder="1"/>
    <xf numFmtId="168" fontId="22" fillId="0" borderId="14" xfId="6" applyNumberFormat="1" applyFont="1" applyBorder="1"/>
    <xf numFmtId="0" fontId="22" fillId="0" borderId="11" xfId="6" applyFont="1" applyBorder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22" fillId="0" borderId="17" xfId="6" applyFont="1" applyBorder="1" applyAlignment="1">
      <alignment horizontal="center" vertical="center"/>
    </xf>
    <xf numFmtId="0" fontId="22" fillId="0" borderId="19" xfId="6" applyFont="1" applyBorder="1" applyAlignment="1">
      <alignment horizontal="center" vertical="center"/>
    </xf>
    <xf numFmtId="8" fontId="22" fillId="0" borderId="7" xfId="6" applyNumberFormat="1" applyFont="1" applyBorder="1"/>
    <xf numFmtId="0" fontId="22" fillId="0" borderId="17" xfId="6" applyFont="1" applyBorder="1" applyAlignment="1">
      <alignment horizontal="center"/>
    </xf>
    <xf numFmtId="0" fontId="22" fillId="0" borderId="20" xfId="6" applyFont="1" applyBorder="1"/>
    <xf numFmtId="8" fontId="22" fillId="0" borderId="21" xfId="6" applyNumberFormat="1" applyFont="1" applyBorder="1"/>
    <xf numFmtId="168" fontId="22" fillId="0" borderId="21" xfId="6" applyNumberFormat="1" applyFont="1" applyBorder="1"/>
    <xf numFmtId="6" fontId="22" fillId="0" borderId="21" xfId="6" applyNumberFormat="1" applyFont="1" applyBorder="1"/>
    <xf numFmtId="0" fontId="22" fillId="0" borderId="21" xfId="6" applyFont="1" applyBorder="1"/>
    <xf numFmtId="0" fontId="22" fillId="0" borderId="22" xfId="6" applyFont="1" applyBorder="1" applyAlignment="1">
      <alignment horizontal="center"/>
    </xf>
    <xf numFmtId="0" fontId="24" fillId="0" borderId="18" xfId="6" applyFont="1" applyBorder="1" applyAlignment="1">
      <alignment horizontal="center"/>
    </xf>
    <xf numFmtId="0" fontId="24" fillId="0" borderId="14" xfId="6" applyFont="1" applyBorder="1" applyAlignment="1">
      <alignment horizontal="center"/>
    </xf>
    <xf numFmtId="0" fontId="24" fillId="0" borderId="19" xfId="6" applyFont="1" applyBorder="1"/>
    <xf numFmtId="0" fontId="9" fillId="0" borderId="0" xfId="6" applyFont="1" applyAlignment="1">
      <alignment horizontal="center"/>
    </xf>
    <xf numFmtId="0" fontId="24" fillId="0" borderId="12" xfId="6" applyFont="1" applyBorder="1" applyAlignment="1">
      <alignment horizontal="center" vertical="center"/>
    </xf>
    <xf numFmtId="0" fontId="25" fillId="0" borderId="12" xfId="6" applyFont="1" applyBorder="1" applyAlignment="1">
      <alignment horizontal="center" vertical="center"/>
    </xf>
    <xf numFmtId="0" fontId="24" fillId="0" borderId="23" xfId="6" applyFont="1" applyBorder="1" applyAlignment="1">
      <alignment horizontal="center" vertical="center"/>
    </xf>
    <xf numFmtId="0" fontId="24" fillId="0" borderId="24" xfId="6" applyFont="1" applyBorder="1" applyAlignment="1">
      <alignment horizontal="center" vertical="center"/>
    </xf>
    <xf numFmtId="0" fontId="24" fillId="0" borderId="22" xfId="6" applyFont="1" applyBorder="1" applyAlignment="1">
      <alignment horizontal="center" vertical="center"/>
    </xf>
    <xf numFmtId="0" fontId="24" fillId="0" borderId="21" xfId="6" applyFont="1" applyBorder="1" applyAlignment="1">
      <alignment horizontal="center" vertical="center"/>
    </xf>
    <xf numFmtId="0" fontId="22" fillId="7" borderId="0" xfId="6" applyFont="1" applyFill="1"/>
    <xf numFmtId="0" fontId="16" fillId="8" borderId="0" xfId="6" applyFont="1" applyFill="1"/>
    <xf numFmtId="0" fontId="26" fillId="7" borderId="0" xfId="6" applyFont="1" applyFill="1"/>
    <xf numFmtId="0" fontId="27" fillId="7" borderId="0" xfId="6" applyFont="1" applyFill="1"/>
    <xf numFmtId="3" fontId="6" fillId="0" borderId="0" xfId="0" applyNumberFormat="1" applyFont="1" applyAlignment="1">
      <alignment horizontal="left"/>
    </xf>
    <xf numFmtId="0" fontId="2" fillId="0" borderId="0" xfId="5" applyAlignment="1">
      <alignment wrapText="1"/>
    </xf>
    <xf numFmtId="166" fontId="21" fillId="0" borderId="0" xfId="5" applyNumberFormat="1" applyFont="1" applyAlignment="1">
      <alignment vertical="center" wrapText="1"/>
    </xf>
    <xf numFmtId="0" fontId="20" fillId="0" borderId="0" xfId="5" applyFont="1" applyAlignment="1">
      <alignment vertical="center" wrapText="1"/>
    </xf>
    <xf numFmtId="166" fontId="20" fillId="0" borderId="0" xfId="5" applyNumberFormat="1" applyFont="1" applyAlignment="1">
      <alignment vertical="center" wrapText="1"/>
    </xf>
    <xf numFmtId="2" fontId="4" fillId="4" borderId="8" xfId="0" applyNumberFormat="1" applyFont="1" applyFill="1" applyBorder="1"/>
    <xf numFmtId="168" fontId="0" fillId="0" borderId="8" xfId="0" applyNumberFormat="1" applyBorder="1"/>
    <xf numFmtId="0" fontId="9" fillId="0" borderId="8" xfId="0" applyFont="1" applyBorder="1"/>
    <xf numFmtId="0" fontId="8" fillId="0" borderId="2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0" fillId="0" borderId="2" xfId="0" applyBorder="1"/>
    <xf numFmtId="0" fontId="29" fillId="4" borderId="0" xfId="0" applyFont="1" applyFill="1"/>
    <xf numFmtId="2" fontId="4" fillId="0" borderId="0" xfId="0" applyNumberFormat="1" applyFont="1"/>
    <xf numFmtId="1" fontId="4" fillId="0" borderId="0" xfId="3" applyNumberFormat="1" applyFont="1"/>
    <xf numFmtId="165" fontId="4" fillId="0" borderId="0" xfId="0" applyNumberFormat="1" applyFont="1"/>
    <xf numFmtId="1" fontId="4" fillId="0" borderId="0" xfId="3" applyNumberFormat="1" applyFont="1" applyFill="1" applyBorder="1"/>
    <xf numFmtId="1" fontId="4" fillId="4" borderId="8" xfId="3" applyNumberFormat="1" applyFont="1" applyFill="1" applyBorder="1"/>
    <xf numFmtId="1" fontId="4" fillId="0" borderId="0" xfId="3" quotePrefix="1" applyNumberFormat="1" applyFont="1" applyBorder="1"/>
    <xf numFmtId="1" fontId="4" fillId="2" borderId="0" xfId="0" applyNumberFormat="1" applyFont="1" applyFill="1"/>
    <xf numFmtId="0" fontId="20" fillId="0" borderId="11" xfId="5" applyFont="1" applyBorder="1" applyAlignment="1">
      <alignment vertical="center" wrapText="1"/>
    </xf>
    <xf numFmtId="0" fontId="20" fillId="0" borderId="10" xfId="5" applyFont="1" applyBorder="1" applyAlignment="1">
      <alignment vertical="center" wrapText="1"/>
    </xf>
    <xf numFmtId="0" fontId="2" fillId="0" borderId="0" xfId="6" applyFont="1" applyAlignment="1">
      <alignment vertical="top" wrapText="1"/>
    </xf>
    <xf numFmtId="0" fontId="2" fillId="0" borderId="0" xfId="6" applyFont="1" applyAlignment="1">
      <alignment vertical="top"/>
    </xf>
    <xf numFmtId="0" fontId="9" fillId="0" borderId="0" xfId="6" applyFont="1" applyAlignment="1">
      <alignment wrapText="1"/>
    </xf>
    <xf numFmtId="0" fontId="9" fillId="0" borderId="0" xfId="6" applyFont="1"/>
  </cellXfs>
  <cellStyles count="8">
    <cellStyle name="Comma 2" xfId="4" xr:uid="{CC6BF392-54D1-40AC-98D1-2200C43CF7DB}"/>
    <cellStyle name="Currency" xfId="1" builtinId="4"/>
    <cellStyle name="Currency 2" xfId="7" xr:uid="{B8F10E1B-63DB-487E-82EB-0C52F8E133ED}"/>
    <cellStyle name="Normal" xfId="0" builtinId="0"/>
    <cellStyle name="Normal 2" xfId="5" xr:uid="{3B607369-66FE-4274-90DB-979EC0CDEB07}"/>
    <cellStyle name="Normal 3" xfId="6" xr:uid="{F3293FB5-2922-4D10-969C-C8969D92B4B9}"/>
    <cellStyle name="Percent" xfId="2" builtinId="5"/>
    <cellStyle name="Percent 2" xfId="3" xr:uid="{CC8C86F0-7D3C-4A6A-80C1-FACA8CEA407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agler/Documents/Copy%20of%20AC4%20-%20Budget%20-%20220421a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cs-dept\Grant%20proposals\Cecchetti,%20Ethan\144_\E.Cecchetti%20NSF%20Medium%20w-UMD%202024\10_16_2024_E.Cecchetti%20NSF%20Medium%202024_%20budget_Final.xlsx" TargetMode="External"/><Relationship Id="rId1" Type="http://schemas.openxmlformats.org/officeDocument/2006/relationships/externalLinkPath" Target="file:///V:\cs-dept\Grant%20proposals\Cecchetti,%20Ethan\144_\E.Cecchetti%20NSF%20Medium%20w-UMD%202024\10_16_2024_E.Cecchetti%20NSF%20Medium%202024_%20budge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F&amp;A Rates"/>
      <sheetName val="Fringe Rates"/>
      <sheetName val="Salaries &amp; Wages Year 1"/>
      <sheetName val="Salaries &amp; Wages Year 2"/>
      <sheetName val="Salaries &amp; Wages Year 3"/>
      <sheetName val="Salaries &amp; Wages Year 4"/>
      <sheetName val="Salaries &amp; Wages Year 5"/>
      <sheetName val="Tuition Remission"/>
      <sheetName val="Supplies"/>
      <sheetName val="Equipment &amp; Other Capital"/>
      <sheetName val="Travel"/>
      <sheetName val="Participant Support Costs"/>
      <sheetName val="Other Direct Charges"/>
      <sheetName val="Sub-Agreements"/>
      <sheetName val="MTDC"/>
      <sheetName val="Total"/>
    </sheetNames>
    <sheetDataSet>
      <sheetData sheetId="0"/>
      <sheetData sheetId="1"/>
      <sheetData sheetId="2">
        <row r="4">
          <cell r="A4" t="str">
            <v>Academic Staff</v>
          </cell>
        </row>
        <row r="5">
          <cell r="A5" t="str">
            <v>Ad Hoc Program Specialists</v>
          </cell>
        </row>
        <row r="6">
          <cell r="A6" t="str">
            <v>Grad Interns</v>
          </cell>
        </row>
        <row r="7">
          <cell r="A7" t="str">
            <v>Limited Term Employees</v>
          </cell>
        </row>
        <row r="8">
          <cell r="A8" t="str">
            <v>Post-Doc Fellows and/or Trainees</v>
          </cell>
        </row>
        <row r="9">
          <cell r="A9" t="str">
            <v>Pre-Doc Fellows and/or Trainees</v>
          </cell>
        </row>
        <row r="10">
          <cell r="A10" t="str">
            <v>Program Assistants</v>
          </cell>
        </row>
        <row r="11">
          <cell r="A11" t="str">
            <v>Project Assistants</v>
          </cell>
        </row>
        <row r="12">
          <cell r="A12" t="str">
            <v>Regular University Staff</v>
          </cell>
        </row>
        <row r="13">
          <cell r="A13" t="str">
            <v>Regular Faculty</v>
          </cell>
        </row>
        <row r="14">
          <cell r="A14" t="str">
            <v>Research Assistants</v>
          </cell>
        </row>
        <row r="15">
          <cell r="A15" t="str">
            <v>Research Associates</v>
          </cell>
        </row>
        <row r="16">
          <cell r="A16" t="str">
            <v>Student Hourly Employes</v>
          </cell>
        </row>
        <row r="17">
          <cell r="A17" t="str">
            <v>Teaching Assistants</v>
          </cell>
        </row>
        <row r="18">
          <cell r="A18" t="str">
            <v>Undergraduate Assistants</v>
          </cell>
        </row>
        <row r="19">
          <cell r="A19" t="str">
            <v>Undergraduate Interns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"/>
      <sheetName val="Staff"/>
      <sheetName val="PA"/>
      <sheetName val="Fringe"/>
      <sheetName val="NSF Travel"/>
      <sheetName val="DOD-DOE Travel"/>
    </sheetNames>
    <sheetDataSet>
      <sheetData sheetId="0"/>
      <sheetData sheetId="1"/>
      <sheetData sheetId="2">
        <row r="6">
          <cell r="C6">
            <v>0</v>
          </cell>
          <cell r="D6">
            <v>0</v>
          </cell>
        </row>
        <row r="9">
          <cell r="C9">
            <v>0</v>
          </cell>
          <cell r="D9">
            <v>0</v>
          </cell>
        </row>
        <row r="12">
          <cell r="C12">
            <v>0</v>
          </cell>
          <cell r="D12">
            <v>0</v>
          </cell>
        </row>
        <row r="15">
          <cell r="C15">
            <v>0</v>
          </cell>
          <cell r="D15">
            <v>0</v>
          </cell>
        </row>
        <row r="18">
          <cell r="C18">
            <v>0</v>
          </cell>
          <cell r="D18">
            <v>0</v>
          </cell>
        </row>
      </sheetData>
      <sheetData sheetId="3">
        <row r="5">
          <cell r="C5">
            <v>0.38500000000000001</v>
          </cell>
          <cell r="D5">
            <v>0.39500000000000002</v>
          </cell>
          <cell r="E5">
            <v>0.40500000000000003</v>
          </cell>
          <cell r="F5">
            <v>0.41500000000000004</v>
          </cell>
          <cell r="G5">
            <v>0.42500000000000004</v>
          </cell>
        </row>
        <row r="6">
          <cell r="C6">
            <v>0.218</v>
          </cell>
          <cell r="D6">
            <v>0.22800000000000001</v>
          </cell>
          <cell r="E6">
            <v>0.23800000000000002</v>
          </cell>
          <cell r="F6">
            <v>0.24800000000000003</v>
          </cell>
          <cell r="G6">
            <v>0.25800000000000001</v>
          </cell>
        </row>
        <row r="7">
          <cell r="C7">
            <v>0.245</v>
          </cell>
          <cell r="D7">
            <v>0.255</v>
          </cell>
          <cell r="E7">
            <v>0.26500000000000001</v>
          </cell>
          <cell r="F7">
            <v>0.27500000000000002</v>
          </cell>
          <cell r="G7">
            <v>0.28500000000000003</v>
          </cell>
        </row>
        <row r="8">
          <cell r="C8">
            <v>0.39800000000000002</v>
          </cell>
        </row>
        <row r="9">
          <cell r="C9">
            <v>3.5000000000000003E-2</v>
          </cell>
          <cell r="D9">
            <v>4.5000000000000005E-2</v>
          </cell>
          <cell r="E9">
            <v>5.5000000000000007E-2</v>
          </cell>
          <cell r="F9">
            <v>6.5000000000000002E-2</v>
          </cell>
          <cell r="G9">
            <v>7.4999999999999997E-2</v>
          </cell>
        </row>
        <row r="10">
          <cell r="C10">
            <v>8.7999999999999995E-2</v>
          </cell>
          <cell r="D10">
            <v>9.799999999999999E-2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45"/>
  <sheetViews>
    <sheetView topLeftCell="A20" zoomScale="80" zoomScaleNormal="80" workbookViewId="0">
      <selection activeCell="Q36" sqref="Q36"/>
    </sheetView>
  </sheetViews>
  <sheetFormatPr defaultColWidth="11" defaultRowHeight="14.25" x14ac:dyDescent="0.2"/>
  <cols>
    <col min="1" max="1" width="11" style="2"/>
    <col min="2" max="2" width="25" style="2" customWidth="1"/>
    <col min="3" max="3" width="8.7109375" style="2" customWidth="1"/>
    <col min="4" max="4" width="6.85546875" style="2" customWidth="1"/>
    <col min="5" max="5" width="8.7109375" style="2" customWidth="1"/>
    <col min="6" max="6" width="8.140625" style="2" customWidth="1"/>
    <col min="7" max="7" width="11.42578125" style="2" customWidth="1"/>
    <col min="8" max="8" width="14.7109375" style="2" bestFit="1" customWidth="1"/>
    <col min="9" max="9" width="15.140625" style="2" customWidth="1"/>
    <col min="10" max="11" width="14.42578125" style="2" customWidth="1"/>
    <col min="12" max="12" width="14.5703125" style="2" customWidth="1"/>
    <col min="13" max="13" width="3.42578125" style="2" customWidth="1"/>
    <col min="14" max="14" width="14.42578125" style="2" customWidth="1"/>
    <col min="15" max="15" width="3" style="2" customWidth="1"/>
    <col min="16" max="16" width="11" style="2"/>
    <col min="17" max="17" width="25.28515625" style="2" customWidth="1"/>
    <col min="18" max="19" width="11" style="2"/>
    <col min="20" max="20" width="12.42578125" style="69" customWidth="1"/>
    <col min="21" max="16384" width="11" style="2"/>
  </cols>
  <sheetData>
    <row r="1" spans="1:22" ht="15.75" x14ac:dyDescent="0.25">
      <c r="A1" s="38" t="s">
        <v>0</v>
      </c>
      <c r="B1" s="156" t="s">
        <v>220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  <c r="N1" s="22">
        <f ca="1">TODAY()</f>
        <v>45909</v>
      </c>
      <c r="O1" s="22"/>
      <c r="P1" s="3"/>
    </row>
    <row r="2" spans="1:22" ht="18.75" x14ac:dyDescent="0.3">
      <c r="A2" s="38" t="s">
        <v>2</v>
      </c>
      <c r="B2" s="7"/>
      <c r="C2" s="7"/>
      <c r="D2" s="2" t="s">
        <v>221</v>
      </c>
      <c r="E2" s="7"/>
      <c r="F2" s="7"/>
      <c r="G2" s="7"/>
      <c r="H2" s="46"/>
      <c r="I2" s="6"/>
      <c r="J2" s="6"/>
      <c r="K2" s="6"/>
      <c r="L2" s="6"/>
      <c r="M2" s="6"/>
      <c r="N2" s="6"/>
      <c r="O2" s="6"/>
      <c r="P2" s="3"/>
      <c r="Q2" s="168" t="s">
        <v>218</v>
      </c>
      <c r="R2" s="2">
        <v>2025</v>
      </c>
      <c r="S2" s="2" t="s">
        <v>219</v>
      </c>
    </row>
    <row r="3" spans="1:22" ht="15" x14ac:dyDescent="0.2">
      <c r="A3" s="6"/>
      <c r="B3" s="6"/>
      <c r="C3" s="6"/>
      <c r="D3" s="7"/>
      <c r="E3" s="7"/>
      <c r="F3" s="7"/>
      <c r="G3" s="7"/>
      <c r="H3" s="6" t="s">
        <v>102</v>
      </c>
      <c r="I3" s="6" t="s">
        <v>104</v>
      </c>
      <c r="J3" s="6" t="s">
        <v>133</v>
      </c>
      <c r="K3" s="6" t="s">
        <v>138</v>
      </c>
      <c r="L3" s="6" t="s">
        <v>197</v>
      </c>
      <c r="M3" s="6"/>
      <c r="N3" s="6"/>
      <c r="O3" s="6"/>
      <c r="P3" s="3"/>
    </row>
    <row r="4" spans="1:22" ht="15" x14ac:dyDescent="0.2">
      <c r="A4" s="5" t="s">
        <v>3</v>
      </c>
      <c r="B4" s="7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7"/>
      <c r="N4" s="9" t="s">
        <v>9</v>
      </c>
      <c r="O4" s="9"/>
      <c r="Q4" s="41">
        <v>45839</v>
      </c>
      <c r="R4" s="2" t="s">
        <v>95</v>
      </c>
      <c r="S4" s="2" t="s">
        <v>194</v>
      </c>
      <c r="T4" s="69" t="s">
        <v>195</v>
      </c>
    </row>
    <row r="5" spans="1:22" ht="15.75" x14ac:dyDescent="0.25">
      <c r="A5" s="87" t="s">
        <v>10</v>
      </c>
      <c r="B5" s="8" t="s">
        <v>221</v>
      </c>
      <c r="C5" s="161"/>
      <c r="D5" s="61"/>
      <c r="E5" s="61"/>
      <c r="F5" s="61"/>
      <c r="G5" s="61"/>
      <c r="H5" s="17">
        <f t="shared" ref="H5:H19" si="0">ROUND(Q5/9,0)*C5</f>
        <v>0</v>
      </c>
      <c r="I5" s="17">
        <f t="shared" ref="I5:I19" si="1">ROUND((Q5*1.03)/9,0)*D5</f>
        <v>0</v>
      </c>
      <c r="J5" s="17">
        <f t="shared" ref="J5:J19" si="2">ROUND((Q5*1.03*1.03)/9,0)*E5</f>
        <v>0</v>
      </c>
      <c r="K5" s="17">
        <f t="shared" ref="K5:K19" si="3">ROUND((Q5*1.03*1.03*1.03)/9,0)*F5</f>
        <v>0</v>
      </c>
      <c r="L5" s="17">
        <f t="shared" ref="L5:L19" si="4">ROUND((Q5*1.03*1.03*1.03*1.03)/9,0)*G5</f>
        <v>0</v>
      </c>
      <c r="M5" s="17"/>
      <c r="N5" s="18">
        <f t="shared" ref="N5:N20" si="5">SUM(H5:L5)</f>
        <v>0</v>
      </c>
      <c r="O5" s="18"/>
      <c r="P5" s="39"/>
      <c r="Q5" s="98">
        <v>138763</v>
      </c>
      <c r="R5" s="98">
        <v>0</v>
      </c>
      <c r="S5" s="2">
        <f>Q5/9*12</f>
        <v>185017.33333333334</v>
      </c>
      <c r="T5" s="69">
        <f>S5/12</f>
        <v>15418.111111111111</v>
      </c>
      <c r="V5" s="100"/>
    </row>
    <row r="6" spans="1:22" ht="15" x14ac:dyDescent="0.2">
      <c r="A6" s="87" t="s">
        <v>11</v>
      </c>
      <c r="B6" s="8"/>
      <c r="C6" s="61"/>
      <c r="D6" s="161"/>
      <c r="E6" s="61"/>
      <c r="F6" s="61"/>
      <c r="G6" s="61"/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  <c r="L6" s="17">
        <f t="shared" si="4"/>
        <v>0</v>
      </c>
      <c r="M6" s="17"/>
      <c r="N6" s="18">
        <f t="shared" si="5"/>
        <v>0</v>
      </c>
      <c r="O6" s="18"/>
      <c r="P6" s="35"/>
      <c r="Q6" s="2">
        <f t="shared" ref="Q6:Q10" si="6">R6*1.03</f>
        <v>0</v>
      </c>
      <c r="R6" s="98">
        <v>0</v>
      </c>
      <c r="S6" s="2">
        <f t="shared" ref="S6:S9" si="7">Q6/9*12</f>
        <v>0</v>
      </c>
      <c r="T6" s="69">
        <f t="shared" ref="T6:T9" si="8">S6/12</f>
        <v>0</v>
      </c>
    </row>
    <row r="7" spans="1:22" ht="15" x14ac:dyDescent="0.2">
      <c r="A7" s="87" t="s">
        <v>12</v>
      </c>
      <c r="B7" s="8"/>
      <c r="C7" s="61"/>
      <c r="D7" s="61"/>
      <c r="E7" s="61"/>
      <c r="F7" s="61"/>
      <c r="G7" s="61"/>
      <c r="H7" s="17">
        <f t="shared" si="0"/>
        <v>0</v>
      </c>
      <c r="I7" s="17">
        <f t="shared" si="1"/>
        <v>0</v>
      </c>
      <c r="J7" s="17">
        <f t="shared" si="2"/>
        <v>0</v>
      </c>
      <c r="K7" s="17">
        <f t="shared" si="3"/>
        <v>0</v>
      </c>
      <c r="L7" s="17">
        <f t="shared" si="4"/>
        <v>0</v>
      </c>
      <c r="M7" s="17"/>
      <c r="N7" s="18">
        <f t="shared" si="5"/>
        <v>0</v>
      </c>
      <c r="O7" s="18"/>
      <c r="Q7" s="2">
        <f t="shared" si="6"/>
        <v>0</v>
      </c>
      <c r="R7" s="98">
        <v>0</v>
      </c>
      <c r="S7" s="2">
        <f t="shared" si="7"/>
        <v>0</v>
      </c>
      <c r="T7" s="69">
        <f t="shared" si="8"/>
        <v>0</v>
      </c>
    </row>
    <row r="8" spans="1:22" ht="15" x14ac:dyDescent="0.2">
      <c r="A8" s="87" t="s">
        <v>13</v>
      </c>
      <c r="B8" s="8"/>
      <c r="C8" s="61"/>
      <c r="D8" s="61"/>
      <c r="E8" s="61"/>
      <c r="F8" s="61"/>
      <c r="G8" s="61"/>
      <c r="H8" s="17">
        <f t="shared" si="0"/>
        <v>0</v>
      </c>
      <c r="I8" s="17">
        <f t="shared" si="1"/>
        <v>0</v>
      </c>
      <c r="J8" s="17">
        <f t="shared" si="2"/>
        <v>0</v>
      </c>
      <c r="K8" s="17">
        <f t="shared" si="3"/>
        <v>0</v>
      </c>
      <c r="L8" s="17">
        <f t="shared" si="4"/>
        <v>0</v>
      </c>
      <c r="M8" s="17"/>
      <c r="N8" s="18">
        <f t="shared" si="5"/>
        <v>0</v>
      </c>
      <c r="O8" s="18"/>
      <c r="Q8" s="2">
        <f t="shared" si="6"/>
        <v>0</v>
      </c>
      <c r="R8" s="98">
        <v>0</v>
      </c>
      <c r="S8" s="2">
        <f t="shared" si="7"/>
        <v>0</v>
      </c>
      <c r="T8" s="69">
        <f t="shared" si="8"/>
        <v>0</v>
      </c>
      <c r="U8" s="2" t="s">
        <v>99</v>
      </c>
    </row>
    <row r="9" spans="1:22" ht="15" x14ac:dyDescent="0.2">
      <c r="A9" s="87" t="s">
        <v>14</v>
      </c>
      <c r="B9" s="8" t="s">
        <v>1</v>
      </c>
      <c r="C9" s="61"/>
      <c r="D9" s="61"/>
      <c r="E9" s="61"/>
      <c r="F9" s="61"/>
      <c r="G9" s="61"/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7">
        <f t="shared" si="4"/>
        <v>0</v>
      </c>
      <c r="M9" s="47"/>
      <c r="N9" s="48">
        <f t="shared" si="5"/>
        <v>0</v>
      </c>
      <c r="O9" s="48"/>
      <c r="Q9" s="2">
        <f t="shared" si="6"/>
        <v>0</v>
      </c>
      <c r="R9" s="98">
        <v>0</v>
      </c>
      <c r="S9" s="2">
        <f t="shared" si="7"/>
        <v>0</v>
      </c>
      <c r="T9" s="69">
        <f t="shared" si="8"/>
        <v>0</v>
      </c>
    </row>
    <row r="10" spans="1:22" ht="15" x14ac:dyDescent="0.2">
      <c r="A10" s="87" t="s">
        <v>15</v>
      </c>
      <c r="B10" s="8"/>
      <c r="C10" s="61"/>
      <c r="D10" s="61"/>
      <c r="E10" s="61"/>
      <c r="F10" s="61"/>
      <c r="G10" s="61"/>
      <c r="H10" s="17">
        <f t="shared" si="0"/>
        <v>0</v>
      </c>
      <c r="I10" s="17">
        <f t="shared" si="1"/>
        <v>0</v>
      </c>
      <c r="J10" s="17">
        <f t="shared" si="2"/>
        <v>0</v>
      </c>
      <c r="K10" s="17">
        <f t="shared" si="3"/>
        <v>0</v>
      </c>
      <c r="L10" s="17">
        <f t="shared" si="4"/>
        <v>0</v>
      </c>
      <c r="M10" s="47"/>
      <c r="N10" s="48">
        <f t="shared" si="5"/>
        <v>0</v>
      </c>
      <c r="O10" s="48"/>
      <c r="Q10" s="2">
        <f t="shared" si="6"/>
        <v>0</v>
      </c>
    </row>
    <row r="11" spans="1:22" ht="15" hidden="1" x14ac:dyDescent="0.2">
      <c r="A11" s="87" t="s">
        <v>124</v>
      </c>
      <c r="B11" s="8"/>
      <c r="C11" s="61"/>
      <c r="D11" s="61"/>
      <c r="E11" s="61"/>
      <c r="F11" s="61"/>
      <c r="G11" s="61"/>
      <c r="H11" s="17">
        <f t="shared" si="0"/>
        <v>0</v>
      </c>
      <c r="I11" s="17">
        <f t="shared" si="1"/>
        <v>0</v>
      </c>
      <c r="J11" s="17">
        <f t="shared" si="2"/>
        <v>0</v>
      </c>
      <c r="K11" s="17">
        <f t="shared" si="3"/>
        <v>0</v>
      </c>
      <c r="L11" s="17">
        <f t="shared" si="4"/>
        <v>0</v>
      </c>
      <c r="M11" s="47"/>
      <c r="N11" s="48">
        <f t="shared" si="5"/>
        <v>0</v>
      </c>
      <c r="O11" s="48"/>
      <c r="Q11" s="2">
        <f t="shared" ref="Q11:Q19" si="9">R11*1.03</f>
        <v>0</v>
      </c>
    </row>
    <row r="12" spans="1:22" ht="15" hidden="1" x14ac:dyDescent="0.2">
      <c r="A12" s="87" t="s">
        <v>125</v>
      </c>
      <c r="B12" s="8"/>
      <c r="C12" s="61"/>
      <c r="D12" s="61"/>
      <c r="E12" s="61"/>
      <c r="F12" s="61"/>
      <c r="G12" s="61"/>
      <c r="H12" s="17">
        <f t="shared" si="0"/>
        <v>0</v>
      </c>
      <c r="I12" s="17">
        <f t="shared" si="1"/>
        <v>0</v>
      </c>
      <c r="J12" s="17">
        <f t="shared" si="2"/>
        <v>0</v>
      </c>
      <c r="K12" s="17">
        <f t="shared" si="3"/>
        <v>0</v>
      </c>
      <c r="L12" s="17">
        <f t="shared" si="4"/>
        <v>0</v>
      </c>
      <c r="M12" s="47"/>
      <c r="N12" s="48">
        <f t="shared" si="5"/>
        <v>0</v>
      </c>
      <c r="O12" s="48"/>
      <c r="Q12" s="2">
        <f t="shared" si="9"/>
        <v>0</v>
      </c>
    </row>
    <row r="13" spans="1:22" ht="15" hidden="1" x14ac:dyDescent="0.2">
      <c r="A13" s="87" t="s">
        <v>126</v>
      </c>
      <c r="B13" s="8"/>
      <c r="C13" s="61"/>
      <c r="D13" s="61"/>
      <c r="E13" s="61"/>
      <c r="F13" s="61"/>
      <c r="G13" s="61"/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  <c r="L13" s="17">
        <f t="shared" si="4"/>
        <v>0</v>
      </c>
      <c r="M13" s="47"/>
      <c r="N13" s="48">
        <f t="shared" si="5"/>
        <v>0</v>
      </c>
      <c r="O13" s="48"/>
      <c r="Q13" s="2">
        <f t="shared" si="9"/>
        <v>0</v>
      </c>
    </row>
    <row r="14" spans="1:22" ht="15" hidden="1" x14ac:dyDescent="0.2">
      <c r="A14" s="87" t="s">
        <v>127</v>
      </c>
      <c r="B14" s="8"/>
      <c r="C14" s="61"/>
      <c r="D14" s="61"/>
      <c r="E14" s="61"/>
      <c r="F14" s="61"/>
      <c r="G14" s="61"/>
      <c r="H14" s="17">
        <f t="shared" si="0"/>
        <v>0</v>
      </c>
      <c r="I14" s="17">
        <f t="shared" si="1"/>
        <v>0</v>
      </c>
      <c r="J14" s="17">
        <f t="shared" si="2"/>
        <v>0</v>
      </c>
      <c r="K14" s="17">
        <f t="shared" si="3"/>
        <v>0</v>
      </c>
      <c r="L14" s="17">
        <f t="shared" si="4"/>
        <v>0</v>
      </c>
      <c r="M14" s="47"/>
      <c r="N14" s="48">
        <f t="shared" si="5"/>
        <v>0</v>
      </c>
      <c r="O14" s="48"/>
      <c r="Q14" s="2">
        <f t="shared" si="9"/>
        <v>0</v>
      </c>
    </row>
    <row r="15" spans="1:22" ht="15" hidden="1" x14ac:dyDescent="0.2">
      <c r="A15" s="87" t="s">
        <v>128</v>
      </c>
      <c r="B15" s="8"/>
      <c r="C15" s="61"/>
      <c r="D15" s="61"/>
      <c r="E15" s="61"/>
      <c r="F15" s="61"/>
      <c r="G15" s="61"/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  <c r="L15" s="17">
        <f t="shared" si="4"/>
        <v>0</v>
      </c>
      <c r="M15" s="47"/>
      <c r="N15" s="48">
        <f t="shared" si="5"/>
        <v>0</v>
      </c>
      <c r="O15" s="48"/>
      <c r="Q15" s="2">
        <f t="shared" si="9"/>
        <v>0</v>
      </c>
    </row>
    <row r="16" spans="1:22" ht="15" hidden="1" x14ac:dyDescent="0.2">
      <c r="A16" s="87" t="s">
        <v>129</v>
      </c>
      <c r="B16" s="8"/>
      <c r="C16" s="61"/>
      <c r="D16" s="61"/>
      <c r="E16" s="61"/>
      <c r="F16" s="61"/>
      <c r="G16" s="61"/>
      <c r="H16" s="17">
        <f t="shared" si="0"/>
        <v>0</v>
      </c>
      <c r="I16" s="17">
        <f t="shared" si="1"/>
        <v>0</v>
      </c>
      <c r="J16" s="17">
        <f t="shared" si="2"/>
        <v>0</v>
      </c>
      <c r="K16" s="17">
        <f t="shared" si="3"/>
        <v>0</v>
      </c>
      <c r="L16" s="17">
        <f t="shared" si="4"/>
        <v>0</v>
      </c>
      <c r="M16" s="47"/>
      <c r="N16" s="48">
        <f t="shared" si="5"/>
        <v>0</v>
      </c>
      <c r="O16" s="48"/>
      <c r="Q16" s="2">
        <f t="shared" si="9"/>
        <v>0</v>
      </c>
    </row>
    <row r="17" spans="1:25" ht="15" hidden="1" x14ac:dyDescent="0.2">
      <c r="A17" s="87" t="s">
        <v>130</v>
      </c>
      <c r="B17" s="8"/>
      <c r="C17" s="61"/>
      <c r="D17" s="61"/>
      <c r="E17" s="61"/>
      <c r="F17" s="61"/>
      <c r="G17" s="61"/>
      <c r="H17" s="17">
        <f t="shared" si="0"/>
        <v>0</v>
      </c>
      <c r="I17" s="17">
        <f t="shared" si="1"/>
        <v>0</v>
      </c>
      <c r="J17" s="17">
        <f t="shared" si="2"/>
        <v>0</v>
      </c>
      <c r="K17" s="17">
        <f t="shared" si="3"/>
        <v>0</v>
      </c>
      <c r="L17" s="17">
        <f t="shared" si="4"/>
        <v>0</v>
      </c>
      <c r="M17" s="47"/>
      <c r="N17" s="48">
        <f t="shared" si="5"/>
        <v>0</v>
      </c>
      <c r="O17" s="48"/>
      <c r="Q17" s="2">
        <f t="shared" si="9"/>
        <v>0</v>
      </c>
    </row>
    <row r="18" spans="1:25" ht="15" hidden="1" x14ac:dyDescent="0.2">
      <c r="A18" s="87" t="s">
        <v>131</v>
      </c>
      <c r="B18" s="8"/>
      <c r="C18" s="61"/>
      <c r="D18" s="61"/>
      <c r="E18" s="61"/>
      <c r="F18" s="61"/>
      <c r="G18" s="61"/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  <c r="L18" s="17">
        <f t="shared" si="4"/>
        <v>0</v>
      </c>
      <c r="M18" s="47"/>
      <c r="N18" s="48">
        <f t="shared" si="5"/>
        <v>0</v>
      </c>
      <c r="O18" s="48"/>
      <c r="Q18" s="2">
        <f t="shared" si="9"/>
        <v>0</v>
      </c>
    </row>
    <row r="19" spans="1:25" ht="15" hidden="1" x14ac:dyDescent="0.2">
      <c r="A19" s="87" t="s">
        <v>132</v>
      </c>
      <c r="B19" s="8"/>
      <c r="C19" s="61"/>
      <c r="D19" s="61"/>
      <c r="E19" s="61"/>
      <c r="F19" s="61"/>
      <c r="G19" s="61"/>
      <c r="H19" s="17">
        <f t="shared" si="0"/>
        <v>0</v>
      </c>
      <c r="I19" s="17">
        <f t="shared" si="1"/>
        <v>0</v>
      </c>
      <c r="J19" s="17">
        <f t="shared" si="2"/>
        <v>0</v>
      </c>
      <c r="K19" s="17">
        <f t="shared" si="3"/>
        <v>0</v>
      </c>
      <c r="L19" s="17">
        <f t="shared" si="4"/>
        <v>0</v>
      </c>
      <c r="M19" s="49"/>
      <c r="N19" s="50">
        <f t="shared" si="5"/>
        <v>0</v>
      </c>
      <c r="O19" s="48"/>
      <c r="Q19" s="2">
        <f t="shared" si="9"/>
        <v>0</v>
      </c>
    </row>
    <row r="20" spans="1:25" ht="15" x14ac:dyDescent="0.2">
      <c r="A20" s="5" t="s">
        <v>16</v>
      </c>
      <c r="B20" s="7"/>
      <c r="C20" s="7"/>
      <c r="D20" s="6">
        <v>0</v>
      </c>
      <c r="E20" s="6"/>
      <c r="F20" s="6"/>
      <c r="G20" s="6"/>
      <c r="H20" s="17">
        <f>SUM(H5:H19)</f>
        <v>0</v>
      </c>
      <c r="I20" s="17">
        <f>SUM(I5:I19)</f>
        <v>0</v>
      </c>
      <c r="J20" s="17">
        <f>SUM(J5:J19)</f>
        <v>0</v>
      </c>
      <c r="K20" s="17">
        <f>SUM(K5:K19)</f>
        <v>0</v>
      </c>
      <c r="L20" s="17">
        <f>SUM(L5:L19)</f>
        <v>0</v>
      </c>
      <c r="M20" s="19" t="s">
        <v>1</v>
      </c>
      <c r="N20" s="18">
        <f t="shared" si="5"/>
        <v>0</v>
      </c>
      <c r="O20" s="18"/>
    </row>
    <row r="21" spans="1:25" ht="15" x14ac:dyDescent="0.2">
      <c r="A21" s="5" t="s">
        <v>17</v>
      </c>
      <c r="B21" s="7"/>
      <c r="C21" s="7">
        <f>SUM(C5:C19)</f>
        <v>0</v>
      </c>
      <c r="D21" s="7">
        <f t="shared" ref="D21:G21" si="10">SUM(D5:D19)</f>
        <v>0</v>
      </c>
      <c r="E21" s="7">
        <f t="shared" si="10"/>
        <v>0</v>
      </c>
      <c r="F21" s="7">
        <f t="shared" si="10"/>
        <v>0</v>
      </c>
      <c r="G21" s="7">
        <f t="shared" si="10"/>
        <v>0</v>
      </c>
      <c r="H21" s="18"/>
      <c r="I21" s="18"/>
      <c r="J21" s="18"/>
      <c r="K21" s="18"/>
      <c r="L21" s="18"/>
      <c r="M21" s="19"/>
      <c r="N21" s="18"/>
      <c r="O21" s="18"/>
    </row>
    <row r="22" spans="1:25" ht="15" x14ac:dyDescent="0.2">
      <c r="A22" s="5"/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9"/>
      <c r="N22" s="18"/>
      <c r="O22" s="18"/>
    </row>
    <row r="23" spans="1:25" ht="15" x14ac:dyDescent="0.2">
      <c r="A23" s="5" t="s">
        <v>18</v>
      </c>
      <c r="B23" s="7"/>
      <c r="C23" s="7"/>
      <c r="D23" s="7"/>
      <c r="E23" s="7"/>
      <c r="F23" s="7"/>
      <c r="G23" s="7"/>
      <c r="H23" s="20"/>
      <c r="I23" s="19" t="s">
        <v>1</v>
      </c>
      <c r="J23" s="20"/>
      <c r="K23" s="20"/>
      <c r="L23" s="20"/>
      <c r="M23" s="20"/>
      <c r="N23" s="20"/>
      <c r="O23" s="20"/>
      <c r="Q23" s="2" t="s">
        <v>19</v>
      </c>
    </row>
    <row r="24" spans="1:25" ht="15" x14ac:dyDescent="0.2">
      <c r="A24" s="45" t="s">
        <v>20</v>
      </c>
      <c r="B24" s="42" t="s">
        <v>21</v>
      </c>
      <c r="C24" s="7"/>
      <c r="D24" s="7"/>
      <c r="E24" s="7"/>
      <c r="F24" s="7"/>
      <c r="G24" s="7"/>
      <c r="H24" s="17">
        <v>0</v>
      </c>
      <c r="I24" s="17">
        <f t="shared" ref="I24:L25" si="11">ROUND(H24*1.03,0)</f>
        <v>0</v>
      </c>
      <c r="J24" s="17">
        <f t="shared" si="11"/>
        <v>0</v>
      </c>
      <c r="K24" s="17">
        <f t="shared" si="11"/>
        <v>0</v>
      </c>
      <c r="L24" s="17">
        <f t="shared" si="11"/>
        <v>0</v>
      </c>
      <c r="M24" s="17"/>
      <c r="N24" s="18">
        <f t="shared" ref="N24:N30" si="12">SUM(H24:L24)</f>
        <v>0</v>
      </c>
      <c r="O24" s="18"/>
      <c r="P24" s="24"/>
      <c r="Q24" s="32" t="s">
        <v>22</v>
      </c>
      <c r="R24" s="32" t="s">
        <v>105</v>
      </c>
      <c r="S24" s="33" t="s">
        <v>23</v>
      </c>
      <c r="T24" s="68"/>
    </row>
    <row r="25" spans="1:25" ht="15.75" x14ac:dyDescent="0.25">
      <c r="A25" s="10" t="s">
        <v>11</v>
      </c>
      <c r="B25" s="42" t="s">
        <v>24</v>
      </c>
      <c r="C25" s="43"/>
      <c r="D25" s="7"/>
      <c r="E25" s="7"/>
      <c r="F25" s="7"/>
      <c r="G25" s="7" t="s">
        <v>1</v>
      </c>
      <c r="H25" s="17">
        <v>0</v>
      </c>
      <c r="I25" s="17">
        <f t="shared" si="11"/>
        <v>0</v>
      </c>
      <c r="J25" s="17">
        <f t="shared" si="11"/>
        <v>0</v>
      </c>
      <c r="K25" s="17">
        <f t="shared" si="11"/>
        <v>0</v>
      </c>
      <c r="L25" s="17">
        <f t="shared" si="11"/>
        <v>0</v>
      </c>
      <c r="M25" s="17"/>
      <c r="N25" s="18">
        <f t="shared" si="12"/>
        <v>0</v>
      </c>
      <c r="O25" s="18"/>
      <c r="P25" s="24"/>
      <c r="Q25" s="25"/>
      <c r="R25" s="34"/>
      <c r="S25" s="26"/>
      <c r="T25" s="70"/>
      <c r="U25" s="2" t="s">
        <v>196</v>
      </c>
      <c r="X25" s="28"/>
      <c r="Y25" s="60"/>
    </row>
    <row r="26" spans="1:25" ht="15" x14ac:dyDescent="0.2">
      <c r="A26" s="10" t="s">
        <v>12</v>
      </c>
      <c r="B26" s="42" t="s">
        <v>26</v>
      </c>
      <c r="C26" s="44"/>
      <c r="D26" s="7"/>
      <c r="E26" s="21" t="s">
        <v>1</v>
      </c>
      <c r="F26" s="21" t="s">
        <v>1</v>
      </c>
      <c r="G26" s="12" t="s">
        <v>1</v>
      </c>
      <c r="H26" s="17">
        <f>ROUND(S32+PA!D6,0)</f>
        <v>32282</v>
      </c>
      <c r="I26" s="17">
        <f>ROUND(S40+PA!D9,0)</f>
        <v>35797</v>
      </c>
      <c r="J26" s="17">
        <f>ROUND(S48+PA!D12,0)</f>
        <v>37586</v>
      </c>
      <c r="K26" s="17">
        <f>ROUND(S56+PA!D15,0)</f>
        <v>0</v>
      </c>
      <c r="L26" s="17">
        <f>ROUND(S64+PA!D18,0)</f>
        <v>0</v>
      </c>
      <c r="M26" s="17"/>
      <c r="N26" s="18">
        <f t="shared" si="12"/>
        <v>105665</v>
      </c>
      <c r="O26" s="18"/>
      <c r="P26" s="27" t="s">
        <v>25</v>
      </c>
      <c r="Q26" s="2">
        <v>0</v>
      </c>
      <c r="R26" s="28" t="s">
        <v>96</v>
      </c>
      <c r="S26" s="29">
        <f>ROUND(Q26*T26,0)</f>
        <v>0</v>
      </c>
      <c r="T26" s="88">
        <v>30482</v>
      </c>
      <c r="U26" s="2" t="s">
        <v>100</v>
      </c>
      <c r="X26" s="28"/>
      <c r="Y26" s="60"/>
    </row>
    <row r="27" spans="1:25" ht="15.75" x14ac:dyDescent="0.25">
      <c r="A27" s="10" t="s">
        <v>13</v>
      </c>
      <c r="B27" s="42" t="s">
        <v>27</v>
      </c>
      <c r="C27" s="43"/>
      <c r="D27" s="7" t="s">
        <v>1</v>
      </c>
      <c r="E27" s="7"/>
      <c r="F27" s="7" t="s">
        <v>1</v>
      </c>
      <c r="G27" s="7"/>
      <c r="H27" s="47">
        <v>0</v>
      </c>
      <c r="I27" s="17">
        <f t="shared" ref="I27:L29" si="13">ROUND(H27*1.03,0)</f>
        <v>0</v>
      </c>
      <c r="J27" s="17">
        <f t="shared" si="13"/>
        <v>0</v>
      </c>
      <c r="K27" s="17">
        <f t="shared" si="13"/>
        <v>0</v>
      </c>
      <c r="L27" s="17">
        <f t="shared" si="13"/>
        <v>0</v>
      </c>
      <c r="M27" s="47"/>
      <c r="N27" s="48">
        <f t="shared" si="12"/>
        <v>0</v>
      </c>
      <c r="O27" s="51"/>
      <c r="P27" s="27"/>
      <c r="Q27" s="2">
        <v>1</v>
      </c>
      <c r="R27" s="28" t="s">
        <v>97</v>
      </c>
      <c r="S27" s="29">
        <f>ROUND(Q27*T27,0)</f>
        <v>32282</v>
      </c>
      <c r="T27" s="88">
        <v>32282</v>
      </c>
      <c r="U27" s="2" t="s">
        <v>103</v>
      </c>
      <c r="X27" s="28"/>
      <c r="Y27" s="60"/>
    </row>
    <row r="28" spans="1:25" ht="15.75" x14ac:dyDescent="0.25">
      <c r="A28" s="10" t="s">
        <v>14</v>
      </c>
      <c r="B28" s="42" t="s">
        <v>28</v>
      </c>
      <c r="C28" s="43"/>
      <c r="D28" s="7">
        <v>0</v>
      </c>
      <c r="E28" s="7"/>
      <c r="F28" s="7"/>
      <c r="G28" s="7" t="s">
        <v>1</v>
      </c>
      <c r="H28" s="47">
        <v>0</v>
      </c>
      <c r="I28" s="17">
        <f t="shared" si="13"/>
        <v>0</v>
      </c>
      <c r="J28" s="17">
        <f t="shared" si="13"/>
        <v>0</v>
      </c>
      <c r="K28" s="17">
        <f t="shared" si="13"/>
        <v>0</v>
      </c>
      <c r="L28" s="17">
        <f t="shared" si="13"/>
        <v>0</v>
      </c>
      <c r="M28" s="47"/>
      <c r="N28" s="48">
        <f t="shared" si="12"/>
        <v>0</v>
      </c>
      <c r="O28" s="51"/>
      <c r="P28" s="27"/>
      <c r="Q28" s="2">
        <v>0</v>
      </c>
      <c r="R28" s="28" t="s">
        <v>98</v>
      </c>
      <c r="S28" s="29">
        <f>ROUND(Q28*T28,0)</f>
        <v>0</v>
      </c>
      <c r="T28" s="88">
        <v>34092</v>
      </c>
      <c r="U28" s="2" t="s">
        <v>101</v>
      </c>
      <c r="V28" s="101" t="s">
        <v>143</v>
      </c>
      <c r="W28" s="101" t="s">
        <v>144</v>
      </c>
      <c r="X28" s="28"/>
      <c r="Y28" s="60"/>
    </row>
    <row r="29" spans="1:25" ht="15.75" x14ac:dyDescent="0.25">
      <c r="A29" s="10">
        <v>6</v>
      </c>
      <c r="B29" s="42" t="s">
        <v>29</v>
      </c>
      <c r="C29" s="43"/>
      <c r="D29" s="7"/>
      <c r="E29" s="7"/>
      <c r="F29" s="7"/>
      <c r="G29" s="7"/>
      <c r="H29" s="49">
        <v>0</v>
      </c>
      <c r="I29" s="49">
        <f t="shared" si="13"/>
        <v>0</v>
      </c>
      <c r="J29" s="49">
        <f t="shared" si="13"/>
        <v>0</v>
      </c>
      <c r="K29" s="49">
        <f t="shared" si="13"/>
        <v>0</v>
      </c>
      <c r="L29" s="49">
        <f t="shared" si="13"/>
        <v>0</v>
      </c>
      <c r="M29" s="49"/>
      <c r="N29" s="50">
        <f t="shared" si="12"/>
        <v>0</v>
      </c>
      <c r="O29" s="51"/>
      <c r="P29" s="27" t="s">
        <v>30</v>
      </c>
      <c r="Q29" s="2">
        <v>0</v>
      </c>
      <c r="R29" s="99" t="s">
        <v>96</v>
      </c>
      <c r="S29" s="29">
        <f t="shared" ref="S29:S30" si="14">ROUND(Q29*(T29/9)*3,0)</f>
        <v>0</v>
      </c>
      <c r="T29" s="88">
        <f>T26</f>
        <v>30482</v>
      </c>
      <c r="U29" s="2" t="s">
        <v>96</v>
      </c>
      <c r="V29" s="72">
        <f>(T26/9)*12</f>
        <v>40642.666666666664</v>
      </c>
      <c r="W29" s="72">
        <f>V29/12</f>
        <v>3386.8888888888887</v>
      </c>
      <c r="Y29" s="60"/>
    </row>
    <row r="30" spans="1:25" ht="15" x14ac:dyDescent="0.2">
      <c r="A30" s="5" t="s">
        <v>31</v>
      </c>
      <c r="B30" s="7"/>
      <c r="C30" s="7"/>
      <c r="D30" s="7"/>
      <c r="E30" s="7"/>
      <c r="F30" s="7"/>
      <c r="G30" s="7"/>
      <c r="H30" s="18">
        <f>((+H20+H24+H25+H26+H27+H28+H29))</f>
        <v>32282</v>
      </c>
      <c r="I30" s="18">
        <f>((+I20+I24+I25+I26+I27+I28+I29))</f>
        <v>35797</v>
      </c>
      <c r="J30" s="18">
        <f>((+J20+J24+J25+J26+J27+J28+J29))</f>
        <v>37586</v>
      </c>
      <c r="K30" s="18">
        <f>((+K20+K24+K25+K26+K27+K28+K29))</f>
        <v>0</v>
      </c>
      <c r="L30" s="18">
        <f>((+L20+L24+L25+L26+L27+L28+L29))</f>
        <v>0</v>
      </c>
      <c r="M30" s="20"/>
      <c r="N30" s="18">
        <f t="shared" si="12"/>
        <v>105665</v>
      </c>
      <c r="O30" s="51"/>
      <c r="P30" s="27"/>
      <c r="Q30" s="2">
        <v>0</v>
      </c>
      <c r="R30" s="99" t="s">
        <v>97</v>
      </c>
      <c r="S30" s="29">
        <f t="shared" si="14"/>
        <v>0</v>
      </c>
      <c r="T30" s="88">
        <f>T27</f>
        <v>32282</v>
      </c>
      <c r="U30" s="2" t="s">
        <v>97</v>
      </c>
      <c r="V30" s="72">
        <f t="shared" ref="V30:V31" si="15">(T27/9)*12</f>
        <v>43042.666666666664</v>
      </c>
      <c r="W30" s="72">
        <f t="shared" ref="W30:W31" si="16">V30/12</f>
        <v>3586.8888888888887</v>
      </c>
    </row>
    <row r="31" spans="1:25" ht="15" x14ac:dyDescent="0.2">
      <c r="A31" s="7"/>
      <c r="B31" s="7"/>
      <c r="C31" s="7"/>
      <c r="D31" s="7"/>
      <c r="E31" s="7"/>
      <c r="F31" s="7"/>
      <c r="G31" s="7"/>
      <c r="H31" s="20"/>
      <c r="I31" s="20"/>
      <c r="J31" s="20"/>
      <c r="K31" s="20"/>
      <c r="L31" s="20"/>
      <c r="M31" s="20"/>
      <c r="N31" s="20"/>
      <c r="O31" s="54"/>
      <c r="P31" s="27"/>
      <c r="Q31" s="2">
        <v>0</v>
      </c>
      <c r="R31" s="99" t="s">
        <v>98</v>
      </c>
      <c r="S31" s="29">
        <f>ROUND(Q31*(T31/9)*3,0)</f>
        <v>0</v>
      </c>
      <c r="T31" s="88">
        <f>T28</f>
        <v>34092</v>
      </c>
      <c r="U31" s="2" t="s">
        <v>98</v>
      </c>
      <c r="V31" s="72">
        <f t="shared" si="15"/>
        <v>45456</v>
      </c>
      <c r="W31" s="72">
        <f t="shared" si="16"/>
        <v>3788</v>
      </c>
    </row>
    <row r="32" spans="1:25" ht="15" x14ac:dyDescent="0.2">
      <c r="A32" s="5" t="s">
        <v>33</v>
      </c>
      <c r="B32" s="7"/>
      <c r="C32" s="7"/>
      <c r="D32" s="7"/>
      <c r="E32" s="7"/>
      <c r="F32" s="7"/>
      <c r="G32" s="7"/>
      <c r="H32" s="20"/>
      <c r="I32" s="20"/>
      <c r="J32" s="20"/>
      <c r="K32" s="20"/>
      <c r="L32" s="20"/>
      <c r="M32" s="20"/>
      <c r="N32" s="20"/>
      <c r="O32" s="54"/>
      <c r="P32" s="27"/>
      <c r="Q32" s="58">
        <f>SUM(Q26:Q28)</f>
        <v>1</v>
      </c>
      <c r="S32" s="59">
        <f>SUM(S26:S31)</f>
        <v>32282</v>
      </c>
      <c r="T32" s="71"/>
    </row>
    <row r="33" spans="1:23" ht="15" x14ac:dyDescent="0.2">
      <c r="A33" s="11">
        <f>Fringe!C5</f>
        <v>0.35299999999999998</v>
      </c>
      <c r="B33" s="5" t="s">
        <v>34</v>
      </c>
      <c r="C33" s="11">
        <f>Fringe!C6</f>
        <v>0.19900000000000001</v>
      </c>
      <c r="D33" s="5" t="s">
        <v>35</v>
      </c>
      <c r="E33" s="5"/>
      <c r="F33" s="11">
        <f>Fringe!C9</f>
        <v>4.2000000000000003E-2</v>
      </c>
      <c r="G33" s="5" t="s">
        <v>36</v>
      </c>
      <c r="H33" s="52"/>
      <c r="I33" s="53"/>
      <c r="J33" s="53"/>
      <c r="K33" s="53"/>
      <c r="L33" s="53"/>
      <c r="M33" s="53"/>
      <c r="N33" s="53"/>
      <c r="O33" s="54"/>
      <c r="P33" s="27"/>
      <c r="R33" s="28"/>
      <c r="S33" s="29"/>
      <c r="T33" s="68"/>
    </row>
    <row r="34" spans="1:23" ht="15" x14ac:dyDescent="0.2">
      <c r="A34" s="11">
        <f>Fringe!C7</f>
        <v>0.215</v>
      </c>
      <c r="B34" s="5" t="s">
        <v>37</v>
      </c>
      <c r="C34" s="11">
        <f>Fringe!C8</f>
        <v>0.39500000000000002</v>
      </c>
      <c r="D34" s="5" t="s">
        <v>38</v>
      </c>
      <c r="E34" s="5"/>
      <c r="F34" s="64">
        <f>Fringe!C10</f>
        <v>0.17199999999999999</v>
      </c>
      <c r="G34" s="7" t="s">
        <v>92</v>
      </c>
      <c r="H34" s="50">
        <f>ROUND(Fringe!$C$5*(H20)+Fringe!$C$5*H25+Fringe!$C$6*H24+Fringe!$C$7*H26+Fringe!$C$7*H28+Fringe!$C$10*H29+Fringe!$C$9*H27,0)</f>
        <v>6941</v>
      </c>
      <c r="I34" s="50">
        <f>ROUND(Fringe!$D$5*(I20)+Fringe!$D$5*I25+Fringe!$D$6*I24+Fringe!$D$7*I26+Fringe!$D$7*I28+Fringe!$D$10*I29+Fringe!$D$9*I27,0)</f>
        <v>8054</v>
      </c>
      <c r="J34" s="50">
        <f>ROUND(Fringe!$E$5*(J20)+Fringe!$E$5*J25+Fringe!$E$6*J24+Fringe!$E$7*J26+Fringe!$E$7*J28+Fringe!$E$9*J29+Fringe!$E$9*J27,0)</f>
        <v>8833</v>
      </c>
      <c r="K34" s="50">
        <f>ROUND(Fringe!$F$5*(K20)+Fringe!$F$5*K25+Fringe!$F$6*K24+Fringe!$F$7*K26+Fringe!$F$7*K28+Fringe!$F$9*K29+Fringe!$F$9*K27,0)</f>
        <v>0</v>
      </c>
      <c r="L34" s="50">
        <f>ROUND(Fringe!$G$5*(L20)+Fringe!$G$5*L25+Fringe!$G$6*L24+Fringe!$G$7*L26+Fringe!$G$7*L28+Fringe!$G$9*L29+Fringe!$G$9*L27,0)</f>
        <v>0</v>
      </c>
      <c r="M34" s="50" t="s">
        <v>1</v>
      </c>
      <c r="N34" s="50">
        <f>SUM(H34:L34)</f>
        <v>23828</v>
      </c>
      <c r="O34" s="51"/>
      <c r="P34" s="27" t="s">
        <v>32</v>
      </c>
      <c r="Q34" s="2">
        <v>0</v>
      </c>
      <c r="R34" s="28" t="s">
        <v>96</v>
      </c>
      <c r="S34" s="29">
        <f>ROUND(Q34*T34,0)</f>
        <v>0</v>
      </c>
      <c r="T34" s="68">
        <f>T26*1.05</f>
        <v>32006.100000000002</v>
      </c>
      <c r="U34" s="2" t="s">
        <v>100</v>
      </c>
    </row>
    <row r="35" spans="1:23" ht="15" x14ac:dyDescent="0.2">
      <c r="A35" s="5" t="s">
        <v>39</v>
      </c>
      <c r="B35" s="7"/>
      <c r="C35" s="7"/>
      <c r="D35" s="7"/>
      <c r="E35" s="7"/>
      <c r="F35" s="7"/>
      <c r="G35" s="7"/>
      <c r="H35" s="18">
        <f>H34+H30</f>
        <v>39223</v>
      </c>
      <c r="I35" s="18">
        <f>I34+I30</f>
        <v>43851</v>
      </c>
      <c r="J35" s="18">
        <f>J34+J30</f>
        <v>46419</v>
      </c>
      <c r="K35" s="18">
        <f>K34+K30</f>
        <v>0</v>
      </c>
      <c r="L35" s="18">
        <f>L34+L30</f>
        <v>0</v>
      </c>
      <c r="M35" s="20"/>
      <c r="N35" s="18">
        <f t="shared" ref="N35:N41" si="17">SUM(H35:L35)</f>
        <v>129493</v>
      </c>
      <c r="O35" s="51"/>
      <c r="P35" s="27"/>
      <c r="Q35" s="2">
        <v>0</v>
      </c>
      <c r="R35" s="28" t="s">
        <v>97</v>
      </c>
      <c r="S35" s="29">
        <f>ROUND(Q35*T35,0)</f>
        <v>0</v>
      </c>
      <c r="T35" s="68">
        <f>T27*1.05</f>
        <v>33896.1</v>
      </c>
      <c r="U35" s="2" t="s">
        <v>103</v>
      </c>
    </row>
    <row r="36" spans="1:23" ht="15.75" x14ac:dyDescent="0.25">
      <c r="A36" s="5"/>
      <c r="B36" s="7"/>
      <c r="C36" s="7"/>
      <c r="D36" s="7"/>
      <c r="E36" s="7"/>
      <c r="F36" s="7"/>
      <c r="G36" s="7"/>
      <c r="H36" s="18"/>
      <c r="I36" s="18"/>
      <c r="J36" s="18"/>
      <c r="K36" s="18"/>
      <c r="L36" s="18"/>
      <c r="M36" s="20"/>
      <c r="N36" s="18"/>
      <c r="O36" s="51"/>
      <c r="P36" s="27"/>
      <c r="Q36" s="2">
        <v>1</v>
      </c>
      <c r="R36" s="28" t="s">
        <v>98</v>
      </c>
      <c r="S36" s="29">
        <f>ROUND(Q36*T36,0)</f>
        <v>35797</v>
      </c>
      <c r="T36" s="68">
        <f>T28*1.05</f>
        <v>35796.6</v>
      </c>
      <c r="U36" s="2" t="s">
        <v>101</v>
      </c>
      <c r="V36" s="101" t="s">
        <v>143</v>
      </c>
      <c r="W36" s="101" t="s">
        <v>144</v>
      </c>
    </row>
    <row r="37" spans="1:23" ht="15" x14ac:dyDescent="0.2">
      <c r="A37" s="5" t="s">
        <v>40</v>
      </c>
      <c r="B37" s="7"/>
      <c r="C37" s="7"/>
      <c r="D37" s="7"/>
      <c r="E37" s="7"/>
      <c r="F37" s="7"/>
      <c r="G37" s="7"/>
      <c r="H37" s="20"/>
      <c r="I37" s="20"/>
      <c r="J37" s="20"/>
      <c r="K37" s="20"/>
      <c r="L37" s="20"/>
      <c r="M37" s="20"/>
      <c r="N37" s="20"/>
      <c r="O37" s="54"/>
      <c r="P37" s="27" t="s">
        <v>30</v>
      </c>
      <c r="Q37" s="2">
        <v>0</v>
      </c>
      <c r="R37" s="99" t="s">
        <v>96</v>
      </c>
      <c r="S37" s="29">
        <f t="shared" ref="S37:S38" si="18">ROUND(Q37*(T37/9)*3,0)</f>
        <v>0</v>
      </c>
      <c r="T37" s="68">
        <f>T34</f>
        <v>32006.100000000002</v>
      </c>
      <c r="U37" s="2" t="s">
        <v>96</v>
      </c>
      <c r="V37" s="72">
        <f>(T34/9)*12</f>
        <v>42674.8</v>
      </c>
      <c r="W37" s="72">
        <f>V37/12</f>
        <v>3556.2333333333336</v>
      </c>
    </row>
    <row r="38" spans="1:23" ht="15" x14ac:dyDescent="0.2">
      <c r="A38" s="5" t="s">
        <v>42</v>
      </c>
      <c r="B38" s="7"/>
      <c r="C38" s="7"/>
      <c r="D38" s="7"/>
      <c r="E38" s="7"/>
      <c r="F38" s="7"/>
      <c r="G38" s="7"/>
      <c r="H38" s="17"/>
      <c r="I38" s="17">
        <v>0</v>
      </c>
      <c r="J38" s="17">
        <v>0</v>
      </c>
      <c r="K38" s="17">
        <v>0</v>
      </c>
      <c r="L38" s="17">
        <v>0</v>
      </c>
      <c r="M38" s="17"/>
      <c r="N38" s="18">
        <f t="shared" si="17"/>
        <v>0</v>
      </c>
      <c r="O38" s="51"/>
      <c r="P38" s="27"/>
      <c r="Q38" s="2">
        <v>0</v>
      </c>
      <c r="R38" s="99" t="s">
        <v>97</v>
      </c>
      <c r="S38" s="29">
        <f t="shared" si="18"/>
        <v>0</v>
      </c>
      <c r="T38" s="68">
        <f>T35</f>
        <v>33896.1</v>
      </c>
      <c r="U38" s="2" t="s">
        <v>97</v>
      </c>
      <c r="V38" s="72">
        <f>(T35/9)*12</f>
        <v>45194.799999999996</v>
      </c>
      <c r="W38" s="72">
        <f t="shared" ref="W38:W39" si="19">V38/12</f>
        <v>3766.2333333333331</v>
      </c>
    </row>
    <row r="39" spans="1:23" ht="15" x14ac:dyDescent="0.2">
      <c r="A39" s="5" t="s">
        <v>43</v>
      </c>
      <c r="B39" s="7"/>
      <c r="C39" s="7"/>
      <c r="D39" s="7"/>
      <c r="E39" s="7"/>
      <c r="F39" s="7"/>
      <c r="G39" s="7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/>
      <c r="N39" s="18">
        <f t="shared" si="17"/>
        <v>0</v>
      </c>
      <c r="O39" s="51"/>
      <c r="P39" s="27"/>
      <c r="Q39" s="2">
        <v>0</v>
      </c>
      <c r="R39" s="99" t="s">
        <v>98</v>
      </c>
      <c r="S39" s="29">
        <f>ROUND(Q39*(T39/9)*3,0)</f>
        <v>0</v>
      </c>
      <c r="T39" s="68">
        <f>T36</f>
        <v>35796.6</v>
      </c>
      <c r="U39" s="2" t="s">
        <v>98</v>
      </c>
      <c r="V39" s="72">
        <f>(T36/9)*12</f>
        <v>47728.799999999996</v>
      </c>
      <c r="W39" s="72">
        <f t="shared" si="19"/>
        <v>3977.3999999999996</v>
      </c>
    </row>
    <row r="40" spans="1:23" ht="15" x14ac:dyDescent="0.2">
      <c r="A40" s="5"/>
      <c r="B40" s="7"/>
      <c r="C40" s="7"/>
      <c r="D40" s="7"/>
      <c r="E40" s="7"/>
      <c r="F40" s="7"/>
      <c r="G40" s="7"/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/>
      <c r="N40" s="48">
        <f t="shared" si="17"/>
        <v>0</v>
      </c>
      <c r="O40" s="51"/>
      <c r="Q40" s="58">
        <f>SUM(Q34:Q36)</f>
        <v>1</v>
      </c>
      <c r="S40" s="59">
        <f>SUM(S34:S39)</f>
        <v>35797</v>
      </c>
      <c r="T40" s="71"/>
    </row>
    <row r="41" spans="1:23" ht="15" x14ac:dyDescent="0.2">
      <c r="A41" s="5"/>
      <c r="B41" s="7"/>
      <c r="C41" s="7"/>
      <c r="D41" s="7"/>
      <c r="E41" s="7"/>
      <c r="F41" s="7"/>
      <c r="G41" s="7"/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/>
      <c r="N41" s="50">
        <f t="shared" si="17"/>
        <v>0</v>
      </c>
      <c r="O41" s="51"/>
      <c r="P41" s="27"/>
      <c r="R41" s="28"/>
      <c r="S41" s="29">
        <f>S33*1.03</f>
        <v>0</v>
      </c>
      <c r="T41" s="68"/>
    </row>
    <row r="42" spans="1:23" ht="15" x14ac:dyDescent="0.2">
      <c r="A42" s="5" t="s">
        <v>44</v>
      </c>
      <c r="B42" s="7"/>
      <c r="C42" s="7"/>
      <c r="D42" s="7"/>
      <c r="E42" s="7"/>
      <c r="F42" s="7"/>
      <c r="G42" s="7"/>
      <c r="H42" s="18">
        <f>SUM(H38:H41)</f>
        <v>0</v>
      </c>
      <c r="I42" s="18">
        <f>SUM(I38:I41)</f>
        <v>0</v>
      </c>
      <c r="J42" s="18">
        <f>SUM(J38:J41)</f>
        <v>0</v>
      </c>
      <c r="K42" s="18">
        <f>SUM(K38:K41)</f>
        <v>0</v>
      </c>
      <c r="L42" s="18">
        <f>SUM(L38:L41)</f>
        <v>0</v>
      </c>
      <c r="M42" s="20"/>
      <c r="N42" s="18">
        <f>SUM(H42:L42)</f>
        <v>0</v>
      </c>
      <c r="O42" s="51"/>
      <c r="P42" s="27" t="s">
        <v>41</v>
      </c>
      <c r="Q42" s="2">
        <v>0</v>
      </c>
      <c r="R42" s="28" t="s">
        <v>96</v>
      </c>
      <c r="S42" s="29">
        <f>ROUND(Q42*T42,0)</f>
        <v>0</v>
      </c>
      <c r="T42" s="68">
        <f>T34*1.05</f>
        <v>33606.405000000006</v>
      </c>
      <c r="U42" s="2" t="s">
        <v>100</v>
      </c>
    </row>
    <row r="43" spans="1:23" ht="15" x14ac:dyDescent="0.2">
      <c r="A43" s="7"/>
      <c r="B43" s="7"/>
      <c r="C43" s="7"/>
      <c r="D43" s="7"/>
      <c r="E43" s="7"/>
      <c r="F43" s="7"/>
      <c r="G43" s="7"/>
      <c r="H43" s="17"/>
      <c r="I43" s="17"/>
      <c r="J43" s="20"/>
      <c r="K43" s="20"/>
      <c r="L43" s="20"/>
      <c r="M43" s="20"/>
      <c r="N43" s="20"/>
      <c r="O43" s="54"/>
      <c r="P43" s="27"/>
      <c r="Q43" s="2">
        <v>0</v>
      </c>
      <c r="R43" s="28" t="s">
        <v>97</v>
      </c>
      <c r="S43" s="29">
        <f>ROUND(Q43*T43,0)</f>
        <v>0</v>
      </c>
      <c r="T43" s="68">
        <f t="shared" ref="T43:T44" si="20">T35*1.05</f>
        <v>35590.904999999999</v>
      </c>
      <c r="U43" s="2" t="s">
        <v>103</v>
      </c>
    </row>
    <row r="44" spans="1:23" ht="15.75" x14ac:dyDescent="0.25">
      <c r="A44" s="5" t="s">
        <v>46</v>
      </c>
      <c r="B44" s="7"/>
      <c r="C44" s="7"/>
      <c r="D44" s="7"/>
      <c r="E44" s="7"/>
      <c r="F44" s="7"/>
      <c r="G44" s="7"/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/>
      <c r="N44" s="18">
        <f>SUM(H44:L44)</f>
        <v>0</v>
      </c>
      <c r="O44" s="51"/>
      <c r="P44" s="27"/>
      <c r="Q44" s="2">
        <v>1</v>
      </c>
      <c r="R44" s="28" t="s">
        <v>98</v>
      </c>
      <c r="S44" s="29">
        <f>ROUND(Q44*T44,0)</f>
        <v>37586</v>
      </c>
      <c r="T44" s="68">
        <f t="shared" si="20"/>
        <v>37586.43</v>
      </c>
      <c r="U44" s="2" t="s">
        <v>101</v>
      </c>
      <c r="V44" s="101" t="s">
        <v>143</v>
      </c>
      <c r="W44" s="101" t="s">
        <v>144</v>
      </c>
    </row>
    <row r="45" spans="1:23" ht="15" x14ac:dyDescent="0.2">
      <c r="A45" s="7"/>
      <c r="B45" s="5" t="s">
        <v>47</v>
      </c>
      <c r="C45" s="7"/>
      <c r="D45" s="7"/>
      <c r="E45" s="7"/>
      <c r="F45" s="7"/>
      <c r="G45" s="7"/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/>
      <c r="N45" s="50">
        <f>SUM(H45:L45)</f>
        <v>0</v>
      </c>
      <c r="O45" s="51"/>
      <c r="P45" s="27" t="s">
        <v>30</v>
      </c>
      <c r="Q45" s="2">
        <v>0</v>
      </c>
      <c r="R45" s="99" t="s">
        <v>96</v>
      </c>
      <c r="S45" s="29">
        <f t="shared" ref="S45:S46" si="21">ROUND(Q45*(T45/9)*3,0)</f>
        <v>0</v>
      </c>
      <c r="T45" s="68">
        <f>T42</f>
        <v>33606.405000000006</v>
      </c>
      <c r="U45" s="2" t="s">
        <v>96</v>
      </c>
      <c r="V45" s="72">
        <f>V37*1.05</f>
        <v>44808.540000000008</v>
      </c>
      <c r="W45" s="72">
        <f>V45/12</f>
        <v>3734.0450000000005</v>
      </c>
    </row>
    <row r="46" spans="1:23" ht="15" x14ac:dyDescent="0.2">
      <c r="A46" s="7" t="s">
        <v>48</v>
      </c>
      <c r="B46" s="5"/>
      <c r="C46" s="7"/>
      <c r="D46" s="7"/>
      <c r="E46" s="7"/>
      <c r="F46" s="7"/>
      <c r="G46" s="7"/>
      <c r="H46" s="17">
        <f>SUM(H44:H45)</f>
        <v>0</v>
      </c>
      <c r="I46" s="17">
        <f t="shared" ref="I46:N46" si="22">SUM(I44:I45)</f>
        <v>0</v>
      </c>
      <c r="J46" s="17">
        <f t="shared" si="22"/>
        <v>0</v>
      </c>
      <c r="K46" s="17">
        <f t="shared" si="22"/>
        <v>0</v>
      </c>
      <c r="L46" s="17">
        <f t="shared" si="22"/>
        <v>0</v>
      </c>
      <c r="M46" s="17">
        <f t="shared" si="22"/>
        <v>0</v>
      </c>
      <c r="N46" s="17">
        <f t="shared" si="22"/>
        <v>0</v>
      </c>
      <c r="O46" s="54"/>
      <c r="P46" s="27"/>
      <c r="Q46" s="2">
        <v>0</v>
      </c>
      <c r="R46" s="99" t="s">
        <v>97</v>
      </c>
      <c r="S46" s="29">
        <f t="shared" si="21"/>
        <v>0</v>
      </c>
      <c r="T46" s="68">
        <f>T43</f>
        <v>35590.904999999999</v>
      </c>
      <c r="U46" s="2" t="s">
        <v>97</v>
      </c>
      <c r="V46" s="72">
        <f>V38*1.05</f>
        <v>47454.54</v>
      </c>
      <c r="W46" s="72">
        <f t="shared" ref="W46:W47" si="23">V46/12</f>
        <v>3954.5450000000001</v>
      </c>
    </row>
    <row r="47" spans="1:23" ht="15" x14ac:dyDescent="0.2">
      <c r="A47" s="7"/>
      <c r="B47" s="7"/>
      <c r="C47" s="7"/>
      <c r="D47" s="7"/>
      <c r="E47" s="7"/>
      <c r="F47" s="7"/>
      <c r="G47" s="7"/>
      <c r="H47" s="20"/>
      <c r="I47" s="20"/>
      <c r="J47" s="20"/>
      <c r="K47" s="20"/>
      <c r="L47" s="20"/>
      <c r="M47" s="20"/>
      <c r="N47" s="20"/>
      <c r="O47" s="56"/>
      <c r="P47" s="27"/>
      <c r="Q47" s="2">
        <v>0</v>
      </c>
      <c r="R47" s="99" t="s">
        <v>98</v>
      </c>
      <c r="S47" s="29">
        <f>ROUND(Q47*(T47/9)*3,0)</f>
        <v>0</v>
      </c>
      <c r="T47" s="68">
        <f>T44</f>
        <v>37586.43</v>
      </c>
      <c r="U47" s="2" t="s">
        <v>98</v>
      </c>
      <c r="V47" s="72">
        <f t="shared" ref="V47" si="24">V39*1.05</f>
        <v>50115.24</v>
      </c>
      <c r="W47" s="72">
        <f t="shared" si="23"/>
        <v>4176.2699999999995</v>
      </c>
    </row>
    <row r="48" spans="1:23" ht="15" x14ac:dyDescent="0.2">
      <c r="A48" s="5" t="s">
        <v>49</v>
      </c>
      <c r="B48" s="7"/>
      <c r="C48" s="7"/>
      <c r="D48" s="7"/>
      <c r="E48" s="7"/>
      <c r="F48" s="7"/>
      <c r="G48" s="7"/>
      <c r="H48" s="20"/>
      <c r="I48" s="20"/>
      <c r="J48" s="20"/>
      <c r="K48" s="20"/>
      <c r="L48" s="20"/>
      <c r="M48" s="20"/>
      <c r="N48" s="19" t="s">
        <v>1</v>
      </c>
      <c r="O48" s="51"/>
      <c r="Q48" s="58">
        <f>SUM(Q42:Q44)</f>
        <v>1</v>
      </c>
      <c r="S48" s="59">
        <f>SUM(S42:S47)</f>
        <v>37586</v>
      </c>
      <c r="T48" s="71"/>
    </row>
    <row r="49" spans="1:23" ht="15" x14ac:dyDescent="0.2">
      <c r="A49" s="7"/>
      <c r="B49" s="5" t="s">
        <v>50</v>
      </c>
      <c r="C49" s="7"/>
      <c r="D49" s="7"/>
      <c r="E49" s="7"/>
      <c r="F49" s="7"/>
      <c r="G49" s="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/>
      <c r="N49" s="18">
        <f>SUM(H49:L49)</f>
        <v>0</v>
      </c>
      <c r="O49" s="51"/>
      <c r="P49" s="27"/>
      <c r="R49" s="28"/>
      <c r="S49" s="29"/>
      <c r="T49" s="68"/>
    </row>
    <row r="50" spans="1:23" ht="15" x14ac:dyDescent="0.2">
      <c r="A50" s="7"/>
      <c r="B50" s="5" t="s">
        <v>52</v>
      </c>
      <c r="C50" s="7"/>
      <c r="D50" s="7"/>
      <c r="E50" s="7"/>
      <c r="F50" s="7"/>
      <c r="G50" s="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/>
      <c r="N50" s="18">
        <f>SUM(H50:L50)</f>
        <v>0</v>
      </c>
      <c r="O50" s="51"/>
      <c r="P50" s="27" t="s">
        <v>45</v>
      </c>
      <c r="Q50" s="2">
        <v>0</v>
      </c>
      <c r="R50" s="28" t="s">
        <v>96</v>
      </c>
      <c r="S50" s="29">
        <f>ROUND(Q50*T50,0)</f>
        <v>0</v>
      </c>
      <c r="T50" s="68">
        <f>T42*1.05</f>
        <v>35286.72525000001</v>
      </c>
      <c r="U50" s="2" t="s">
        <v>100</v>
      </c>
    </row>
    <row r="51" spans="1:23" ht="15" x14ac:dyDescent="0.2">
      <c r="A51" s="7"/>
      <c r="B51" s="5" t="s">
        <v>53</v>
      </c>
      <c r="C51" s="7"/>
      <c r="D51" s="7"/>
      <c r="E51" s="7"/>
      <c r="F51" s="7"/>
      <c r="G51" s="7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/>
      <c r="N51" s="18">
        <f>SUM(H51:L51)</f>
        <v>0</v>
      </c>
      <c r="O51" s="51"/>
      <c r="P51" s="27"/>
      <c r="Q51" s="2">
        <v>0</v>
      </c>
      <c r="R51" s="28" t="s">
        <v>97</v>
      </c>
      <c r="S51" s="29">
        <f>ROUND(Q51*T51,0)</f>
        <v>0</v>
      </c>
      <c r="T51" s="68">
        <f t="shared" ref="T51:T52" si="25">T43*1.05</f>
        <v>37370.450250000002</v>
      </c>
      <c r="U51" s="2" t="s">
        <v>103</v>
      </c>
    </row>
    <row r="52" spans="1:23" ht="15.75" x14ac:dyDescent="0.25">
      <c r="A52" s="7"/>
      <c r="B52" s="5" t="s">
        <v>54</v>
      </c>
      <c r="C52" s="7"/>
      <c r="D52" s="7"/>
      <c r="E52" s="7"/>
      <c r="F52" s="7"/>
      <c r="G52" s="7"/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/>
      <c r="N52" s="50">
        <f>SUM(H52:L52)</f>
        <v>0</v>
      </c>
      <c r="O52" s="51"/>
      <c r="P52" s="27"/>
      <c r="Q52" s="2">
        <v>0</v>
      </c>
      <c r="R52" s="28" t="s">
        <v>98</v>
      </c>
      <c r="S52" s="29">
        <f>ROUND(Q52*T52,0)</f>
        <v>0</v>
      </c>
      <c r="T52" s="68">
        <f t="shared" si="25"/>
        <v>39465.751499999998</v>
      </c>
      <c r="U52" s="2" t="s">
        <v>101</v>
      </c>
      <c r="V52" s="101" t="s">
        <v>143</v>
      </c>
      <c r="W52" s="101" t="s">
        <v>144</v>
      </c>
    </row>
    <row r="53" spans="1:23" ht="15" x14ac:dyDescent="0.2">
      <c r="A53" s="5" t="s">
        <v>55</v>
      </c>
      <c r="B53" s="7"/>
      <c r="C53" s="7"/>
      <c r="D53" s="7"/>
      <c r="E53" s="7"/>
      <c r="F53" s="7"/>
      <c r="G53" s="7"/>
      <c r="H53" s="18">
        <f>H49+H50+H51+H52</f>
        <v>0</v>
      </c>
      <c r="I53" s="18">
        <f>I49+I50+I51+I52</f>
        <v>0</v>
      </c>
      <c r="J53" s="18">
        <f>J49+J50+J51+J52</f>
        <v>0</v>
      </c>
      <c r="K53" s="18">
        <f>K49+K50+K51+K52</f>
        <v>0</v>
      </c>
      <c r="L53" s="18">
        <f>L49+L50+L51+L52</f>
        <v>0</v>
      </c>
      <c r="M53" s="20"/>
      <c r="N53" s="18">
        <f>SUM(H53:L53)</f>
        <v>0</v>
      </c>
      <c r="O53" s="54"/>
      <c r="P53" s="27" t="s">
        <v>30</v>
      </c>
      <c r="Q53" s="2">
        <v>0</v>
      </c>
      <c r="R53" s="99" t="s">
        <v>96</v>
      </c>
      <c r="S53" s="68">
        <f t="shared" ref="S53:S54" si="26">ROUND(Q53*(T53/9)*3,0)</f>
        <v>0</v>
      </c>
      <c r="T53" s="68">
        <f>T50</f>
        <v>35286.72525000001</v>
      </c>
      <c r="U53" s="2" t="s">
        <v>96</v>
      </c>
      <c r="V53" s="72">
        <f>V45*1.05</f>
        <v>47048.967000000011</v>
      </c>
      <c r="W53" s="72">
        <f>V53/12</f>
        <v>3920.7472500000008</v>
      </c>
    </row>
    <row r="54" spans="1:23" ht="15" x14ac:dyDescent="0.2">
      <c r="A54" s="7"/>
      <c r="B54" s="7"/>
      <c r="C54" s="7"/>
      <c r="D54" s="7"/>
      <c r="E54" s="7"/>
      <c r="F54" s="7"/>
      <c r="G54" s="7"/>
      <c r="H54" s="20"/>
      <c r="I54" s="20"/>
      <c r="J54" s="20"/>
      <c r="K54" s="20"/>
      <c r="L54" s="20"/>
      <c r="M54" s="20"/>
      <c r="N54" s="20"/>
      <c r="O54" s="20"/>
      <c r="P54" s="27"/>
      <c r="Q54" s="2">
        <v>0</v>
      </c>
      <c r="R54" s="99" t="s">
        <v>97</v>
      </c>
      <c r="S54" s="68">
        <f t="shared" si="26"/>
        <v>0</v>
      </c>
      <c r="T54" s="68">
        <f>T51</f>
        <v>37370.450250000002</v>
      </c>
      <c r="U54" s="2" t="s">
        <v>97</v>
      </c>
      <c r="V54" s="72">
        <f t="shared" ref="V54:V55" si="27">V46*1.05</f>
        <v>49827.267</v>
      </c>
      <c r="W54" s="72">
        <f t="shared" ref="W54:W55" si="28">V54/12</f>
        <v>4152.27225</v>
      </c>
    </row>
    <row r="55" spans="1:23" ht="15" x14ac:dyDescent="0.2">
      <c r="A55" s="5" t="s">
        <v>56</v>
      </c>
      <c r="B55" s="7"/>
      <c r="C55" s="7"/>
      <c r="D55" s="7"/>
      <c r="E55" s="7"/>
      <c r="F55" s="7"/>
      <c r="G55" s="7"/>
      <c r="H55" s="20"/>
      <c r="I55" s="20"/>
      <c r="J55" s="20"/>
      <c r="K55" s="20"/>
      <c r="L55" s="20"/>
      <c r="M55" s="20"/>
      <c r="N55" s="20"/>
      <c r="O55" s="18"/>
      <c r="P55" s="27"/>
      <c r="Q55" s="2">
        <v>0</v>
      </c>
      <c r="R55" s="99" t="s">
        <v>98</v>
      </c>
      <c r="S55" s="68">
        <f>ROUND(Q55*(T55/9)*3,0)</f>
        <v>0</v>
      </c>
      <c r="T55" s="68">
        <f>T52</f>
        <v>39465.751499999998</v>
      </c>
      <c r="U55" s="2" t="s">
        <v>98</v>
      </c>
      <c r="V55" s="72">
        <f t="shared" si="27"/>
        <v>52621.002</v>
      </c>
      <c r="W55" s="72">
        <f t="shared" si="28"/>
        <v>4385.0834999999997</v>
      </c>
    </row>
    <row r="56" spans="1:23" ht="15" x14ac:dyDescent="0.2">
      <c r="A56" s="7"/>
      <c r="B56" s="5" t="s">
        <v>57</v>
      </c>
      <c r="C56" s="7"/>
      <c r="D56" s="7"/>
      <c r="E56" s="7"/>
      <c r="F56" s="7"/>
      <c r="G56" s="7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/>
      <c r="N56" s="18">
        <f t="shared" ref="N56:N67" si="29">SUM(H56:L56)</f>
        <v>0</v>
      </c>
      <c r="O56" s="18"/>
      <c r="Q56" s="58">
        <f>SUM(Q50:Q52)</f>
        <v>0</v>
      </c>
      <c r="S56" s="59">
        <f>SUM(S50:S55)</f>
        <v>0</v>
      </c>
      <c r="T56" s="71"/>
    </row>
    <row r="57" spans="1:23" ht="15" x14ac:dyDescent="0.2">
      <c r="A57" s="7"/>
      <c r="B57" s="5" t="s">
        <v>58</v>
      </c>
      <c r="C57" s="7"/>
      <c r="D57" s="7"/>
      <c r="E57" s="7"/>
      <c r="F57" s="7"/>
      <c r="G57" s="7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7"/>
      <c r="N57" s="18">
        <f t="shared" si="29"/>
        <v>0</v>
      </c>
      <c r="O57" s="18"/>
      <c r="P57" s="27"/>
      <c r="R57" s="28"/>
      <c r="S57" s="29"/>
      <c r="T57" s="68"/>
    </row>
    <row r="58" spans="1:23" ht="15" x14ac:dyDescent="0.2">
      <c r="A58" s="7"/>
      <c r="B58" s="5" t="s">
        <v>60</v>
      </c>
      <c r="C58" s="7"/>
      <c r="D58" s="7"/>
      <c r="E58" s="7"/>
      <c r="F58" s="7"/>
      <c r="G58" s="7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/>
      <c r="N58" s="18">
        <f t="shared" si="29"/>
        <v>0</v>
      </c>
      <c r="O58" s="18"/>
      <c r="P58" s="27" t="s">
        <v>51</v>
      </c>
      <c r="Q58" s="2">
        <v>0</v>
      </c>
      <c r="R58" s="28" t="s">
        <v>96</v>
      </c>
      <c r="S58" s="29">
        <f>ROUND(Q58*T58,0)</f>
        <v>0</v>
      </c>
      <c r="T58" s="68">
        <f>T50*1.05</f>
        <v>37051.061512500011</v>
      </c>
      <c r="U58" s="2" t="s">
        <v>100</v>
      </c>
    </row>
    <row r="59" spans="1:23" ht="15" x14ac:dyDescent="0.2">
      <c r="A59" s="7"/>
      <c r="B59" s="5" t="s">
        <v>61</v>
      </c>
      <c r="C59" s="7"/>
      <c r="D59" s="7"/>
      <c r="E59" s="7"/>
      <c r="F59" s="7"/>
      <c r="G59" s="7"/>
      <c r="H59" s="17">
        <f>ROUND($R$68,0)*P70</f>
        <v>0</v>
      </c>
      <c r="I59" s="17">
        <f>ROUND($R$68*1.03,0)*Q70</f>
        <v>0</v>
      </c>
      <c r="J59" s="17">
        <f>ROUND($R$68*1.03*1.03,0)*R70</f>
        <v>0</v>
      </c>
      <c r="K59" s="17">
        <f>ROUND($R$68*1.03*1.03*1.03,0)*S70</f>
        <v>0</v>
      </c>
      <c r="L59" s="17">
        <f>ROUND($R$68*1.03*1.03*1.03*1.03,0)*T70</f>
        <v>0</v>
      </c>
      <c r="M59" s="17"/>
      <c r="N59" s="18">
        <f t="shared" si="29"/>
        <v>0</v>
      </c>
      <c r="O59" s="18"/>
      <c r="P59" s="27"/>
      <c r="Q59" s="2">
        <v>0</v>
      </c>
      <c r="R59" s="28" t="s">
        <v>97</v>
      </c>
      <c r="S59" s="29">
        <f>ROUND(Q59*T59,0)</f>
        <v>0</v>
      </c>
      <c r="T59" s="68">
        <f t="shared" ref="T59:T60" si="30">T51*1.05</f>
        <v>39238.972762500001</v>
      </c>
      <c r="U59" s="2" t="s">
        <v>103</v>
      </c>
    </row>
    <row r="60" spans="1:23" ht="15.75" x14ac:dyDescent="0.25">
      <c r="A60" s="7"/>
      <c r="B60" s="5" t="s">
        <v>123</v>
      </c>
      <c r="C60" s="7"/>
      <c r="D60" s="7"/>
      <c r="E60" s="7"/>
      <c r="F60" s="7"/>
      <c r="G60" s="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/>
      <c r="N60" s="18">
        <f t="shared" si="29"/>
        <v>0</v>
      </c>
      <c r="O60" s="18"/>
      <c r="P60" s="27"/>
      <c r="Q60" s="2">
        <v>0</v>
      </c>
      <c r="R60" s="28" t="s">
        <v>98</v>
      </c>
      <c r="S60" s="29">
        <f>ROUND(Q60*T60,0)</f>
        <v>0</v>
      </c>
      <c r="T60" s="68">
        <f t="shared" si="30"/>
        <v>41439.039075000001</v>
      </c>
      <c r="U60" s="2" t="s">
        <v>101</v>
      </c>
      <c r="V60" s="101" t="s">
        <v>143</v>
      </c>
      <c r="W60" s="101" t="s">
        <v>144</v>
      </c>
    </row>
    <row r="61" spans="1:23" ht="13.5" customHeight="1" x14ac:dyDescent="0.2">
      <c r="A61" s="7"/>
      <c r="B61" s="5" t="s">
        <v>62</v>
      </c>
      <c r="C61" s="7"/>
      <c r="D61" s="10" t="s">
        <v>63</v>
      </c>
      <c r="E61" s="10"/>
      <c r="F61" s="10"/>
      <c r="G61" s="6"/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7"/>
      <c r="N61" s="18">
        <f t="shared" si="29"/>
        <v>0</v>
      </c>
      <c r="O61" s="18"/>
      <c r="P61" s="27" t="s">
        <v>30</v>
      </c>
      <c r="Q61" s="2">
        <v>0</v>
      </c>
      <c r="R61" s="99" t="s">
        <v>96</v>
      </c>
      <c r="S61" s="29">
        <f t="shared" ref="S61:S62" si="31">ROUND(Q61*(T61/9)*3,0)</f>
        <v>0</v>
      </c>
      <c r="T61" s="68">
        <f>T58</f>
        <v>37051.061512500011</v>
      </c>
      <c r="U61" s="2" t="s">
        <v>96</v>
      </c>
      <c r="V61" s="72">
        <f>V53*1.05</f>
        <v>49401.415350000017</v>
      </c>
      <c r="W61" s="72">
        <f>V61/12</f>
        <v>4116.7846125000015</v>
      </c>
    </row>
    <row r="62" spans="1:23" ht="13.5" customHeight="1" x14ac:dyDescent="0.2">
      <c r="A62" s="7"/>
      <c r="B62" s="5"/>
      <c r="C62" s="7"/>
      <c r="D62" s="10" t="s">
        <v>64</v>
      </c>
      <c r="E62" s="10"/>
      <c r="F62" s="10"/>
      <c r="G62" s="6"/>
      <c r="H62" s="17">
        <v>0</v>
      </c>
      <c r="I62" s="18">
        <v>0</v>
      </c>
      <c r="J62" s="18">
        <v>0</v>
      </c>
      <c r="K62" s="18">
        <v>0</v>
      </c>
      <c r="L62" s="18">
        <v>0</v>
      </c>
      <c r="M62" s="17"/>
      <c r="N62" s="18">
        <f t="shared" si="29"/>
        <v>0</v>
      </c>
      <c r="O62" s="18"/>
      <c r="P62" s="27"/>
      <c r="Q62" s="2">
        <v>0</v>
      </c>
      <c r="R62" s="99" t="s">
        <v>97</v>
      </c>
      <c r="S62" s="29">
        <f t="shared" si="31"/>
        <v>0</v>
      </c>
      <c r="T62" s="68">
        <f>T59</f>
        <v>39238.972762500001</v>
      </c>
      <c r="U62" s="2" t="s">
        <v>97</v>
      </c>
      <c r="V62" s="72">
        <f t="shared" ref="V62:V63" si="32">V54*1.05</f>
        <v>52318.630349999999</v>
      </c>
      <c r="W62" s="72">
        <f t="shared" ref="W62:W63" si="33">V62/12</f>
        <v>4359.8858625000003</v>
      </c>
    </row>
    <row r="63" spans="1:23" ht="13.5" customHeight="1" x14ac:dyDescent="0.2">
      <c r="A63" s="7"/>
      <c r="B63" s="5"/>
      <c r="C63" s="7"/>
      <c r="D63" s="10" t="s">
        <v>94</v>
      </c>
      <c r="E63" s="10"/>
      <c r="F63" s="10"/>
      <c r="G63" s="6"/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7"/>
      <c r="N63" s="18">
        <f t="shared" si="29"/>
        <v>0</v>
      </c>
      <c r="O63" s="18"/>
      <c r="P63" s="27"/>
      <c r="Q63" s="2">
        <v>0</v>
      </c>
      <c r="R63" s="99" t="s">
        <v>98</v>
      </c>
      <c r="S63" s="29">
        <f>ROUND(Q63*(T63/9)*3,0)</f>
        <v>0</v>
      </c>
      <c r="T63" s="68">
        <f>T60</f>
        <v>41439.039075000001</v>
      </c>
      <c r="U63" s="2" t="s">
        <v>98</v>
      </c>
      <c r="V63" s="72">
        <f t="shared" si="32"/>
        <v>55252.052100000001</v>
      </c>
      <c r="W63" s="72">
        <f t="shared" si="33"/>
        <v>4604.3376749999998</v>
      </c>
    </row>
    <row r="64" spans="1:23" ht="15" x14ac:dyDescent="0.2">
      <c r="A64" s="7"/>
      <c r="B64" s="5"/>
      <c r="C64" s="7"/>
      <c r="D64" s="10" t="s">
        <v>93</v>
      </c>
      <c r="E64" s="10"/>
      <c r="F64" s="10"/>
      <c r="G64" s="6"/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7"/>
      <c r="N64" s="18">
        <f t="shared" si="29"/>
        <v>0</v>
      </c>
      <c r="O64" s="48"/>
      <c r="P64" s="27"/>
      <c r="Q64" s="58">
        <f>SUM(Q58:Q60)</f>
        <v>0</v>
      </c>
      <c r="S64" s="59">
        <f>SUM(S58:S63)</f>
        <v>0</v>
      </c>
      <c r="T64" s="71"/>
    </row>
    <row r="65" spans="1:21" ht="15" x14ac:dyDescent="0.2">
      <c r="A65" s="7"/>
      <c r="B65" s="7" t="s">
        <v>142</v>
      </c>
      <c r="C65" s="7"/>
      <c r="D65" s="10"/>
      <c r="E65" s="10"/>
      <c r="F65" s="10"/>
      <c r="G65" s="6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7"/>
      <c r="N65" s="18">
        <f>SUM(H65:L65)</f>
        <v>0</v>
      </c>
      <c r="O65" s="48"/>
      <c r="P65" s="30"/>
      <c r="Q65" s="30"/>
      <c r="R65" s="31"/>
      <c r="S65" s="31"/>
      <c r="T65" s="30"/>
    </row>
    <row r="66" spans="1:21" ht="15" x14ac:dyDescent="0.2">
      <c r="A66" s="7"/>
      <c r="B66" s="7" t="s">
        <v>140</v>
      </c>
      <c r="C66" s="7"/>
      <c r="D66" s="10"/>
      <c r="E66" s="10"/>
      <c r="F66" s="10"/>
      <c r="G66" s="6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>
        <f>SUM(H66:L66)</f>
        <v>0</v>
      </c>
      <c r="O66" s="48"/>
    </row>
    <row r="67" spans="1:21" ht="15.75" x14ac:dyDescent="0.25">
      <c r="A67" s="7"/>
      <c r="B67" s="5" t="s">
        <v>141</v>
      </c>
      <c r="C67" s="7"/>
      <c r="D67" s="7"/>
      <c r="E67" s="7" t="s">
        <v>217</v>
      </c>
      <c r="F67" s="7"/>
      <c r="G67" s="12"/>
      <c r="H67" s="50">
        <f>(Q32+PA!C6)*(5364*2)</f>
        <v>10728</v>
      </c>
      <c r="I67" s="50">
        <f>(Q40+PA!C9)*((5364*2)*1.03)</f>
        <v>11049.84</v>
      </c>
      <c r="J67" s="50">
        <f>(Q48+PA!C12)*((5364*2)*1.03*1.03)</f>
        <v>11381.335200000001</v>
      </c>
      <c r="K67" s="50">
        <f>(Q56+PA!C15)*((5364*2)*1.03*1.03*1.03)</f>
        <v>0</v>
      </c>
      <c r="L67" s="50">
        <f>(Q64+PA!C18)*((5364*2)*1.03*1.03*1.03*1.03)</f>
        <v>0</v>
      </c>
      <c r="M67" s="55"/>
      <c r="N67" s="50">
        <f t="shared" si="29"/>
        <v>33159.175199999998</v>
      </c>
      <c r="O67" s="18"/>
      <c r="Q67" s="62" t="s">
        <v>59</v>
      </c>
    </row>
    <row r="68" spans="1:21" ht="15" x14ac:dyDescent="0.2">
      <c r="A68" s="5" t="s">
        <v>65</v>
      </c>
      <c r="B68" s="7"/>
      <c r="C68" s="7"/>
      <c r="D68" s="7"/>
      <c r="E68" s="7"/>
      <c r="F68" s="7"/>
      <c r="G68" s="7"/>
      <c r="H68" s="18">
        <f>(SUM(H56:H67))</f>
        <v>10728</v>
      </c>
      <c r="I68" s="18">
        <f>(SUM(I56:I67))</f>
        <v>11049.84</v>
      </c>
      <c r="J68" s="18">
        <f>(SUM(J56:J67))</f>
        <v>11381.335200000001</v>
      </c>
      <c r="K68" s="18">
        <f>(SUM(K56:K67))</f>
        <v>0</v>
      </c>
      <c r="L68" s="18">
        <f>(SUM(L56:L67))</f>
        <v>0</v>
      </c>
      <c r="M68" s="20"/>
      <c r="N68" s="18">
        <f>SUM(H68:L68)</f>
        <v>33159.175199999998</v>
      </c>
      <c r="O68" s="20"/>
      <c r="P68" s="2">
        <v>1250</v>
      </c>
      <c r="Q68" s="2" t="s">
        <v>86</v>
      </c>
      <c r="R68" s="2">
        <f>P68*2</f>
        <v>2500</v>
      </c>
      <c r="S68" s="2" t="s">
        <v>87</v>
      </c>
      <c r="T68" s="60" t="s">
        <v>198</v>
      </c>
      <c r="U68" s="63" t="s">
        <v>88</v>
      </c>
    </row>
    <row r="69" spans="1:21" ht="15" x14ac:dyDescent="0.2">
      <c r="A69" s="7"/>
      <c r="B69" s="7"/>
      <c r="C69" s="7"/>
      <c r="D69" s="7"/>
      <c r="E69" s="7"/>
      <c r="F69" s="7"/>
      <c r="G69" s="7"/>
      <c r="H69" s="20"/>
      <c r="I69" s="20"/>
      <c r="J69" s="20"/>
      <c r="K69" s="20"/>
      <c r="L69" s="20"/>
      <c r="M69" s="20"/>
      <c r="N69" s="20"/>
      <c r="O69" s="18"/>
      <c r="P69" s="63" t="s">
        <v>4</v>
      </c>
      <c r="Q69" s="63" t="s">
        <v>5</v>
      </c>
      <c r="R69" s="63" t="s">
        <v>6</v>
      </c>
      <c r="S69" s="63" t="s">
        <v>7</v>
      </c>
      <c r="T69" s="72" t="s">
        <v>8</v>
      </c>
    </row>
    <row r="70" spans="1:21" ht="15" x14ac:dyDescent="0.2">
      <c r="A70" s="5" t="s">
        <v>66</v>
      </c>
      <c r="B70" s="7"/>
      <c r="C70" s="7"/>
      <c r="D70" s="7"/>
      <c r="E70" s="7"/>
      <c r="F70" s="7"/>
      <c r="G70" s="7"/>
      <c r="H70" s="18">
        <f>H68+H53+H46+H42+H35</f>
        <v>49951</v>
      </c>
      <c r="I70" s="18">
        <f>I68+I53+I46+I42+I35</f>
        <v>54900.84</v>
      </c>
      <c r="J70" s="18">
        <f>J68+J53+J46+J42+J35</f>
        <v>57800.335200000001</v>
      </c>
      <c r="K70" s="18">
        <f>K68+K53+K46+K42+K35</f>
        <v>0</v>
      </c>
      <c r="L70" s="18">
        <f>L68+L53+L46+L42+L35</f>
        <v>0</v>
      </c>
      <c r="M70" s="20"/>
      <c r="N70" s="18">
        <f>SUM(H70:L70)</f>
        <v>162652.1752</v>
      </c>
      <c r="O70" s="20"/>
      <c r="P70" s="61"/>
      <c r="Q70" s="61"/>
      <c r="R70" s="61"/>
      <c r="S70" s="61"/>
      <c r="T70" s="73"/>
    </row>
    <row r="71" spans="1:21" ht="15" x14ac:dyDescent="0.2">
      <c r="A71" s="5" t="s">
        <v>67</v>
      </c>
      <c r="B71" s="7"/>
      <c r="C71" s="7"/>
      <c r="D71" s="7"/>
      <c r="E71" s="7"/>
      <c r="F71" s="7"/>
      <c r="G71" s="7"/>
      <c r="H71" s="20"/>
      <c r="I71" s="20"/>
      <c r="J71" s="20"/>
      <c r="K71" s="20"/>
      <c r="L71" s="20"/>
      <c r="M71" s="20"/>
      <c r="N71" s="20"/>
      <c r="O71" s="18"/>
      <c r="T71" s="86"/>
    </row>
    <row r="72" spans="1:21" ht="15" x14ac:dyDescent="0.2">
      <c r="A72" s="10" t="s">
        <v>10</v>
      </c>
      <c r="B72" s="5" t="s">
        <v>68</v>
      </c>
      <c r="C72" s="11"/>
      <c r="D72" s="5"/>
      <c r="E72" s="5"/>
      <c r="F72" s="5"/>
      <c r="G72" s="7"/>
      <c r="H72" s="18">
        <f>ROUND($I$83*H77,0)+H78</f>
        <v>21769</v>
      </c>
      <c r="I72" s="18">
        <f>ROUND($I$83*I77,0)+I78</f>
        <v>24337</v>
      </c>
      <c r="J72" s="18">
        <f>ROUND($I$83*J77,0)+J78</f>
        <v>25763</v>
      </c>
      <c r="K72" s="18">
        <f>ROUND($I$83*K77,0)+K78</f>
        <v>0</v>
      </c>
      <c r="L72" s="18">
        <f>ROUND($I$83*L77,0)+L78</f>
        <v>0</v>
      </c>
      <c r="M72" s="20"/>
      <c r="N72" s="18">
        <f>SUM(H72:L72)</f>
        <v>71869</v>
      </c>
      <c r="O72" s="18"/>
    </row>
    <row r="73" spans="1:21" ht="15" x14ac:dyDescent="0.2">
      <c r="A73" s="5" t="s">
        <v>69</v>
      </c>
      <c r="B73" s="7"/>
      <c r="C73" s="7"/>
      <c r="D73" s="7"/>
      <c r="E73" s="7"/>
      <c r="F73" s="7"/>
      <c r="G73" s="7"/>
      <c r="H73" s="18">
        <f>H70+H72</f>
        <v>71720</v>
      </c>
      <c r="I73" s="18">
        <f>I70+I72</f>
        <v>79237.84</v>
      </c>
      <c r="J73" s="18">
        <f>J70+J72</f>
        <v>83563.335200000001</v>
      </c>
      <c r="K73" s="18">
        <f>K70+K72</f>
        <v>0</v>
      </c>
      <c r="L73" s="18">
        <f>L70+L72</f>
        <v>0</v>
      </c>
      <c r="M73" s="20"/>
      <c r="N73" s="18">
        <f>SUM(H73:L73)</f>
        <v>234521.1752</v>
      </c>
      <c r="O73" s="18"/>
    </row>
    <row r="74" spans="1:21" ht="15" x14ac:dyDescent="0.2">
      <c r="A74" s="5" t="s">
        <v>70</v>
      </c>
      <c r="B74" s="7"/>
      <c r="C74" s="7"/>
      <c r="D74" s="7"/>
      <c r="E74" s="7"/>
      <c r="F74" s="7"/>
      <c r="G74" s="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/>
      <c r="N74" s="18">
        <f>SUM(H74:L74)</f>
        <v>0</v>
      </c>
      <c r="O74" s="18"/>
    </row>
    <row r="75" spans="1:21" ht="15" x14ac:dyDescent="0.2">
      <c r="A75" s="5" t="s">
        <v>71</v>
      </c>
      <c r="B75" s="7"/>
      <c r="C75" s="7"/>
      <c r="D75" s="7"/>
      <c r="E75" s="7"/>
      <c r="F75" s="7"/>
      <c r="G75" s="7"/>
      <c r="H75" s="18">
        <f>H73-H74</f>
        <v>71720</v>
      </c>
      <c r="I75" s="18">
        <f>I73-I74</f>
        <v>79237.84</v>
      </c>
      <c r="J75" s="18">
        <f>J73-J74</f>
        <v>83563.335200000001</v>
      </c>
      <c r="K75" s="18">
        <f>K73-K74</f>
        <v>0</v>
      </c>
      <c r="L75" s="18">
        <f>L73-L74</f>
        <v>0</v>
      </c>
      <c r="M75" s="20"/>
      <c r="N75" s="18">
        <f>SUM(H75:L75)</f>
        <v>234521.1752</v>
      </c>
      <c r="O75" s="20"/>
    </row>
    <row r="76" spans="1:21" ht="15" x14ac:dyDescent="0.2">
      <c r="A76" s="7"/>
      <c r="B76" s="7"/>
      <c r="C76" s="7"/>
      <c r="D76" s="7"/>
      <c r="E76" s="7"/>
      <c r="F76" s="7"/>
      <c r="G76" s="7"/>
      <c r="H76" s="20"/>
      <c r="I76" s="20"/>
      <c r="J76" s="20"/>
      <c r="K76" s="20"/>
      <c r="L76" s="20"/>
      <c r="M76" s="20"/>
      <c r="N76" s="20"/>
      <c r="O76" s="20"/>
    </row>
    <row r="77" spans="1:21" ht="15" x14ac:dyDescent="0.2">
      <c r="A77" s="7" t="s">
        <v>119</v>
      </c>
      <c r="B77" s="7"/>
      <c r="C77" s="7"/>
      <c r="D77" s="7"/>
      <c r="E77" s="7"/>
      <c r="F77" s="7"/>
      <c r="G77" s="7"/>
      <c r="H77" s="20">
        <f>H70-H42-H53-H60-H61-H62-H63-H64-H67+H80</f>
        <v>39223</v>
      </c>
      <c r="I77" s="20">
        <f t="shared" ref="I77:L77" si="34">I70-I42-I53-I60-I61-I62-I63-I64-I67+I80</f>
        <v>43851</v>
      </c>
      <c r="J77" s="20">
        <f t="shared" si="34"/>
        <v>46419</v>
      </c>
      <c r="K77" s="20">
        <f t="shared" si="34"/>
        <v>0</v>
      </c>
      <c r="L77" s="20">
        <f t="shared" si="34"/>
        <v>0</v>
      </c>
      <c r="M77" s="20"/>
      <c r="N77" s="20"/>
      <c r="O77" s="7"/>
    </row>
    <row r="78" spans="1:21" ht="15" x14ac:dyDescent="0.2">
      <c r="A78" s="7" t="s">
        <v>120</v>
      </c>
      <c r="B78" s="7"/>
      <c r="C78" s="7"/>
      <c r="D78" s="7"/>
      <c r="E78" s="7"/>
      <c r="F78" s="7"/>
      <c r="G78" s="7"/>
      <c r="H78" s="20">
        <f>H60*K83</f>
        <v>0</v>
      </c>
      <c r="I78" s="20">
        <f>I60*K83</f>
        <v>0</v>
      </c>
      <c r="J78" s="20">
        <f>J60*K83</f>
        <v>0</v>
      </c>
      <c r="K78" s="20">
        <f>K60*K83</f>
        <v>0</v>
      </c>
      <c r="L78" s="20">
        <f>L60*K83</f>
        <v>0</v>
      </c>
      <c r="M78" s="20"/>
      <c r="N78" s="20">
        <v>0</v>
      </c>
      <c r="O78" s="7"/>
    </row>
    <row r="79" spans="1:21" ht="1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1" ht="15" x14ac:dyDescent="0.2">
      <c r="A80" s="37"/>
      <c r="D80" s="23" t="s">
        <v>84</v>
      </c>
      <c r="E80" s="7"/>
      <c r="F80" s="7"/>
      <c r="G80" s="7"/>
      <c r="H80" s="20">
        <f>IF($H$61&gt;=25000,25000)+IF($H$62&gt;=25000,25000)+IF($H$63&gt;=25000,25000)+IF($H$64&gt;=25000,25000)</f>
        <v>0</v>
      </c>
      <c r="I80" s="20">
        <f>IF($H$61&gt;=25000,0,IF($I$61&gt;25000,(25000-$H$61)*$I$83,IF(SUM($H$61:$I$61)&gt;25000,(SUM($H$61:$I$61)-25000)*$I$83,IF(SUM($H$61:$I$61)&lt;25000,$I$61*$I$83))))+IF($H$62&gt;=25000,0,IF($I$62&gt;25000,(25000-$H$62)*$I$83,IF(SUM($H$62:$I$62)&gt;25000,(SUM($H$62:$I$62)-25000)*$I$83,IF(SUM($H$62:$I$62)&lt;25000,$I$62*$I$83))))+IF($H$64&gt;=25000,0,IF($I$64&gt;25000,(25000-$H$64)*$I$83,IF(SUM($H$64:$I$64)&gt;25000,(SUM($H$64:$I$64)-25000)*$I$83,IF(SUM($H$64:$I$64)&lt;25000,$I$64*$I$83))))</f>
        <v>0</v>
      </c>
      <c r="J80" s="20">
        <f>IF($H$61&gt;=25000,0,IF(SUM($H$61:$I$61)&gt;=25000,0,IF($J$61&gt;25000,(25000-SUM($H$61:$I$61))*$I$83,IF(SUM($H$61:$J$61)&gt;=25000,(25000-SUM($H$61:$I$61))*$I$83,IF(SUM($H$61:$I$61)&lt;=25000,$J$61*$I$83)))))+IF($H$62&gt;=25000,0,IF(SUM($H$62:$I$62)&gt;=25000,0,IF($J$62&gt;25000,(25000-SUM($H$62:$I$62))*$I$83,IF(SUM($H$62:$J$62)&gt;=25000,(25000-SUM($H$62:$I$62))*$I$83,IF(SUM($H$62:$I$62)&lt;=25000,$J$62*$I$83)))))+IF($H$64&gt;=25000,0, IF(SUM($H$64:$I$64)&gt;=25000,0,IF($J$64&gt;25000,(25000-SUM($H$64:$I$64))*$I$83,IF(SUM($H$64:$J$64)&gt;=25000,(25000-SUM($H$64:$I$64))*$I$83,IF(SUM($H$64:$I$64)&lt;=25000,$J$64*$I$83)))))</f>
        <v>0</v>
      </c>
      <c r="K80" s="20">
        <f>IF($H$61&gt;=25000,0,
IF(SUM($H$61:$J$61)&gt;=25000,0,
IF($K$61&gt;25000,(25000-SUM($H$61:$J$61))*$I$83,
IF(SUM($H$61:$K$61)&gt;=25000,(25000-SUM($H$61:$J$61))*$I$83,
IF(SUM($H$61:$J$61)&lt;=25000,$K$61*$I$83)))))+IF($H$62&gt;=25000,0,
IF(SUM($H$62:$J$62)&gt;=25000,0,
IF($K$62&gt;25000,(25000-SUM($H$62:$J$62))*$I$83,
IF(SUM($H$62:$K$62)&gt;=25000,(25000-SUM($H$62:$J$62))*$I$83,
IF(SUM($H$62:$J$62)&lt;=25000,$K$62*$I$83)))))+IF($H$64&gt;=25000,0,
IF(SUM($H$64:$J$64)&gt;=25000,0,
IF($K$64&gt;25000,(25000-SUM($H$64:$J$64))*$I$83,
IF(SUM($H$64:$K$64)&gt;=25000,(25000-SUM($H$64:$J$64))))))</f>
        <v>0</v>
      </c>
      <c r="L80" s="20">
        <f>IF($H$61&gt;=25000,0,
IF(SUM($H$61:$K$61)&gt;=25000,0,
IF($L$61&gt;25000,(25000-SUM($H$61:$K$61))*$I$83,
IF(SUM($H$61:$L$61)&gt;=25000,(25000-SUM($H$61:$K$61))*$I$83,
IF(SUM($H$61:$K$61)&lt;=25000,$L$61*$I$83)))))+IF($H$62&gt;=25000,0,
IF(SUM($H$62:$K$62)&gt;=25000,0,
IF($L$62&gt;25000,(25000-SUM($H$62:$K$62))*$I$83,
IF(SUM($H$62:$L$62)&gt;=25000,(25000-SUM($H$62:$K$62))*$I$83,
IF(SUM($H$62:$K$62)&lt;=25000,$L$62*$I$83)))))+IF($H$64&gt;=25000,0,
IF(SUM($H$64:$K$64)&gt;=25000,0,
IF($L$64&gt;25000,(25000-SUM($H$64:$K$64))*$I$83,
IF(SUM($H$64:$L$64)&gt;=25000,(25000-SUM($H$64:$K$64))*$I$83,
IF(SUM($H$64:$K$64)&lt;=25000,$L$64*$I$83)))))</f>
        <v>0</v>
      </c>
      <c r="M80" s="20"/>
      <c r="N80" s="20">
        <f>SUM(H80:L80)</f>
        <v>0</v>
      </c>
    </row>
    <row r="81" spans="4:13" x14ac:dyDescent="0.2">
      <c r="I81" s="41"/>
    </row>
    <row r="82" spans="4:13" ht="15" x14ac:dyDescent="0.2">
      <c r="D82" s="5" t="s">
        <v>75</v>
      </c>
      <c r="E82" s="5"/>
      <c r="F82" s="5"/>
      <c r="G82" s="7"/>
      <c r="H82" s="7"/>
      <c r="I82" s="5" t="s">
        <v>121</v>
      </c>
      <c r="K82" s="7" t="s">
        <v>122</v>
      </c>
      <c r="L82" s="7"/>
    </row>
    <row r="83" spans="4:13" ht="15.75" x14ac:dyDescent="0.25">
      <c r="D83" s="15">
        <v>0</v>
      </c>
      <c r="E83" s="15"/>
      <c r="F83" s="15"/>
      <c r="G83" s="5" t="s">
        <v>1</v>
      </c>
      <c r="H83" s="67">
        <v>44378</v>
      </c>
      <c r="I83" s="40">
        <v>0.55500000000000005</v>
      </c>
      <c r="K83" s="66">
        <v>0.26</v>
      </c>
      <c r="L83" s="7"/>
    </row>
    <row r="84" spans="4:13" ht="15.75" x14ac:dyDescent="0.25">
      <c r="D84" s="7"/>
      <c r="E84" s="7"/>
      <c r="F84" s="7"/>
      <c r="G84" s="7"/>
      <c r="H84" s="67"/>
      <c r="I84" s="65"/>
      <c r="K84" s="7"/>
      <c r="L84" s="7"/>
    </row>
    <row r="85" spans="4:13" ht="15.75" x14ac:dyDescent="0.25">
      <c r="D85" s="5" t="s">
        <v>80</v>
      </c>
      <c r="E85" s="5"/>
      <c r="F85" s="5"/>
      <c r="G85" s="7"/>
      <c r="H85" s="7"/>
      <c r="I85" s="66"/>
      <c r="K85" s="7"/>
      <c r="L85" s="7"/>
    </row>
    <row r="86" spans="4:13" ht="15" x14ac:dyDescent="0.2">
      <c r="D86" s="14">
        <v>0</v>
      </c>
      <c r="E86" s="14"/>
      <c r="F86" s="14"/>
      <c r="G86" s="7"/>
      <c r="H86" s="7"/>
      <c r="I86" s="7"/>
      <c r="K86" s="7"/>
      <c r="L86" s="7"/>
    </row>
    <row r="87" spans="4:13" ht="15" x14ac:dyDescent="0.2">
      <c r="D87" s="7"/>
      <c r="E87" s="7"/>
      <c r="F87" s="7"/>
      <c r="G87" s="7"/>
      <c r="H87" s="7"/>
      <c r="I87" s="7"/>
      <c r="K87" s="7"/>
      <c r="L87" s="7"/>
    </row>
    <row r="88" spans="4:13" ht="15" x14ac:dyDescent="0.2">
      <c r="D88" s="7"/>
      <c r="E88" s="7"/>
      <c r="F88" s="7"/>
      <c r="G88" s="7"/>
      <c r="H88" s="7"/>
      <c r="I88" s="7"/>
      <c r="K88" s="7"/>
      <c r="L88" s="7"/>
    </row>
    <row r="91" spans="4:13" ht="15" x14ac:dyDescent="0.2">
      <c r="H91" s="16"/>
    </row>
    <row r="92" spans="4:13" ht="15" x14ac:dyDescent="0.2">
      <c r="I92" s="16"/>
    </row>
    <row r="93" spans="4:13" ht="15" x14ac:dyDescent="0.2">
      <c r="I93" s="16"/>
    </row>
    <row r="95" spans="4:13" ht="15" x14ac:dyDescent="0.2">
      <c r="I95" s="57"/>
    </row>
    <row r="96" spans="4:13" x14ac:dyDescent="0.2">
      <c r="I96" s="4"/>
      <c r="J96" s="4"/>
      <c r="K96" s="4"/>
      <c r="L96" s="4"/>
      <c r="M96" s="4"/>
    </row>
    <row r="97" spans="1:13" ht="15" x14ac:dyDescent="0.2">
      <c r="I97" s="16"/>
      <c r="J97" s="4"/>
      <c r="K97" s="4"/>
      <c r="L97" s="4"/>
      <c r="M97" s="4"/>
    </row>
    <row r="98" spans="1:13" ht="15" x14ac:dyDescent="0.2">
      <c r="B98" s="7"/>
      <c r="C98" s="13"/>
      <c r="I98" s="4"/>
      <c r="J98" s="4"/>
      <c r="K98" s="4"/>
      <c r="L98" s="4"/>
      <c r="M98" s="4"/>
    </row>
    <row r="99" spans="1:13" ht="15" x14ac:dyDescent="0.2">
      <c r="B99" s="5"/>
      <c r="C99" s="14"/>
      <c r="I99" s="4"/>
      <c r="J99" s="4"/>
      <c r="K99" s="4"/>
      <c r="L99" s="4"/>
      <c r="M99" s="4"/>
    </row>
    <row r="100" spans="1:13" ht="15" x14ac:dyDescent="0.2">
      <c r="B100" s="5"/>
      <c r="C100" s="14"/>
      <c r="I100" s="4"/>
      <c r="J100" s="4"/>
      <c r="K100" s="4"/>
      <c r="L100" s="4"/>
      <c r="M100" s="4"/>
    </row>
    <row r="101" spans="1:13" ht="15" x14ac:dyDescent="0.2">
      <c r="B101" s="5"/>
      <c r="C101" s="14"/>
      <c r="I101" s="4"/>
      <c r="J101" s="4"/>
      <c r="K101" s="4"/>
      <c r="L101" s="4"/>
      <c r="M101" s="4"/>
    </row>
    <row r="102" spans="1:13" ht="15" x14ac:dyDescent="0.2">
      <c r="B102" s="5"/>
      <c r="C102" s="14"/>
      <c r="I102" s="4"/>
      <c r="J102" s="4"/>
      <c r="K102" s="4"/>
      <c r="L102" s="4"/>
      <c r="M102" s="4"/>
    </row>
    <row r="103" spans="1:13" ht="15" x14ac:dyDescent="0.2">
      <c r="B103" s="5"/>
      <c r="C103" s="14"/>
      <c r="I103" s="4"/>
      <c r="J103" s="4"/>
      <c r="K103" s="4"/>
      <c r="L103" s="4"/>
      <c r="M103" s="4"/>
    </row>
    <row r="104" spans="1:13" ht="15" x14ac:dyDescent="0.2">
      <c r="B104" s="7"/>
      <c r="C104" s="14"/>
      <c r="I104" s="4"/>
      <c r="J104" s="4"/>
      <c r="K104" s="4"/>
      <c r="L104" s="4"/>
      <c r="M104" s="4"/>
    </row>
    <row r="105" spans="1:13" x14ac:dyDescent="0.2">
      <c r="I105" s="4"/>
      <c r="J105" s="4"/>
      <c r="K105" s="4"/>
      <c r="L105" s="4"/>
      <c r="M105" s="4"/>
    </row>
    <row r="106" spans="1:13" x14ac:dyDescent="0.2">
      <c r="A106" s="1"/>
      <c r="I106" s="4"/>
      <c r="J106" s="4"/>
      <c r="K106" s="4"/>
      <c r="L106" s="4"/>
      <c r="M106" s="4"/>
    </row>
    <row r="107" spans="1:13" x14ac:dyDescent="0.2">
      <c r="I107" s="4"/>
      <c r="J107" s="4"/>
      <c r="K107" s="4"/>
      <c r="L107" s="4"/>
      <c r="M107" s="4"/>
    </row>
    <row r="108" spans="1:13" x14ac:dyDescent="0.2">
      <c r="I108" s="4"/>
      <c r="J108" s="4"/>
      <c r="K108" s="4"/>
      <c r="L108" s="4"/>
      <c r="M108" s="4"/>
    </row>
    <row r="109" spans="1:13" x14ac:dyDescent="0.2">
      <c r="I109" s="4"/>
      <c r="J109" s="4"/>
      <c r="K109" s="4"/>
      <c r="L109" s="4"/>
      <c r="M109" s="4"/>
    </row>
    <row r="110" spans="1:13" x14ac:dyDescent="0.2">
      <c r="I110" s="4"/>
      <c r="J110" s="4"/>
      <c r="K110" s="4"/>
      <c r="L110" s="4"/>
      <c r="M110" s="4"/>
    </row>
    <row r="111" spans="1:13" x14ac:dyDescent="0.2">
      <c r="I111" s="4"/>
      <c r="J111" s="4"/>
      <c r="K111" s="4"/>
      <c r="L111" s="4"/>
      <c r="M111" s="4"/>
    </row>
    <row r="112" spans="1:13" x14ac:dyDescent="0.2">
      <c r="I112" s="4"/>
      <c r="J112" s="4"/>
      <c r="K112" s="4"/>
      <c r="L112" s="4"/>
      <c r="M112" s="4"/>
    </row>
    <row r="113" spans="9:13" x14ac:dyDescent="0.2">
      <c r="I113" s="4"/>
      <c r="J113" s="4"/>
      <c r="K113" s="4"/>
      <c r="L113" s="4"/>
      <c r="M113" s="4"/>
    </row>
    <row r="114" spans="9:13" x14ac:dyDescent="0.2">
      <c r="I114" s="4"/>
      <c r="J114" s="4"/>
      <c r="K114" s="4"/>
      <c r="L114" s="4"/>
      <c r="M114" s="4"/>
    </row>
    <row r="115" spans="9:13" x14ac:dyDescent="0.2">
      <c r="I115" s="4"/>
      <c r="J115" s="4"/>
      <c r="K115" s="4"/>
      <c r="L115" s="4"/>
      <c r="M115" s="4"/>
    </row>
    <row r="117" spans="9:13" x14ac:dyDescent="0.2">
      <c r="I117" s="4"/>
      <c r="J117" s="4"/>
      <c r="K117" s="4"/>
      <c r="L117" s="4"/>
      <c r="M117" s="4"/>
    </row>
    <row r="118" spans="9:13" x14ac:dyDescent="0.2">
      <c r="I118" s="4"/>
      <c r="J118" s="4"/>
      <c r="K118" s="4"/>
      <c r="L118" s="4"/>
      <c r="M118" s="4"/>
    </row>
    <row r="119" spans="9:13" x14ac:dyDescent="0.2">
      <c r="I119" s="4"/>
      <c r="J119" s="4"/>
      <c r="K119" s="4"/>
      <c r="L119" s="4"/>
      <c r="M119" s="4"/>
    </row>
    <row r="120" spans="9:13" x14ac:dyDescent="0.2">
      <c r="I120" s="4"/>
      <c r="J120" s="4"/>
      <c r="K120" s="4"/>
      <c r="L120" s="4"/>
      <c r="M120" s="4"/>
    </row>
    <row r="121" spans="9:13" x14ac:dyDescent="0.2">
      <c r="I121" s="4"/>
      <c r="J121" s="4"/>
      <c r="K121" s="4"/>
      <c r="L121" s="4"/>
      <c r="M121" s="4"/>
    </row>
    <row r="122" spans="9:13" x14ac:dyDescent="0.2">
      <c r="I122" s="4"/>
      <c r="J122" s="4"/>
      <c r="K122" s="4"/>
      <c r="L122" s="4"/>
      <c r="M122" s="4"/>
    </row>
    <row r="123" spans="9:13" x14ac:dyDescent="0.2">
      <c r="I123" s="4"/>
      <c r="J123" s="4"/>
      <c r="K123" s="4"/>
      <c r="L123" s="4"/>
      <c r="M123" s="4"/>
    </row>
    <row r="124" spans="9:13" x14ac:dyDescent="0.2">
      <c r="I124" s="4"/>
      <c r="J124" s="4"/>
      <c r="K124" s="4"/>
      <c r="L124" s="4"/>
      <c r="M124" s="4"/>
    </row>
    <row r="125" spans="9:13" x14ac:dyDescent="0.2">
      <c r="I125" s="4"/>
      <c r="J125" s="4"/>
      <c r="K125" s="4"/>
      <c r="L125" s="4"/>
      <c r="M125" s="4"/>
    </row>
    <row r="126" spans="9:13" x14ac:dyDescent="0.2">
      <c r="I126" s="4"/>
      <c r="J126" s="4"/>
      <c r="K126" s="4"/>
      <c r="L126" s="4"/>
      <c r="M126" s="4"/>
    </row>
    <row r="127" spans="9:13" x14ac:dyDescent="0.2">
      <c r="I127" s="4"/>
      <c r="J127" s="4"/>
      <c r="K127" s="4"/>
      <c r="L127" s="4"/>
      <c r="M127" s="4"/>
    </row>
    <row r="129" spans="9:13" x14ac:dyDescent="0.2">
      <c r="I129" s="4"/>
      <c r="J129" s="4"/>
      <c r="K129" s="4"/>
      <c r="L129" s="4"/>
      <c r="M129" s="4"/>
    </row>
    <row r="130" spans="9:13" x14ac:dyDescent="0.2">
      <c r="I130" s="4"/>
      <c r="J130" s="4"/>
      <c r="K130" s="4"/>
      <c r="L130" s="4"/>
      <c r="M130" s="4"/>
    </row>
    <row r="131" spans="9:13" x14ac:dyDescent="0.2">
      <c r="I131" s="4"/>
      <c r="J131" s="4"/>
      <c r="K131" s="4"/>
      <c r="L131" s="4"/>
      <c r="M131" s="4"/>
    </row>
    <row r="132" spans="9:13" x14ac:dyDescent="0.2">
      <c r="I132" s="4"/>
      <c r="J132" s="4"/>
      <c r="K132" s="4"/>
      <c r="L132" s="4"/>
      <c r="M132" s="4"/>
    </row>
    <row r="133" spans="9:13" x14ac:dyDescent="0.2">
      <c r="I133" s="4"/>
      <c r="J133" s="4"/>
      <c r="K133" s="4"/>
      <c r="L133" s="4"/>
      <c r="M133" s="4"/>
    </row>
    <row r="134" spans="9:13" x14ac:dyDescent="0.2">
      <c r="I134" s="4"/>
      <c r="J134" s="4"/>
      <c r="K134" s="4"/>
      <c r="L134" s="4"/>
      <c r="M134" s="4"/>
    </row>
    <row r="135" spans="9:13" x14ac:dyDescent="0.2">
      <c r="I135" s="4"/>
      <c r="J135" s="4"/>
      <c r="K135" s="4"/>
      <c r="L135" s="4"/>
      <c r="M135" s="4"/>
    </row>
    <row r="136" spans="9:13" x14ac:dyDescent="0.2">
      <c r="I136" s="4"/>
      <c r="J136" s="4"/>
      <c r="K136" s="4"/>
      <c r="L136" s="4"/>
      <c r="M136" s="4"/>
    </row>
    <row r="137" spans="9:13" x14ac:dyDescent="0.2">
      <c r="I137" s="4"/>
      <c r="J137" s="4"/>
      <c r="K137" s="4"/>
      <c r="L137" s="4"/>
      <c r="M137" s="4"/>
    </row>
    <row r="138" spans="9:13" x14ac:dyDescent="0.2">
      <c r="I138" s="4"/>
      <c r="J138" s="4"/>
      <c r="K138" s="4"/>
      <c r="L138" s="4"/>
      <c r="M138" s="4"/>
    </row>
    <row r="139" spans="9:13" x14ac:dyDescent="0.2">
      <c r="I139" s="4"/>
      <c r="J139" s="4"/>
      <c r="K139" s="4"/>
      <c r="L139" s="4"/>
      <c r="M139" s="4"/>
    </row>
    <row r="140" spans="9:13" x14ac:dyDescent="0.2">
      <c r="I140" s="4"/>
      <c r="J140" s="4"/>
      <c r="K140" s="4"/>
      <c r="L140" s="4"/>
      <c r="M140" s="4"/>
    </row>
    <row r="141" spans="9:13" x14ac:dyDescent="0.2">
      <c r="I141" s="4"/>
      <c r="J141" s="4"/>
      <c r="K141" s="4"/>
      <c r="L141" s="4"/>
      <c r="M141" s="4"/>
    </row>
    <row r="142" spans="9:13" x14ac:dyDescent="0.2">
      <c r="I142" s="4"/>
      <c r="J142" s="4"/>
      <c r="K142" s="4"/>
      <c r="L142" s="4"/>
      <c r="M142" s="4"/>
    </row>
    <row r="143" spans="9:13" x14ac:dyDescent="0.2">
      <c r="I143" s="4"/>
      <c r="J143" s="4"/>
      <c r="K143" s="4"/>
      <c r="L143" s="4"/>
      <c r="M143" s="4"/>
    </row>
    <row r="144" spans="9:13" x14ac:dyDescent="0.2">
      <c r="I144" s="4"/>
      <c r="J144" s="4"/>
      <c r="K144" s="4"/>
      <c r="L144" s="4"/>
      <c r="M144" s="4"/>
    </row>
    <row r="145" spans="8:13" x14ac:dyDescent="0.2">
      <c r="H145" s="4"/>
      <c r="I145" s="4"/>
      <c r="J145" s="4"/>
      <c r="K145" s="4"/>
      <c r="L145" s="4"/>
      <c r="M145" s="4"/>
    </row>
  </sheetData>
  <phoneticPr fontId="0" type="noConversion"/>
  <printOptions horizontalCentered="1"/>
  <pageMargins left="0.25" right="0.25" top="0.25" bottom="0.25" header="0.5" footer="0.5"/>
  <pageSetup scale="56" orientation="portrait" r:id="rId1"/>
  <headerFooter alignWithMargins="0"/>
  <ignoredErrors>
    <ignoredError sqref="H29 N1 H28" unlockedFormula="1"/>
    <ignoredError sqref="A25:A28 A72 A5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7D4D-976B-4F84-8671-93A808EFD328}">
  <sheetPr>
    <pageSetUpPr fitToPage="1"/>
  </sheetPr>
  <dimension ref="A1:Y145"/>
  <sheetViews>
    <sheetView tabSelected="1" zoomScale="80" zoomScaleNormal="80" workbookViewId="0">
      <selection activeCell="T34" sqref="T34"/>
    </sheetView>
  </sheetViews>
  <sheetFormatPr defaultColWidth="11" defaultRowHeight="14.25" x14ac:dyDescent="0.2"/>
  <cols>
    <col min="1" max="1" width="11" style="2"/>
    <col min="2" max="2" width="25" style="2" customWidth="1"/>
    <col min="3" max="3" width="8.7109375" style="2" customWidth="1"/>
    <col min="4" max="4" width="6.85546875" style="2" customWidth="1"/>
    <col min="5" max="5" width="8.7109375" style="2" customWidth="1"/>
    <col min="6" max="6" width="8.140625" style="2" customWidth="1"/>
    <col min="7" max="7" width="11.42578125" style="2" customWidth="1"/>
    <col min="8" max="8" width="14.7109375" style="2" bestFit="1" customWidth="1"/>
    <col min="9" max="9" width="15.140625" style="2" customWidth="1"/>
    <col min="10" max="11" width="14.42578125" style="2" customWidth="1"/>
    <col min="12" max="12" width="14.5703125" style="2" customWidth="1"/>
    <col min="13" max="13" width="3.42578125" style="2" customWidth="1"/>
    <col min="14" max="14" width="14.42578125" style="2" customWidth="1"/>
    <col min="15" max="15" width="3" style="2" customWidth="1"/>
    <col min="16" max="16" width="11" style="2"/>
    <col min="17" max="17" width="25.28515625" style="2" customWidth="1"/>
    <col min="18" max="19" width="11" style="2"/>
    <col min="20" max="20" width="12.42578125" style="69" customWidth="1"/>
    <col min="21" max="16384" width="11" style="2"/>
  </cols>
  <sheetData>
    <row r="1" spans="1:22" ht="15.75" x14ac:dyDescent="0.25">
      <c r="A1" s="38" t="s">
        <v>0</v>
      </c>
      <c r="B1" s="156" t="s">
        <v>224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  <c r="N1" s="22">
        <f ca="1">TODAY()</f>
        <v>45909</v>
      </c>
      <c r="O1" s="22"/>
      <c r="P1" s="3"/>
    </row>
    <row r="2" spans="1:22" ht="18.75" x14ac:dyDescent="0.3">
      <c r="A2" s="38" t="s">
        <v>2</v>
      </c>
      <c r="B2" s="7"/>
      <c r="C2" s="7"/>
      <c r="D2" s="2" t="s">
        <v>221</v>
      </c>
      <c r="E2" s="7"/>
      <c r="F2" s="7"/>
      <c r="G2" s="7"/>
      <c r="H2" s="46"/>
      <c r="I2" s="6"/>
      <c r="J2" s="6"/>
      <c r="K2" s="6"/>
      <c r="L2" s="6"/>
      <c r="M2" s="6"/>
      <c r="N2" s="6"/>
      <c r="O2" s="6"/>
      <c r="P2" s="3"/>
      <c r="Q2" s="168" t="s">
        <v>218</v>
      </c>
      <c r="R2" s="2">
        <v>2025</v>
      </c>
      <c r="S2" s="2" t="s">
        <v>219</v>
      </c>
    </row>
    <row r="3" spans="1:22" ht="15" x14ac:dyDescent="0.2">
      <c r="A3" s="6"/>
      <c r="B3" s="6"/>
      <c r="C3" s="6"/>
      <c r="D3" s="7"/>
      <c r="E3" s="7"/>
      <c r="F3" s="7"/>
      <c r="G3" s="7"/>
      <c r="H3" s="6" t="s">
        <v>102</v>
      </c>
      <c r="I3" s="6" t="s">
        <v>104</v>
      </c>
      <c r="J3" s="6" t="s">
        <v>133</v>
      </c>
      <c r="K3" s="6" t="s">
        <v>138</v>
      </c>
      <c r="L3" s="6" t="s">
        <v>197</v>
      </c>
      <c r="M3" s="6"/>
      <c r="N3" s="6"/>
      <c r="O3" s="6"/>
      <c r="P3" s="3"/>
    </row>
    <row r="4" spans="1:22" ht="15" x14ac:dyDescent="0.2">
      <c r="A4" s="5" t="s">
        <v>3</v>
      </c>
      <c r="B4" s="7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7"/>
      <c r="N4" s="9" t="s">
        <v>9</v>
      </c>
      <c r="O4" s="9"/>
      <c r="Q4" s="41">
        <v>45839</v>
      </c>
      <c r="R4" s="2" t="s">
        <v>95</v>
      </c>
      <c r="S4" s="2" t="s">
        <v>194</v>
      </c>
      <c r="T4" s="69" t="s">
        <v>195</v>
      </c>
    </row>
    <row r="5" spans="1:22" ht="15.75" x14ac:dyDescent="0.25">
      <c r="A5" s="87" t="s">
        <v>10</v>
      </c>
      <c r="B5" s="8" t="s">
        <v>221</v>
      </c>
      <c r="C5" s="161">
        <v>0.5</v>
      </c>
      <c r="D5" s="161">
        <v>0.5</v>
      </c>
      <c r="E5" s="161">
        <v>0.5</v>
      </c>
      <c r="F5" s="161"/>
      <c r="G5" s="61"/>
      <c r="H5" s="17">
        <f t="shared" ref="H5:H19" si="0">ROUND(Q5/9,0)*C5</f>
        <v>7940.5</v>
      </c>
      <c r="I5" s="17">
        <f t="shared" ref="I5:I19" si="1">ROUND((Q5*1.03)/9,0)*D5</f>
        <v>8178.5</v>
      </c>
      <c r="J5" s="17">
        <f t="shared" ref="J5:J19" si="2">ROUND((Q5*1.03*1.03)/9,0)*E5</f>
        <v>8424</v>
      </c>
      <c r="K5" s="17">
        <f t="shared" ref="K5:K19" si="3">ROUND((Q5*1.03*1.03*1.03)/9,0)*F5</f>
        <v>0</v>
      </c>
      <c r="L5" s="17">
        <f t="shared" ref="L5:L19" si="4">ROUND((Q5*1.03*1.03*1.03*1.03)/9,0)*G5</f>
        <v>0</v>
      </c>
      <c r="M5" s="17"/>
      <c r="N5" s="18">
        <f t="shared" ref="N5:N20" si="5">SUM(H5:L5)</f>
        <v>24543</v>
      </c>
      <c r="O5" s="18"/>
      <c r="P5" s="39"/>
      <c r="Q5" s="98">
        <v>142926</v>
      </c>
      <c r="R5" s="98">
        <v>0</v>
      </c>
      <c r="S5" s="2">
        <f>Q5/9*12</f>
        <v>190568</v>
      </c>
      <c r="T5" s="69">
        <f>S5/12</f>
        <v>15880.666666666666</v>
      </c>
      <c r="V5" s="100"/>
    </row>
    <row r="6" spans="1:22" ht="15" x14ac:dyDescent="0.2">
      <c r="A6" s="87" t="s">
        <v>11</v>
      </c>
      <c r="B6" s="8"/>
      <c r="C6" s="61"/>
      <c r="D6" s="161"/>
      <c r="E6" s="61"/>
      <c r="F6" s="61"/>
      <c r="G6" s="61"/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  <c r="L6" s="17">
        <f t="shared" si="4"/>
        <v>0</v>
      </c>
      <c r="M6" s="17"/>
      <c r="N6" s="18">
        <f t="shared" si="5"/>
        <v>0</v>
      </c>
      <c r="O6" s="18"/>
      <c r="P6" s="35"/>
      <c r="Q6" s="2">
        <f t="shared" ref="Q6:Q19" si="6">R6*1.03</f>
        <v>0</v>
      </c>
      <c r="R6" s="98">
        <v>0</v>
      </c>
      <c r="S6" s="2">
        <f t="shared" ref="S6:S9" si="7">Q6/9*12</f>
        <v>0</v>
      </c>
      <c r="T6" s="69">
        <f t="shared" ref="T6:T9" si="8">S6/12</f>
        <v>0</v>
      </c>
    </row>
    <row r="7" spans="1:22" ht="15" x14ac:dyDescent="0.2">
      <c r="A7" s="87" t="s">
        <v>12</v>
      </c>
      <c r="B7" s="8"/>
      <c r="C7" s="61"/>
      <c r="D7" s="61"/>
      <c r="E7" s="61"/>
      <c r="F7" s="61"/>
      <c r="G7" s="61"/>
      <c r="H7" s="17">
        <f t="shared" si="0"/>
        <v>0</v>
      </c>
      <c r="I7" s="17">
        <f t="shared" si="1"/>
        <v>0</v>
      </c>
      <c r="J7" s="17">
        <f t="shared" si="2"/>
        <v>0</v>
      </c>
      <c r="K7" s="17">
        <f t="shared" si="3"/>
        <v>0</v>
      </c>
      <c r="L7" s="17">
        <f t="shared" si="4"/>
        <v>0</v>
      </c>
      <c r="M7" s="17"/>
      <c r="N7" s="18">
        <f t="shared" si="5"/>
        <v>0</v>
      </c>
      <c r="O7" s="18"/>
      <c r="Q7" s="2">
        <f t="shared" si="6"/>
        <v>0</v>
      </c>
      <c r="R7" s="98">
        <v>0</v>
      </c>
      <c r="S7" s="2">
        <f t="shared" si="7"/>
        <v>0</v>
      </c>
      <c r="T7" s="69">
        <f t="shared" si="8"/>
        <v>0</v>
      </c>
    </row>
    <row r="8" spans="1:22" ht="15" x14ac:dyDescent="0.2">
      <c r="A8" s="87" t="s">
        <v>13</v>
      </c>
      <c r="B8" s="8"/>
      <c r="C8" s="61"/>
      <c r="D8" s="61"/>
      <c r="E8" s="61"/>
      <c r="F8" s="61"/>
      <c r="G8" s="61"/>
      <c r="H8" s="17">
        <f t="shared" si="0"/>
        <v>0</v>
      </c>
      <c r="I8" s="17">
        <f t="shared" si="1"/>
        <v>0</v>
      </c>
      <c r="J8" s="17">
        <f t="shared" si="2"/>
        <v>0</v>
      </c>
      <c r="K8" s="17">
        <f t="shared" si="3"/>
        <v>0</v>
      </c>
      <c r="L8" s="17">
        <f t="shared" si="4"/>
        <v>0</v>
      </c>
      <c r="M8" s="17"/>
      <c r="N8" s="18">
        <f t="shared" si="5"/>
        <v>0</v>
      </c>
      <c r="O8" s="18"/>
      <c r="Q8" s="2">
        <f t="shared" si="6"/>
        <v>0</v>
      </c>
      <c r="R8" s="98">
        <v>0</v>
      </c>
      <c r="S8" s="2">
        <f t="shared" si="7"/>
        <v>0</v>
      </c>
      <c r="T8" s="69">
        <f t="shared" si="8"/>
        <v>0</v>
      </c>
      <c r="U8" s="2" t="s">
        <v>99</v>
      </c>
    </row>
    <row r="9" spans="1:22" ht="15" x14ac:dyDescent="0.2">
      <c r="A9" s="87" t="s">
        <v>14</v>
      </c>
      <c r="B9" s="8" t="s">
        <v>1</v>
      </c>
      <c r="C9" s="61"/>
      <c r="D9" s="61"/>
      <c r="E9" s="61"/>
      <c r="F9" s="61"/>
      <c r="G9" s="61"/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7">
        <f t="shared" si="4"/>
        <v>0</v>
      </c>
      <c r="M9" s="47"/>
      <c r="N9" s="48">
        <f t="shared" si="5"/>
        <v>0</v>
      </c>
      <c r="O9" s="48"/>
      <c r="Q9" s="2">
        <f t="shared" si="6"/>
        <v>0</v>
      </c>
      <c r="R9" s="98">
        <v>0</v>
      </c>
      <c r="S9" s="2">
        <f t="shared" si="7"/>
        <v>0</v>
      </c>
      <c r="T9" s="69">
        <f t="shared" si="8"/>
        <v>0</v>
      </c>
    </row>
    <row r="10" spans="1:22" ht="15" x14ac:dyDescent="0.2">
      <c r="A10" s="87" t="s">
        <v>15</v>
      </c>
      <c r="B10" s="8"/>
      <c r="C10" s="61"/>
      <c r="D10" s="61"/>
      <c r="E10" s="61"/>
      <c r="F10" s="61"/>
      <c r="G10" s="61"/>
      <c r="H10" s="17">
        <f t="shared" si="0"/>
        <v>0</v>
      </c>
      <c r="I10" s="17">
        <f t="shared" si="1"/>
        <v>0</v>
      </c>
      <c r="J10" s="17">
        <f t="shared" si="2"/>
        <v>0</v>
      </c>
      <c r="K10" s="17">
        <f t="shared" si="3"/>
        <v>0</v>
      </c>
      <c r="L10" s="17">
        <f t="shared" si="4"/>
        <v>0</v>
      </c>
      <c r="M10" s="47"/>
      <c r="N10" s="48">
        <f t="shared" si="5"/>
        <v>0</v>
      </c>
      <c r="O10" s="48"/>
      <c r="Q10" s="2">
        <f t="shared" si="6"/>
        <v>0</v>
      </c>
    </row>
    <row r="11" spans="1:22" ht="15" hidden="1" x14ac:dyDescent="0.2">
      <c r="A11" s="87" t="s">
        <v>124</v>
      </c>
      <c r="B11" s="8"/>
      <c r="C11" s="61"/>
      <c r="D11" s="61"/>
      <c r="E11" s="61"/>
      <c r="F11" s="61"/>
      <c r="G11" s="61"/>
      <c r="H11" s="17">
        <f t="shared" si="0"/>
        <v>0</v>
      </c>
      <c r="I11" s="17">
        <f t="shared" si="1"/>
        <v>0</v>
      </c>
      <c r="J11" s="17">
        <f t="shared" si="2"/>
        <v>0</v>
      </c>
      <c r="K11" s="17">
        <f t="shared" si="3"/>
        <v>0</v>
      </c>
      <c r="L11" s="17">
        <f t="shared" si="4"/>
        <v>0</v>
      </c>
      <c r="M11" s="47"/>
      <c r="N11" s="48">
        <f t="shared" si="5"/>
        <v>0</v>
      </c>
      <c r="O11" s="48"/>
      <c r="Q11" s="2">
        <f t="shared" si="6"/>
        <v>0</v>
      </c>
    </row>
    <row r="12" spans="1:22" ht="15" hidden="1" x14ac:dyDescent="0.2">
      <c r="A12" s="87" t="s">
        <v>125</v>
      </c>
      <c r="B12" s="8"/>
      <c r="C12" s="61"/>
      <c r="D12" s="61"/>
      <c r="E12" s="61"/>
      <c r="F12" s="61"/>
      <c r="G12" s="61"/>
      <c r="H12" s="17">
        <f t="shared" si="0"/>
        <v>0</v>
      </c>
      <c r="I12" s="17">
        <f t="shared" si="1"/>
        <v>0</v>
      </c>
      <c r="J12" s="17">
        <f t="shared" si="2"/>
        <v>0</v>
      </c>
      <c r="K12" s="17">
        <f t="shared" si="3"/>
        <v>0</v>
      </c>
      <c r="L12" s="17">
        <f t="shared" si="4"/>
        <v>0</v>
      </c>
      <c r="M12" s="47"/>
      <c r="N12" s="48">
        <f t="shared" si="5"/>
        <v>0</v>
      </c>
      <c r="O12" s="48"/>
      <c r="Q12" s="2">
        <f t="shared" si="6"/>
        <v>0</v>
      </c>
    </row>
    <row r="13" spans="1:22" ht="15" hidden="1" x14ac:dyDescent="0.2">
      <c r="A13" s="87" t="s">
        <v>126</v>
      </c>
      <c r="B13" s="8"/>
      <c r="C13" s="61"/>
      <c r="D13" s="61"/>
      <c r="E13" s="61"/>
      <c r="F13" s="61"/>
      <c r="G13" s="61"/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  <c r="L13" s="17">
        <f t="shared" si="4"/>
        <v>0</v>
      </c>
      <c r="M13" s="47"/>
      <c r="N13" s="48">
        <f t="shared" si="5"/>
        <v>0</v>
      </c>
      <c r="O13" s="48"/>
      <c r="Q13" s="2">
        <f t="shared" si="6"/>
        <v>0</v>
      </c>
    </row>
    <row r="14" spans="1:22" ht="15" hidden="1" x14ac:dyDescent="0.2">
      <c r="A14" s="87" t="s">
        <v>127</v>
      </c>
      <c r="B14" s="8"/>
      <c r="C14" s="61"/>
      <c r="D14" s="61"/>
      <c r="E14" s="61"/>
      <c r="F14" s="61"/>
      <c r="G14" s="61"/>
      <c r="H14" s="17">
        <f t="shared" si="0"/>
        <v>0</v>
      </c>
      <c r="I14" s="17">
        <f t="shared" si="1"/>
        <v>0</v>
      </c>
      <c r="J14" s="17">
        <f t="shared" si="2"/>
        <v>0</v>
      </c>
      <c r="K14" s="17">
        <f t="shared" si="3"/>
        <v>0</v>
      </c>
      <c r="L14" s="17">
        <f t="shared" si="4"/>
        <v>0</v>
      </c>
      <c r="M14" s="47"/>
      <c r="N14" s="48">
        <f t="shared" si="5"/>
        <v>0</v>
      </c>
      <c r="O14" s="48"/>
      <c r="Q14" s="2">
        <f t="shared" si="6"/>
        <v>0</v>
      </c>
    </row>
    <row r="15" spans="1:22" ht="15" hidden="1" x14ac:dyDescent="0.2">
      <c r="A15" s="87" t="s">
        <v>128</v>
      </c>
      <c r="B15" s="8"/>
      <c r="C15" s="61"/>
      <c r="D15" s="61"/>
      <c r="E15" s="61"/>
      <c r="F15" s="61"/>
      <c r="G15" s="61"/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  <c r="L15" s="17">
        <f t="shared" si="4"/>
        <v>0</v>
      </c>
      <c r="M15" s="47"/>
      <c r="N15" s="48">
        <f t="shared" si="5"/>
        <v>0</v>
      </c>
      <c r="O15" s="48"/>
      <c r="Q15" s="2">
        <f t="shared" si="6"/>
        <v>0</v>
      </c>
    </row>
    <row r="16" spans="1:22" ht="15" hidden="1" x14ac:dyDescent="0.2">
      <c r="A16" s="87" t="s">
        <v>129</v>
      </c>
      <c r="B16" s="8"/>
      <c r="C16" s="61"/>
      <c r="D16" s="61"/>
      <c r="E16" s="61"/>
      <c r="F16" s="61"/>
      <c r="G16" s="61"/>
      <c r="H16" s="17">
        <f t="shared" si="0"/>
        <v>0</v>
      </c>
      <c r="I16" s="17">
        <f t="shared" si="1"/>
        <v>0</v>
      </c>
      <c r="J16" s="17">
        <f t="shared" si="2"/>
        <v>0</v>
      </c>
      <c r="K16" s="17">
        <f t="shared" si="3"/>
        <v>0</v>
      </c>
      <c r="L16" s="17">
        <f t="shared" si="4"/>
        <v>0</v>
      </c>
      <c r="M16" s="47"/>
      <c r="N16" s="48">
        <f t="shared" si="5"/>
        <v>0</v>
      </c>
      <c r="O16" s="48"/>
      <c r="Q16" s="2">
        <f t="shared" si="6"/>
        <v>0</v>
      </c>
    </row>
    <row r="17" spans="1:25" ht="15" hidden="1" x14ac:dyDescent="0.2">
      <c r="A17" s="87" t="s">
        <v>130</v>
      </c>
      <c r="B17" s="8"/>
      <c r="C17" s="61"/>
      <c r="D17" s="61"/>
      <c r="E17" s="61"/>
      <c r="F17" s="61"/>
      <c r="G17" s="61"/>
      <c r="H17" s="17">
        <f t="shared" si="0"/>
        <v>0</v>
      </c>
      <c r="I17" s="17">
        <f t="shared" si="1"/>
        <v>0</v>
      </c>
      <c r="J17" s="17">
        <f t="shared" si="2"/>
        <v>0</v>
      </c>
      <c r="K17" s="17">
        <f t="shared" si="3"/>
        <v>0</v>
      </c>
      <c r="L17" s="17">
        <f t="shared" si="4"/>
        <v>0</v>
      </c>
      <c r="M17" s="47"/>
      <c r="N17" s="48">
        <f t="shared" si="5"/>
        <v>0</v>
      </c>
      <c r="O17" s="48"/>
      <c r="Q17" s="2">
        <f t="shared" si="6"/>
        <v>0</v>
      </c>
    </row>
    <row r="18" spans="1:25" ht="15" hidden="1" x14ac:dyDescent="0.2">
      <c r="A18" s="87" t="s">
        <v>131</v>
      </c>
      <c r="B18" s="8"/>
      <c r="C18" s="61"/>
      <c r="D18" s="61"/>
      <c r="E18" s="61"/>
      <c r="F18" s="61"/>
      <c r="G18" s="61"/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  <c r="L18" s="17">
        <f t="shared" si="4"/>
        <v>0</v>
      </c>
      <c r="M18" s="47"/>
      <c r="N18" s="48">
        <f t="shared" si="5"/>
        <v>0</v>
      </c>
      <c r="O18" s="48"/>
      <c r="Q18" s="2">
        <f t="shared" si="6"/>
        <v>0</v>
      </c>
    </row>
    <row r="19" spans="1:25" ht="15" hidden="1" x14ac:dyDescent="0.2">
      <c r="A19" s="87" t="s">
        <v>132</v>
      </c>
      <c r="B19" s="8"/>
      <c r="C19" s="61"/>
      <c r="D19" s="61"/>
      <c r="E19" s="61"/>
      <c r="F19" s="61"/>
      <c r="G19" s="61"/>
      <c r="H19" s="17">
        <f t="shared" si="0"/>
        <v>0</v>
      </c>
      <c r="I19" s="17">
        <f t="shared" si="1"/>
        <v>0</v>
      </c>
      <c r="J19" s="17">
        <f t="shared" si="2"/>
        <v>0</v>
      </c>
      <c r="K19" s="17">
        <f t="shared" si="3"/>
        <v>0</v>
      </c>
      <c r="L19" s="17">
        <f t="shared" si="4"/>
        <v>0</v>
      </c>
      <c r="M19" s="49"/>
      <c r="N19" s="50">
        <f t="shared" si="5"/>
        <v>0</v>
      </c>
      <c r="O19" s="48"/>
      <c r="Q19" s="2">
        <f t="shared" si="6"/>
        <v>0</v>
      </c>
    </row>
    <row r="20" spans="1:25" ht="15" x14ac:dyDescent="0.2">
      <c r="A20" s="5" t="s">
        <v>16</v>
      </c>
      <c r="B20" s="7"/>
      <c r="C20" s="7"/>
      <c r="D20" s="6">
        <v>0</v>
      </c>
      <c r="E20" s="6"/>
      <c r="F20" s="6"/>
      <c r="G20" s="6"/>
      <c r="H20" s="17">
        <f>SUM(H5:H19)</f>
        <v>7940.5</v>
      </c>
      <c r="I20" s="17">
        <f>SUM(I5:I19)</f>
        <v>8178.5</v>
      </c>
      <c r="J20" s="17">
        <f>SUM(J5:J19)</f>
        <v>8424</v>
      </c>
      <c r="K20" s="17">
        <f>SUM(K5:K19)</f>
        <v>0</v>
      </c>
      <c r="L20" s="17">
        <f>SUM(L5:L19)</f>
        <v>0</v>
      </c>
      <c r="M20" s="19" t="s">
        <v>1</v>
      </c>
      <c r="N20" s="18">
        <f t="shared" si="5"/>
        <v>24543</v>
      </c>
      <c r="O20" s="18"/>
    </row>
    <row r="21" spans="1:25" ht="15" x14ac:dyDescent="0.2">
      <c r="A21" s="5" t="s">
        <v>17</v>
      </c>
      <c r="B21" s="7"/>
      <c r="C21" s="7">
        <f>SUM(C5:C19)</f>
        <v>0.5</v>
      </c>
      <c r="D21" s="7">
        <f t="shared" ref="D21:G21" si="9">SUM(D5:D19)</f>
        <v>0.5</v>
      </c>
      <c r="E21" s="7">
        <f t="shared" si="9"/>
        <v>0.5</v>
      </c>
      <c r="F21" s="7">
        <f t="shared" si="9"/>
        <v>0</v>
      </c>
      <c r="G21" s="7">
        <f t="shared" si="9"/>
        <v>0</v>
      </c>
      <c r="H21" s="18"/>
      <c r="I21" s="18"/>
      <c r="J21" s="18"/>
      <c r="K21" s="18"/>
      <c r="L21" s="18"/>
      <c r="M21" s="19"/>
      <c r="N21" s="18"/>
      <c r="O21" s="18"/>
    </row>
    <row r="22" spans="1:25" ht="15" x14ac:dyDescent="0.2">
      <c r="A22" s="5"/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9"/>
      <c r="N22" s="18"/>
      <c r="O22" s="18"/>
    </row>
    <row r="23" spans="1:25" ht="15" x14ac:dyDescent="0.2">
      <c r="A23" s="5" t="s">
        <v>18</v>
      </c>
      <c r="B23" s="7"/>
      <c r="C23" s="7"/>
      <c r="D23" s="7"/>
      <c r="E23" s="7"/>
      <c r="F23" s="7"/>
      <c r="G23" s="7"/>
      <c r="H23" s="20"/>
      <c r="I23" s="19" t="s">
        <v>1</v>
      </c>
      <c r="J23" s="20"/>
      <c r="K23" s="20"/>
      <c r="L23" s="20"/>
      <c r="M23" s="20"/>
      <c r="N23" s="20"/>
      <c r="O23" s="20"/>
      <c r="Q23" s="2" t="s">
        <v>19</v>
      </c>
    </row>
    <row r="24" spans="1:25" ht="15" x14ac:dyDescent="0.2">
      <c r="A24" s="45" t="s">
        <v>20</v>
      </c>
      <c r="B24" s="42" t="s">
        <v>21</v>
      </c>
      <c r="C24" s="7"/>
      <c r="D24" s="7"/>
      <c r="E24" s="7"/>
      <c r="F24" s="7"/>
      <c r="G24" s="7"/>
      <c r="H24" s="17">
        <v>0</v>
      </c>
      <c r="I24" s="17">
        <f t="shared" ref="I24:L25" si="10">ROUND(H24*1.03,0)</f>
        <v>0</v>
      </c>
      <c r="J24" s="17">
        <f t="shared" si="10"/>
        <v>0</v>
      </c>
      <c r="K24" s="17">
        <f t="shared" si="10"/>
        <v>0</v>
      </c>
      <c r="L24" s="17">
        <f t="shared" si="10"/>
        <v>0</v>
      </c>
      <c r="M24" s="17"/>
      <c r="N24" s="18">
        <f t="shared" ref="N24:N30" si="11">SUM(H24:L24)</f>
        <v>0</v>
      </c>
      <c r="O24" s="18"/>
      <c r="P24" s="24"/>
      <c r="Q24" s="32" t="s">
        <v>22</v>
      </c>
      <c r="R24" s="32" t="s">
        <v>105</v>
      </c>
      <c r="S24" s="33" t="s">
        <v>23</v>
      </c>
      <c r="T24" s="68"/>
    </row>
    <row r="25" spans="1:25" ht="15.75" x14ac:dyDescent="0.25">
      <c r="A25" s="10" t="s">
        <v>11</v>
      </c>
      <c r="B25" s="42" t="s">
        <v>24</v>
      </c>
      <c r="C25" s="43"/>
      <c r="D25" s="7"/>
      <c r="E25" s="7"/>
      <c r="F25" s="7"/>
      <c r="G25" s="7" t="s">
        <v>1</v>
      </c>
      <c r="H25" s="17">
        <v>0</v>
      </c>
      <c r="I25" s="17">
        <f t="shared" si="10"/>
        <v>0</v>
      </c>
      <c r="J25" s="17">
        <f t="shared" si="10"/>
        <v>0</v>
      </c>
      <c r="K25" s="17">
        <f t="shared" si="10"/>
        <v>0</v>
      </c>
      <c r="L25" s="17">
        <f t="shared" si="10"/>
        <v>0</v>
      </c>
      <c r="M25" s="17"/>
      <c r="N25" s="18">
        <f t="shared" si="11"/>
        <v>0</v>
      </c>
      <c r="O25" s="18"/>
      <c r="P25" s="24"/>
      <c r="Q25" s="25"/>
      <c r="R25" s="34"/>
      <c r="S25" s="26"/>
      <c r="T25" s="70"/>
      <c r="U25" s="2" t="s">
        <v>196</v>
      </c>
      <c r="X25" s="28"/>
      <c r="Y25" s="60"/>
    </row>
    <row r="26" spans="1:25" ht="15" x14ac:dyDescent="0.2">
      <c r="A26" s="10" t="s">
        <v>12</v>
      </c>
      <c r="B26" s="42" t="s">
        <v>26</v>
      </c>
      <c r="C26" s="44"/>
      <c r="D26" s="7"/>
      <c r="E26" s="21" t="s">
        <v>1</v>
      </c>
      <c r="F26" s="21" t="s">
        <v>1</v>
      </c>
      <c r="G26" s="12" t="s">
        <v>1</v>
      </c>
      <c r="H26" s="17">
        <f>ROUND(S32+PA!D6,0)</f>
        <v>45456</v>
      </c>
      <c r="I26" s="17">
        <f>ROUND(S40+PA!D9,0)</f>
        <v>47729</v>
      </c>
      <c r="J26" s="17">
        <f>ROUND(S48+PA!D12,0)</f>
        <v>50115</v>
      </c>
      <c r="K26" s="17">
        <f>ROUND(S56+PA!D15,0)</f>
        <v>0</v>
      </c>
      <c r="L26" s="17">
        <f>ROUND(S64+PA!D18,0)</f>
        <v>0</v>
      </c>
      <c r="M26" s="17"/>
      <c r="N26" s="18">
        <f t="shared" si="11"/>
        <v>143300</v>
      </c>
      <c r="O26" s="18"/>
      <c r="P26" s="27" t="s">
        <v>25</v>
      </c>
      <c r="Q26" s="2">
        <v>0</v>
      </c>
      <c r="R26" s="28" t="s">
        <v>96</v>
      </c>
      <c r="S26" s="29">
        <f>ROUND(Q26*T26,0)</f>
        <v>0</v>
      </c>
      <c r="T26" s="88">
        <v>30482</v>
      </c>
      <c r="U26" s="2" t="s">
        <v>100</v>
      </c>
      <c r="X26" s="28"/>
      <c r="Y26" s="60"/>
    </row>
    <row r="27" spans="1:25" ht="15.75" x14ac:dyDescent="0.25">
      <c r="A27" s="10" t="s">
        <v>13</v>
      </c>
      <c r="B27" s="42" t="s">
        <v>27</v>
      </c>
      <c r="C27" s="43"/>
      <c r="D27" s="7" t="s">
        <v>1</v>
      </c>
      <c r="E27" s="7"/>
      <c r="F27" s="7" t="s">
        <v>1</v>
      </c>
      <c r="G27" s="7"/>
      <c r="H27" s="47">
        <v>0</v>
      </c>
      <c r="I27" s="17">
        <f t="shared" ref="I27:L29" si="12">ROUND(H27*1.03,0)</f>
        <v>0</v>
      </c>
      <c r="J27" s="17">
        <f t="shared" si="12"/>
        <v>0</v>
      </c>
      <c r="K27" s="17">
        <f t="shared" si="12"/>
        <v>0</v>
      </c>
      <c r="L27" s="17">
        <f t="shared" si="12"/>
        <v>0</v>
      </c>
      <c r="M27" s="47"/>
      <c r="N27" s="48">
        <f t="shared" si="11"/>
        <v>0</v>
      </c>
      <c r="O27" s="51"/>
      <c r="P27" s="27"/>
      <c r="Q27" s="2">
        <v>0</v>
      </c>
      <c r="R27" s="28" t="s">
        <v>97</v>
      </c>
      <c r="S27" s="29">
        <f>ROUND(Q27*T27,0)</f>
        <v>0</v>
      </c>
      <c r="T27" s="88">
        <v>32282</v>
      </c>
      <c r="U27" s="2" t="s">
        <v>103</v>
      </c>
      <c r="X27" s="28"/>
      <c r="Y27" s="60"/>
    </row>
    <row r="28" spans="1:25" ht="15.75" x14ac:dyDescent="0.25">
      <c r="A28" s="10" t="s">
        <v>14</v>
      </c>
      <c r="B28" s="42" t="s">
        <v>28</v>
      </c>
      <c r="C28" s="43"/>
      <c r="D28" s="7">
        <v>0</v>
      </c>
      <c r="E28" s="7"/>
      <c r="F28" s="7"/>
      <c r="G28" s="7" t="s">
        <v>1</v>
      </c>
      <c r="H28" s="47">
        <v>0</v>
      </c>
      <c r="I28" s="17">
        <f t="shared" si="12"/>
        <v>0</v>
      </c>
      <c r="J28" s="17">
        <f t="shared" si="12"/>
        <v>0</v>
      </c>
      <c r="K28" s="17">
        <f t="shared" si="12"/>
        <v>0</v>
      </c>
      <c r="L28" s="17">
        <f t="shared" si="12"/>
        <v>0</v>
      </c>
      <c r="M28" s="47"/>
      <c r="N28" s="48">
        <f t="shared" si="11"/>
        <v>0</v>
      </c>
      <c r="O28" s="51"/>
      <c r="P28" s="27"/>
      <c r="Q28" s="2">
        <v>1</v>
      </c>
      <c r="R28" s="28" t="s">
        <v>98</v>
      </c>
      <c r="S28" s="29">
        <f>ROUND(Q28*T28,0)</f>
        <v>34092</v>
      </c>
      <c r="T28" s="88">
        <v>34092</v>
      </c>
      <c r="U28" s="2" t="s">
        <v>101</v>
      </c>
      <c r="V28" s="101" t="s">
        <v>143</v>
      </c>
      <c r="W28" s="101" t="s">
        <v>144</v>
      </c>
      <c r="X28" s="28"/>
      <c r="Y28" s="60"/>
    </row>
    <row r="29" spans="1:25" ht="15.75" x14ac:dyDescent="0.25">
      <c r="A29" s="10">
        <v>6</v>
      </c>
      <c r="B29" s="42" t="s">
        <v>29</v>
      </c>
      <c r="C29" s="43"/>
      <c r="D29" s="7"/>
      <c r="E29" s="7"/>
      <c r="F29" s="7"/>
      <c r="G29" s="7"/>
      <c r="H29" s="49">
        <v>0</v>
      </c>
      <c r="I29" s="49">
        <f t="shared" si="12"/>
        <v>0</v>
      </c>
      <c r="J29" s="49">
        <f t="shared" si="12"/>
        <v>0</v>
      </c>
      <c r="K29" s="49">
        <f t="shared" si="12"/>
        <v>0</v>
      </c>
      <c r="L29" s="49">
        <f t="shared" si="12"/>
        <v>0</v>
      </c>
      <c r="M29" s="49"/>
      <c r="N29" s="50">
        <f t="shared" si="11"/>
        <v>0</v>
      </c>
      <c r="O29" s="51"/>
      <c r="P29" s="27" t="s">
        <v>30</v>
      </c>
      <c r="Q29" s="2">
        <v>0</v>
      </c>
      <c r="R29" s="99" t="s">
        <v>96</v>
      </c>
      <c r="S29" s="29">
        <f t="shared" ref="S29:S30" si="13">ROUND(Q29*(T29/9)*3,0)</f>
        <v>0</v>
      </c>
      <c r="T29" s="88">
        <f>T26</f>
        <v>30482</v>
      </c>
      <c r="U29" s="2" t="s">
        <v>96</v>
      </c>
      <c r="V29" s="72">
        <f>(T26/9)*12</f>
        <v>40642.666666666664</v>
      </c>
      <c r="W29" s="72">
        <f>V29/12</f>
        <v>3386.8888888888887</v>
      </c>
      <c r="Y29" s="60"/>
    </row>
    <row r="30" spans="1:25" ht="15" x14ac:dyDescent="0.2">
      <c r="A30" s="5" t="s">
        <v>31</v>
      </c>
      <c r="B30" s="7"/>
      <c r="C30" s="7"/>
      <c r="D30" s="7"/>
      <c r="E30" s="7"/>
      <c r="F30" s="7"/>
      <c r="G30" s="7"/>
      <c r="H30" s="18">
        <f>((+H20+H24+H25+H26+H27+H28+H29))</f>
        <v>53396.5</v>
      </c>
      <c r="I30" s="18">
        <f>((+I20+I24+I25+I26+I27+I28+I29))</f>
        <v>55907.5</v>
      </c>
      <c r="J30" s="18">
        <f>((+J20+J24+J25+J26+J27+J28+J29))</f>
        <v>58539</v>
      </c>
      <c r="K30" s="18">
        <f>((+K20+K24+K25+K26+K27+K28+K29))</f>
        <v>0</v>
      </c>
      <c r="L30" s="18">
        <f>((+L20+L24+L25+L26+L27+L28+L29))</f>
        <v>0</v>
      </c>
      <c r="M30" s="20"/>
      <c r="N30" s="18">
        <f t="shared" si="11"/>
        <v>167843</v>
      </c>
      <c r="O30" s="51"/>
      <c r="P30" s="27"/>
      <c r="Q30" s="2">
        <v>0</v>
      </c>
      <c r="R30" s="99" t="s">
        <v>97</v>
      </c>
      <c r="S30" s="29">
        <f t="shared" si="13"/>
        <v>0</v>
      </c>
      <c r="T30" s="88">
        <f>T27</f>
        <v>32282</v>
      </c>
      <c r="U30" s="2" t="s">
        <v>97</v>
      </c>
      <c r="V30" s="72">
        <f t="shared" ref="V30:V31" si="14">(T27/9)*12</f>
        <v>43042.666666666664</v>
      </c>
      <c r="W30" s="72">
        <f t="shared" ref="W30:W31" si="15">V30/12</f>
        <v>3586.8888888888887</v>
      </c>
    </row>
    <row r="31" spans="1:25" ht="15" x14ac:dyDescent="0.2">
      <c r="A31" s="7"/>
      <c r="B31" s="7"/>
      <c r="C31" s="7"/>
      <c r="D31" s="7"/>
      <c r="E31" s="7"/>
      <c r="F31" s="7"/>
      <c r="G31" s="7"/>
      <c r="H31" s="20"/>
      <c r="I31" s="20"/>
      <c r="J31" s="20"/>
      <c r="K31" s="20"/>
      <c r="L31" s="20"/>
      <c r="M31" s="20"/>
      <c r="N31" s="20"/>
      <c r="O31" s="54"/>
      <c r="P31" s="27"/>
      <c r="Q31" s="2">
        <v>1</v>
      </c>
      <c r="R31" s="99" t="s">
        <v>98</v>
      </c>
      <c r="S31" s="29">
        <f>ROUND(Q31*(T31/9)*3,0)</f>
        <v>11364</v>
      </c>
      <c r="T31" s="88">
        <f>T28</f>
        <v>34092</v>
      </c>
      <c r="U31" s="2" t="s">
        <v>98</v>
      </c>
      <c r="V31" s="72">
        <f t="shared" si="14"/>
        <v>45456</v>
      </c>
      <c r="W31" s="72">
        <f t="shared" si="15"/>
        <v>3788</v>
      </c>
    </row>
    <row r="32" spans="1:25" ht="15" x14ac:dyDescent="0.2">
      <c r="A32" s="5" t="s">
        <v>33</v>
      </c>
      <c r="B32" s="7"/>
      <c r="C32" s="7"/>
      <c r="D32" s="7"/>
      <c r="E32" s="7"/>
      <c r="F32" s="7"/>
      <c r="G32" s="7"/>
      <c r="H32" s="20"/>
      <c r="I32" s="20"/>
      <c r="J32" s="20"/>
      <c r="K32" s="20"/>
      <c r="L32" s="20"/>
      <c r="M32" s="20"/>
      <c r="N32" s="20"/>
      <c r="O32" s="54"/>
      <c r="P32" s="27"/>
      <c r="Q32" s="58">
        <f>SUM(Q26:Q28)</f>
        <v>1</v>
      </c>
      <c r="S32" s="59">
        <f>SUM(S26:S31)</f>
        <v>45456</v>
      </c>
      <c r="T32" s="71"/>
    </row>
    <row r="33" spans="1:23" ht="15" x14ac:dyDescent="0.2">
      <c r="A33" s="11">
        <f>Fringe!C5</f>
        <v>0.35299999999999998</v>
      </c>
      <c r="B33" s="5" t="s">
        <v>34</v>
      </c>
      <c r="C33" s="11">
        <f>Fringe!C6</f>
        <v>0.19900000000000001</v>
      </c>
      <c r="D33" s="5" t="s">
        <v>35</v>
      </c>
      <c r="E33" s="5"/>
      <c r="F33" s="11">
        <f>Fringe!C9</f>
        <v>4.2000000000000003E-2</v>
      </c>
      <c r="G33" s="5" t="s">
        <v>36</v>
      </c>
      <c r="H33" s="52"/>
      <c r="I33" s="53"/>
      <c r="J33" s="53"/>
      <c r="K33" s="53"/>
      <c r="L33" s="53"/>
      <c r="M33" s="53"/>
      <c r="N33" s="53"/>
      <c r="O33" s="54"/>
      <c r="P33" s="27"/>
      <c r="R33" s="28"/>
      <c r="S33" s="29"/>
      <c r="T33" s="68"/>
    </row>
    <row r="34" spans="1:23" ht="15" x14ac:dyDescent="0.2">
      <c r="A34" s="11">
        <f>Fringe!C7</f>
        <v>0.215</v>
      </c>
      <c r="B34" s="5" t="s">
        <v>37</v>
      </c>
      <c r="C34" s="11">
        <f>Fringe!C8</f>
        <v>0.39500000000000002</v>
      </c>
      <c r="D34" s="5" t="s">
        <v>38</v>
      </c>
      <c r="E34" s="5"/>
      <c r="F34" s="64">
        <f>Fringe!C10</f>
        <v>0.17199999999999999</v>
      </c>
      <c r="G34" s="7" t="s">
        <v>92</v>
      </c>
      <c r="H34" s="50">
        <f>ROUND(Fringe!$C$5*(H20)+Fringe!$C$5*H25+Fringe!$C$6*H24+Fringe!$C$7*H26+Fringe!$C$7*H28+Fringe!$C$10*H29+Fringe!$C$9*H27,0)</f>
        <v>12576</v>
      </c>
      <c r="I34" s="50">
        <f>ROUND(Fringe!$D$5*(I20)+Fringe!$D$5*I25+Fringe!$D$6*I24+Fringe!$D$7*I26+Fringe!$D$7*I28+Fringe!$D$10*I29+Fringe!$D$9*I27,0)</f>
        <v>13708</v>
      </c>
      <c r="J34" s="50">
        <f>ROUND(Fringe!$E$5*(J20)+Fringe!$E$5*J25+Fringe!$E$6*J24+Fringe!$E$7*J26+Fringe!$E$7*J28+Fringe!$E$9*J29+Fringe!$E$9*J27,0)</f>
        <v>14919</v>
      </c>
      <c r="K34" s="50">
        <f>ROUND(Fringe!$F$5*(K20)+Fringe!$F$5*K25+Fringe!$F$6*K24+Fringe!$F$7*K26+Fringe!$F$7*K28+Fringe!$F$9*K29+Fringe!$F$9*K27,0)</f>
        <v>0</v>
      </c>
      <c r="L34" s="50">
        <f>ROUND(Fringe!$G$5*(L20)+Fringe!$G$5*L25+Fringe!$G$6*L24+Fringe!$G$7*L26+Fringe!$G$7*L28+Fringe!$G$9*L29+Fringe!$G$9*L27,0)</f>
        <v>0</v>
      </c>
      <c r="M34" s="50" t="s">
        <v>1</v>
      </c>
      <c r="N34" s="50">
        <f>SUM(H34:L34)</f>
        <v>41203</v>
      </c>
      <c r="O34" s="51"/>
      <c r="P34" s="27" t="s">
        <v>32</v>
      </c>
      <c r="Q34" s="2">
        <v>0</v>
      </c>
      <c r="R34" s="28" t="s">
        <v>96</v>
      </c>
      <c r="S34" s="29">
        <f>ROUND(Q34*T34,0)</f>
        <v>0</v>
      </c>
      <c r="T34" s="68">
        <f>T26*1.05</f>
        <v>32006.100000000002</v>
      </c>
      <c r="U34" s="2" t="s">
        <v>100</v>
      </c>
    </row>
    <row r="35" spans="1:23" ht="15" x14ac:dyDescent="0.2">
      <c r="A35" s="5" t="s">
        <v>39</v>
      </c>
      <c r="B35" s="7"/>
      <c r="C35" s="7"/>
      <c r="D35" s="7"/>
      <c r="E35" s="7"/>
      <c r="F35" s="7"/>
      <c r="G35" s="7"/>
      <c r="H35" s="18">
        <f>H34+H30</f>
        <v>65972.5</v>
      </c>
      <c r="I35" s="18">
        <f>I34+I30</f>
        <v>69615.5</v>
      </c>
      <c r="J35" s="18">
        <f>J34+J30</f>
        <v>73458</v>
      </c>
      <c r="K35" s="18">
        <f>K34+K30</f>
        <v>0</v>
      </c>
      <c r="L35" s="18">
        <f>L34+L30</f>
        <v>0</v>
      </c>
      <c r="M35" s="20"/>
      <c r="N35" s="18">
        <f t="shared" ref="N35:N41" si="16">SUM(H35:L35)</f>
        <v>209046</v>
      </c>
      <c r="O35" s="51"/>
      <c r="P35" s="27"/>
      <c r="Q35" s="2">
        <v>0</v>
      </c>
      <c r="R35" s="28" t="s">
        <v>97</v>
      </c>
      <c r="S35" s="29">
        <f>ROUND(Q35*T35,0)</f>
        <v>0</v>
      </c>
      <c r="T35" s="68">
        <f>T27*1.05</f>
        <v>33896.1</v>
      </c>
      <c r="U35" s="2" t="s">
        <v>103</v>
      </c>
    </row>
    <row r="36" spans="1:23" ht="15.75" x14ac:dyDescent="0.25">
      <c r="A36" s="5"/>
      <c r="B36" s="7"/>
      <c r="C36" s="7"/>
      <c r="D36" s="7"/>
      <c r="E36" s="7"/>
      <c r="F36" s="7"/>
      <c r="G36" s="7"/>
      <c r="H36" s="18"/>
      <c r="I36" s="18"/>
      <c r="J36" s="18"/>
      <c r="K36" s="18"/>
      <c r="L36" s="18"/>
      <c r="M36" s="20"/>
      <c r="N36" s="18"/>
      <c r="O36" s="51"/>
      <c r="P36" s="27"/>
      <c r="Q36" s="2">
        <v>1</v>
      </c>
      <c r="R36" s="28" t="s">
        <v>98</v>
      </c>
      <c r="S36" s="29">
        <f>ROUND(Q36*T36,0)</f>
        <v>35797</v>
      </c>
      <c r="T36" s="68">
        <f>T28*1.05</f>
        <v>35796.6</v>
      </c>
      <c r="U36" s="2" t="s">
        <v>101</v>
      </c>
      <c r="V36" s="101" t="s">
        <v>143</v>
      </c>
      <c r="W36" s="101" t="s">
        <v>144</v>
      </c>
    </row>
    <row r="37" spans="1:23" ht="15" x14ac:dyDescent="0.2">
      <c r="A37" s="5" t="s">
        <v>40</v>
      </c>
      <c r="B37" s="7"/>
      <c r="C37" s="7"/>
      <c r="D37" s="7"/>
      <c r="E37" s="7"/>
      <c r="F37" s="7"/>
      <c r="G37" s="7"/>
      <c r="H37" s="20"/>
      <c r="I37" s="20"/>
      <c r="J37" s="20"/>
      <c r="K37" s="20"/>
      <c r="L37" s="20"/>
      <c r="M37" s="20"/>
      <c r="N37" s="20"/>
      <c r="O37" s="54"/>
      <c r="P37" s="27" t="s">
        <v>30</v>
      </c>
      <c r="Q37" s="2">
        <v>0</v>
      </c>
      <c r="R37" s="99" t="s">
        <v>96</v>
      </c>
      <c r="S37" s="29">
        <f t="shared" ref="S37:S38" si="17">ROUND(Q37*(T37/9)*3,0)</f>
        <v>0</v>
      </c>
      <c r="T37" s="68">
        <f>T34</f>
        <v>32006.100000000002</v>
      </c>
      <c r="U37" s="2" t="s">
        <v>96</v>
      </c>
      <c r="V37" s="72">
        <f>(T34/9)*12</f>
        <v>42674.8</v>
      </c>
      <c r="W37" s="72">
        <f>V37/12</f>
        <v>3556.2333333333336</v>
      </c>
    </row>
    <row r="38" spans="1:23" ht="15" x14ac:dyDescent="0.2">
      <c r="A38" s="5" t="s">
        <v>42</v>
      </c>
      <c r="B38" s="7"/>
      <c r="C38" s="7"/>
      <c r="D38" s="7"/>
      <c r="E38" s="7"/>
      <c r="F38" s="7"/>
      <c r="G38" s="7"/>
      <c r="H38" s="17"/>
      <c r="I38" s="17">
        <v>0</v>
      </c>
      <c r="J38" s="17">
        <v>0</v>
      </c>
      <c r="K38" s="17">
        <v>0</v>
      </c>
      <c r="L38" s="17">
        <v>0</v>
      </c>
      <c r="M38" s="17"/>
      <c r="N38" s="18">
        <f t="shared" si="16"/>
        <v>0</v>
      </c>
      <c r="O38" s="51"/>
      <c r="P38" s="27"/>
      <c r="Q38" s="2">
        <v>0</v>
      </c>
      <c r="R38" s="99" t="s">
        <v>97</v>
      </c>
      <c r="S38" s="29">
        <f t="shared" si="17"/>
        <v>0</v>
      </c>
      <c r="T38" s="68">
        <f>T35</f>
        <v>33896.1</v>
      </c>
      <c r="U38" s="2" t="s">
        <v>97</v>
      </c>
      <c r="V38" s="72">
        <f>(T35/9)*12</f>
        <v>45194.799999999996</v>
      </c>
      <c r="W38" s="72">
        <f t="shared" ref="W38:W39" si="18">V38/12</f>
        <v>3766.2333333333331</v>
      </c>
    </row>
    <row r="39" spans="1:23" ht="15" x14ac:dyDescent="0.2">
      <c r="A39" s="5" t="s">
        <v>43</v>
      </c>
      <c r="B39" s="7"/>
      <c r="C39" s="7"/>
      <c r="D39" s="7"/>
      <c r="E39" s="7"/>
      <c r="F39" s="7"/>
      <c r="G39" s="7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/>
      <c r="N39" s="18">
        <f t="shared" si="16"/>
        <v>0</v>
      </c>
      <c r="O39" s="51"/>
      <c r="P39" s="27"/>
      <c r="Q39" s="2">
        <v>1</v>
      </c>
      <c r="R39" s="99" t="s">
        <v>98</v>
      </c>
      <c r="S39" s="29">
        <f>ROUND(Q39*(T39/9)*3,0)</f>
        <v>11932</v>
      </c>
      <c r="T39" s="68">
        <f>T36</f>
        <v>35796.6</v>
      </c>
      <c r="U39" s="2" t="s">
        <v>98</v>
      </c>
      <c r="V39" s="72">
        <f>(T36/9)*12</f>
        <v>47728.799999999996</v>
      </c>
      <c r="W39" s="72">
        <f t="shared" si="18"/>
        <v>3977.3999999999996</v>
      </c>
    </row>
    <row r="40" spans="1:23" ht="15" x14ac:dyDescent="0.2">
      <c r="A40" s="5"/>
      <c r="B40" s="7"/>
      <c r="C40" s="7"/>
      <c r="D40" s="7"/>
      <c r="E40" s="7"/>
      <c r="F40" s="7"/>
      <c r="G40" s="7"/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/>
      <c r="N40" s="48">
        <f t="shared" si="16"/>
        <v>0</v>
      </c>
      <c r="O40" s="51"/>
      <c r="Q40" s="58">
        <f>SUM(Q34:Q36)</f>
        <v>1</v>
      </c>
      <c r="S40" s="59">
        <f>SUM(S34:S39)</f>
        <v>47729</v>
      </c>
      <c r="T40" s="71"/>
    </row>
    <row r="41" spans="1:23" ht="15" x14ac:dyDescent="0.2">
      <c r="A41" s="5"/>
      <c r="B41" s="7"/>
      <c r="C41" s="7"/>
      <c r="D41" s="7"/>
      <c r="E41" s="7"/>
      <c r="F41" s="7"/>
      <c r="G41" s="7"/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/>
      <c r="N41" s="50">
        <f t="shared" si="16"/>
        <v>0</v>
      </c>
      <c r="O41" s="51"/>
      <c r="P41" s="27"/>
      <c r="R41" s="28"/>
      <c r="S41" s="29">
        <f>S33*1.03</f>
        <v>0</v>
      </c>
      <c r="T41" s="68"/>
    </row>
    <row r="42" spans="1:23" ht="15" x14ac:dyDescent="0.2">
      <c r="A42" s="5" t="s">
        <v>44</v>
      </c>
      <c r="B42" s="7"/>
      <c r="C42" s="7"/>
      <c r="D42" s="7"/>
      <c r="E42" s="7"/>
      <c r="F42" s="7"/>
      <c r="G42" s="7"/>
      <c r="H42" s="18">
        <f>SUM(H38:H41)</f>
        <v>0</v>
      </c>
      <c r="I42" s="18">
        <f>SUM(I38:I41)</f>
        <v>0</v>
      </c>
      <c r="J42" s="18">
        <f>SUM(J38:J41)</f>
        <v>0</v>
      </c>
      <c r="K42" s="18">
        <f>SUM(K38:K41)</f>
        <v>0</v>
      </c>
      <c r="L42" s="18">
        <f>SUM(L38:L41)</f>
        <v>0</v>
      </c>
      <c r="M42" s="20"/>
      <c r="N42" s="18">
        <f>SUM(H42:L42)</f>
        <v>0</v>
      </c>
      <c r="O42" s="51"/>
      <c r="P42" s="27" t="s">
        <v>41</v>
      </c>
      <c r="Q42" s="2">
        <v>0</v>
      </c>
      <c r="R42" s="28" t="s">
        <v>96</v>
      </c>
      <c r="S42" s="29">
        <f>ROUND(Q42*T42,0)</f>
        <v>0</v>
      </c>
      <c r="T42" s="68">
        <f>T34*1.05</f>
        <v>33606.405000000006</v>
      </c>
      <c r="U42" s="2" t="s">
        <v>100</v>
      </c>
    </row>
    <row r="43" spans="1:23" ht="15" x14ac:dyDescent="0.2">
      <c r="A43" s="7"/>
      <c r="B43" s="7"/>
      <c r="C43" s="7"/>
      <c r="D43" s="7"/>
      <c r="E43" s="7"/>
      <c r="F43" s="7"/>
      <c r="G43" s="7"/>
      <c r="H43" s="17"/>
      <c r="I43" s="17"/>
      <c r="J43" s="20"/>
      <c r="K43" s="20"/>
      <c r="L43" s="20"/>
      <c r="M43" s="20"/>
      <c r="N43" s="20"/>
      <c r="O43" s="54"/>
      <c r="P43" s="27"/>
      <c r="Q43" s="2">
        <v>0</v>
      </c>
      <c r="R43" s="28" t="s">
        <v>97</v>
      </c>
      <c r="S43" s="29">
        <f>ROUND(Q43*T43,0)</f>
        <v>0</v>
      </c>
      <c r="T43" s="68">
        <f t="shared" ref="T43:T44" si="19">T35*1.05</f>
        <v>35590.904999999999</v>
      </c>
      <c r="U43" s="2" t="s">
        <v>103</v>
      </c>
    </row>
    <row r="44" spans="1:23" ht="15.75" x14ac:dyDescent="0.25">
      <c r="A44" s="5" t="s">
        <v>46</v>
      </c>
      <c r="B44" s="7"/>
      <c r="C44" s="7"/>
      <c r="D44" s="7"/>
      <c r="E44" s="7"/>
      <c r="F44" s="7"/>
      <c r="G44" s="7"/>
      <c r="H44" s="17">
        <v>3000</v>
      </c>
      <c r="I44" s="17">
        <v>3000</v>
      </c>
      <c r="J44" s="17">
        <v>3000</v>
      </c>
      <c r="K44" s="17">
        <v>0</v>
      </c>
      <c r="L44" s="17">
        <v>0</v>
      </c>
      <c r="M44" s="17"/>
      <c r="N44" s="18">
        <f>SUM(H44:L44)</f>
        <v>9000</v>
      </c>
      <c r="O44" s="51"/>
      <c r="P44" s="27"/>
      <c r="Q44" s="60">
        <v>1</v>
      </c>
      <c r="R44" s="28" t="s">
        <v>98</v>
      </c>
      <c r="S44" s="29">
        <f>ROUND(Q44*T44,0)</f>
        <v>37586</v>
      </c>
      <c r="T44" s="68">
        <f t="shared" si="19"/>
        <v>37586.43</v>
      </c>
      <c r="U44" s="2" t="s">
        <v>101</v>
      </c>
      <c r="V44" s="101" t="s">
        <v>143</v>
      </c>
      <c r="W44" s="101" t="s">
        <v>144</v>
      </c>
    </row>
    <row r="45" spans="1:23" ht="15" x14ac:dyDescent="0.2">
      <c r="A45" s="7"/>
      <c r="B45" s="5" t="s">
        <v>47</v>
      </c>
      <c r="C45" s="7"/>
      <c r="D45" s="7"/>
      <c r="E45" s="7"/>
      <c r="F45" s="7"/>
      <c r="G45" s="7"/>
      <c r="H45" s="49">
        <v>4000</v>
      </c>
      <c r="I45" s="49">
        <v>4000</v>
      </c>
      <c r="J45" s="49">
        <v>3863.8247999999385</v>
      </c>
      <c r="K45" s="49">
        <v>0</v>
      </c>
      <c r="L45" s="49">
        <v>0</v>
      </c>
      <c r="M45" s="49"/>
      <c r="N45" s="50">
        <f>SUM(H45:L45)</f>
        <v>11863.824799999938</v>
      </c>
      <c r="O45" s="51"/>
      <c r="P45" s="27" t="s">
        <v>30</v>
      </c>
      <c r="Q45" s="2">
        <v>0</v>
      </c>
      <c r="R45" s="99" t="s">
        <v>96</v>
      </c>
      <c r="S45" s="29">
        <f t="shared" ref="S45:S46" si="20">ROUND(Q45*(T45/9)*3,0)</f>
        <v>0</v>
      </c>
      <c r="T45" s="68">
        <f>T42</f>
        <v>33606.405000000006</v>
      </c>
      <c r="U45" s="2" t="s">
        <v>96</v>
      </c>
      <c r="V45" s="72">
        <f>V37*1.05</f>
        <v>44808.540000000008</v>
      </c>
      <c r="W45" s="72">
        <f>V45/12</f>
        <v>3734.0450000000005</v>
      </c>
    </row>
    <row r="46" spans="1:23" ht="15" x14ac:dyDescent="0.2">
      <c r="A46" s="7" t="s">
        <v>48</v>
      </c>
      <c r="B46" s="5"/>
      <c r="C46" s="7"/>
      <c r="D46" s="7"/>
      <c r="E46" s="7"/>
      <c r="F46" s="7"/>
      <c r="G46" s="7"/>
      <c r="H46" s="17">
        <f>SUM(H44:H45)</f>
        <v>7000</v>
      </c>
      <c r="I46" s="17">
        <f t="shared" ref="I46:N46" si="21">SUM(I44:I45)</f>
        <v>7000</v>
      </c>
      <c r="J46" s="17">
        <f t="shared" si="21"/>
        <v>6863.8247999999385</v>
      </c>
      <c r="K46" s="17">
        <f t="shared" si="21"/>
        <v>0</v>
      </c>
      <c r="L46" s="17">
        <f t="shared" si="21"/>
        <v>0</v>
      </c>
      <c r="M46" s="17">
        <f t="shared" si="21"/>
        <v>0</v>
      </c>
      <c r="N46" s="17">
        <f t="shared" si="21"/>
        <v>20863.824799999937</v>
      </c>
      <c r="O46" s="54"/>
      <c r="P46" s="27"/>
      <c r="Q46" s="2">
        <v>0</v>
      </c>
      <c r="R46" s="99" t="s">
        <v>97</v>
      </c>
      <c r="S46" s="29">
        <f t="shared" si="20"/>
        <v>0</v>
      </c>
      <c r="T46" s="68">
        <f>T43</f>
        <v>35590.904999999999</v>
      </c>
      <c r="U46" s="2" t="s">
        <v>97</v>
      </c>
      <c r="V46" s="72">
        <f>V38*1.05</f>
        <v>47454.54</v>
      </c>
      <c r="W46" s="72">
        <f t="shared" ref="W46:W47" si="22">V46/12</f>
        <v>3954.5450000000001</v>
      </c>
    </row>
    <row r="47" spans="1:23" ht="15" x14ac:dyDescent="0.2">
      <c r="A47" s="7"/>
      <c r="B47" s="7"/>
      <c r="C47" s="7"/>
      <c r="D47" s="7"/>
      <c r="E47" s="7"/>
      <c r="F47" s="7"/>
      <c r="G47" s="7"/>
      <c r="H47" s="20"/>
      <c r="I47" s="20"/>
      <c r="J47" s="20"/>
      <c r="K47" s="20"/>
      <c r="L47" s="20"/>
      <c r="M47" s="20"/>
      <c r="N47" s="20"/>
      <c r="O47" s="56"/>
      <c r="P47" s="27"/>
      <c r="Q47" s="169">
        <v>1</v>
      </c>
      <c r="R47" s="99" t="s">
        <v>98</v>
      </c>
      <c r="S47" s="29">
        <f>ROUND(Q47*(T47/9)*3,0)</f>
        <v>12529</v>
      </c>
      <c r="T47" s="68">
        <f>T44</f>
        <v>37586.43</v>
      </c>
      <c r="U47" s="2" t="s">
        <v>98</v>
      </c>
      <c r="V47" s="72">
        <f t="shared" ref="V47" si="23">V39*1.05</f>
        <v>50115.24</v>
      </c>
      <c r="W47" s="72">
        <f t="shared" si="22"/>
        <v>4176.2699999999995</v>
      </c>
    </row>
    <row r="48" spans="1:23" ht="15" x14ac:dyDescent="0.2">
      <c r="A48" s="5" t="s">
        <v>49</v>
      </c>
      <c r="B48" s="7"/>
      <c r="C48" s="7"/>
      <c r="D48" s="7"/>
      <c r="E48" s="7"/>
      <c r="F48" s="7"/>
      <c r="G48" s="7"/>
      <c r="H48" s="20"/>
      <c r="I48" s="20"/>
      <c r="J48" s="20"/>
      <c r="K48" s="20"/>
      <c r="L48" s="20"/>
      <c r="M48" s="20"/>
      <c r="N48" s="19" t="s">
        <v>1</v>
      </c>
      <c r="O48" s="51"/>
      <c r="Q48" s="175">
        <f>SUM(Q42:Q44)</f>
        <v>1</v>
      </c>
      <c r="S48" s="59">
        <f>SUM(S42:S47)</f>
        <v>50115</v>
      </c>
      <c r="T48" s="71"/>
    </row>
    <row r="49" spans="1:23" ht="15" x14ac:dyDescent="0.2">
      <c r="A49" s="7"/>
      <c r="B49" s="5" t="s">
        <v>50</v>
      </c>
      <c r="C49" s="7"/>
      <c r="D49" s="7"/>
      <c r="E49" s="7"/>
      <c r="F49" s="7"/>
      <c r="G49" s="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/>
      <c r="N49" s="18">
        <f>SUM(H49:L49)</f>
        <v>0</v>
      </c>
      <c r="O49" s="51"/>
      <c r="P49" s="27"/>
      <c r="R49" s="28"/>
      <c r="S49" s="29"/>
      <c r="T49" s="68"/>
    </row>
    <row r="50" spans="1:23" ht="15" x14ac:dyDescent="0.2">
      <c r="A50" s="7"/>
      <c r="B50" s="5" t="s">
        <v>52</v>
      </c>
      <c r="C50" s="7"/>
      <c r="D50" s="7"/>
      <c r="E50" s="7"/>
      <c r="F50" s="7"/>
      <c r="G50" s="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/>
      <c r="N50" s="18">
        <f>SUM(H50:L50)</f>
        <v>0</v>
      </c>
      <c r="O50" s="51"/>
      <c r="P50" s="27" t="s">
        <v>45</v>
      </c>
      <c r="Q50" s="2">
        <v>0</v>
      </c>
      <c r="R50" s="28" t="s">
        <v>96</v>
      </c>
      <c r="S50" s="29">
        <f>ROUND(Q50*T50,0)</f>
        <v>0</v>
      </c>
      <c r="T50" s="68">
        <f>T42*1.05</f>
        <v>35286.72525000001</v>
      </c>
      <c r="U50" s="2" t="s">
        <v>100</v>
      </c>
    </row>
    <row r="51" spans="1:23" ht="15" x14ac:dyDescent="0.2">
      <c r="A51" s="7"/>
      <c r="B51" s="5" t="s">
        <v>53</v>
      </c>
      <c r="C51" s="7"/>
      <c r="D51" s="7"/>
      <c r="E51" s="7"/>
      <c r="F51" s="7"/>
      <c r="G51" s="7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/>
      <c r="N51" s="18">
        <f>SUM(H51:L51)</f>
        <v>0</v>
      </c>
      <c r="O51" s="51"/>
      <c r="P51" s="27"/>
      <c r="Q51" s="2">
        <v>0</v>
      </c>
      <c r="R51" s="28" t="s">
        <v>97</v>
      </c>
      <c r="S51" s="29">
        <f>ROUND(Q51*T51,0)</f>
        <v>0</v>
      </c>
      <c r="T51" s="68">
        <f t="shared" ref="T51:T52" si="24">T43*1.05</f>
        <v>37370.450250000002</v>
      </c>
      <c r="U51" s="2" t="s">
        <v>103</v>
      </c>
    </row>
    <row r="52" spans="1:23" ht="15.75" x14ac:dyDescent="0.25">
      <c r="A52" s="7"/>
      <c r="B52" s="5" t="s">
        <v>54</v>
      </c>
      <c r="C52" s="7"/>
      <c r="D52" s="7"/>
      <c r="E52" s="7"/>
      <c r="F52" s="7"/>
      <c r="G52" s="7"/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/>
      <c r="N52" s="50">
        <f>SUM(H52:L52)</f>
        <v>0</v>
      </c>
      <c r="O52" s="51"/>
      <c r="P52" s="27"/>
      <c r="Q52" s="2">
        <v>0</v>
      </c>
      <c r="R52" s="28" t="s">
        <v>98</v>
      </c>
      <c r="S52" s="29">
        <f>ROUND(Q52*T52,0)</f>
        <v>0</v>
      </c>
      <c r="T52" s="68">
        <f t="shared" si="24"/>
        <v>39465.751499999998</v>
      </c>
      <c r="U52" s="2" t="s">
        <v>101</v>
      </c>
      <c r="V52" s="101" t="s">
        <v>143</v>
      </c>
      <c r="W52" s="101" t="s">
        <v>144</v>
      </c>
    </row>
    <row r="53" spans="1:23" ht="15" x14ac:dyDescent="0.2">
      <c r="A53" s="5" t="s">
        <v>55</v>
      </c>
      <c r="B53" s="7"/>
      <c r="C53" s="7"/>
      <c r="D53" s="7"/>
      <c r="E53" s="7"/>
      <c r="F53" s="7"/>
      <c r="G53" s="7"/>
      <c r="H53" s="18">
        <f>H49+H50+H51+H52</f>
        <v>0</v>
      </c>
      <c r="I53" s="18">
        <f>I49+I50+I51+I52</f>
        <v>0</v>
      </c>
      <c r="J53" s="18">
        <f>J49+J50+J51+J52</f>
        <v>0</v>
      </c>
      <c r="K53" s="18">
        <f>K49+K50+K51+K52</f>
        <v>0</v>
      </c>
      <c r="L53" s="18">
        <f>L49+L50+L51+L52</f>
        <v>0</v>
      </c>
      <c r="M53" s="20"/>
      <c r="N53" s="18">
        <f>SUM(H53:L53)</f>
        <v>0</v>
      </c>
      <c r="O53" s="54"/>
      <c r="P53" s="27" t="s">
        <v>30</v>
      </c>
      <c r="Q53" s="2">
        <v>0</v>
      </c>
      <c r="R53" s="99" t="s">
        <v>96</v>
      </c>
      <c r="S53" s="68">
        <f t="shared" ref="S53:S54" si="25">ROUND(Q53*(T53/9)*3,0)</f>
        <v>0</v>
      </c>
      <c r="T53" s="68">
        <f>T50</f>
        <v>35286.72525000001</v>
      </c>
      <c r="U53" s="2" t="s">
        <v>96</v>
      </c>
      <c r="V53" s="72">
        <f>V45*1.05</f>
        <v>47048.967000000011</v>
      </c>
      <c r="W53" s="72">
        <f>V53/12</f>
        <v>3920.7472500000008</v>
      </c>
    </row>
    <row r="54" spans="1:23" ht="15" x14ac:dyDescent="0.2">
      <c r="A54" s="7"/>
      <c r="B54" s="7"/>
      <c r="C54" s="7"/>
      <c r="D54" s="7"/>
      <c r="E54" s="7"/>
      <c r="F54" s="7"/>
      <c r="G54" s="7"/>
      <c r="H54" s="20"/>
      <c r="I54" s="20"/>
      <c r="J54" s="20"/>
      <c r="K54" s="20"/>
      <c r="L54" s="20"/>
      <c r="M54" s="20"/>
      <c r="N54" s="20"/>
      <c r="O54" s="20"/>
      <c r="P54" s="27"/>
      <c r="Q54" s="2">
        <v>0</v>
      </c>
      <c r="R54" s="99" t="s">
        <v>97</v>
      </c>
      <c r="S54" s="68">
        <f t="shared" si="25"/>
        <v>0</v>
      </c>
      <c r="T54" s="68">
        <f>T51</f>
        <v>37370.450250000002</v>
      </c>
      <c r="U54" s="2" t="s">
        <v>97</v>
      </c>
      <c r="V54" s="72">
        <f t="shared" ref="V54:V55" si="26">V46*1.05</f>
        <v>49827.267</v>
      </c>
      <c r="W54" s="72">
        <f t="shared" ref="W54:W55" si="27">V54/12</f>
        <v>4152.27225</v>
      </c>
    </row>
    <row r="55" spans="1:23" ht="15" x14ac:dyDescent="0.2">
      <c r="A55" s="5" t="s">
        <v>56</v>
      </c>
      <c r="B55" s="7"/>
      <c r="C55" s="7"/>
      <c r="D55" s="7"/>
      <c r="E55" s="7"/>
      <c r="F55" s="7"/>
      <c r="G55" s="7"/>
      <c r="H55" s="20"/>
      <c r="I55" s="20"/>
      <c r="J55" s="20"/>
      <c r="K55" s="20"/>
      <c r="L55" s="20"/>
      <c r="M55" s="20"/>
      <c r="N55" s="20"/>
      <c r="O55" s="18"/>
      <c r="P55" s="27"/>
      <c r="Q55" s="2">
        <v>0</v>
      </c>
      <c r="R55" s="99" t="s">
        <v>98</v>
      </c>
      <c r="S55" s="68">
        <f>ROUND(Q55*(T55/9)*3,0)</f>
        <v>0</v>
      </c>
      <c r="T55" s="68">
        <f>T52</f>
        <v>39465.751499999998</v>
      </c>
      <c r="U55" s="2" t="s">
        <v>98</v>
      </c>
      <c r="V55" s="72">
        <f t="shared" si="26"/>
        <v>52621.002</v>
      </c>
      <c r="W55" s="72">
        <f t="shared" si="27"/>
        <v>4385.0834999999997</v>
      </c>
    </row>
    <row r="56" spans="1:23" ht="15" x14ac:dyDescent="0.2">
      <c r="A56" s="7"/>
      <c r="B56" s="5" t="s">
        <v>57</v>
      </c>
      <c r="C56" s="7"/>
      <c r="D56" s="7"/>
      <c r="E56" s="7"/>
      <c r="F56" s="7"/>
      <c r="G56" s="7"/>
      <c r="H56" s="17">
        <v>2000</v>
      </c>
      <c r="I56" s="17">
        <v>2000</v>
      </c>
      <c r="J56" s="17">
        <v>2000</v>
      </c>
      <c r="K56" s="17">
        <v>0</v>
      </c>
      <c r="L56" s="17">
        <v>0</v>
      </c>
      <c r="M56" s="17"/>
      <c r="N56" s="18">
        <f t="shared" ref="N56:N67" si="28">SUM(H56:L56)</f>
        <v>6000</v>
      </c>
      <c r="O56" s="18"/>
      <c r="Q56" s="58">
        <f>SUM(Q50:Q52)</f>
        <v>0</v>
      </c>
      <c r="S56" s="59">
        <f>SUM(S50:S55)</f>
        <v>0</v>
      </c>
      <c r="T56" s="71"/>
    </row>
    <row r="57" spans="1:23" ht="15" x14ac:dyDescent="0.2">
      <c r="A57" s="7"/>
      <c r="B57" s="5" t="s">
        <v>58</v>
      </c>
      <c r="C57" s="7"/>
      <c r="D57" s="7"/>
      <c r="E57" s="7"/>
      <c r="F57" s="7"/>
      <c r="G57" s="7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7"/>
      <c r="N57" s="18">
        <f t="shared" si="28"/>
        <v>0</v>
      </c>
      <c r="O57" s="18"/>
      <c r="P57" s="27"/>
      <c r="R57" s="28"/>
      <c r="S57" s="29"/>
      <c r="T57" s="68"/>
    </row>
    <row r="58" spans="1:23" ht="15" x14ac:dyDescent="0.2">
      <c r="A58" s="7"/>
      <c r="B58" s="5" t="s">
        <v>60</v>
      </c>
      <c r="C58" s="7"/>
      <c r="D58" s="7"/>
      <c r="E58" s="7"/>
      <c r="F58" s="7"/>
      <c r="G58" s="7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/>
      <c r="N58" s="18">
        <f t="shared" si="28"/>
        <v>0</v>
      </c>
      <c r="O58" s="18"/>
      <c r="P58" s="27" t="s">
        <v>51</v>
      </c>
      <c r="Q58" s="2">
        <v>0</v>
      </c>
      <c r="R58" s="28" t="s">
        <v>96</v>
      </c>
      <c r="S58" s="29">
        <f>ROUND(Q58*T58,0)</f>
        <v>0</v>
      </c>
      <c r="T58" s="68">
        <f>T50*1.05</f>
        <v>37051.061512500011</v>
      </c>
      <c r="U58" s="2" t="s">
        <v>100</v>
      </c>
    </row>
    <row r="59" spans="1:23" ht="15" x14ac:dyDescent="0.2">
      <c r="A59" s="7"/>
      <c r="B59" s="5" t="s">
        <v>61</v>
      </c>
      <c r="C59" s="7"/>
      <c r="D59" s="7"/>
      <c r="E59" s="7"/>
      <c r="F59" s="7"/>
      <c r="G59" s="7"/>
      <c r="H59" s="17">
        <f>ROUND($R$68,0)*P70</f>
        <v>0</v>
      </c>
      <c r="I59" s="17">
        <f>ROUND($R$68*1.03,0)*Q70</f>
        <v>0</v>
      </c>
      <c r="J59" s="17">
        <f>ROUND($R$68*1.03*1.03,0)*R70</f>
        <v>0</v>
      </c>
      <c r="K59" s="17">
        <f>ROUND($R$68*1.03*1.03*1.03,0)*S70</f>
        <v>0</v>
      </c>
      <c r="L59" s="17">
        <f>ROUND($R$68*1.03*1.03*1.03*1.03,0)*T70</f>
        <v>0</v>
      </c>
      <c r="M59" s="17"/>
      <c r="N59" s="18">
        <f t="shared" si="28"/>
        <v>0</v>
      </c>
      <c r="O59" s="18"/>
      <c r="P59" s="27"/>
      <c r="Q59" s="2">
        <v>0</v>
      </c>
      <c r="R59" s="28" t="s">
        <v>97</v>
      </c>
      <c r="S59" s="29">
        <f>ROUND(Q59*T59,0)</f>
        <v>0</v>
      </c>
      <c r="T59" s="68">
        <f t="shared" ref="T59:T60" si="29">T51*1.05</f>
        <v>39238.972762500001</v>
      </c>
      <c r="U59" s="2" t="s">
        <v>103</v>
      </c>
    </row>
    <row r="60" spans="1:23" ht="15.75" x14ac:dyDescent="0.25">
      <c r="A60" s="7"/>
      <c r="B60" s="5" t="s">
        <v>123</v>
      </c>
      <c r="C60" s="7"/>
      <c r="D60" s="7"/>
      <c r="E60" s="7"/>
      <c r="F60" s="7"/>
      <c r="G60" s="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/>
      <c r="N60" s="18">
        <f t="shared" si="28"/>
        <v>0</v>
      </c>
      <c r="O60" s="18"/>
      <c r="P60" s="27"/>
      <c r="Q60" s="2">
        <v>0</v>
      </c>
      <c r="R60" s="28" t="s">
        <v>98</v>
      </c>
      <c r="S60" s="29">
        <f>ROUND(Q60*T60,0)</f>
        <v>0</v>
      </c>
      <c r="T60" s="68">
        <f t="shared" si="29"/>
        <v>41439.039075000001</v>
      </c>
      <c r="U60" s="2" t="s">
        <v>101</v>
      </c>
      <c r="V60" s="101" t="s">
        <v>143</v>
      </c>
      <c r="W60" s="101" t="s">
        <v>144</v>
      </c>
    </row>
    <row r="61" spans="1:23" ht="13.5" customHeight="1" x14ac:dyDescent="0.2">
      <c r="A61" s="7"/>
      <c r="B61" s="5" t="s">
        <v>62</v>
      </c>
      <c r="C61" s="7"/>
      <c r="D61" s="10" t="s">
        <v>63</v>
      </c>
      <c r="E61" s="10"/>
      <c r="F61" s="10"/>
      <c r="G61" s="6"/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7"/>
      <c r="N61" s="18">
        <f t="shared" si="28"/>
        <v>0</v>
      </c>
      <c r="O61" s="18"/>
      <c r="P61" s="27" t="s">
        <v>30</v>
      </c>
      <c r="Q61" s="2">
        <v>0</v>
      </c>
      <c r="R61" s="99" t="s">
        <v>96</v>
      </c>
      <c r="S61" s="29">
        <f t="shared" ref="S61:S62" si="30">ROUND(Q61*(T61/9)*3,0)</f>
        <v>0</v>
      </c>
      <c r="T61" s="68">
        <f>T58</f>
        <v>37051.061512500011</v>
      </c>
      <c r="U61" s="2" t="s">
        <v>96</v>
      </c>
      <c r="V61" s="72">
        <f>V53*1.05</f>
        <v>49401.415350000017</v>
      </c>
      <c r="W61" s="72">
        <f>V61/12</f>
        <v>4116.7846125000015</v>
      </c>
    </row>
    <row r="62" spans="1:23" ht="13.5" customHeight="1" x14ac:dyDescent="0.2">
      <c r="A62" s="7"/>
      <c r="B62" s="5"/>
      <c r="C62" s="7"/>
      <c r="D62" s="10" t="s">
        <v>64</v>
      </c>
      <c r="E62" s="10"/>
      <c r="F62" s="10"/>
      <c r="G62" s="6"/>
      <c r="H62" s="17">
        <v>0</v>
      </c>
      <c r="I62" s="18">
        <v>0</v>
      </c>
      <c r="J62" s="18">
        <v>0</v>
      </c>
      <c r="K62" s="18">
        <v>0</v>
      </c>
      <c r="L62" s="18">
        <v>0</v>
      </c>
      <c r="M62" s="17"/>
      <c r="N62" s="18">
        <f t="shared" si="28"/>
        <v>0</v>
      </c>
      <c r="O62" s="18"/>
      <c r="P62" s="27"/>
      <c r="Q62" s="2">
        <v>0</v>
      </c>
      <c r="R62" s="99" t="s">
        <v>97</v>
      </c>
      <c r="S62" s="29">
        <f t="shared" si="30"/>
        <v>0</v>
      </c>
      <c r="T62" s="68">
        <f>T59</f>
        <v>39238.972762500001</v>
      </c>
      <c r="U62" s="2" t="s">
        <v>97</v>
      </c>
      <c r="V62" s="72">
        <f t="shared" ref="V62:V63" si="31">V54*1.05</f>
        <v>52318.630349999999</v>
      </c>
      <c r="W62" s="72">
        <f t="shared" ref="W62:W63" si="32">V62/12</f>
        <v>4359.8858625000003</v>
      </c>
    </row>
    <row r="63" spans="1:23" ht="13.5" customHeight="1" x14ac:dyDescent="0.2">
      <c r="A63" s="7"/>
      <c r="B63" s="5"/>
      <c r="C63" s="7"/>
      <c r="D63" s="10" t="s">
        <v>94</v>
      </c>
      <c r="E63" s="10"/>
      <c r="F63" s="10"/>
      <c r="G63" s="6"/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7"/>
      <c r="N63" s="18">
        <f t="shared" si="28"/>
        <v>0</v>
      </c>
      <c r="O63" s="18"/>
      <c r="P63" s="27"/>
      <c r="Q63" s="2">
        <v>0</v>
      </c>
      <c r="R63" s="99" t="s">
        <v>98</v>
      </c>
      <c r="S63" s="29">
        <f>ROUND(Q63*(T63/9)*3,0)</f>
        <v>0</v>
      </c>
      <c r="T63" s="68">
        <f>T60</f>
        <v>41439.039075000001</v>
      </c>
      <c r="U63" s="2" t="s">
        <v>98</v>
      </c>
      <c r="V63" s="72">
        <f t="shared" si="31"/>
        <v>55252.052100000001</v>
      </c>
      <c r="W63" s="72">
        <f t="shared" si="32"/>
        <v>4604.3376749999998</v>
      </c>
    </row>
    <row r="64" spans="1:23" ht="15" x14ac:dyDescent="0.2">
      <c r="A64" s="7"/>
      <c r="B64" s="5"/>
      <c r="C64" s="7"/>
      <c r="D64" s="10" t="s">
        <v>93</v>
      </c>
      <c r="E64" s="10"/>
      <c r="F64" s="10"/>
      <c r="G64" s="6"/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7"/>
      <c r="N64" s="18">
        <f t="shared" si="28"/>
        <v>0</v>
      </c>
      <c r="O64" s="48"/>
      <c r="P64" s="27"/>
      <c r="Q64" s="58">
        <f>SUM(Q58:Q60)</f>
        <v>0</v>
      </c>
      <c r="S64" s="59">
        <f>SUM(S58:S63)</f>
        <v>0</v>
      </c>
      <c r="T64" s="71"/>
    </row>
    <row r="65" spans="1:21" ht="15" x14ac:dyDescent="0.2">
      <c r="A65" s="7"/>
      <c r="B65" s="7" t="s">
        <v>142</v>
      </c>
      <c r="C65" s="7"/>
      <c r="D65" s="10"/>
      <c r="E65" s="10"/>
      <c r="F65" s="10"/>
      <c r="G65" s="6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7"/>
      <c r="N65" s="18">
        <f>SUM(H65:L65)</f>
        <v>0</v>
      </c>
      <c r="O65" s="48"/>
      <c r="P65" s="30"/>
      <c r="Q65" s="30"/>
      <c r="R65" s="31"/>
      <c r="S65" s="31"/>
      <c r="T65" s="30"/>
    </row>
    <row r="66" spans="1:21" ht="15" x14ac:dyDescent="0.2">
      <c r="A66" s="7"/>
      <c r="B66" s="7" t="s">
        <v>140</v>
      </c>
      <c r="C66" s="7"/>
      <c r="D66" s="10"/>
      <c r="E66" s="10"/>
      <c r="F66" s="10"/>
      <c r="G66" s="6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>
        <f>SUM(H66:L66)</f>
        <v>0</v>
      </c>
      <c r="O66" s="48"/>
    </row>
    <row r="67" spans="1:21" ht="15.75" x14ac:dyDescent="0.25">
      <c r="A67" s="7"/>
      <c r="B67" s="5" t="s">
        <v>141</v>
      </c>
      <c r="C67" s="7"/>
      <c r="D67" s="7"/>
      <c r="E67" s="7" t="s">
        <v>217</v>
      </c>
      <c r="F67" s="7"/>
      <c r="G67" s="12"/>
      <c r="H67" s="50">
        <f>(Q32+PA!C6)*(5364*2)</f>
        <v>10728</v>
      </c>
      <c r="I67" s="50">
        <f>(Q40+PA!C9)*((5364*2)*1.03)</f>
        <v>11049.84</v>
      </c>
      <c r="J67" s="50">
        <f>(Q48+PA!C12)*((5364*2)*1.03*1.03)</f>
        <v>11381.335200000001</v>
      </c>
      <c r="K67" s="50">
        <f>(Q56+PA!C15)*((5364*2)*1.03*1.03*1.03)</f>
        <v>0</v>
      </c>
      <c r="L67" s="50">
        <f>(Q64+PA!C18)*((5364*2)*1.03*1.03*1.03*1.03)</f>
        <v>0</v>
      </c>
      <c r="M67" s="55"/>
      <c r="N67" s="50">
        <f t="shared" si="28"/>
        <v>33159.175199999998</v>
      </c>
      <c r="O67" s="18"/>
      <c r="Q67" s="62" t="s">
        <v>59</v>
      </c>
    </row>
    <row r="68" spans="1:21" ht="15" x14ac:dyDescent="0.2">
      <c r="A68" s="5" t="s">
        <v>65</v>
      </c>
      <c r="B68" s="7"/>
      <c r="C68" s="7"/>
      <c r="D68" s="7"/>
      <c r="E68" s="7"/>
      <c r="F68" s="7"/>
      <c r="G68" s="7"/>
      <c r="H68" s="18">
        <f>(SUM(H56:H67))</f>
        <v>12728</v>
      </c>
      <c r="I68" s="18">
        <f>(SUM(I56:I67))</f>
        <v>13049.84</v>
      </c>
      <c r="J68" s="18">
        <f>(SUM(J56:J67))</f>
        <v>13381.335200000001</v>
      </c>
      <c r="K68" s="18">
        <f>(SUM(K56:K67))</f>
        <v>0</v>
      </c>
      <c r="L68" s="18">
        <f>(SUM(L56:L67))</f>
        <v>0</v>
      </c>
      <c r="M68" s="20"/>
      <c r="N68" s="18">
        <f>SUM(H68:L68)</f>
        <v>39159.175199999998</v>
      </c>
      <c r="O68" s="20"/>
      <c r="P68" s="2">
        <v>1250</v>
      </c>
      <c r="Q68" s="2" t="s">
        <v>86</v>
      </c>
      <c r="R68" s="2">
        <f>P68*2</f>
        <v>2500</v>
      </c>
      <c r="S68" s="2" t="s">
        <v>87</v>
      </c>
      <c r="T68" s="60" t="s">
        <v>198</v>
      </c>
      <c r="U68" s="63" t="s">
        <v>88</v>
      </c>
    </row>
    <row r="69" spans="1:21" ht="15" x14ac:dyDescent="0.2">
      <c r="A69" s="7"/>
      <c r="B69" s="7"/>
      <c r="C69" s="7"/>
      <c r="D69" s="7"/>
      <c r="E69" s="7"/>
      <c r="F69" s="7"/>
      <c r="G69" s="7"/>
      <c r="H69" s="20"/>
      <c r="I69" s="20"/>
      <c r="J69" s="20"/>
      <c r="K69" s="20"/>
      <c r="L69" s="20"/>
      <c r="M69" s="20"/>
      <c r="N69" s="20"/>
      <c r="O69" s="18"/>
      <c r="P69" s="63" t="s">
        <v>4</v>
      </c>
      <c r="Q69" s="63" t="s">
        <v>5</v>
      </c>
      <c r="R69" s="63" t="s">
        <v>6</v>
      </c>
      <c r="S69" s="63" t="s">
        <v>7</v>
      </c>
      <c r="T69" s="72" t="s">
        <v>8</v>
      </c>
    </row>
    <row r="70" spans="1:21" ht="15" x14ac:dyDescent="0.2">
      <c r="A70" s="5" t="s">
        <v>66</v>
      </c>
      <c r="B70" s="7"/>
      <c r="C70" s="7"/>
      <c r="D70" s="7"/>
      <c r="E70" s="7"/>
      <c r="F70" s="7"/>
      <c r="G70" s="7"/>
      <c r="H70" s="18">
        <f>H68+H53+H46+H42+H35</f>
        <v>85700.5</v>
      </c>
      <c r="I70" s="18">
        <f>I68+I53+I46+I42+I35</f>
        <v>89665.34</v>
      </c>
      <c r="J70" s="18">
        <f>J68+J53+J46+J42+J35</f>
        <v>93703.159999999945</v>
      </c>
      <c r="K70" s="18">
        <f>K68+K53+K46+K42+K35</f>
        <v>0</v>
      </c>
      <c r="L70" s="18">
        <f>L68+L53+L46+L42+L35</f>
        <v>0</v>
      </c>
      <c r="M70" s="20"/>
      <c r="N70" s="18">
        <f>SUM(H70:L70)</f>
        <v>269068.99999999994</v>
      </c>
      <c r="O70" s="20"/>
      <c r="P70" s="61"/>
      <c r="Q70" s="61"/>
      <c r="R70" s="61"/>
      <c r="S70" s="61"/>
      <c r="T70" s="73"/>
    </row>
    <row r="71" spans="1:21" ht="15" x14ac:dyDescent="0.2">
      <c r="A71" s="5" t="s">
        <v>67</v>
      </c>
      <c r="B71" s="7"/>
      <c r="C71" s="7"/>
      <c r="D71" s="7"/>
      <c r="E71" s="7"/>
      <c r="F71" s="7"/>
      <c r="G71" s="7"/>
      <c r="H71" s="20"/>
      <c r="I71" s="20"/>
      <c r="J71" s="20"/>
      <c r="K71" s="20"/>
      <c r="L71" s="20"/>
      <c r="M71" s="20"/>
      <c r="N71" s="20"/>
      <c r="O71" s="18"/>
      <c r="T71" s="86"/>
    </row>
    <row r="72" spans="1:21" ht="15" x14ac:dyDescent="0.2">
      <c r="A72" s="10" t="s">
        <v>10</v>
      </c>
      <c r="B72" s="5" t="s">
        <v>68</v>
      </c>
      <c r="C72" s="11"/>
      <c r="D72" s="5"/>
      <c r="E72" s="5"/>
      <c r="F72" s="5"/>
      <c r="G72" s="7"/>
      <c r="H72" s="18">
        <f>ROUND($I$83*H77,0)+H78</f>
        <v>41610</v>
      </c>
      <c r="I72" s="18">
        <f>ROUND($I$83*I77,0)+I78</f>
        <v>43632</v>
      </c>
      <c r="J72" s="18">
        <f>ROUND($I$83*J77,0)+J78</f>
        <v>45689</v>
      </c>
      <c r="K72" s="18">
        <f>ROUND($I$83*K77,0)+K78</f>
        <v>0</v>
      </c>
      <c r="L72" s="18">
        <f>ROUND($I$83*L77,0)+L78</f>
        <v>0</v>
      </c>
      <c r="M72" s="20"/>
      <c r="N72" s="18">
        <f>SUM(H72:L72)</f>
        <v>130931</v>
      </c>
      <c r="O72" s="18"/>
    </row>
    <row r="73" spans="1:21" ht="15" x14ac:dyDescent="0.2">
      <c r="A73" s="5" t="s">
        <v>69</v>
      </c>
      <c r="B73" s="7"/>
      <c r="C73" s="7"/>
      <c r="D73" s="7"/>
      <c r="E73" s="7"/>
      <c r="F73" s="7"/>
      <c r="G73" s="7"/>
      <c r="H73" s="18">
        <f>H70+H72</f>
        <v>127310.5</v>
      </c>
      <c r="I73" s="18">
        <f>I70+I72</f>
        <v>133297.34</v>
      </c>
      <c r="J73" s="18">
        <f>J70+J72</f>
        <v>139392.15999999995</v>
      </c>
      <c r="K73" s="18">
        <f>K70+K72</f>
        <v>0</v>
      </c>
      <c r="L73" s="18">
        <f>L70+L72</f>
        <v>0</v>
      </c>
      <c r="M73" s="20"/>
      <c r="N73" s="18">
        <f>SUM(H73:L73)</f>
        <v>399999.99999999994</v>
      </c>
      <c r="O73" s="18"/>
    </row>
    <row r="74" spans="1:21" ht="15" x14ac:dyDescent="0.2">
      <c r="A74" s="5" t="s">
        <v>70</v>
      </c>
      <c r="B74" s="7"/>
      <c r="C74" s="7"/>
      <c r="D74" s="7"/>
      <c r="E74" s="7"/>
      <c r="F74" s="7"/>
      <c r="G74" s="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/>
      <c r="N74" s="18">
        <f>SUM(H74:L74)</f>
        <v>0</v>
      </c>
      <c r="O74" s="18"/>
    </row>
    <row r="75" spans="1:21" ht="15" x14ac:dyDescent="0.2">
      <c r="A75" s="5" t="s">
        <v>71</v>
      </c>
      <c r="B75" s="7"/>
      <c r="C75" s="7"/>
      <c r="D75" s="7"/>
      <c r="E75" s="7"/>
      <c r="F75" s="7"/>
      <c r="G75" s="7"/>
      <c r="H75" s="18">
        <f>H73-H74</f>
        <v>127310.5</v>
      </c>
      <c r="I75" s="18">
        <f>I73-I74</f>
        <v>133297.34</v>
      </c>
      <c r="J75" s="18">
        <f>J73-J74</f>
        <v>139392.15999999995</v>
      </c>
      <c r="K75" s="18">
        <f>K73-K74</f>
        <v>0</v>
      </c>
      <c r="L75" s="18">
        <f>L73-L74</f>
        <v>0</v>
      </c>
      <c r="M75" s="20"/>
      <c r="N75" s="18">
        <f>SUM(H75:L75)</f>
        <v>399999.99999999994</v>
      </c>
      <c r="O75" s="20"/>
    </row>
    <row r="76" spans="1:21" ht="15" x14ac:dyDescent="0.2">
      <c r="A76" s="7"/>
      <c r="B76" s="7"/>
      <c r="C76" s="7"/>
      <c r="D76" s="7"/>
      <c r="E76" s="7"/>
      <c r="F76" s="7"/>
      <c r="G76" s="7"/>
      <c r="H76" s="20"/>
      <c r="I76" s="20"/>
      <c r="J76" s="20"/>
      <c r="K76" s="20"/>
      <c r="L76" s="20"/>
      <c r="M76" s="20"/>
      <c r="N76" s="20"/>
      <c r="O76" s="20"/>
    </row>
    <row r="77" spans="1:21" ht="15" x14ac:dyDescent="0.2">
      <c r="A77" s="7" t="s">
        <v>119</v>
      </c>
      <c r="B77" s="7"/>
      <c r="C77" s="7"/>
      <c r="D77" s="7"/>
      <c r="E77" s="7"/>
      <c r="F77" s="7"/>
      <c r="G77" s="7"/>
      <c r="H77" s="20">
        <f>H70-H42-H53-H60-H61-H62-H63-H64-H67+H80</f>
        <v>74972.5</v>
      </c>
      <c r="I77" s="20">
        <f t="shared" ref="I77:L77" si="33">I70-I42-I53-I60-I61-I62-I63-I64-I67+I80</f>
        <v>78615.5</v>
      </c>
      <c r="J77" s="20">
        <f t="shared" si="33"/>
        <v>82321.824799999944</v>
      </c>
      <c r="K77" s="20">
        <f t="shared" si="33"/>
        <v>0</v>
      </c>
      <c r="L77" s="20">
        <f t="shared" si="33"/>
        <v>0</v>
      </c>
      <c r="M77" s="20"/>
      <c r="N77" s="20"/>
      <c r="O77" s="7"/>
    </row>
    <row r="78" spans="1:21" ht="15" x14ac:dyDescent="0.2">
      <c r="A78" s="7" t="s">
        <v>120</v>
      </c>
      <c r="B78" s="7"/>
      <c r="C78" s="7"/>
      <c r="D78" s="7"/>
      <c r="E78" s="7"/>
      <c r="F78" s="7"/>
      <c r="G78" s="7"/>
      <c r="H78" s="20">
        <f>H60*K83</f>
        <v>0</v>
      </c>
      <c r="I78" s="20">
        <f>I60*K83</f>
        <v>0</v>
      </c>
      <c r="J78" s="20">
        <f>J60*K83</f>
        <v>0</v>
      </c>
      <c r="K78" s="20">
        <f>K60*K83</f>
        <v>0</v>
      </c>
      <c r="L78" s="20">
        <f>L60*K83</f>
        <v>0</v>
      </c>
      <c r="M78" s="20"/>
      <c r="N78" s="20">
        <v>0</v>
      </c>
      <c r="O78" s="7"/>
    </row>
    <row r="79" spans="1:21" ht="1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1" ht="15" x14ac:dyDescent="0.2">
      <c r="A80" s="37"/>
      <c r="D80" s="23" t="s">
        <v>84</v>
      </c>
      <c r="E80" s="7"/>
      <c r="F80" s="7"/>
      <c r="G80" s="7"/>
      <c r="H80" s="20">
        <f>IF($H$61&gt;=25000,25000)+IF($H$62&gt;=25000,25000)+IF($H$63&gt;=25000,25000)+IF($H$64&gt;=25000,25000)</f>
        <v>0</v>
      </c>
      <c r="I80" s="20">
        <f>IF($H$61&gt;=25000,0,IF($I$61&gt;25000,(25000-$H$61)*$I$83,IF(SUM($H$61:$I$61)&gt;25000,(SUM($H$61:$I$61)-25000)*$I$83,IF(SUM($H$61:$I$61)&lt;25000,$I$61*$I$83))))+IF($H$62&gt;=25000,0,IF($I$62&gt;25000,(25000-$H$62)*$I$83,IF(SUM($H$62:$I$62)&gt;25000,(SUM($H$62:$I$62)-25000)*$I$83,IF(SUM($H$62:$I$62)&lt;25000,$I$62*$I$83))))+IF($H$64&gt;=25000,0,IF($I$64&gt;25000,(25000-$H$64)*$I$83,IF(SUM($H$64:$I$64)&gt;25000,(SUM($H$64:$I$64)-25000)*$I$83,IF(SUM($H$64:$I$64)&lt;25000,$I$64*$I$83))))</f>
        <v>0</v>
      </c>
      <c r="J80" s="20">
        <f>IF($H$61&gt;=25000,0,IF(SUM($H$61:$I$61)&gt;=25000,0,IF($J$61&gt;25000,(25000-SUM($H$61:$I$61))*$I$83,IF(SUM($H$61:$J$61)&gt;=25000,(25000-SUM($H$61:$I$61))*$I$83,IF(SUM($H$61:$I$61)&lt;=25000,$J$61*$I$83)))))+IF($H$62&gt;=25000,0,IF(SUM($H$62:$I$62)&gt;=25000,0,IF($J$62&gt;25000,(25000-SUM($H$62:$I$62))*$I$83,IF(SUM($H$62:$J$62)&gt;=25000,(25000-SUM($H$62:$I$62))*$I$83,IF(SUM($H$62:$I$62)&lt;=25000,$J$62*$I$83)))))+IF($H$64&gt;=25000,0, IF(SUM($H$64:$I$64)&gt;=25000,0,IF($J$64&gt;25000,(25000-SUM($H$64:$I$64))*$I$83,IF(SUM($H$64:$J$64)&gt;=25000,(25000-SUM($H$64:$I$64))*$I$83,IF(SUM($H$64:$I$64)&lt;=25000,$J$64*$I$83)))))</f>
        <v>0</v>
      </c>
      <c r="K80" s="20">
        <f>IF($H$61&gt;=25000,0,
IF(SUM($H$61:$J$61)&gt;=25000,0,
IF($K$61&gt;25000,(25000-SUM($H$61:$J$61))*$I$83,
IF(SUM($H$61:$K$61)&gt;=25000,(25000-SUM($H$61:$J$61))*$I$83,
IF(SUM($H$61:$J$61)&lt;=25000,$K$61*$I$83)))))+IF($H$62&gt;=25000,0,
IF(SUM($H$62:$J$62)&gt;=25000,0,
IF($K$62&gt;25000,(25000-SUM($H$62:$J$62))*$I$83,
IF(SUM($H$62:$K$62)&gt;=25000,(25000-SUM($H$62:$J$62))*$I$83,
IF(SUM($H$62:$J$62)&lt;=25000,$K$62*$I$83)))))+IF($H$64&gt;=25000,0,
IF(SUM($H$64:$J$64)&gt;=25000,0,
IF($K$64&gt;25000,(25000-SUM($H$64:$J$64))*$I$83,
IF(SUM($H$64:$K$64)&gt;=25000,(25000-SUM($H$64:$J$64))))))</f>
        <v>0</v>
      </c>
      <c r="L80" s="20">
        <f>IF($H$61&gt;=25000,0,
IF(SUM($H$61:$K$61)&gt;=25000,0,
IF($L$61&gt;25000,(25000-SUM($H$61:$K$61))*$I$83,
IF(SUM($H$61:$L$61)&gt;=25000,(25000-SUM($H$61:$K$61))*$I$83,
IF(SUM($H$61:$K$61)&lt;=25000,$L$61*$I$83)))))+IF($H$62&gt;=25000,0,
IF(SUM($H$62:$K$62)&gt;=25000,0,
IF($L$62&gt;25000,(25000-SUM($H$62:$K$62))*$I$83,
IF(SUM($H$62:$L$62)&gt;=25000,(25000-SUM($H$62:$K$62))*$I$83,
IF(SUM($H$62:$K$62)&lt;=25000,$L$62*$I$83)))))+IF($H$64&gt;=25000,0,
IF(SUM($H$64:$K$64)&gt;=25000,0,
IF($L$64&gt;25000,(25000-SUM($H$64:$K$64))*$I$83,
IF(SUM($H$64:$L$64)&gt;=25000,(25000-SUM($H$64:$K$64))*$I$83,
IF(SUM($H$64:$K$64)&lt;=25000,$L$64*$I$83)))))</f>
        <v>0</v>
      </c>
      <c r="M80" s="20"/>
      <c r="N80" s="20">
        <f>SUM(H80:L80)</f>
        <v>0</v>
      </c>
    </row>
    <row r="81" spans="4:13" x14ac:dyDescent="0.2">
      <c r="I81" s="41"/>
    </row>
    <row r="82" spans="4:13" ht="15" x14ac:dyDescent="0.2">
      <c r="D82" s="5" t="s">
        <v>75</v>
      </c>
      <c r="E82" s="5"/>
      <c r="F82" s="5"/>
      <c r="G82" s="7"/>
      <c r="H82" s="7"/>
      <c r="I82" s="5" t="s">
        <v>121</v>
      </c>
      <c r="K82" s="7" t="s">
        <v>122</v>
      </c>
      <c r="L82" s="7"/>
    </row>
    <row r="83" spans="4:13" ht="15.75" x14ac:dyDescent="0.25">
      <c r="D83" s="15">
        <v>0</v>
      </c>
      <c r="E83" s="15"/>
      <c r="F83" s="15"/>
      <c r="G83" s="5" t="s">
        <v>1</v>
      </c>
      <c r="H83" s="67">
        <v>44378</v>
      </c>
      <c r="I83" s="40">
        <v>0.55500000000000005</v>
      </c>
      <c r="K83" s="66">
        <v>0.26</v>
      </c>
      <c r="L83" s="7"/>
    </row>
    <row r="84" spans="4:13" ht="15.75" x14ac:dyDescent="0.25">
      <c r="D84" s="7"/>
      <c r="E84" s="7"/>
      <c r="F84" s="7"/>
      <c r="G84" s="7"/>
      <c r="H84" s="67"/>
      <c r="I84" s="65"/>
      <c r="K84" s="7"/>
      <c r="L84" s="7"/>
    </row>
    <row r="85" spans="4:13" ht="15.75" x14ac:dyDescent="0.25">
      <c r="D85" s="5" t="s">
        <v>80</v>
      </c>
      <c r="E85" s="5"/>
      <c r="F85" s="5"/>
      <c r="G85" s="7"/>
      <c r="H85" s="7"/>
      <c r="I85" s="66"/>
      <c r="K85" s="7"/>
      <c r="L85" s="7"/>
    </row>
    <row r="86" spans="4:13" ht="15" x14ac:dyDescent="0.2">
      <c r="D86" s="14">
        <v>0</v>
      </c>
      <c r="E86" s="14"/>
      <c r="F86" s="14"/>
      <c r="G86" s="7"/>
      <c r="H86" s="7"/>
      <c r="I86" s="7"/>
      <c r="K86" s="7"/>
      <c r="L86" s="7"/>
    </row>
    <row r="87" spans="4:13" ht="15" x14ac:dyDescent="0.2">
      <c r="D87" s="7"/>
      <c r="E87" s="7"/>
      <c r="F87" s="7"/>
      <c r="G87" s="7"/>
      <c r="H87" s="7"/>
      <c r="I87" s="7"/>
      <c r="K87" s="7"/>
      <c r="L87" s="7"/>
    </row>
    <row r="88" spans="4:13" ht="15" x14ac:dyDescent="0.2">
      <c r="D88" s="7"/>
      <c r="E88" s="7"/>
      <c r="F88" s="7"/>
      <c r="G88" s="7"/>
      <c r="H88" s="7"/>
      <c r="I88" s="7"/>
      <c r="K88" s="7"/>
      <c r="L88" s="7"/>
    </row>
    <row r="91" spans="4:13" ht="15" x14ac:dyDescent="0.2">
      <c r="H91" s="16"/>
    </row>
    <row r="92" spans="4:13" ht="15" x14ac:dyDescent="0.2">
      <c r="I92" s="16"/>
    </row>
    <row r="93" spans="4:13" ht="15" x14ac:dyDescent="0.2">
      <c r="I93" s="16"/>
    </row>
    <row r="95" spans="4:13" ht="15" x14ac:dyDescent="0.2">
      <c r="I95" s="57"/>
    </row>
    <row r="96" spans="4:13" x14ac:dyDescent="0.2">
      <c r="I96" s="4"/>
      <c r="J96" s="4"/>
      <c r="K96" s="4"/>
      <c r="L96" s="4"/>
      <c r="M96" s="4"/>
    </row>
    <row r="97" spans="1:13" ht="15" x14ac:dyDescent="0.2">
      <c r="I97" s="16"/>
      <c r="J97" s="4"/>
      <c r="K97" s="4"/>
      <c r="L97" s="4"/>
      <c r="M97" s="4"/>
    </row>
    <row r="98" spans="1:13" ht="15" x14ac:dyDescent="0.2">
      <c r="B98" s="7"/>
      <c r="C98" s="13"/>
      <c r="I98" s="4"/>
      <c r="J98" s="4"/>
      <c r="K98" s="4"/>
      <c r="L98" s="4"/>
      <c r="M98" s="4"/>
    </row>
    <row r="99" spans="1:13" ht="15" x14ac:dyDescent="0.2">
      <c r="B99" s="5"/>
      <c r="C99" s="14"/>
      <c r="I99" s="4"/>
      <c r="J99" s="4"/>
      <c r="K99" s="4"/>
      <c r="L99" s="4"/>
      <c r="M99" s="4"/>
    </row>
    <row r="100" spans="1:13" ht="15" x14ac:dyDescent="0.2">
      <c r="B100" s="5"/>
      <c r="C100" s="14"/>
      <c r="I100" s="4"/>
      <c r="J100" s="4"/>
      <c r="K100" s="4"/>
      <c r="L100" s="4"/>
      <c r="M100" s="4"/>
    </row>
    <row r="101" spans="1:13" ht="15" x14ac:dyDescent="0.2">
      <c r="B101" s="5"/>
      <c r="C101" s="14"/>
      <c r="I101" s="4"/>
      <c r="J101" s="4"/>
      <c r="K101" s="4"/>
      <c r="L101" s="4"/>
      <c r="M101" s="4"/>
    </row>
    <row r="102" spans="1:13" ht="15" x14ac:dyDescent="0.2">
      <c r="B102" s="5"/>
      <c r="C102" s="14"/>
      <c r="I102" s="4"/>
      <c r="J102" s="4"/>
      <c r="K102" s="4"/>
      <c r="L102" s="4"/>
      <c r="M102" s="4"/>
    </row>
    <row r="103" spans="1:13" ht="15" x14ac:dyDescent="0.2">
      <c r="B103" s="5"/>
      <c r="C103" s="14"/>
      <c r="I103" s="4"/>
      <c r="J103" s="4"/>
      <c r="K103" s="4"/>
      <c r="L103" s="4"/>
      <c r="M103" s="4"/>
    </row>
    <row r="104" spans="1:13" ht="15" x14ac:dyDescent="0.2">
      <c r="B104" s="7"/>
      <c r="C104" s="14"/>
      <c r="I104" s="4"/>
      <c r="J104" s="4"/>
      <c r="K104" s="4"/>
      <c r="L104" s="4"/>
      <c r="M104" s="4"/>
    </row>
    <row r="105" spans="1:13" x14ac:dyDescent="0.2">
      <c r="I105" s="4"/>
      <c r="J105" s="4"/>
      <c r="K105" s="4"/>
      <c r="L105" s="4"/>
      <c r="M105" s="4"/>
    </row>
    <row r="106" spans="1:13" x14ac:dyDescent="0.2">
      <c r="A106" s="1"/>
      <c r="I106" s="4"/>
      <c r="J106" s="4"/>
      <c r="K106" s="4"/>
      <c r="L106" s="4"/>
      <c r="M106" s="4"/>
    </row>
    <row r="107" spans="1:13" x14ac:dyDescent="0.2">
      <c r="I107" s="4"/>
      <c r="J107" s="4"/>
      <c r="K107" s="4"/>
      <c r="L107" s="4"/>
      <c r="M107" s="4"/>
    </row>
    <row r="108" spans="1:13" x14ac:dyDescent="0.2">
      <c r="I108" s="4"/>
      <c r="J108" s="4"/>
      <c r="K108" s="4"/>
      <c r="L108" s="4"/>
      <c r="M108" s="4"/>
    </row>
    <row r="109" spans="1:13" x14ac:dyDescent="0.2">
      <c r="I109" s="4"/>
      <c r="J109" s="4"/>
      <c r="K109" s="4"/>
      <c r="L109" s="4"/>
      <c r="M109" s="4"/>
    </row>
    <row r="110" spans="1:13" x14ac:dyDescent="0.2">
      <c r="I110" s="4"/>
      <c r="J110" s="4"/>
      <c r="K110" s="4"/>
      <c r="L110" s="4"/>
      <c r="M110" s="4"/>
    </row>
    <row r="111" spans="1:13" x14ac:dyDescent="0.2">
      <c r="I111" s="4"/>
      <c r="J111" s="4"/>
      <c r="K111" s="4"/>
      <c r="L111" s="4"/>
      <c r="M111" s="4"/>
    </row>
    <row r="112" spans="1:13" x14ac:dyDescent="0.2">
      <c r="I112" s="4"/>
      <c r="J112" s="4"/>
      <c r="K112" s="4"/>
      <c r="L112" s="4"/>
      <c r="M112" s="4"/>
    </row>
    <row r="113" spans="9:13" x14ac:dyDescent="0.2">
      <c r="I113" s="4"/>
      <c r="J113" s="4"/>
      <c r="K113" s="4"/>
      <c r="L113" s="4"/>
      <c r="M113" s="4"/>
    </row>
    <row r="114" spans="9:13" x14ac:dyDescent="0.2">
      <c r="I114" s="4"/>
      <c r="J114" s="4"/>
      <c r="K114" s="4"/>
      <c r="L114" s="4"/>
      <c r="M114" s="4"/>
    </row>
    <row r="115" spans="9:13" x14ac:dyDescent="0.2">
      <c r="I115" s="4"/>
      <c r="J115" s="4"/>
      <c r="K115" s="4"/>
      <c r="L115" s="4"/>
      <c r="M115" s="4"/>
    </row>
    <row r="117" spans="9:13" x14ac:dyDescent="0.2">
      <c r="I117" s="4"/>
      <c r="J117" s="4"/>
      <c r="K117" s="4"/>
      <c r="L117" s="4"/>
      <c r="M117" s="4"/>
    </row>
    <row r="118" spans="9:13" x14ac:dyDescent="0.2">
      <c r="I118" s="4"/>
      <c r="J118" s="4"/>
      <c r="K118" s="4"/>
      <c r="L118" s="4"/>
      <c r="M118" s="4"/>
    </row>
    <row r="119" spans="9:13" x14ac:dyDescent="0.2">
      <c r="I119" s="4"/>
      <c r="J119" s="4"/>
      <c r="K119" s="4"/>
      <c r="L119" s="4"/>
      <c r="M119" s="4"/>
    </row>
    <row r="120" spans="9:13" x14ac:dyDescent="0.2">
      <c r="I120" s="4"/>
      <c r="J120" s="4"/>
      <c r="K120" s="4"/>
      <c r="L120" s="4"/>
      <c r="M120" s="4"/>
    </row>
    <row r="121" spans="9:13" x14ac:dyDescent="0.2">
      <c r="I121" s="4"/>
      <c r="J121" s="4"/>
      <c r="K121" s="4"/>
      <c r="L121" s="4"/>
      <c r="M121" s="4"/>
    </row>
    <row r="122" spans="9:13" x14ac:dyDescent="0.2">
      <c r="I122" s="4"/>
      <c r="J122" s="4"/>
      <c r="K122" s="4"/>
      <c r="L122" s="4"/>
      <c r="M122" s="4"/>
    </row>
    <row r="123" spans="9:13" x14ac:dyDescent="0.2">
      <c r="I123" s="4"/>
      <c r="J123" s="4"/>
      <c r="K123" s="4"/>
      <c r="L123" s="4"/>
      <c r="M123" s="4"/>
    </row>
    <row r="124" spans="9:13" x14ac:dyDescent="0.2">
      <c r="I124" s="4"/>
      <c r="J124" s="4"/>
      <c r="K124" s="4"/>
      <c r="L124" s="4"/>
      <c r="M124" s="4"/>
    </row>
    <row r="125" spans="9:13" x14ac:dyDescent="0.2">
      <c r="I125" s="4"/>
      <c r="J125" s="4"/>
      <c r="K125" s="4"/>
      <c r="L125" s="4"/>
      <c r="M125" s="4"/>
    </row>
    <row r="126" spans="9:13" x14ac:dyDescent="0.2">
      <c r="I126" s="4"/>
      <c r="J126" s="4"/>
      <c r="K126" s="4"/>
      <c r="L126" s="4"/>
      <c r="M126" s="4"/>
    </row>
    <row r="127" spans="9:13" x14ac:dyDescent="0.2">
      <c r="I127" s="4"/>
      <c r="J127" s="4"/>
      <c r="K127" s="4"/>
      <c r="L127" s="4"/>
      <c r="M127" s="4"/>
    </row>
    <row r="129" spans="9:13" x14ac:dyDescent="0.2">
      <c r="I129" s="4"/>
      <c r="J129" s="4"/>
      <c r="K129" s="4"/>
      <c r="L129" s="4"/>
      <c r="M129" s="4"/>
    </row>
    <row r="130" spans="9:13" x14ac:dyDescent="0.2">
      <c r="I130" s="4"/>
      <c r="J130" s="4"/>
      <c r="K130" s="4"/>
      <c r="L130" s="4"/>
      <c r="M130" s="4"/>
    </row>
    <row r="131" spans="9:13" x14ac:dyDescent="0.2">
      <c r="I131" s="4"/>
      <c r="J131" s="4"/>
      <c r="K131" s="4"/>
      <c r="L131" s="4"/>
      <c r="M131" s="4"/>
    </row>
    <row r="132" spans="9:13" x14ac:dyDescent="0.2">
      <c r="I132" s="4"/>
      <c r="J132" s="4"/>
      <c r="K132" s="4"/>
      <c r="L132" s="4"/>
      <c r="M132" s="4"/>
    </row>
    <row r="133" spans="9:13" x14ac:dyDescent="0.2">
      <c r="I133" s="4"/>
      <c r="J133" s="4"/>
      <c r="K133" s="4"/>
      <c r="L133" s="4"/>
      <c r="M133" s="4"/>
    </row>
    <row r="134" spans="9:13" x14ac:dyDescent="0.2">
      <c r="I134" s="4"/>
      <c r="J134" s="4"/>
      <c r="K134" s="4"/>
      <c r="L134" s="4"/>
      <c r="M134" s="4"/>
    </row>
    <row r="135" spans="9:13" x14ac:dyDescent="0.2">
      <c r="I135" s="4"/>
      <c r="J135" s="4"/>
      <c r="K135" s="4"/>
      <c r="L135" s="4"/>
      <c r="M135" s="4"/>
    </row>
    <row r="136" spans="9:13" x14ac:dyDescent="0.2">
      <c r="I136" s="4"/>
      <c r="J136" s="4"/>
      <c r="K136" s="4"/>
      <c r="L136" s="4"/>
      <c r="M136" s="4"/>
    </row>
    <row r="137" spans="9:13" x14ac:dyDescent="0.2">
      <c r="I137" s="4"/>
      <c r="J137" s="4"/>
      <c r="K137" s="4"/>
      <c r="L137" s="4"/>
      <c r="M137" s="4"/>
    </row>
    <row r="138" spans="9:13" x14ac:dyDescent="0.2">
      <c r="I138" s="4"/>
      <c r="J138" s="4"/>
      <c r="K138" s="4"/>
      <c r="L138" s="4"/>
      <c r="M138" s="4"/>
    </row>
    <row r="139" spans="9:13" x14ac:dyDescent="0.2">
      <c r="I139" s="4"/>
      <c r="J139" s="4"/>
      <c r="K139" s="4"/>
      <c r="L139" s="4"/>
      <c r="M139" s="4"/>
    </row>
    <row r="140" spans="9:13" x14ac:dyDescent="0.2">
      <c r="I140" s="4"/>
      <c r="J140" s="4"/>
      <c r="K140" s="4"/>
      <c r="L140" s="4"/>
      <c r="M140" s="4"/>
    </row>
    <row r="141" spans="9:13" x14ac:dyDescent="0.2">
      <c r="I141" s="4"/>
      <c r="J141" s="4"/>
      <c r="K141" s="4"/>
      <c r="L141" s="4"/>
      <c r="M141" s="4"/>
    </row>
    <row r="142" spans="9:13" x14ac:dyDescent="0.2">
      <c r="I142" s="4"/>
      <c r="J142" s="4"/>
      <c r="K142" s="4"/>
      <c r="L142" s="4"/>
      <c r="M142" s="4"/>
    </row>
    <row r="143" spans="9:13" x14ac:dyDescent="0.2">
      <c r="I143" s="4"/>
      <c r="J143" s="4"/>
      <c r="K143" s="4"/>
      <c r="L143" s="4"/>
      <c r="M143" s="4"/>
    </row>
    <row r="144" spans="9:13" x14ac:dyDescent="0.2">
      <c r="I144" s="4"/>
      <c r="J144" s="4"/>
      <c r="K144" s="4"/>
      <c r="L144" s="4"/>
      <c r="M144" s="4"/>
    </row>
    <row r="145" spans="8:13" x14ac:dyDescent="0.2">
      <c r="H145" s="4"/>
      <c r="I145" s="4"/>
      <c r="J145" s="4"/>
      <c r="K145" s="4"/>
      <c r="L145" s="4"/>
      <c r="M145" s="4"/>
    </row>
  </sheetData>
  <printOptions horizontalCentered="1"/>
  <pageMargins left="0.25" right="0.25" top="0.25" bottom="0.25" header="0.5" footer="0.5"/>
  <pageSetup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6FD0-24C6-44CE-9BF0-5B4A4FCAAFA0}">
  <sheetPr>
    <pageSetUpPr fitToPage="1"/>
  </sheetPr>
  <dimension ref="A1:Y145"/>
  <sheetViews>
    <sheetView zoomScale="80" zoomScaleNormal="80" workbookViewId="0">
      <selection activeCell="P73" sqref="P73"/>
    </sheetView>
  </sheetViews>
  <sheetFormatPr defaultColWidth="11" defaultRowHeight="14.25" x14ac:dyDescent="0.2"/>
  <cols>
    <col min="1" max="1" width="11" style="2"/>
    <col min="2" max="2" width="25" style="2" customWidth="1"/>
    <col min="3" max="3" width="8.7109375" style="2" customWidth="1"/>
    <col min="4" max="4" width="6.85546875" style="2" customWidth="1"/>
    <col min="5" max="5" width="8.7109375" style="2" customWidth="1"/>
    <col min="6" max="6" width="8.140625" style="2" customWidth="1"/>
    <col min="7" max="7" width="7.7109375" style="2" customWidth="1"/>
    <col min="8" max="8" width="14.7109375" style="2" bestFit="1" customWidth="1"/>
    <col min="9" max="9" width="15.140625" style="2" customWidth="1"/>
    <col min="10" max="11" width="14.42578125" style="2" customWidth="1"/>
    <col min="12" max="12" width="14.5703125" style="2" customWidth="1"/>
    <col min="13" max="13" width="3.42578125" style="2" customWidth="1"/>
    <col min="14" max="14" width="14.42578125" style="2" customWidth="1"/>
    <col min="15" max="15" width="3" style="2" customWidth="1"/>
    <col min="16" max="16" width="11" style="2"/>
    <col min="17" max="17" width="22.42578125" style="2" bestFit="1" customWidth="1"/>
    <col min="18" max="19" width="11" style="2"/>
    <col min="20" max="20" width="12.42578125" style="170" customWidth="1"/>
    <col min="21" max="16384" width="11" style="2"/>
  </cols>
  <sheetData>
    <row r="1" spans="1:22" ht="15.75" x14ac:dyDescent="0.25">
      <c r="A1" s="38" t="s">
        <v>0</v>
      </c>
      <c r="B1" s="156" t="s">
        <v>223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  <c r="N1" s="22">
        <f ca="1">TODAY()</f>
        <v>45909</v>
      </c>
      <c r="O1" s="22"/>
      <c r="P1" s="3"/>
    </row>
    <row r="2" spans="1:22" ht="15.75" x14ac:dyDescent="0.25">
      <c r="A2" s="38" t="s">
        <v>2</v>
      </c>
      <c r="B2" s="7"/>
      <c r="C2" s="7"/>
      <c r="D2" s="2" t="s">
        <v>221</v>
      </c>
      <c r="E2" s="7"/>
      <c r="F2" s="7"/>
      <c r="G2" s="7"/>
      <c r="H2" s="46"/>
      <c r="I2" s="6"/>
      <c r="J2" s="6"/>
      <c r="K2" s="6"/>
      <c r="L2" s="6"/>
      <c r="M2" s="6"/>
      <c r="N2" s="6"/>
      <c r="O2" s="6"/>
      <c r="P2" s="3"/>
    </row>
    <row r="3" spans="1:22" ht="15" x14ac:dyDescent="0.2">
      <c r="A3" s="6"/>
      <c r="B3" s="6"/>
      <c r="C3" s="6"/>
      <c r="D3" s="7"/>
      <c r="E3" s="7"/>
      <c r="F3" s="7"/>
      <c r="G3" s="7"/>
      <c r="H3" s="6" t="s">
        <v>102</v>
      </c>
      <c r="I3" s="6" t="s">
        <v>104</v>
      </c>
      <c r="J3" s="6" t="s">
        <v>133</v>
      </c>
      <c r="K3" s="6" t="s">
        <v>138</v>
      </c>
      <c r="L3" s="6" t="s">
        <v>197</v>
      </c>
      <c r="M3" s="6"/>
      <c r="N3" s="6"/>
      <c r="O3" s="6"/>
      <c r="P3" s="3"/>
    </row>
    <row r="4" spans="1:22" ht="15" x14ac:dyDescent="0.2">
      <c r="A4" s="5" t="s">
        <v>3</v>
      </c>
      <c r="B4" s="7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7"/>
      <c r="N4" s="9" t="s">
        <v>9</v>
      </c>
      <c r="O4" s="9"/>
      <c r="Q4" s="41">
        <v>45292</v>
      </c>
      <c r="R4" s="2" t="s">
        <v>95</v>
      </c>
      <c r="S4" s="2" t="s">
        <v>194</v>
      </c>
      <c r="T4" s="170" t="s">
        <v>195</v>
      </c>
    </row>
    <row r="5" spans="1:22" ht="15.75" x14ac:dyDescent="0.25">
      <c r="A5" s="87" t="s">
        <v>10</v>
      </c>
      <c r="B5" s="8" t="s">
        <v>221</v>
      </c>
      <c r="C5" s="61">
        <v>0.5</v>
      </c>
      <c r="D5" s="61">
        <v>0.5</v>
      </c>
      <c r="E5" s="61">
        <v>0.5</v>
      </c>
      <c r="F5" s="61"/>
      <c r="G5" s="61"/>
      <c r="H5" s="17">
        <f t="shared" ref="H5:H19" si="0">ROUND(Q5/9,0)*C5</f>
        <v>8094.5</v>
      </c>
      <c r="I5" s="17">
        <f t="shared" ref="I5:I19" si="1">ROUND((Q5*1.03)/9,0)*D5</f>
        <v>8337.5</v>
      </c>
      <c r="J5" s="17">
        <f t="shared" ref="J5:J19" si="2">ROUND((Q5*1.03*1.03)/9,0)*E5</f>
        <v>8587.5</v>
      </c>
      <c r="K5" s="17">
        <f t="shared" ref="K5:K19" si="3">ROUND((Q5*1.03*1.03*1.03)/9,0)*F5</f>
        <v>0</v>
      </c>
      <c r="L5" s="17">
        <f t="shared" ref="L5:L19" si="4">ROUND((Q5*1.03*1.03*1.03*1.03)/9,0)*G5</f>
        <v>0</v>
      </c>
      <c r="M5" s="17"/>
      <c r="N5" s="18">
        <f t="shared" ref="N5:N20" si="5">SUM(H5:L5)</f>
        <v>25019.5</v>
      </c>
      <c r="O5" s="18"/>
      <c r="P5" s="39"/>
      <c r="Q5" s="2">
        <f>R5*1.05</f>
        <v>145701.15</v>
      </c>
      <c r="R5" s="98">
        <v>138763</v>
      </c>
      <c r="S5" s="2">
        <f>Q5/9*12</f>
        <v>194268.2</v>
      </c>
      <c r="T5" s="170">
        <f>S5/12</f>
        <v>16189.016666666668</v>
      </c>
      <c r="V5" s="100"/>
    </row>
    <row r="6" spans="1:22" ht="15" x14ac:dyDescent="0.2">
      <c r="A6" s="87" t="s">
        <v>11</v>
      </c>
      <c r="B6" s="8"/>
      <c r="C6" s="61"/>
      <c r="D6" s="161"/>
      <c r="E6" s="61"/>
      <c r="F6" s="61"/>
      <c r="G6" s="61"/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  <c r="L6" s="17">
        <f t="shared" si="4"/>
        <v>0</v>
      </c>
      <c r="M6" s="17"/>
      <c r="N6" s="18">
        <f t="shared" si="5"/>
        <v>0</v>
      </c>
      <c r="O6" s="18"/>
      <c r="P6" s="35"/>
      <c r="Q6" s="2">
        <f>R6*1.05</f>
        <v>0</v>
      </c>
      <c r="R6" s="98"/>
    </row>
    <row r="7" spans="1:22" ht="15" x14ac:dyDescent="0.2">
      <c r="A7" s="87" t="s">
        <v>12</v>
      </c>
      <c r="B7" s="8"/>
      <c r="C7" s="61"/>
      <c r="D7" s="61"/>
      <c r="E7" s="61"/>
      <c r="F7" s="61"/>
      <c r="G7" s="61"/>
      <c r="H7" s="17">
        <f t="shared" si="0"/>
        <v>0</v>
      </c>
      <c r="I7" s="17">
        <f t="shared" si="1"/>
        <v>0</v>
      </c>
      <c r="J7" s="17">
        <f t="shared" si="2"/>
        <v>0</v>
      </c>
      <c r="K7" s="17">
        <f t="shared" si="3"/>
        <v>0</v>
      </c>
      <c r="L7" s="17">
        <f t="shared" si="4"/>
        <v>0</v>
      </c>
      <c r="M7" s="17"/>
      <c r="N7" s="18">
        <f t="shared" si="5"/>
        <v>0</v>
      </c>
      <c r="O7" s="18"/>
      <c r="Q7" s="2">
        <f t="shared" ref="Q7:Q19" si="6">R7*1.03</f>
        <v>0</v>
      </c>
      <c r="R7" s="98"/>
    </row>
    <row r="8" spans="1:22" ht="15" x14ac:dyDescent="0.2">
      <c r="A8" s="87" t="s">
        <v>13</v>
      </c>
      <c r="B8" s="8"/>
      <c r="C8" s="61"/>
      <c r="D8" s="61"/>
      <c r="E8" s="61"/>
      <c r="F8" s="61"/>
      <c r="G8" s="61"/>
      <c r="H8" s="17">
        <f t="shared" si="0"/>
        <v>0</v>
      </c>
      <c r="I8" s="17">
        <f t="shared" si="1"/>
        <v>0</v>
      </c>
      <c r="J8" s="17">
        <f t="shared" si="2"/>
        <v>0</v>
      </c>
      <c r="K8" s="17">
        <f t="shared" si="3"/>
        <v>0</v>
      </c>
      <c r="L8" s="17">
        <f t="shared" si="4"/>
        <v>0</v>
      </c>
      <c r="M8" s="17"/>
      <c r="N8" s="18">
        <f t="shared" si="5"/>
        <v>0</v>
      </c>
      <c r="O8" s="18"/>
      <c r="Q8" s="2">
        <f t="shared" si="6"/>
        <v>0</v>
      </c>
      <c r="U8" s="2" t="s">
        <v>99</v>
      </c>
    </row>
    <row r="9" spans="1:22" ht="15" x14ac:dyDescent="0.2">
      <c r="A9" s="87" t="s">
        <v>14</v>
      </c>
      <c r="B9" s="8" t="s">
        <v>1</v>
      </c>
      <c r="C9" s="61"/>
      <c r="D9" s="61"/>
      <c r="E9" s="61"/>
      <c r="F9" s="61"/>
      <c r="G9" s="61"/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7">
        <f t="shared" si="4"/>
        <v>0</v>
      </c>
      <c r="M9" s="47"/>
      <c r="N9" s="48">
        <f t="shared" si="5"/>
        <v>0</v>
      </c>
      <c r="O9" s="48"/>
      <c r="Q9" s="2">
        <f t="shared" si="6"/>
        <v>0</v>
      </c>
    </row>
    <row r="10" spans="1:22" ht="15" x14ac:dyDescent="0.2">
      <c r="A10" s="87" t="s">
        <v>15</v>
      </c>
      <c r="B10" s="8"/>
      <c r="C10" s="61"/>
      <c r="D10" s="61"/>
      <c r="E10" s="61"/>
      <c r="F10" s="61"/>
      <c r="G10" s="61"/>
      <c r="H10" s="17">
        <f t="shared" si="0"/>
        <v>0</v>
      </c>
      <c r="I10" s="17">
        <f t="shared" si="1"/>
        <v>0</v>
      </c>
      <c r="J10" s="17">
        <f t="shared" si="2"/>
        <v>0</v>
      </c>
      <c r="K10" s="17">
        <f t="shared" si="3"/>
        <v>0</v>
      </c>
      <c r="L10" s="17">
        <f t="shared" si="4"/>
        <v>0</v>
      </c>
      <c r="M10" s="47"/>
      <c r="N10" s="48">
        <f t="shared" si="5"/>
        <v>0</v>
      </c>
      <c r="O10" s="48"/>
      <c r="Q10" s="2">
        <f t="shared" si="6"/>
        <v>0</v>
      </c>
    </row>
    <row r="11" spans="1:22" ht="15" hidden="1" x14ac:dyDescent="0.2">
      <c r="A11" s="87" t="s">
        <v>124</v>
      </c>
      <c r="B11" s="8"/>
      <c r="C11" s="61"/>
      <c r="D11" s="61"/>
      <c r="E11" s="61"/>
      <c r="F11" s="61"/>
      <c r="G11" s="61"/>
      <c r="H11" s="17">
        <f t="shared" si="0"/>
        <v>0</v>
      </c>
      <c r="I11" s="17">
        <f t="shared" si="1"/>
        <v>0</v>
      </c>
      <c r="J11" s="17">
        <f t="shared" si="2"/>
        <v>0</v>
      </c>
      <c r="K11" s="17">
        <f t="shared" si="3"/>
        <v>0</v>
      </c>
      <c r="L11" s="17">
        <f t="shared" si="4"/>
        <v>0</v>
      </c>
      <c r="M11" s="47"/>
      <c r="N11" s="48">
        <f t="shared" si="5"/>
        <v>0</v>
      </c>
      <c r="O11" s="48"/>
      <c r="Q11" s="2">
        <f t="shared" si="6"/>
        <v>0</v>
      </c>
    </row>
    <row r="12" spans="1:22" ht="15" hidden="1" x14ac:dyDescent="0.2">
      <c r="A12" s="87" t="s">
        <v>125</v>
      </c>
      <c r="B12" s="8"/>
      <c r="C12" s="61"/>
      <c r="D12" s="61"/>
      <c r="E12" s="61"/>
      <c r="F12" s="61"/>
      <c r="G12" s="61"/>
      <c r="H12" s="17">
        <f t="shared" si="0"/>
        <v>0</v>
      </c>
      <c r="I12" s="17">
        <f t="shared" si="1"/>
        <v>0</v>
      </c>
      <c r="J12" s="17">
        <f t="shared" si="2"/>
        <v>0</v>
      </c>
      <c r="K12" s="17">
        <f t="shared" si="3"/>
        <v>0</v>
      </c>
      <c r="L12" s="17">
        <f t="shared" si="4"/>
        <v>0</v>
      </c>
      <c r="M12" s="47"/>
      <c r="N12" s="48">
        <f t="shared" si="5"/>
        <v>0</v>
      </c>
      <c r="O12" s="48"/>
      <c r="Q12" s="2">
        <f t="shared" si="6"/>
        <v>0</v>
      </c>
    </row>
    <row r="13" spans="1:22" ht="15" hidden="1" x14ac:dyDescent="0.2">
      <c r="A13" s="87" t="s">
        <v>126</v>
      </c>
      <c r="B13" s="8"/>
      <c r="C13" s="61"/>
      <c r="D13" s="61"/>
      <c r="E13" s="61"/>
      <c r="F13" s="61"/>
      <c r="G13" s="61"/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  <c r="L13" s="17">
        <f t="shared" si="4"/>
        <v>0</v>
      </c>
      <c r="M13" s="47"/>
      <c r="N13" s="48">
        <f t="shared" si="5"/>
        <v>0</v>
      </c>
      <c r="O13" s="48"/>
      <c r="Q13" s="2">
        <f t="shared" si="6"/>
        <v>0</v>
      </c>
    </row>
    <row r="14" spans="1:22" ht="15" hidden="1" x14ac:dyDescent="0.2">
      <c r="A14" s="87" t="s">
        <v>127</v>
      </c>
      <c r="B14" s="8"/>
      <c r="C14" s="61"/>
      <c r="D14" s="61"/>
      <c r="E14" s="61"/>
      <c r="F14" s="61"/>
      <c r="G14" s="61"/>
      <c r="H14" s="17">
        <f t="shared" si="0"/>
        <v>0</v>
      </c>
      <c r="I14" s="17">
        <f t="shared" si="1"/>
        <v>0</v>
      </c>
      <c r="J14" s="17">
        <f t="shared" si="2"/>
        <v>0</v>
      </c>
      <c r="K14" s="17">
        <f t="shared" si="3"/>
        <v>0</v>
      </c>
      <c r="L14" s="17">
        <f t="shared" si="4"/>
        <v>0</v>
      </c>
      <c r="M14" s="47"/>
      <c r="N14" s="48">
        <f t="shared" si="5"/>
        <v>0</v>
      </c>
      <c r="O14" s="48"/>
      <c r="Q14" s="2">
        <f t="shared" si="6"/>
        <v>0</v>
      </c>
    </row>
    <row r="15" spans="1:22" ht="15" hidden="1" x14ac:dyDescent="0.2">
      <c r="A15" s="87" t="s">
        <v>128</v>
      </c>
      <c r="B15" s="8"/>
      <c r="C15" s="61"/>
      <c r="D15" s="61"/>
      <c r="E15" s="61"/>
      <c r="F15" s="61"/>
      <c r="G15" s="61"/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  <c r="L15" s="17">
        <f t="shared" si="4"/>
        <v>0</v>
      </c>
      <c r="M15" s="47"/>
      <c r="N15" s="48">
        <f t="shared" si="5"/>
        <v>0</v>
      </c>
      <c r="O15" s="48"/>
      <c r="Q15" s="2">
        <f t="shared" si="6"/>
        <v>0</v>
      </c>
    </row>
    <row r="16" spans="1:22" ht="15" hidden="1" x14ac:dyDescent="0.2">
      <c r="A16" s="87" t="s">
        <v>129</v>
      </c>
      <c r="B16" s="8"/>
      <c r="C16" s="61"/>
      <c r="D16" s="61"/>
      <c r="E16" s="61"/>
      <c r="F16" s="61"/>
      <c r="G16" s="61"/>
      <c r="H16" s="17">
        <f t="shared" si="0"/>
        <v>0</v>
      </c>
      <c r="I16" s="17">
        <f t="shared" si="1"/>
        <v>0</v>
      </c>
      <c r="J16" s="17">
        <f t="shared" si="2"/>
        <v>0</v>
      </c>
      <c r="K16" s="17">
        <f t="shared" si="3"/>
        <v>0</v>
      </c>
      <c r="L16" s="17">
        <f t="shared" si="4"/>
        <v>0</v>
      </c>
      <c r="M16" s="47"/>
      <c r="N16" s="48">
        <f t="shared" si="5"/>
        <v>0</v>
      </c>
      <c r="O16" s="48"/>
      <c r="Q16" s="2">
        <f t="shared" si="6"/>
        <v>0</v>
      </c>
    </row>
    <row r="17" spans="1:25" ht="15" hidden="1" x14ac:dyDescent="0.2">
      <c r="A17" s="87" t="s">
        <v>130</v>
      </c>
      <c r="B17" s="8"/>
      <c r="C17" s="61"/>
      <c r="D17" s="61"/>
      <c r="E17" s="61"/>
      <c r="F17" s="61"/>
      <c r="G17" s="61"/>
      <c r="H17" s="17">
        <f t="shared" si="0"/>
        <v>0</v>
      </c>
      <c r="I17" s="17">
        <f t="shared" si="1"/>
        <v>0</v>
      </c>
      <c r="J17" s="17">
        <f t="shared" si="2"/>
        <v>0</v>
      </c>
      <c r="K17" s="17">
        <f t="shared" si="3"/>
        <v>0</v>
      </c>
      <c r="L17" s="17">
        <f t="shared" si="4"/>
        <v>0</v>
      </c>
      <c r="M17" s="47"/>
      <c r="N17" s="48">
        <f t="shared" si="5"/>
        <v>0</v>
      </c>
      <c r="O17" s="48"/>
      <c r="Q17" s="2">
        <f t="shared" si="6"/>
        <v>0</v>
      </c>
    </row>
    <row r="18" spans="1:25" ht="15" hidden="1" x14ac:dyDescent="0.2">
      <c r="A18" s="87" t="s">
        <v>131</v>
      </c>
      <c r="B18" s="8"/>
      <c r="C18" s="61"/>
      <c r="D18" s="61"/>
      <c r="E18" s="61"/>
      <c r="F18" s="61"/>
      <c r="G18" s="61"/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  <c r="L18" s="17">
        <f t="shared" si="4"/>
        <v>0</v>
      </c>
      <c r="M18" s="47"/>
      <c r="N18" s="48">
        <f t="shared" si="5"/>
        <v>0</v>
      </c>
      <c r="O18" s="48"/>
      <c r="Q18" s="2">
        <f t="shared" si="6"/>
        <v>0</v>
      </c>
    </row>
    <row r="19" spans="1:25" ht="15" hidden="1" x14ac:dyDescent="0.2">
      <c r="A19" s="87" t="s">
        <v>132</v>
      </c>
      <c r="B19" s="8"/>
      <c r="C19" s="61"/>
      <c r="D19" s="61"/>
      <c r="E19" s="61"/>
      <c r="F19" s="61"/>
      <c r="G19" s="61"/>
      <c r="H19" s="17">
        <f t="shared" si="0"/>
        <v>0</v>
      </c>
      <c r="I19" s="17">
        <f t="shared" si="1"/>
        <v>0</v>
      </c>
      <c r="J19" s="17">
        <f t="shared" si="2"/>
        <v>0</v>
      </c>
      <c r="K19" s="17">
        <f t="shared" si="3"/>
        <v>0</v>
      </c>
      <c r="L19" s="17">
        <f t="shared" si="4"/>
        <v>0</v>
      </c>
      <c r="M19" s="49"/>
      <c r="N19" s="50">
        <f t="shared" si="5"/>
        <v>0</v>
      </c>
      <c r="O19" s="48"/>
      <c r="Q19" s="2">
        <f t="shared" si="6"/>
        <v>0</v>
      </c>
    </row>
    <row r="20" spans="1:25" ht="15" x14ac:dyDescent="0.2">
      <c r="A20" s="5" t="s">
        <v>16</v>
      </c>
      <c r="B20" s="7"/>
      <c r="C20" s="7"/>
      <c r="D20" s="6">
        <v>0</v>
      </c>
      <c r="E20" s="6"/>
      <c r="F20" s="6"/>
      <c r="G20" s="6"/>
      <c r="H20" s="17">
        <f>SUM(H5:H19)</f>
        <v>8094.5</v>
      </c>
      <c r="I20" s="17">
        <f>SUM(I5:I19)</f>
        <v>8337.5</v>
      </c>
      <c r="J20" s="17">
        <f>SUM(J5:J19)</f>
        <v>8587.5</v>
      </c>
      <c r="K20" s="17">
        <f>SUM(K5:K19)</f>
        <v>0</v>
      </c>
      <c r="L20" s="17">
        <f>SUM(L5:L19)</f>
        <v>0</v>
      </c>
      <c r="M20" s="19" t="s">
        <v>1</v>
      </c>
      <c r="N20" s="18">
        <f t="shared" si="5"/>
        <v>25019.5</v>
      </c>
      <c r="O20" s="18"/>
    </row>
    <row r="21" spans="1:25" ht="15" x14ac:dyDescent="0.2">
      <c r="A21" s="5" t="s">
        <v>17</v>
      </c>
      <c r="B21" s="7"/>
      <c r="C21" s="7">
        <f>SUM(C5:C19)</f>
        <v>0.5</v>
      </c>
      <c r="D21" s="7">
        <f>SUM(D5:D19)</f>
        <v>0.5</v>
      </c>
      <c r="E21" s="7">
        <f>SUM(E5:E19)</f>
        <v>0.5</v>
      </c>
      <c r="F21" s="7">
        <f>SUM(F5:F19)</f>
        <v>0</v>
      </c>
      <c r="G21" s="7">
        <f>SUM(G5:G19)</f>
        <v>0</v>
      </c>
      <c r="H21" s="18"/>
      <c r="I21" s="18"/>
      <c r="J21" s="18"/>
      <c r="K21" s="18"/>
      <c r="L21" s="18"/>
      <c r="M21" s="19"/>
      <c r="N21" s="18"/>
      <c r="O21" s="18"/>
    </row>
    <row r="22" spans="1:25" ht="15" x14ac:dyDescent="0.2">
      <c r="A22" s="5"/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9"/>
      <c r="N22" s="18"/>
      <c r="O22" s="18"/>
    </row>
    <row r="23" spans="1:25" ht="15" x14ac:dyDescent="0.2">
      <c r="A23" s="5" t="s">
        <v>18</v>
      </c>
      <c r="B23" s="7"/>
      <c r="C23" s="7"/>
      <c r="D23" s="7"/>
      <c r="E23" s="7"/>
      <c r="F23" s="7"/>
      <c r="G23" s="7"/>
      <c r="H23" s="20"/>
      <c r="I23" s="19" t="s">
        <v>1</v>
      </c>
      <c r="J23" s="20"/>
      <c r="K23" s="20"/>
      <c r="L23" s="20"/>
      <c r="M23" s="20"/>
      <c r="N23" s="20"/>
      <c r="O23" s="20"/>
      <c r="Q23" s="2" t="s">
        <v>19</v>
      </c>
    </row>
    <row r="24" spans="1:25" ht="15" x14ac:dyDescent="0.2">
      <c r="A24" s="45" t="s">
        <v>20</v>
      </c>
      <c r="B24" s="42" t="s">
        <v>21</v>
      </c>
      <c r="C24" s="7"/>
      <c r="D24" s="7"/>
      <c r="E24" s="7"/>
      <c r="F24" s="7"/>
      <c r="G24" s="7"/>
      <c r="H24" s="17">
        <v>0</v>
      </c>
      <c r="I24" s="17">
        <f t="shared" ref="I24:L25" si="7">ROUND(H24*1.03,0)</f>
        <v>0</v>
      </c>
      <c r="J24" s="17">
        <f t="shared" si="7"/>
        <v>0</v>
      </c>
      <c r="K24" s="17">
        <f t="shared" si="7"/>
        <v>0</v>
      </c>
      <c r="L24" s="17">
        <f t="shared" si="7"/>
        <v>0</v>
      </c>
      <c r="M24" s="17"/>
      <c r="N24" s="18">
        <f t="shared" ref="N24:N30" si="8">SUM(H24:L24)</f>
        <v>0</v>
      </c>
      <c r="O24" s="18"/>
      <c r="P24" s="24"/>
      <c r="Q24" s="32" t="s">
        <v>22</v>
      </c>
      <c r="R24" s="32" t="s">
        <v>105</v>
      </c>
      <c r="S24" s="33" t="s">
        <v>23</v>
      </c>
      <c r="T24" s="88"/>
    </row>
    <row r="25" spans="1:25" ht="15.75" x14ac:dyDescent="0.25">
      <c r="A25" s="10" t="s">
        <v>11</v>
      </c>
      <c r="B25" s="42" t="s">
        <v>24</v>
      </c>
      <c r="C25" s="43"/>
      <c r="D25" s="7"/>
      <c r="E25" s="7"/>
      <c r="F25" s="7"/>
      <c r="G25" s="7" t="s">
        <v>1</v>
      </c>
      <c r="H25" s="17">
        <v>0</v>
      </c>
      <c r="I25" s="17">
        <f t="shared" si="7"/>
        <v>0</v>
      </c>
      <c r="J25" s="17">
        <f t="shared" si="7"/>
        <v>0</v>
      </c>
      <c r="K25" s="17">
        <f t="shared" si="7"/>
        <v>0</v>
      </c>
      <c r="L25" s="17">
        <f t="shared" si="7"/>
        <v>0</v>
      </c>
      <c r="M25" s="17"/>
      <c r="N25" s="18">
        <f t="shared" si="8"/>
        <v>0</v>
      </c>
      <c r="O25" s="18"/>
      <c r="P25" s="24"/>
      <c r="Q25" s="25"/>
      <c r="R25" s="34"/>
      <c r="S25" s="26"/>
      <c r="T25" s="70"/>
      <c r="U25" s="2" t="s">
        <v>196</v>
      </c>
      <c r="X25" s="28"/>
      <c r="Y25" s="60"/>
    </row>
    <row r="26" spans="1:25" ht="15" x14ac:dyDescent="0.2">
      <c r="A26" s="10" t="s">
        <v>12</v>
      </c>
      <c r="B26" s="42" t="s">
        <v>26</v>
      </c>
      <c r="C26" s="44"/>
      <c r="D26" s="7"/>
      <c r="E26" s="21" t="s">
        <v>1</v>
      </c>
      <c r="F26" s="21" t="s">
        <v>1</v>
      </c>
      <c r="G26" s="12" t="s">
        <v>1</v>
      </c>
      <c r="H26" s="17">
        <f>ROUND(S32+[2]PA!D6,0)</f>
        <v>45357</v>
      </c>
      <c r="I26" s="17">
        <f>ROUND(S40+[2]PA!D9,0)</f>
        <v>50320</v>
      </c>
      <c r="J26" s="17">
        <f>ROUND(S48+[2]PA!D12,0)</f>
        <v>52836</v>
      </c>
      <c r="K26" s="17">
        <f>ROUND(S56+[2]PA!D15,0)</f>
        <v>0</v>
      </c>
      <c r="L26" s="17">
        <f>ROUND(S64+[2]PA!D18,0)</f>
        <v>0</v>
      </c>
      <c r="M26" s="17"/>
      <c r="N26" s="18">
        <f t="shared" si="8"/>
        <v>148513</v>
      </c>
      <c r="O26" s="18"/>
      <c r="P26" s="27" t="s">
        <v>25</v>
      </c>
      <c r="Q26" s="2">
        <v>0</v>
      </c>
      <c r="R26" s="28" t="s">
        <v>96</v>
      </c>
      <c r="S26" s="29">
        <f>ROUND(Q26*T26,0)</f>
        <v>0</v>
      </c>
      <c r="T26" s="88">
        <v>32092.500000000004</v>
      </c>
      <c r="U26" s="2" t="s">
        <v>100</v>
      </c>
      <c r="X26" s="28"/>
      <c r="Y26" s="60"/>
    </row>
    <row r="27" spans="1:25" ht="15.75" x14ac:dyDescent="0.25">
      <c r="A27" s="10" t="s">
        <v>13</v>
      </c>
      <c r="B27" s="42" t="s">
        <v>27</v>
      </c>
      <c r="C27" s="43"/>
      <c r="D27" s="7" t="s">
        <v>1</v>
      </c>
      <c r="E27" s="7"/>
      <c r="F27" s="7" t="s">
        <v>1</v>
      </c>
      <c r="G27" s="7"/>
      <c r="H27" s="47">
        <v>0</v>
      </c>
      <c r="I27" s="17">
        <f t="shared" ref="I27:L29" si="9">ROUND(H27*1.03,0)</f>
        <v>0</v>
      </c>
      <c r="J27" s="17">
        <f t="shared" si="9"/>
        <v>0</v>
      </c>
      <c r="K27" s="17">
        <f t="shared" si="9"/>
        <v>0</v>
      </c>
      <c r="L27" s="17">
        <f t="shared" si="9"/>
        <v>0</v>
      </c>
      <c r="M27" s="47"/>
      <c r="N27" s="48">
        <f t="shared" si="8"/>
        <v>0</v>
      </c>
      <c r="O27" s="51"/>
      <c r="P27" s="27"/>
      <c r="Q27" s="2">
        <v>1</v>
      </c>
      <c r="R27" s="28" t="s">
        <v>97</v>
      </c>
      <c r="S27" s="29">
        <f>ROUND(Q27*T27,0)</f>
        <v>34018</v>
      </c>
      <c r="T27" s="88">
        <v>34017.5</v>
      </c>
      <c r="U27" s="2" t="s">
        <v>103</v>
      </c>
      <c r="X27" s="28"/>
      <c r="Y27" s="60"/>
    </row>
    <row r="28" spans="1:25" ht="15.75" x14ac:dyDescent="0.25">
      <c r="A28" s="10" t="s">
        <v>14</v>
      </c>
      <c r="B28" s="42" t="s">
        <v>28</v>
      </c>
      <c r="C28" s="43"/>
      <c r="D28" s="7">
        <v>0</v>
      </c>
      <c r="E28" s="7"/>
      <c r="F28" s="7"/>
      <c r="G28" s="7" t="s">
        <v>1</v>
      </c>
      <c r="H28" s="47">
        <v>0</v>
      </c>
      <c r="I28" s="17">
        <f t="shared" si="9"/>
        <v>0</v>
      </c>
      <c r="J28" s="17">
        <f t="shared" si="9"/>
        <v>0</v>
      </c>
      <c r="K28" s="17">
        <f t="shared" si="9"/>
        <v>0</v>
      </c>
      <c r="L28" s="17">
        <f t="shared" si="9"/>
        <v>0</v>
      </c>
      <c r="M28" s="47"/>
      <c r="N28" s="48">
        <f t="shared" si="8"/>
        <v>0</v>
      </c>
      <c r="O28" s="51"/>
      <c r="P28" s="27"/>
      <c r="Q28" s="2">
        <v>0</v>
      </c>
      <c r="R28" s="28" t="s">
        <v>98</v>
      </c>
      <c r="S28" s="29">
        <f>ROUND(Q28*T28,0)</f>
        <v>0</v>
      </c>
      <c r="T28" s="88">
        <v>35942.5</v>
      </c>
      <c r="U28" s="2" t="s">
        <v>101</v>
      </c>
      <c r="V28" s="101" t="s">
        <v>143</v>
      </c>
      <c r="W28" s="101" t="s">
        <v>144</v>
      </c>
      <c r="X28" s="28"/>
      <c r="Y28" s="60"/>
    </row>
    <row r="29" spans="1:25" ht="15.75" x14ac:dyDescent="0.25">
      <c r="A29" s="10">
        <v>6</v>
      </c>
      <c r="B29" s="42" t="s">
        <v>29</v>
      </c>
      <c r="C29" s="43"/>
      <c r="D29" s="7"/>
      <c r="E29" s="7"/>
      <c r="F29" s="7"/>
      <c r="G29" s="7"/>
      <c r="H29" s="49">
        <v>0</v>
      </c>
      <c r="I29" s="49">
        <f t="shared" si="9"/>
        <v>0</v>
      </c>
      <c r="J29" s="49">
        <f t="shared" si="9"/>
        <v>0</v>
      </c>
      <c r="K29" s="49">
        <f t="shared" si="9"/>
        <v>0</v>
      </c>
      <c r="L29" s="49">
        <f t="shared" si="9"/>
        <v>0</v>
      </c>
      <c r="M29" s="49"/>
      <c r="N29" s="50">
        <f t="shared" si="8"/>
        <v>0</v>
      </c>
      <c r="O29" s="51"/>
      <c r="P29" s="27" t="s">
        <v>30</v>
      </c>
      <c r="Q29" s="2">
        <v>0</v>
      </c>
      <c r="R29" s="99" t="s">
        <v>96</v>
      </c>
      <c r="S29" s="29">
        <f>ROUND(Q29*(T29/9)*3,0)</f>
        <v>0</v>
      </c>
      <c r="T29" s="88">
        <v>32092.500000000004</v>
      </c>
      <c r="U29" s="2" t="s">
        <v>96</v>
      </c>
      <c r="V29" s="72">
        <f>T26/9*12</f>
        <v>42790.000000000007</v>
      </c>
      <c r="W29" s="72">
        <f>V29/12</f>
        <v>3565.8333333333339</v>
      </c>
      <c r="Y29" s="60"/>
    </row>
    <row r="30" spans="1:25" ht="15" x14ac:dyDescent="0.2">
      <c r="A30" s="5" t="s">
        <v>31</v>
      </c>
      <c r="B30" s="7"/>
      <c r="C30" s="7"/>
      <c r="D30" s="7"/>
      <c r="E30" s="7"/>
      <c r="F30" s="7"/>
      <c r="G30" s="7"/>
      <c r="H30" s="18">
        <f>((+H20+H24+H25+H26+H27+H28+H29))</f>
        <v>53451.5</v>
      </c>
      <c r="I30" s="18">
        <f>((+I20+I24+I25+I26+I27+I28+I29))</f>
        <v>58657.5</v>
      </c>
      <c r="J30" s="18">
        <f>((+J20+J24+J25+J26+J27+J28+J29))</f>
        <v>61423.5</v>
      </c>
      <c r="K30" s="18">
        <f>((+K20+K24+K25+K26+K27+K28+K29))</f>
        <v>0</v>
      </c>
      <c r="L30" s="18">
        <f>((+L20+L24+L25+L26+L27+L28+L29))</f>
        <v>0</v>
      </c>
      <c r="M30" s="20"/>
      <c r="N30" s="18">
        <f t="shared" si="8"/>
        <v>173532.5</v>
      </c>
      <c r="O30" s="51"/>
      <c r="P30" s="27"/>
      <c r="Q30" s="2">
        <v>1</v>
      </c>
      <c r="R30" s="99" t="s">
        <v>97</v>
      </c>
      <c r="S30" s="29">
        <f>ROUND(Q30*(T30/9)*3,0)</f>
        <v>11339</v>
      </c>
      <c r="T30" s="88">
        <v>34017.5</v>
      </c>
      <c r="U30" s="2" t="s">
        <v>97</v>
      </c>
      <c r="V30" s="72">
        <f>T27/9*12</f>
        <v>45356.666666666664</v>
      </c>
      <c r="W30" s="72">
        <f>V30/12</f>
        <v>3779.7222222222222</v>
      </c>
    </row>
    <row r="31" spans="1:25" ht="15" x14ac:dyDescent="0.2">
      <c r="A31" s="7"/>
      <c r="B31" s="7"/>
      <c r="C31" s="7"/>
      <c r="D31" s="7"/>
      <c r="E31" s="7"/>
      <c r="F31" s="7"/>
      <c r="G31" s="7"/>
      <c r="H31" s="20"/>
      <c r="I31" s="20"/>
      <c r="J31" s="20"/>
      <c r="K31" s="20"/>
      <c r="L31" s="20"/>
      <c r="M31" s="20"/>
      <c r="N31" s="20"/>
      <c r="O31" s="54"/>
      <c r="P31" s="27"/>
      <c r="Q31" s="2">
        <v>0</v>
      </c>
      <c r="R31" s="99" t="s">
        <v>98</v>
      </c>
      <c r="S31" s="29">
        <f>ROUND(Q31*(T31/9)*3,0)</f>
        <v>0</v>
      </c>
      <c r="T31" s="174">
        <v>35942.5</v>
      </c>
      <c r="U31" s="2" t="s">
        <v>98</v>
      </c>
      <c r="V31" s="72">
        <f>T28/9*12</f>
        <v>47923.333333333336</v>
      </c>
      <c r="W31" s="72">
        <f>V31/12</f>
        <v>3993.6111111111113</v>
      </c>
    </row>
    <row r="32" spans="1:25" ht="15" x14ac:dyDescent="0.2">
      <c r="A32" s="5" t="s">
        <v>33</v>
      </c>
      <c r="B32" s="7"/>
      <c r="C32" s="7"/>
      <c r="D32" s="7"/>
      <c r="E32" s="7"/>
      <c r="F32" s="7"/>
      <c r="G32" s="7"/>
      <c r="H32" s="20"/>
      <c r="I32" s="20"/>
      <c r="J32" s="20"/>
      <c r="K32" s="20"/>
      <c r="L32" s="20"/>
      <c r="M32" s="20"/>
      <c r="N32" s="20"/>
      <c r="O32" s="54"/>
      <c r="P32" s="27"/>
      <c r="Q32" s="58">
        <f>SUM(Q26:Q28)</f>
        <v>1</v>
      </c>
      <c r="S32" s="59">
        <f>SUM(S26:S31)</f>
        <v>45357</v>
      </c>
      <c r="T32" s="89"/>
    </row>
    <row r="33" spans="1:23" ht="15" x14ac:dyDescent="0.2">
      <c r="A33" s="11">
        <f>[2]Fringe!C5</f>
        <v>0.38500000000000001</v>
      </c>
      <c r="B33" s="5" t="s">
        <v>34</v>
      </c>
      <c r="C33" s="11">
        <f>[2]Fringe!C6</f>
        <v>0.218</v>
      </c>
      <c r="D33" s="5" t="s">
        <v>35</v>
      </c>
      <c r="E33" s="5"/>
      <c r="F33" s="11">
        <f>[2]Fringe!C9</f>
        <v>3.5000000000000003E-2</v>
      </c>
      <c r="G33" s="5" t="s">
        <v>36</v>
      </c>
      <c r="H33" s="52"/>
      <c r="I33" s="53"/>
      <c r="J33" s="53"/>
      <c r="K33" s="53"/>
      <c r="L33" s="53"/>
      <c r="M33" s="53"/>
      <c r="N33" s="53"/>
      <c r="O33" s="54"/>
      <c r="P33" s="27"/>
      <c r="R33" s="28"/>
      <c r="S33" s="29"/>
      <c r="T33" s="88"/>
    </row>
    <row r="34" spans="1:23" ht="15" x14ac:dyDescent="0.2">
      <c r="A34" s="11">
        <f>[2]Fringe!C7</f>
        <v>0.245</v>
      </c>
      <c r="B34" s="5" t="s">
        <v>37</v>
      </c>
      <c r="C34" s="11">
        <f>[2]Fringe!C8</f>
        <v>0.39800000000000002</v>
      </c>
      <c r="D34" s="5" t="s">
        <v>38</v>
      </c>
      <c r="E34" s="5"/>
      <c r="F34" s="64">
        <f>[2]Fringe!C10</f>
        <v>8.7999999999999995E-2</v>
      </c>
      <c r="G34" s="7" t="s">
        <v>92</v>
      </c>
      <c r="H34" s="50">
        <f>ROUND([2]Fringe!$C$5*(H20)+[2]Fringe!$C$5*H25+[2]Fringe!$C$6*H24+[2]Fringe!$C$7*H26+[2]Fringe!$C$7*H28+[2]Fringe!$C$10*H29+[2]Fringe!$C$9*H27,0)</f>
        <v>14229</v>
      </c>
      <c r="I34" s="50">
        <f>ROUND([2]Fringe!$D$5*(I20)+[2]Fringe!$D$5*I25+[2]Fringe!$D$6*I24+[2]Fringe!$D$7*I26+[2]Fringe!$D$7*I28+[2]Fringe!$D$10*I29+[2]Fringe!$D$9*I27,0)</f>
        <v>16125</v>
      </c>
      <c r="J34" s="50">
        <f>ROUND([2]Fringe!$E$5*(J20)+[2]Fringe!$E$5*J25+[2]Fringe!$E$6*J24+[2]Fringe!$E$7*J26+[2]Fringe!$E$7*J28+[2]Fringe!$E$9*J29+[2]Fringe!$E$9*J27,0)</f>
        <v>17479</v>
      </c>
      <c r="K34" s="50">
        <f>ROUND([2]Fringe!$F$5*(K20)+[2]Fringe!$F$5*K25+[2]Fringe!$F$6*K24+[2]Fringe!$F$7*K26+[2]Fringe!$F$7*K28+[2]Fringe!$F$9*K29+[2]Fringe!$F$9*K27,0)</f>
        <v>0</v>
      </c>
      <c r="L34" s="50">
        <f>ROUND([2]Fringe!$G$5*(L20)+[2]Fringe!$G$5*L25+[2]Fringe!$G$6*L24+[2]Fringe!$G$7*L26+[2]Fringe!$G$7*L28+[2]Fringe!$G$9*L29+[2]Fringe!$G$9*L27,0)</f>
        <v>0</v>
      </c>
      <c r="M34" s="50" t="s">
        <v>1</v>
      </c>
      <c r="N34" s="50">
        <f>SUM(H34:L34)</f>
        <v>47833</v>
      </c>
      <c r="O34" s="51"/>
      <c r="P34" s="27" t="s">
        <v>32</v>
      </c>
      <c r="Q34" s="2">
        <v>0</v>
      </c>
      <c r="R34" s="28" t="s">
        <v>96</v>
      </c>
      <c r="S34" s="29">
        <f>ROUND(Q34*T34,0)</f>
        <v>0</v>
      </c>
      <c r="T34" s="88">
        <f>T26*1.05</f>
        <v>33697.125000000007</v>
      </c>
      <c r="U34" s="2" t="s">
        <v>100</v>
      </c>
    </row>
    <row r="35" spans="1:23" ht="15" x14ac:dyDescent="0.2">
      <c r="A35" s="5" t="s">
        <v>39</v>
      </c>
      <c r="B35" s="7"/>
      <c r="C35" s="7"/>
      <c r="D35" s="7"/>
      <c r="E35" s="7"/>
      <c r="F35" s="7"/>
      <c r="G35" s="7"/>
      <c r="H35" s="18">
        <f>H34+H30</f>
        <v>67680.5</v>
      </c>
      <c r="I35" s="18">
        <f>I34+I30</f>
        <v>74782.5</v>
      </c>
      <c r="J35" s="18">
        <f>J34+J30</f>
        <v>78902.5</v>
      </c>
      <c r="K35" s="18">
        <f>K34+K30</f>
        <v>0</v>
      </c>
      <c r="L35" s="18">
        <f>L34+L30</f>
        <v>0</v>
      </c>
      <c r="M35" s="20"/>
      <c r="N35" s="18">
        <f>SUM(H35:L35)</f>
        <v>221365.5</v>
      </c>
      <c r="O35" s="51"/>
      <c r="P35" s="27"/>
      <c r="Q35" s="2">
        <v>0</v>
      </c>
      <c r="R35" s="28" t="s">
        <v>97</v>
      </c>
      <c r="S35" s="29">
        <f>ROUND(Q35*T35,0)</f>
        <v>0</v>
      </c>
      <c r="T35" s="88">
        <f>T27*1.05</f>
        <v>35718.375</v>
      </c>
      <c r="U35" s="2" t="s">
        <v>103</v>
      </c>
    </row>
    <row r="36" spans="1:23" ht="15.75" x14ac:dyDescent="0.25">
      <c r="A36" s="5"/>
      <c r="B36" s="7"/>
      <c r="C36" s="7"/>
      <c r="D36" s="7"/>
      <c r="E36" s="7"/>
      <c r="F36" s="7"/>
      <c r="G36" s="7"/>
      <c r="H36" s="18"/>
      <c r="I36" s="18"/>
      <c r="J36" s="18"/>
      <c r="K36" s="18"/>
      <c r="L36" s="18"/>
      <c r="M36" s="20"/>
      <c r="N36" s="18"/>
      <c r="O36" s="51"/>
      <c r="P36" s="27"/>
      <c r="Q36" s="2">
        <v>1</v>
      </c>
      <c r="R36" s="28" t="s">
        <v>98</v>
      </c>
      <c r="S36" s="29">
        <f>ROUND(Q36*T36,0)</f>
        <v>37740</v>
      </c>
      <c r="T36" s="88">
        <f>T28*1.05</f>
        <v>37739.625</v>
      </c>
      <c r="U36" s="2" t="s">
        <v>101</v>
      </c>
      <c r="V36" s="101" t="s">
        <v>143</v>
      </c>
      <c r="W36" s="101" t="s">
        <v>144</v>
      </c>
    </row>
    <row r="37" spans="1:23" ht="15" x14ac:dyDescent="0.2">
      <c r="A37" s="5" t="s">
        <v>40</v>
      </c>
      <c r="B37" s="7"/>
      <c r="C37" s="7"/>
      <c r="D37" s="7"/>
      <c r="E37" s="7"/>
      <c r="F37" s="7"/>
      <c r="G37" s="7"/>
      <c r="H37" s="20"/>
      <c r="I37" s="20"/>
      <c r="J37" s="20"/>
      <c r="K37" s="20"/>
      <c r="L37" s="20"/>
      <c r="M37" s="20"/>
      <c r="N37" s="20"/>
      <c r="O37" s="54"/>
      <c r="P37" s="27" t="s">
        <v>30</v>
      </c>
      <c r="Q37" s="2">
        <v>0</v>
      </c>
      <c r="R37" s="99" t="s">
        <v>96</v>
      </c>
      <c r="S37" s="29">
        <f>ROUND(Q37*(T37/9)*3,0)</f>
        <v>0</v>
      </c>
      <c r="T37" s="88">
        <f>T34</f>
        <v>33697.125000000007</v>
      </c>
      <c r="U37" s="2" t="s">
        <v>96</v>
      </c>
      <c r="V37" s="72">
        <f>V29*1.05</f>
        <v>44929.500000000007</v>
      </c>
      <c r="W37" s="72">
        <f>V37/12</f>
        <v>3744.1250000000005</v>
      </c>
    </row>
    <row r="38" spans="1:23" ht="15" x14ac:dyDescent="0.2">
      <c r="A38" s="5" t="s">
        <v>42</v>
      </c>
      <c r="B38" s="7"/>
      <c r="C38" s="7"/>
      <c r="D38" s="7"/>
      <c r="E38" s="7"/>
      <c r="F38" s="7"/>
      <c r="G38" s="7"/>
      <c r="H38" s="17"/>
      <c r="I38" s="17">
        <v>0</v>
      </c>
      <c r="J38" s="17">
        <v>0</v>
      </c>
      <c r="K38" s="17">
        <v>0</v>
      </c>
      <c r="L38" s="17">
        <v>0</v>
      </c>
      <c r="M38" s="17"/>
      <c r="N38" s="18">
        <f>SUM(H38:L38)</f>
        <v>0</v>
      </c>
      <c r="O38" s="51"/>
      <c r="P38" s="27"/>
      <c r="Q38" s="2">
        <v>0</v>
      </c>
      <c r="R38" s="99" t="s">
        <v>97</v>
      </c>
      <c r="S38" s="29">
        <f>ROUND(Q38*(T38/9)*3,0)</f>
        <v>0</v>
      </c>
      <c r="T38" s="88">
        <f>T35</f>
        <v>35718.375</v>
      </c>
      <c r="U38" s="2" t="s">
        <v>97</v>
      </c>
      <c r="V38" s="72">
        <f>V30*1.05</f>
        <v>47624.5</v>
      </c>
      <c r="W38" s="72">
        <f>V38/12</f>
        <v>3968.7083333333335</v>
      </c>
    </row>
    <row r="39" spans="1:23" ht="15" x14ac:dyDescent="0.2">
      <c r="A39" s="5" t="s">
        <v>43</v>
      </c>
      <c r="B39" s="7"/>
      <c r="C39" s="7"/>
      <c r="D39" s="7"/>
      <c r="E39" s="7"/>
      <c r="F39" s="7"/>
      <c r="G39" s="7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/>
      <c r="N39" s="18">
        <f>SUM(H39:L39)</f>
        <v>0</v>
      </c>
      <c r="O39" s="51"/>
      <c r="P39" s="27"/>
      <c r="Q39" s="2">
        <v>1</v>
      </c>
      <c r="R39" s="99" t="s">
        <v>98</v>
      </c>
      <c r="S39" s="29">
        <f>ROUND(Q39*(T39/9)*3,0)</f>
        <v>12580</v>
      </c>
      <c r="T39" s="88">
        <f>T36</f>
        <v>37739.625</v>
      </c>
      <c r="U39" s="2" t="s">
        <v>98</v>
      </c>
      <c r="V39" s="72">
        <f>V31*1.05</f>
        <v>50319.500000000007</v>
      </c>
      <c r="W39" s="72">
        <f>V39/12</f>
        <v>4193.291666666667</v>
      </c>
    </row>
    <row r="40" spans="1:23" ht="15" x14ac:dyDescent="0.2">
      <c r="A40" s="5"/>
      <c r="B40" s="7"/>
      <c r="C40" s="7"/>
      <c r="D40" s="7"/>
      <c r="E40" s="7"/>
      <c r="F40" s="7"/>
      <c r="G40" s="7"/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/>
      <c r="N40" s="48">
        <f>SUM(H40:L40)</f>
        <v>0</v>
      </c>
      <c r="O40" s="51"/>
      <c r="Q40" s="58">
        <f>SUM(Q34:Q36)</f>
        <v>1</v>
      </c>
      <c r="S40" s="59">
        <f>SUM(S34:S39)</f>
        <v>50320</v>
      </c>
      <c r="T40" s="89"/>
    </row>
    <row r="41" spans="1:23" ht="15" x14ac:dyDescent="0.2">
      <c r="A41" s="5"/>
      <c r="B41" s="7"/>
      <c r="C41" s="7"/>
      <c r="D41" s="7"/>
      <c r="E41" s="7"/>
      <c r="F41" s="7"/>
      <c r="G41" s="7"/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/>
      <c r="N41" s="50">
        <f>SUM(H41:L41)</f>
        <v>0</v>
      </c>
      <c r="O41" s="51"/>
      <c r="P41" s="27"/>
      <c r="R41" s="28"/>
      <c r="S41" s="29">
        <f>S33*1.03</f>
        <v>0</v>
      </c>
      <c r="T41" s="88"/>
    </row>
    <row r="42" spans="1:23" ht="15" x14ac:dyDescent="0.2">
      <c r="A42" s="5" t="s">
        <v>44</v>
      </c>
      <c r="B42" s="7"/>
      <c r="C42" s="7"/>
      <c r="D42" s="7"/>
      <c r="E42" s="7"/>
      <c r="F42" s="7"/>
      <c r="G42" s="7"/>
      <c r="H42" s="18">
        <f>SUM(H38:H41)</f>
        <v>0</v>
      </c>
      <c r="I42" s="18">
        <f>SUM(I38:I41)</f>
        <v>0</v>
      </c>
      <c r="J42" s="18">
        <f>SUM(J38:J41)</f>
        <v>0</v>
      </c>
      <c r="K42" s="18">
        <f>SUM(K38:K41)</f>
        <v>0</v>
      </c>
      <c r="L42" s="18">
        <f>SUM(L38:L41)</f>
        <v>0</v>
      </c>
      <c r="M42" s="20"/>
      <c r="N42" s="18">
        <f>SUM(H42:L42)</f>
        <v>0</v>
      </c>
      <c r="O42" s="51"/>
      <c r="P42" s="27" t="s">
        <v>41</v>
      </c>
      <c r="Q42" s="2">
        <v>0</v>
      </c>
      <c r="R42" s="28" t="s">
        <v>96</v>
      </c>
      <c r="S42" s="29">
        <f>ROUND(Q42*T42,0)</f>
        <v>0</v>
      </c>
      <c r="T42" s="88">
        <f>T34*1.05</f>
        <v>35381.981250000012</v>
      </c>
      <c r="U42" s="2" t="s">
        <v>100</v>
      </c>
    </row>
    <row r="43" spans="1:23" ht="15" x14ac:dyDescent="0.2">
      <c r="A43" s="7"/>
      <c r="B43" s="7"/>
      <c r="C43" s="7"/>
      <c r="D43" s="7"/>
      <c r="E43" s="7"/>
      <c r="F43" s="7"/>
      <c r="G43" s="7"/>
      <c r="H43" s="17"/>
      <c r="I43" s="17"/>
      <c r="J43" s="20"/>
      <c r="K43" s="20"/>
      <c r="L43" s="20"/>
      <c r="M43" s="20"/>
      <c r="N43" s="20"/>
      <c r="O43" s="54"/>
      <c r="P43" s="27"/>
      <c r="Q43" s="2">
        <v>0</v>
      </c>
      <c r="R43" s="28" t="s">
        <v>97</v>
      </c>
      <c r="S43" s="29">
        <f>ROUND(Q43*T43,0)</f>
        <v>0</v>
      </c>
      <c r="T43" s="88">
        <f>T35*1.05</f>
        <v>37504.293750000004</v>
      </c>
      <c r="U43" s="2" t="s">
        <v>103</v>
      </c>
    </row>
    <row r="44" spans="1:23" ht="15.75" x14ac:dyDescent="0.25">
      <c r="A44" s="5" t="s">
        <v>46</v>
      </c>
      <c r="B44" s="7"/>
      <c r="C44" s="7"/>
      <c r="D44" s="7"/>
      <c r="E44" s="7"/>
      <c r="F44" s="7"/>
      <c r="G44" s="7"/>
      <c r="H44" s="17">
        <v>3163</v>
      </c>
      <c r="I44" s="17">
        <v>3258</v>
      </c>
      <c r="J44" s="17">
        <v>3356</v>
      </c>
      <c r="K44" s="17">
        <v>0</v>
      </c>
      <c r="L44" s="17">
        <v>0</v>
      </c>
      <c r="M44" s="17"/>
      <c r="N44" s="18">
        <f>SUM(H44:L44)</f>
        <v>9777</v>
      </c>
      <c r="O44" s="51"/>
      <c r="P44" s="27"/>
      <c r="Q44" s="2">
        <v>1</v>
      </c>
      <c r="R44" s="28" t="s">
        <v>98</v>
      </c>
      <c r="S44" s="29">
        <f>ROUND(Q44*T44,0)</f>
        <v>39627</v>
      </c>
      <c r="T44" s="88">
        <f>T36*1.05</f>
        <v>39626.606250000004</v>
      </c>
      <c r="U44" s="2" t="s">
        <v>101</v>
      </c>
      <c r="V44" s="101" t="s">
        <v>143</v>
      </c>
      <c r="W44" s="101" t="s">
        <v>144</v>
      </c>
    </row>
    <row r="45" spans="1:23" ht="15" x14ac:dyDescent="0.2">
      <c r="A45" s="7"/>
      <c r="B45" s="5" t="s">
        <v>47</v>
      </c>
      <c r="C45" s="7"/>
      <c r="D45" s="7"/>
      <c r="E45" s="7"/>
      <c r="F45" s="7"/>
      <c r="G45" s="7"/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/>
      <c r="N45" s="50">
        <f>SUM(H45:L45)</f>
        <v>0</v>
      </c>
      <c r="O45" s="51"/>
      <c r="P45" s="27" t="s">
        <v>30</v>
      </c>
      <c r="Q45" s="2">
        <v>0</v>
      </c>
      <c r="R45" s="99" t="s">
        <v>96</v>
      </c>
      <c r="S45" s="29">
        <f>ROUND(Q45*(T45/9)*3,0)</f>
        <v>0</v>
      </c>
      <c r="T45" s="88">
        <f>T42</f>
        <v>35381.981250000012</v>
      </c>
      <c r="U45" s="2" t="s">
        <v>96</v>
      </c>
      <c r="V45" s="72">
        <f>V37*1.05</f>
        <v>47175.975000000013</v>
      </c>
      <c r="W45" s="72">
        <f>V45/12</f>
        <v>3931.3312500000011</v>
      </c>
    </row>
    <row r="46" spans="1:23" ht="15" x14ac:dyDescent="0.2">
      <c r="A46" s="7" t="s">
        <v>48</v>
      </c>
      <c r="B46" s="5"/>
      <c r="C46" s="7"/>
      <c r="D46" s="7"/>
      <c r="E46" s="7"/>
      <c r="F46" s="7"/>
      <c r="G46" s="7"/>
      <c r="H46" s="17">
        <f t="shared" ref="H46:N46" si="10">SUM(H44:H45)</f>
        <v>3163</v>
      </c>
      <c r="I46" s="17">
        <f t="shared" si="10"/>
        <v>3258</v>
      </c>
      <c r="J46" s="17">
        <f t="shared" si="10"/>
        <v>3356</v>
      </c>
      <c r="K46" s="17">
        <f t="shared" si="10"/>
        <v>0</v>
      </c>
      <c r="L46" s="17">
        <f t="shared" si="10"/>
        <v>0</v>
      </c>
      <c r="M46" s="17">
        <f t="shared" si="10"/>
        <v>0</v>
      </c>
      <c r="N46" s="17">
        <f t="shared" si="10"/>
        <v>9777</v>
      </c>
      <c r="O46" s="54"/>
      <c r="P46" s="27"/>
      <c r="Q46" s="2">
        <v>0</v>
      </c>
      <c r="R46" s="99" t="s">
        <v>97</v>
      </c>
      <c r="S46" s="29">
        <f>ROUND(Q46*(T46/9)*3,0)</f>
        <v>0</v>
      </c>
      <c r="T46" s="88">
        <f>T43</f>
        <v>37504.293750000004</v>
      </c>
      <c r="U46" s="2" t="s">
        <v>97</v>
      </c>
      <c r="V46" s="72">
        <f>V38*1.05</f>
        <v>50005.724999999999</v>
      </c>
      <c r="W46" s="72">
        <f>V46/12</f>
        <v>4167.1437500000002</v>
      </c>
    </row>
    <row r="47" spans="1:23" ht="15" x14ac:dyDescent="0.2">
      <c r="A47" s="7"/>
      <c r="B47" s="7"/>
      <c r="C47" s="7"/>
      <c r="D47" s="7"/>
      <c r="E47" s="7"/>
      <c r="F47" s="7"/>
      <c r="G47" s="7"/>
      <c r="H47" s="20"/>
      <c r="I47" s="20"/>
      <c r="J47" s="20"/>
      <c r="K47" s="20"/>
      <c r="L47" s="20"/>
      <c r="M47" s="20"/>
      <c r="N47" s="20"/>
      <c r="O47" s="56"/>
      <c r="P47" s="27"/>
      <c r="Q47" s="2">
        <v>1</v>
      </c>
      <c r="R47" s="99" t="s">
        <v>98</v>
      </c>
      <c r="S47" s="29">
        <f>ROUND(Q47*(T47/9)*3,0)</f>
        <v>13209</v>
      </c>
      <c r="T47" s="88">
        <f>T44</f>
        <v>39626.606250000004</v>
      </c>
      <c r="U47" s="2" t="s">
        <v>98</v>
      </c>
      <c r="V47" s="72">
        <f>V39*1.05</f>
        <v>52835.475000000013</v>
      </c>
      <c r="W47" s="72">
        <f>V47/12</f>
        <v>4402.9562500000011</v>
      </c>
    </row>
    <row r="48" spans="1:23" ht="15" x14ac:dyDescent="0.2">
      <c r="A48" s="5" t="s">
        <v>49</v>
      </c>
      <c r="B48" s="7"/>
      <c r="C48" s="7"/>
      <c r="D48" s="7"/>
      <c r="E48" s="7"/>
      <c r="F48" s="7"/>
      <c r="G48" s="7"/>
      <c r="H48" s="20"/>
      <c r="I48" s="20"/>
      <c r="J48" s="20"/>
      <c r="K48" s="20"/>
      <c r="L48" s="20"/>
      <c r="M48" s="20"/>
      <c r="N48" s="19" t="s">
        <v>1</v>
      </c>
      <c r="O48" s="51"/>
      <c r="Q48" s="58">
        <f>SUM(Q42:Q44)</f>
        <v>1</v>
      </c>
      <c r="S48" s="59">
        <f>SUM(S42:S47)</f>
        <v>52836</v>
      </c>
      <c r="T48" s="89"/>
    </row>
    <row r="49" spans="1:23" ht="15" x14ac:dyDescent="0.2">
      <c r="A49" s="7"/>
      <c r="B49" s="5" t="s">
        <v>50</v>
      </c>
      <c r="C49" s="7"/>
      <c r="D49" s="7"/>
      <c r="E49" s="7"/>
      <c r="F49" s="7"/>
      <c r="G49" s="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/>
      <c r="N49" s="18">
        <f>SUM(H49:L49)</f>
        <v>0</v>
      </c>
      <c r="O49" s="51"/>
      <c r="P49" s="27"/>
      <c r="R49" s="28"/>
      <c r="S49" s="29"/>
      <c r="T49" s="88"/>
    </row>
    <row r="50" spans="1:23" ht="15" x14ac:dyDescent="0.2">
      <c r="A50" s="7"/>
      <c r="B50" s="5" t="s">
        <v>52</v>
      </c>
      <c r="C50" s="7"/>
      <c r="D50" s="7"/>
      <c r="E50" s="7"/>
      <c r="F50" s="7"/>
      <c r="G50" s="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/>
      <c r="N50" s="18">
        <f>SUM(H50:L50)</f>
        <v>0</v>
      </c>
      <c r="O50" s="51"/>
      <c r="P50" s="27" t="s">
        <v>45</v>
      </c>
      <c r="Q50" s="2">
        <v>0</v>
      </c>
      <c r="R50" s="28" t="s">
        <v>96</v>
      </c>
      <c r="S50" s="29">
        <f>ROUND(Q50*T50,0)</f>
        <v>0</v>
      </c>
      <c r="T50" s="88">
        <f>T42*1.05</f>
        <v>37151.080312500017</v>
      </c>
      <c r="U50" s="2" t="s">
        <v>100</v>
      </c>
    </row>
    <row r="51" spans="1:23" ht="15" x14ac:dyDescent="0.2">
      <c r="A51" s="7"/>
      <c r="B51" s="5" t="s">
        <v>53</v>
      </c>
      <c r="C51" s="7"/>
      <c r="D51" s="7"/>
      <c r="E51" s="7"/>
      <c r="F51" s="7"/>
      <c r="G51" s="7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/>
      <c r="N51" s="18">
        <f>SUM(H51:L51)</f>
        <v>0</v>
      </c>
      <c r="O51" s="51"/>
      <c r="P51" s="27"/>
      <c r="Q51" s="2">
        <v>0</v>
      </c>
      <c r="R51" s="28" t="s">
        <v>97</v>
      </c>
      <c r="S51" s="29">
        <f>ROUND(Q51*T51,0)</f>
        <v>0</v>
      </c>
      <c r="T51" s="88">
        <f>T43*1.05</f>
        <v>39379.508437500008</v>
      </c>
      <c r="U51" s="2" t="s">
        <v>103</v>
      </c>
    </row>
    <row r="52" spans="1:23" ht="15.75" x14ac:dyDescent="0.25">
      <c r="A52" s="7"/>
      <c r="B52" s="5" t="s">
        <v>54</v>
      </c>
      <c r="C52" s="7"/>
      <c r="D52" s="7"/>
      <c r="E52" s="7"/>
      <c r="F52" s="7"/>
      <c r="G52" s="7"/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/>
      <c r="N52" s="50">
        <f>SUM(H52:L52)</f>
        <v>0</v>
      </c>
      <c r="O52" s="51"/>
      <c r="P52" s="27"/>
      <c r="Q52" s="2">
        <v>0</v>
      </c>
      <c r="R52" s="28" t="s">
        <v>98</v>
      </c>
      <c r="S52" s="29">
        <f>ROUND(Q52*T52,0)</f>
        <v>0</v>
      </c>
      <c r="T52" s="88">
        <f>T44*1.05</f>
        <v>41607.936562500006</v>
      </c>
      <c r="U52" s="2" t="s">
        <v>101</v>
      </c>
      <c r="V52" s="101" t="s">
        <v>143</v>
      </c>
      <c r="W52" s="101" t="s">
        <v>144</v>
      </c>
    </row>
    <row r="53" spans="1:23" ht="15" x14ac:dyDescent="0.2">
      <c r="A53" s="5" t="s">
        <v>55</v>
      </c>
      <c r="B53" s="7"/>
      <c r="C53" s="7"/>
      <c r="D53" s="7"/>
      <c r="E53" s="7"/>
      <c r="F53" s="7"/>
      <c r="G53" s="7"/>
      <c r="H53" s="18">
        <f>H49+H50+H51+H52</f>
        <v>0</v>
      </c>
      <c r="I53" s="18">
        <f>I49+I50+I51+I52</f>
        <v>0</v>
      </c>
      <c r="J53" s="18">
        <f>J49+J50+J51+J52</f>
        <v>0</v>
      </c>
      <c r="K53" s="18">
        <f>K49+K50+K51+K52</f>
        <v>0</v>
      </c>
      <c r="L53" s="18">
        <f>L49+L50+L51+L52</f>
        <v>0</v>
      </c>
      <c r="M53" s="20"/>
      <c r="N53" s="18">
        <f>SUM(H53:L53)</f>
        <v>0</v>
      </c>
      <c r="O53" s="54"/>
      <c r="P53" s="27" t="s">
        <v>30</v>
      </c>
      <c r="Q53" s="2">
        <v>0</v>
      </c>
      <c r="R53" s="99" t="s">
        <v>96</v>
      </c>
      <c r="S53" s="88">
        <f>ROUND(Q53*(T53/9)*3,0)</f>
        <v>0</v>
      </c>
      <c r="T53" s="88">
        <f>T50</f>
        <v>37151.080312500017</v>
      </c>
      <c r="U53" s="2" t="s">
        <v>96</v>
      </c>
      <c r="V53" s="72">
        <f>V45*1.05</f>
        <v>49534.773750000015</v>
      </c>
      <c r="W53" s="72">
        <f>V53/12</f>
        <v>4127.8978125000012</v>
      </c>
    </row>
    <row r="54" spans="1:23" ht="15" x14ac:dyDescent="0.2">
      <c r="A54" s="7"/>
      <c r="B54" s="7"/>
      <c r="C54" s="7"/>
      <c r="D54" s="7"/>
      <c r="E54" s="7"/>
      <c r="F54" s="7"/>
      <c r="G54" s="7"/>
      <c r="H54" s="20"/>
      <c r="I54" s="20"/>
      <c r="J54" s="20"/>
      <c r="K54" s="20"/>
      <c r="L54" s="20"/>
      <c r="M54" s="20"/>
      <c r="N54" s="20"/>
      <c r="O54" s="20"/>
      <c r="P54" s="27"/>
      <c r="Q54" s="2">
        <v>0</v>
      </c>
      <c r="R54" s="99" t="s">
        <v>97</v>
      </c>
      <c r="S54" s="88">
        <f>ROUND(Q54*(T54/9)*3,0)</f>
        <v>0</v>
      </c>
      <c r="T54" s="88">
        <f>T51</f>
        <v>39379.508437500008</v>
      </c>
      <c r="U54" s="2" t="s">
        <v>97</v>
      </c>
      <c r="V54" s="72">
        <f>V46*1.05</f>
        <v>52506.011250000003</v>
      </c>
      <c r="W54" s="72">
        <f>V54/12</f>
        <v>4375.5009375</v>
      </c>
    </row>
    <row r="55" spans="1:23" ht="15" x14ac:dyDescent="0.2">
      <c r="A55" s="5" t="s">
        <v>56</v>
      </c>
      <c r="B55" s="7"/>
      <c r="C55" s="7"/>
      <c r="D55" s="7"/>
      <c r="E55" s="7"/>
      <c r="F55" s="7"/>
      <c r="G55" s="7"/>
      <c r="H55" s="20"/>
      <c r="I55" s="20"/>
      <c r="J55" s="20"/>
      <c r="K55" s="20"/>
      <c r="L55" s="20"/>
      <c r="M55" s="20"/>
      <c r="N55" s="20"/>
      <c r="O55" s="18"/>
      <c r="P55" s="27"/>
      <c r="Q55" s="2">
        <v>0</v>
      </c>
      <c r="R55" s="99" t="s">
        <v>98</v>
      </c>
      <c r="S55" s="88">
        <f>ROUND(Q55*(T55/9)*3,0)</f>
        <v>0</v>
      </c>
      <c r="T55" s="88">
        <f>T52</f>
        <v>41607.936562500006</v>
      </c>
      <c r="U55" s="2" t="s">
        <v>98</v>
      </c>
      <c r="V55" s="72">
        <f>V47*1.05</f>
        <v>55477.248750000013</v>
      </c>
      <c r="W55" s="72">
        <f>V55/12</f>
        <v>4623.1040625000014</v>
      </c>
    </row>
    <row r="56" spans="1:23" ht="15" x14ac:dyDescent="0.2">
      <c r="A56" s="7"/>
      <c r="B56" s="5" t="s">
        <v>57</v>
      </c>
      <c r="C56" s="7"/>
      <c r="D56" s="7"/>
      <c r="E56" s="7"/>
      <c r="F56" s="7"/>
      <c r="G56" s="7"/>
      <c r="H56" s="17">
        <v>2941.500000000025</v>
      </c>
      <c r="I56" s="17">
        <v>0</v>
      </c>
      <c r="J56" s="17">
        <v>0</v>
      </c>
      <c r="K56" s="17">
        <v>0</v>
      </c>
      <c r="L56" s="17">
        <v>0</v>
      </c>
      <c r="M56" s="17"/>
      <c r="N56" s="18">
        <f t="shared" ref="N56:N68" si="11">SUM(H56:L56)</f>
        <v>2941.500000000025</v>
      </c>
      <c r="O56" s="18"/>
      <c r="Q56" s="58">
        <f>SUM(Q50:Q52)</f>
        <v>0</v>
      </c>
      <c r="S56" s="59">
        <f>SUM(S50:S55)</f>
        <v>0</v>
      </c>
      <c r="T56" s="89"/>
    </row>
    <row r="57" spans="1:23" ht="15" x14ac:dyDescent="0.2">
      <c r="A57" s="7"/>
      <c r="B57" s="5" t="s">
        <v>58</v>
      </c>
      <c r="C57" s="7"/>
      <c r="D57" s="7"/>
      <c r="E57" s="7"/>
      <c r="F57" s="7"/>
      <c r="G57" s="7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7"/>
      <c r="N57" s="18">
        <f t="shared" si="11"/>
        <v>0</v>
      </c>
      <c r="O57" s="18"/>
      <c r="P57" s="27"/>
      <c r="R57" s="28"/>
      <c r="S57" s="29"/>
      <c r="T57" s="88"/>
    </row>
    <row r="58" spans="1:23" ht="15" x14ac:dyDescent="0.2">
      <c r="A58" s="7"/>
      <c r="B58" s="5" t="s">
        <v>60</v>
      </c>
      <c r="C58" s="7"/>
      <c r="D58" s="7"/>
      <c r="E58" s="7"/>
      <c r="F58" s="7"/>
      <c r="G58" s="7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/>
      <c r="N58" s="18">
        <f t="shared" si="11"/>
        <v>0</v>
      </c>
      <c r="O58" s="18"/>
      <c r="P58" s="27" t="s">
        <v>51</v>
      </c>
      <c r="Q58" s="2">
        <v>0</v>
      </c>
      <c r="R58" s="28" t="s">
        <v>96</v>
      </c>
      <c r="S58" s="29">
        <f>ROUND(Q58*T58,0)</f>
        <v>0</v>
      </c>
      <c r="T58" s="88">
        <f>T50*1.05</f>
        <v>39008.634328125016</v>
      </c>
      <c r="U58" s="2" t="s">
        <v>100</v>
      </c>
    </row>
    <row r="59" spans="1:23" ht="15" x14ac:dyDescent="0.2">
      <c r="A59" s="7"/>
      <c r="B59" s="5" t="s">
        <v>61</v>
      </c>
      <c r="C59" s="7"/>
      <c r="D59" s="7"/>
      <c r="E59" s="7"/>
      <c r="F59" s="7"/>
      <c r="G59" s="7"/>
      <c r="H59" s="17">
        <f>ROUND($R$68,0)*P70</f>
        <v>0</v>
      </c>
      <c r="I59" s="17">
        <f>ROUND($R$68*1.03,0)*Q70</f>
        <v>0</v>
      </c>
      <c r="J59" s="17">
        <f>ROUND($R$68*1.03*1.03,0)*R70</f>
        <v>0</v>
      </c>
      <c r="K59" s="17">
        <f>ROUND($R$68*1.03*1.03*1.03,0)*S70</f>
        <v>0</v>
      </c>
      <c r="L59" s="17">
        <f>ROUND($R$68*1.03*1.03*1.03*1.03,0)*T70</f>
        <v>0</v>
      </c>
      <c r="M59" s="17"/>
      <c r="N59" s="18">
        <f t="shared" si="11"/>
        <v>0</v>
      </c>
      <c r="O59" s="18"/>
      <c r="P59" s="27"/>
      <c r="Q59" s="2">
        <v>0</v>
      </c>
      <c r="R59" s="28" t="s">
        <v>97</v>
      </c>
      <c r="S59" s="29">
        <f>ROUND(Q59*T59,0)</f>
        <v>0</v>
      </c>
      <c r="T59" s="88">
        <f>T51*1.05</f>
        <v>41348.48385937501</v>
      </c>
      <c r="U59" s="2" t="s">
        <v>103</v>
      </c>
    </row>
    <row r="60" spans="1:23" ht="15.75" x14ac:dyDescent="0.25">
      <c r="A60" s="7"/>
      <c r="B60" s="5" t="s">
        <v>123</v>
      </c>
      <c r="C60" s="7"/>
      <c r="D60" s="7"/>
      <c r="E60" s="7"/>
      <c r="F60" s="7"/>
      <c r="G60" s="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/>
      <c r="N60" s="18">
        <f t="shared" si="11"/>
        <v>0</v>
      </c>
      <c r="O60" s="18"/>
      <c r="P60" s="27"/>
      <c r="Q60" s="2">
        <v>0</v>
      </c>
      <c r="R60" s="28" t="s">
        <v>98</v>
      </c>
      <c r="S60" s="29">
        <f>ROUND(Q60*T60,0)</f>
        <v>0</v>
      </c>
      <c r="T60" s="88">
        <f>T52*1.05</f>
        <v>43688.333390625012</v>
      </c>
      <c r="U60" s="2" t="s">
        <v>101</v>
      </c>
      <c r="V60" s="101" t="s">
        <v>143</v>
      </c>
      <c r="W60" s="101" t="s">
        <v>144</v>
      </c>
    </row>
    <row r="61" spans="1:23" ht="13.5" customHeight="1" x14ac:dyDescent="0.2">
      <c r="A61" s="7"/>
      <c r="B61" s="5" t="s">
        <v>62</v>
      </c>
      <c r="C61" s="7"/>
      <c r="D61" s="10" t="s">
        <v>63</v>
      </c>
      <c r="E61" s="10"/>
      <c r="F61" s="10"/>
      <c r="G61" s="6"/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7"/>
      <c r="N61" s="18">
        <f t="shared" si="11"/>
        <v>0</v>
      </c>
      <c r="O61" s="18"/>
      <c r="P61" s="27" t="s">
        <v>30</v>
      </c>
      <c r="Q61" s="2">
        <v>0</v>
      </c>
      <c r="R61" s="99" t="s">
        <v>96</v>
      </c>
      <c r="S61" s="29">
        <f>ROUND(Q61*(T61/9)*3,0)</f>
        <v>0</v>
      </c>
      <c r="T61" s="88">
        <f>T58</f>
        <v>39008.634328125016</v>
      </c>
      <c r="U61" s="2" t="s">
        <v>96</v>
      </c>
      <c r="V61" s="72">
        <f>V53*1.05</f>
        <v>52011.512437500016</v>
      </c>
      <c r="W61" s="72">
        <f>V61/12</f>
        <v>4334.292703125001</v>
      </c>
    </row>
    <row r="62" spans="1:23" ht="13.5" customHeight="1" x14ac:dyDescent="0.2">
      <c r="A62" s="7"/>
      <c r="B62" s="5"/>
      <c r="C62" s="7"/>
      <c r="D62" s="10" t="s">
        <v>64</v>
      </c>
      <c r="E62" s="10"/>
      <c r="F62" s="10"/>
      <c r="G62" s="6"/>
      <c r="H62" s="17">
        <v>0</v>
      </c>
      <c r="I62" s="18">
        <v>0</v>
      </c>
      <c r="J62" s="18">
        <v>0</v>
      </c>
      <c r="K62" s="18">
        <v>0</v>
      </c>
      <c r="L62" s="18">
        <v>0</v>
      </c>
      <c r="M62" s="17"/>
      <c r="N62" s="18">
        <f t="shared" si="11"/>
        <v>0</v>
      </c>
      <c r="O62" s="18"/>
      <c r="P62" s="27"/>
      <c r="Q62" s="2">
        <v>0</v>
      </c>
      <c r="R62" s="99" t="s">
        <v>97</v>
      </c>
      <c r="S62" s="29">
        <f>ROUND(Q62*(T62/9)*3,0)</f>
        <v>0</v>
      </c>
      <c r="T62" s="88">
        <f>T59</f>
        <v>41348.48385937501</v>
      </c>
      <c r="U62" s="2" t="s">
        <v>97</v>
      </c>
      <c r="V62" s="72">
        <f>V54*1.05</f>
        <v>55131.311812500004</v>
      </c>
      <c r="W62" s="72">
        <f>V62/12</f>
        <v>4594.275984375</v>
      </c>
    </row>
    <row r="63" spans="1:23" ht="13.5" customHeight="1" x14ac:dyDescent="0.2">
      <c r="A63" s="7"/>
      <c r="B63" s="5"/>
      <c r="C63" s="7"/>
      <c r="D63" s="10" t="s">
        <v>94</v>
      </c>
      <c r="E63" s="10"/>
      <c r="F63" s="10"/>
      <c r="G63" s="6"/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7"/>
      <c r="N63" s="18">
        <f t="shared" si="11"/>
        <v>0</v>
      </c>
      <c r="O63" s="18"/>
      <c r="P63" s="27"/>
      <c r="Q63" s="2">
        <v>0</v>
      </c>
      <c r="R63" s="99" t="s">
        <v>98</v>
      </c>
      <c r="S63" s="29">
        <f>ROUND(Q63*(T63/9)*3,0)</f>
        <v>0</v>
      </c>
      <c r="T63" s="88">
        <f>T60</f>
        <v>43688.333390625012</v>
      </c>
      <c r="U63" s="2" t="s">
        <v>98</v>
      </c>
      <c r="V63" s="72">
        <f>V55*1.05</f>
        <v>58251.111187500013</v>
      </c>
      <c r="W63" s="72">
        <f>V63/12</f>
        <v>4854.2592656250008</v>
      </c>
    </row>
    <row r="64" spans="1:23" ht="15" x14ac:dyDescent="0.2">
      <c r="A64" s="7"/>
      <c r="B64" s="5"/>
      <c r="C64" s="7"/>
      <c r="D64" s="10" t="s">
        <v>93</v>
      </c>
      <c r="E64" s="10"/>
      <c r="F64" s="10"/>
      <c r="G64" s="6"/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7"/>
      <c r="N64" s="18">
        <f t="shared" si="11"/>
        <v>0</v>
      </c>
      <c r="O64" s="48"/>
      <c r="P64" s="27"/>
      <c r="Q64" s="58">
        <f>SUM(Q58:Q60)</f>
        <v>0</v>
      </c>
      <c r="S64" s="59">
        <f>SUM(S58:S63)</f>
        <v>0</v>
      </c>
      <c r="T64" s="89"/>
    </row>
    <row r="65" spans="1:21" ht="15" x14ac:dyDescent="0.2">
      <c r="A65" s="7"/>
      <c r="B65" s="7" t="s">
        <v>142</v>
      </c>
      <c r="C65" s="7"/>
      <c r="D65" s="10"/>
      <c r="E65" s="10"/>
      <c r="F65" s="10"/>
      <c r="G65" s="6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7"/>
      <c r="N65" s="18">
        <f t="shared" si="11"/>
        <v>0</v>
      </c>
      <c r="O65" s="48"/>
      <c r="P65" s="30"/>
      <c r="Q65" s="30"/>
      <c r="R65" s="31"/>
      <c r="S65" s="31"/>
      <c r="T65" s="30"/>
    </row>
    <row r="66" spans="1:21" ht="15" x14ac:dyDescent="0.2">
      <c r="A66" s="7"/>
      <c r="B66" s="7" t="s">
        <v>140</v>
      </c>
      <c r="C66" s="7"/>
      <c r="D66" s="10"/>
      <c r="E66" s="10"/>
      <c r="F66" s="10"/>
      <c r="G66" s="6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>
        <f t="shared" si="11"/>
        <v>0</v>
      </c>
      <c r="O66" s="48"/>
    </row>
    <row r="67" spans="1:21" ht="15.75" x14ac:dyDescent="0.25">
      <c r="A67" s="7"/>
      <c r="B67" s="5" t="s">
        <v>141</v>
      </c>
      <c r="C67" s="7"/>
      <c r="D67" s="7"/>
      <c r="E67" s="7"/>
      <c r="F67" s="7"/>
      <c r="G67" s="12"/>
      <c r="H67" s="50">
        <f>(Q32+[2]PA!C6)*12000</f>
        <v>12000</v>
      </c>
      <c r="I67" s="50">
        <f>(Q40+[2]PA!C9)*12000</f>
        <v>12000</v>
      </c>
      <c r="J67" s="50">
        <f>(Q48+[2]PA!C12)*12000</f>
        <v>12000</v>
      </c>
      <c r="K67" s="50">
        <f>(Q56+[2]PA!C15)*12000</f>
        <v>0</v>
      </c>
      <c r="L67" s="50">
        <f>(Q64+[2]PA!C18)*12000</f>
        <v>0</v>
      </c>
      <c r="M67" s="55"/>
      <c r="N67" s="50">
        <f t="shared" si="11"/>
        <v>36000</v>
      </c>
      <c r="O67" s="18"/>
      <c r="Q67" s="62" t="s">
        <v>59</v>
      </c>
    </row>
    <row r="68" spans="1:21" ht="15" x14ac:dyDescent="0.2">
      <c r="A68" s="5" t="s">
        <v>65</v>
      </c>
      <c r="B68" s="7"/>
      <c r="C68" s="7"/>
      <c r="D68" s="7"/>
      <c r="E68" s="7"/>
      <c r="F68" s="7"/>
      <c r="G68" s="7"/>
      <c r="H68" s="18">
        <f>(SUM(H56:H67))</f>
        <v>14941.500000000025</v>
      </c>
      <c r="I68" s="18">
        <f>(SUM(I56:I67))</f>
        <v>12000</v>
      </c>
      <c r="J68" s="18">
        <f>(SUM(J56:J67))</f>
        <v>12000</v>
      </c>
      <c r="K68" s="18">
        <f>(SUM(K56:K67))</f>
        <v>0</v>
      </c>
      <c r="L68" s="18">
        <f>(SUM(L56:L67))</f>
        <v>0</v>
      </c>
      <c r="M68" s="20"/>
      <c r="N68" s="18">
        <f t="shared" si="11"/>
        <v>38941.500000000029</v>
      </c>
      <c r="O68" s="20"/>
      <c r="P68" s="2">
        <v>1250</v>
      </c>
      <c r="Q68" s="2" t="s">
        <v>86</v>
      </c>
      <c r="R68" s="2">
        <f>P68*2</f>
        <v>2500</v>
      </c>
      <c r="S68" s="2" t="s">
        <v>87</v>
      </c>
      <c r="T68" s="60" t="s">
        <v>222</v>
      </c>
      <c r="U68" s="63" t="s">
        <v>88</v>
      </c>
    </row>
    <row r="69" spans="1:21" ht="15" x14ac:dyDescent="0.2">
      <c r="A69" s="7"/>
      <c r="B69" s="7"/>
      <c r="C69" s="7"/>
      <c r="D69" s="7"/>
      <c r="E69" s="7"/>
      <c r="F69" s="7"/>
      <c r="G69" s="7"/>
      <c r="H69" s="20"/>
      <c r="I69" s="20"/>
      <c r="J69" s="20"/>
      <c r="K69" s="20"/>
      <c r="L69" s="20"/>
      <c r="M69" s="20"/>
      <c r="N69" s="20"/>
      <c r="O69" s="18"/>
      <c r="P69" s="63" t="s">
        <v>4</v>
      </c>
      <c r="Q69" s="63" t="s">
        <v>5</v>
      </c>
      <c r="R69" s="63" t="s">
        <v>6</v>
      </c>
      <c r="S69" s="63" t="s">
        <v>7</v>
      </c>
      <c r="T69" s="72" t="s">
        <v>8</v>
      </c>
    </row>
    <row r="70" spans="1:21" ht="15" x14ac:dyDescent="0.2">
      <c r="A70" s="5" t="s">
        <v>66</v>
      </c>
      <c r="B70" s="7"/>
      <c r="C70" s="7"/>
      <c r="D70" s="7"/>
      <c r="E70" s="7"/>
      <c r="F70" s="7"/>
      <c r="G70" s="7"/>
      <c r="H70" s="18">
        <f>H68+H53+H46+H42+H35</f>
        <v>85785.000000000029</v>
      </c>
      <c r="I70" s="18">
        <f>I68+I53+I46+I42+I35</f>
        <v>90040.5</v>
      </c>
      <c r="J70" s="18">
        <f>J68+J53+J46+J42+J35</f>
        <v>94258.5</v>
      </c>
      <c r="K70" s="18">
        <f>K68+K53+K46+K42+K35</f>
        <v>0</v>
      </c>
      <c r="L70" s="18">
        <f>L68+L53+L46+L42+L35</f>
        <v>0</v>
      </c>
      <c r="M70" s="20"/>
      <c r="N70" s="18">
        <f>SUM(H70:L70)</f>
        <v>270084</v>
      </c>
      <c r="O70" s="20"/>
      <c r="P70" s="61"/>
      <c r="Q70" s="61"/>
      <c r="R70" s="61"/>
      <c r="S70" s="61"/>
      <c r="T70" s="173"/>
    </row>
    <row r="71" spans="1:21" ht="15" x14ac:dyDescent="0.2">
      <c r="A71" s="5" t="s">
        <v>67</v>
      </c>
      <c r="B71" s="7"/>
      <c r="C71" s="7"/>
      <c r="D71" s="7"/>
      <c r="E71" s="7"/>
      <c r="F71" s="7"/>
      <c r="G71" s="7"/>
      <c r="H71" s="20"/>
      <c r="I71" s="20"/>
      <c r="J71" s="20"/>
      <c r="K71" s="20"/>
      <c r="L71" s="20"/>
      <c r="M71" s="20"/>
      <c r="N71" s="20"/>
      <c r="O71" s="18"/>
      <c r="T71" s="172"/>
    </row>
    <row r="72" spans="1:21" ht="15" x14ac:dyDescent="0.2">
      <c r="A72" s="10" t="s">
        <v>10</v>
      </c>
      <c r="B72" s="5" t="s">
        <v>68</v>
      </c>
      <c r="C72" s="11"/>
      <c r="D72" s="5"/>
      <c r="E72" s="5"/>
      <c r="F72" s="5"/>
      <c r="G72" s="7"/>
      <c r="H72" s="18">
        <f>ROUND($I$83*H77,0)+H78</f>
        <v>40951</v>
      </c>
      <c r="I72" s="18">
        <f>ROUND($I$83*I77,0)+I78</f>
        <v>43312</v>
      </c>
      <c r="J72" s="18">
        <f>ROUND($I$83*J77,0)+J78</f>
        <v>45653</v>
      </c>
      <c r="K72" s="18">
        <f>ROUND($I$83*K77,0)+K78</f>
        <v>0</v>
      </c>
      <c r="L72" s="18">
        <f>ROUND($I$83*L77,0)+L78</f>
        <v>0</v>
      </c>
      <c r="M72" s="20"/>
      <c r="N72" s="18">
        <f>SUM(H72:L72)</f>
        <v>129916</v>
      </c>
      <c r="O72" s="18"/>
    </row>
    <row r="73" spans="1:21" ht="15" x14ac:dyDescent="0.2">
      <c r="A73" s="5" t="s">
        <v>69</v>
      </c>
      <c r="B73" s="7"/>
      <c r="C73" s="7"/>
      <c r="D73" s="7"/>
      <c r="E73" s="7"/>
      <c r="F73" s="7"/>
      <c r="G73" s="7"/>
      <c r="H73" s="18">
        <f>H70+H72</f>
        <v>126736.00000000003</v>
      </c>
      <c r="I73" s="18">
        <f>I70+I72</f>
        <v>133352.5</v>
      </c>
      <c r="J73" s="18">
        <f>J70+J72</f>
        <v>139911.5</v>
      </c>
      <c r="K73" s="18">
        <f>K70+K72</f>
        <v>0</v>
      </c>
      <c r="L73" s="18">
        <f>L70+L72</f>
        <v>0</v>
      </c>
      <c r="M73" s="20"/>
      <c r="N73" s="18">
        <f>SUM(H73:L73)</f>
        <v>400000</v>
      </c>
      <c r="O73" s="18"/>
      <c r="P73" s="171"/>
    </row>
    <row r="74" spans="1:21" ht="15" x14ac:dyDescent="0.2">
      <c r="A74" s="5" t="s">
        <v>70</v>
      </c>
      <c r="B74" s="7"/>
      <c r="C74" s="7"/>
      <c r="D74" s="7"/>
      <c r="E74" s="7"/>
      <c r="F74" s="7"/>
      <c r="G74" s="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/>
      <c r="N74" s="18">
        <f>SUM(H74:L74)</f>
        <v>0</v>
      </c>
      <c r="O74" s="18"/>
    </row>
    <row r="75" spans="1:21" ht="15" x14ac:dyDescent="0.2">
      <c r="A75" s="5" t="s">
        <v>71</v>
      </c>
      <c r="B75" s="7"/>
      <c r="C75" s="7"/>
      <c r="D75" s="7"/>
      <c r="E75" s="7"/>
      <c r="F75" s="7"/>
      <c r="G75" s="7"/>
      <c r="H75" s="18">
        <f>H73-H74</f>
        <v>126736.00000000003</v>
      </c>
      <c r="I75" s="18">
        <f>I73-I74</f>
        <v>133352.5</v>
      </c>
      <c r="J75" s="18">
        <f>J73-J74</f>
        <v>139911.5</v>
      </c>
      <c r="K75" s="18">
        <f>K73-K74</f>
        <v>0</v>
      </c>
      <c r="L75" s="18">
        <f>L73-L74</f>
        <v>0</v>
      </c>
      <c r="M75" s="20"/>
      <c r="N75" s="18">
        <f>SUM(H75:L75)</f>
        <v>400000</v>
      </c>
      <c r="O75" s="20"/>
    </row>
    <row r="76" spans="1:21" ht="15" x14ac:dyDescent="0.2">
      <c r="A76" s="7"/>
      <c r="B76" s="7"/>
      <c r="C76" s="7"/>
      <c r="D76" s="7"/>
      <c r="E76" s="7"/>
      <c r="F76" s="7"/>
      <c r="G76" s="7"/>
      <c r="H76" s="20"/>
      <c r="I76" s="20"/>
      <c r="J76" s="20"/>
      <c r="K76" s="20"/>
      <c r="L76" s="20"/>
      <c r="M76" s="20"/>
      <c r="N76" s="20"/>
      <c r="O76" s="20"/>
    </row>
    <row r="77" spans="1:21" ht="15" x14ac:dyDescent="0.2">
      <c r="A77" s="7" t="s">
        <v>119</v>
      </c>
      <c r="B77" s="7"/>
      <c r="C77" s="7"/>
      <c r="D77" s="7"/>
      <c r="E77" s="7"/>
      <c r="F77" s="7"/>
      <c r="G77" s="7"/>
      <c r="H77" s="20">
        <f>H70-H42-H53-H60-H61-H62-H63-H64-H67+H80</f>
        <v>73785.000000000029</v>
      </c>
      <c r="I77" s="20">
        <f>I70-I42-I53-I60-I61-I62-I63-I64-I67+I80</f>
        <v>78040.5</v>
      </c>
      <c r="J77" s="20">
        <f>J70-J42-J53-J60-J61-J62-J63-J64-J67+J80</f>
        <v>82258.5</v>
      </c>
      <c r="K77" s="20">
        <f>K70-K42-K53-K60-K61-K62-K63-K64-K67+K80</f>
        <v>0</v>
      </c>
      <c r="L77" s="20">
        <f>L70-L42-L53-L60-L61-L62-L63-L64-L67+L80</f>
        <v>0</v>
      </c>
      <c r="M77" s="20"/>
      <c r="N77" s="20"/>
      <c r="O77" s="7"/>
    </row>
    <row r="78" spans="1:21" ht="15" x14ac:dyDescent="0.2">
      <c r="A78" s="7" t="s">
        <v>120</v>
      </c>
      <c r="B78" s="7"/>
      <c r="C78" s="7"/>
      <c r="D78" s="7"/>
      <c r="E78" s="7"/>
      <c r="F78" s="7"/>
      <c r="G78" s="7"/>
      <c r="H78" s="20">
        <f>H60*K83</f>
        <v>0</v>
      </c>
      <c r="I78" s="20">
        <f>I60*K83</f>
        <v>0</v>
      </c>
      <c r="J78" s="20">
        <f>J60*K83</f>
        <v>0</v>
      </c>
      <c r="K78" s="20">
        <f>K60*K83</f>
        <v>0</v>
      </c>
      <c r="L78" s="20">
        <f>L60*K83</f>
        <v>0</v>
      </c>
      <c r="M78" s="20"/>
      <c r="N78" s="20">
        <v>0</v>
      </c>
      <c r="O78" s="7"/>
    </row>
    <row r="79" spans="1:21" ht="1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1" ht="15" x14ac:dyDescent="0.2">
      <c r="A80" s="37"/>
      <c r="D80" s="23" t="s">
        <v>84</v>
      </c>
      <c r="E80" s="7"/>
      <c r="F80" s="7"/>
      <c r="G80" s="7"/>
      <c r="H80" s="20">
        <f>IF($H$61&gt;=25000,25000)+IF($H$62&gt;=25000,25000)+IF($H$63&gt;=25000,25000)+IF($H$64&gt;=25000,25000)</f>
        <v>0</v>
      </c>
      <c r="I80" s="20">
        <f>IF($H$61&gt;=25000,0,IF($I$61&gt;25000,(25000-$H$61)*$I$83,IF(SUM($H$61:$I$61)&gt;25000,(SUM($H$61:$I$61)-25000)*$I$83,IF(SUM($H$61:$I$61)&lt;25000,$I$61*$I$83))))+IF($H$62&gt;=25000,0,IF($I$62&gt;25000,(25000-$H$62)*$I$83,IF(SUM($H$62:$I$62)&gt;25000,(SUM($H$62:$I$62)-25000)*$I$83,IF(SUM($H$62:$I$62)&lt;25000,$I$62*$I$83))))+IF($H$64&gt;=25000,0,IF($I$64&gt;25000,(25000-$H$64)*$I$83,IF(SUM($H$64:$I$64)&gt;25000,(SUM($H$64:$I$64)-25000)*$I$83,IF(SUM($H$64:$I$64)&lt;25000,$I$64*$I$83))))</f>
        <v>0</v>
      </c>
      <c r="J80" s="20">
        <f>IF($H$61&gt;=25000,0,IF(SUM($H$61:$I$61)&gt;=25000,0,IF($J$61&gt;25000,(25000-SUM($H$61:$I$61))*$I$83,IF(SUM($H$61:$J$61)&gt;=25000,(25000-SUM($H$61:$I$61))*$I$83,IF(SUM($H$61:$I$61)&lt;=25000,$J$61*$I$83)))))+IF($H$62&gt;=25000,0,IF(SUM($H$62:$I$62)&gt;=25000,0,IF($J$62&gt;25000,(25000-SUM($H$62:$I$62))*$I$83,IF(SUM($H$62:$J$62)&gt;=25000,(25000-SUM($H$62:$I$62))*$I$83,IF(SUM($H$62:$I$62)&lt;=25000,$J$62*$I$83)))))+IF($H$64&gt;=25000,0, IF(SUM($H$64:$I$64)&gt;=25000,0,IF($J$64&gt;25000,(25000-SUM($H$64:$I$64))*$I$83,IF(SUM($H$64:$J$64)&gt;=25000,(25000-SUM($H$64:$I$64))*$I$83,IF(SUM($H$64:$I$64)&lt;=25000,$J$64*$I$83)))))</f>
        <v>0</v>
      </c>
      <c r="K80" s="20">
        <f>IF($H$61&gt;=25000,0,
IF(SUM($H$61:$J$61)&gt;=25000,0,
IF($K$61&gt;25000,(25000-SUM($H$61:$J$61))*$I$83,
IF(SUM($H$61:$K$61)&gt;=25000,(25000-SUM($H$61:$J$61))*$I$83,
IF(SUM($H$61:$J$61)&lt;=25000,$K$61*$I$83)))))+IF($H$62&gt;=25000,0,
IF(SUM($H$62:$J$62)&gt;=25000,0,
IF($K$62&gt;25000,(25000-SUM($H$62:$J$62))*$I$83,
IF(SUM($H$62:$K$62)&gt;=25000,(25000-SUM($H$62:$J$62))*$I$83,
IF(SUM($H$62:$J$62)&lt;=25000,$K$62*$I$83)))))+IF($H$64&gt;=25000,0,
IF(SUM($H$64:$J$64)&gt;=25000,0,
IF($K$64&gt;25000,(25000-SUM($H$64:$J$64))*$I$83,
IF(SUM($H$64:$K$64)&gt;=25000,(25000-SUM($H$64:$J$64))))))</f>
        <v>0</v>
      </c>
      <c r="L80" s="20">
        <f>IF($H$61&gt;=25000,0,
IF(SUM($H$61:$K$61)&gt;=25000,0,
IF($L$61&gt;25000,(25000-SUM($H$61:$K$61))*$I$83,
IF(SUM($H$61:$L$61)&gt;=25000,(25000-SUM($H$61:$K$61))*$I$83,
IF(SUM($H$61:$K$61)&lt;=25000,$L$61*$I$83)))))+IF($H$62&gt;=25000,0,
IF(SUM($H$62:$K$62)&gt;=25000,0,
IF($L$62&gt;25000,(25000-SUM($H$62:$K$62))*$I$83,
IF(SUM($H$62:$L$62)&gt;=25000,(25000-SUM($H$62:$K$62))*$I$83,
IF(SUM($H$62:$K$62)&lt;=25000,$L$62*$I$83)))))+IF($H$64&gt;=25000,0,
IF(SUM($H$64:$K$64)&gt;=25000,0,
IF($L$64&gt;25000,(25000-SUM($H$64:$K$64))*$I$83,
IF(SUM($H$64:$L$64)&gt;=25000,(25000-SUM($H$64:$K$64))*$I$83,
IF(SUM($H$64:$K$64)&lt;=25000,$L$64*$I$83)))))</f>
        <v>0</v>
      </c>
      <c r="M80" s="20"/>
      <c r="N80" s="20">
        <f>SUM(H80:L80)</f>
        <v>0</v>
      </c>
    </row>
    <row r="81" spans="4:13" x14ac:dyDescent="0.2">
      <c r="I81" s="41"/>
    </row>
    <row r="82" spans="4:13" ht="15" x14ac:dyDescent="0.2">
      <c r="D82" s="5" t="s">
        <v>75</v>
      </c>
      <c r="E82" s="5"/>
      <c r="F82" s="5"/>
      <c r="G82" s="7"/>
      <c r="H82" s="7"/>
      <c r="I82" s="5" t="s">
        <v>121</v>
      </c>
      <c r="K82" s="7" t="s">
        <v>122</v>
      </c>
      <c r="L82" s="7"/>
    </row>
    <row r="83" spans="4:13" ht="15.75" x14ac:dyDescent="0.25">
      <c r="D83" s="15">
        <v>0</v>
      </c>
      <c r="E83" s="15"/>
      <c r="F83" s="15"/>
      <c r="G83" s="5" t="s">
        <v>1</v>
      </c>
      <c r="H83" s="67">
        <v>44378</v>
      </c>
      <c r="I83" s="40">
        <v>0.55500000000000005</v>
      </c>
      <c r="K83" s="66">
        <v>0.26</v>
      </c>
      <c r="L83" s="7"/>
    </row>
    <row r="84" spans="4:13" ht="15.75" x14ac:dyDescent="0.25">
      <c r="D84" s="7"/>
      <c r="E84" s="7"/>
      <c r="F84" s="7"/>
      <c r="G84" s="7"/>
      <c r="H84" s="67"/>
      <c r="I84" s="65"/>
      <c r="K84" s="7"/>
      <c r="L84" s="7"/>
    </row>
    <row r="85" spans="4:13" ht="15.75" x14ac:dyDescent="0.25">
      <c r="D85" s="5" t="s">
        <v>80</v>
      </c>
      <c r="E85" s="5"/>
      <c r="F85" s="5"/>
      <c r="G85" s="7"/>
      <c r="H85" s="7"/>
      <c r="I85" s="66"/>
      <c r="K85" s="7"/>
      <c r="L85" s="7"/>
    </row>
    <row r="86" spans="4:13" ht="15" x14ac:dyDescent="0.2">
      <c r="D86" s="14">
        <v>0</v>
      </c>
      <c r="E86" s="14"/>
      <c r="F86" s="14"/>
      <c r="G86" s="7"/>
      <c r="H86" s="7"/>
      <c r="I86" s="7"/>
      <c r="K86" s="7"/>
      <c r="L86" s="7"/>
    </row>
    <row r="87" spans="4:13" ht="15" x14ac:dyDescent="0.2">
      <c r="D87" s="7"/>
      <c r="E87" s="7"/>
      <c r="F87" s="7"/>
      <c r="G87" s="7"/>
      <c r="H87" s="7"/>
      <c r="I87" s="7"/>
      <c r="K87" s="7"/>
      <c r="L87" s="7"/>
    </row>
    <row r="88" spans="4:13" ht="15" x14ac:dyDescent="0.2">
      <c r="D88" s="7"/>
      <c r="E88" s="7"/>
      <c r="F88" s="7"/>
      <c r="G88" s="7"/>
      <c r="H88" s="7"/>
      <c r="I88" s="7"/>
      <c r="K88" s="7"/>
      <c r="L88" s="7"/>
    </row>
    <row r="91" spans="4:13" ht="15" x14ac:dyDescent="0.2">
      <c r="H91" s="16"/>
    </row>
    <row r="92" spans="4:13" ht="15" x14ac:dyDescent="0.2">
      <c r="I92" s="16"/>
    </row>
    <row r="93" spans="4:13" ht="15" x14ac:dyDescent="0.2">
      <c r="I93" s="16"/>
    </row>
    <row r="95" spans="4:13" ht="15" x14ac:dyDescent="0.2">
      <c r="I95" s="57"/>
    </row>
    <row r="96" spans="4:13" x14ac:dyDescent="0.2">
      <c r="I96" s="4"/>
      <c r="J96" s="4"/>
      <c r="K96" s="4"/>
      <c r="L96" s="4"/>
      <c r="M96" s="4"/>
    </row>
    <row r="97" spans="1:13" ht="15" x14ac:dyDescent="0.2">
      <c r="I97" s="16"/>
      <c r="J97" s="4"/>
      <c r="K97" s="4"/>
      <c r="L97" s="4"/>
      <c r="M97" s="4"/>
    </row>
    <row r="98" spans="1:13" ht="15" x14ac:dyDescent="0.2">
      <c r="B98" s="7"/>
      <c r="C98" s="13"/>
      <c r="I98" s="4"/>
      <c r="J98" s="4"/>
      <c r="K98" s="4"/>
      <c r="L98" s="4"/>
      <c r="M98" s="4"/>
    </row>
    <row r="99" spans="1:13" ht="15" x14ac:dyDescent="0.2">
      <c r="B99" s="5"/>
      <c r="C99" s="14"/>
      <c r="I99" s="4"/>
      <c r="J99" s="4"/>
      <c r="K99" s="4"/>
      <c r="L99" s="4"/>
      <c r="M99" s="4"/>
    </row>
    <row r="100" spans="1:13" ht="15" x14ac:dyDescent="0.2">
      <c r="B100" s="5"/>
      <c r="C100" s="14"/>
      <c r="I100" s="4"/>
      <c r="J100" s="4"/>
      <c r="K100" s="4"/>
      <c r="L100" s="4"/>
      <c r="M100" s="4"/>
    </row>
    <row r="101" spans="1:13" ht="15" x14ac:dyDescent="0.2">
      <c r="B101" s="5"/>
      <c r="C101" s="14"/>
      <c r="I101" s="4"/>
      <c r="J101" s="4"/>
      <c r="K101" s="4"/>
      <c r="L101" s="4"/>
      <c r="M101" s="4"/>
    </row>
    <row r="102" spans="1:13" ht="15" x14ac:dyDescent="0.2">
      <c r="B102" s="5"/>
      <c r="C102" s="14"/>
      <c r="I102" s="4"/>
      <c r="J102" s="4"/>
      <c r="K102" s="4"/>
      <c r="L102" s="4"/>
      <c r="M102" s="4"/>
    </row>
    <row r="103" spans="1:13" ht="15" x14ac:dyDescent="0.2">
      <c r="B103" s="5"/>
      <c r="C103" s="14"/>
      <c r="I103" s="4"/>
      <c r="J103" s="4"/>
      <c r="K103" s="4"/>
      <c r="L103" s="4"/>
      <c r="M103" s="4"/>
    </row>
    <row r="104" spans="1:13" ht="15" x14ac:dyDescent="0.2">
      <c r="B104" s="7"/>
      <c r="C104" s="14"/>
      <c r="I104" s="4"/>
      <c r="J104" s="4"/>
      <c r="K104" s="4"/>
      <c r="L104" s="4"/>
      <c r="M104" s="4"/>
    </row>
    <row r="105" spans="1:13" x14ac:dyDescent="0.2">
      <c r="I105" s="4"/>
      <c r="J105" s="4"/>
      <c r="K105" s="4"/>
      <c r="L105" s="4"/>
      <c r="M105" s="4"/>
    </row>
    <row r="106" spans="1:13" x14ac:dyDescent="0.2">
      <c r="A106" s="1"/>
      <c r="I106" s="4"/>
      <c r="J106" s="4"/>
      <c r="K106" s="4"/>
      <c r="L106" s="4"/>
      <c r="M106" s="4"/>
    </row>
    <row r="107" spans="1:13" x14ac:dyDescent="0.2">
      <c r="I107" s="4"/>
      <c r="J107" s="4"/>
      <c r="K107" s="4"/>
      <c r="L107" s="4"/>
      <c r="M107" s="4"/>
    </row>
    <row r="108" spans="1:13" x14ac:dyDescent="0.2">
      <c r="I108" s="4"/>
      <c r="J108" s="4"/>
      <c r="K108" s="4"/>
      <c r="L108" s="4"/>
      <c r="M108" s="4"/>
    </row>
    <row r="109" spans="1:13" x14ac:dyDescent="0.2">
      <c r="I109" s="4"/>
      <c r="J109" s="4"/>
      <c r="K109" s="4"/>
      <c r="L109" s="4"/>
      <c r="M109" s="4"/>
    </row>
    <row r="110" spans="1:13" x14ac:dyDescent="0.2">
      <c r="I110" s="4"/>
      <c r="J110" s="4"/>
      <c r="K110" s="4"/>
      <c r="L110" s="4"/>
      <c r="M110" s="4"/>
    </row>
    <row r="111" spans="1:13" x14ac:dyDescent="0.2">
      <c r="I111" s="4"/>
      <c r="J111" s="4"/>
      <c r="K111" s="4"/>
      <c r="L111" s="4"/>
      <c r="M111" s="4"/>
    </row>
    <row r="112" spans="1:13" x14ac:dyDescent="0.2">
      <c r="I112" s="4"/>
      <c r="J112" s="4"/>
      <c r="K112" s="4"/>
      <c r="L112" s="4"/>
      <c r="M112" s="4"/>
    </row>
    <row r="113" spans="9:13" x14ac:dyDescent="0.2">
      <c r="I113" s="4"/>
      <c r="J113" s="4"/>
      <c r="K113" s="4"/>
      <c r="L113" s="4"/>
      <c r="M113" s="4"/>
    </row>
    <row r="114" spans="9:13" x14ac:dyDescent="0.2">
      <c r="I114" s="4"/>
      <c r="J114" s="4"/>
      <c r="K114" s="4"/>
      <c r="L114" s="4"/>
      <c r="M114" s="4"/>
    </row>
    <row r="115" spans="9:13" x14ac:dyDescent="0.2">
      <c r="I115" s="4"/>
      <c r="J115" s="4"/>
      <c r="K115" s="4"/>
      <c r="L115" s="4"/>
      <c r="M115" s="4"/>
    </row>
    <row r="117" spans="9:13" x14ac:dyDescent="0.2">
      <c r="I117" s="4"/>
      <c r="J117" s="4"/>
      <c r="K117" s="4"/>
      <c r="L117" s="4"/>
      <c r="M117" s="4"/>
    </row>
    <row r="118" spans="9:13" x14ac:dyDescent="0.2">
      <c r="I118" s="4"/>
      <c r="J118" s="4"/>
      <c r="K118" s="4"/>
      <c r="L118" s="4"/>
      <c r="M118" s="4"/>
    </row>
    <row r="119" spans="9:13" x14ac:dyDescent="0.2">
      <c r="I119" s="4"/>
      <c r="J119" s="4"/>
      <c r="K119" s="4"/>
      <c r="L119" s="4"/>
      <c r="M119" s="4"/>
    </row>
    <row r="120" spans="9:13" x14ac:dyDescent="0.2">
      <c r="I120" s="4"/>
      <c r="J120" s="4"/>
      <c r="K120" s="4"/>
      <c r="L120" s="4"/>
      <c r="M120" s="4"/>
    </row>
    <row r="121" spans="9:13" x14ac:dyDescent="0.2">
      <c r="I121" s="4"/>
      <c r="J121" s="4"/>
      <c r="K121" s="4"/>
      <c r="L121" s="4"/>
      <c r="M121" s="4"/>
    </row>
    <row r="122" spans="9:13" x14ac:dyDescent="0.2">
      <c r="I122" s="4"/>
      <c r="J122" s="4"/>
      <c r="K122" s="4"/>
      <c r="L122" s="4"/>
      <c r="M122" s="4"/>
    </row>
    <row r="123" spans="9:13" x14ac:dyDescent="0.2">
      <c r="I123" s="4"/>
      <c r="J123" s="4"/>
      <c r="K123" s="4"/>
      <c r="L123" s="4"/>
      <c r="M123" s="4"/>
    </row>
    <row r="124" spans="9:13" x14ac:dyDescent="0.2">
      <c r="I124" s="4"/>
      <c r="J124" s="4"/>
      <c r="K124" s="4"/>
      <c r="L124" s="4"/>
      <c r="M124" s="4"/>
    </row>
    <row r="125" spans="9:13" x14ac:dyDescent="0.2">
      <c r="I125" s="4"/>
      <c r="J125" s="4"/>
      <c r="K125" s="4"/>
      <c r="L125" s="4"/>
      <c r="M125" s="4"/>
    </row>
    <row r="126" spans="9:13" x14ac:dyDescent="0.2">
      <c r="I126" s="4"/>
      <c r="J126" s="4"/>
      <c r="K126" s="4"/>
      <c r="L126" s="4"/>
      <c r="M126" s="4"/>
    </row>
    <row r="127" spans="9:13" x14ac:dyDescent="0.2">
      <c r="I127" s="4"/>
      <c r="J127" s="4"/>
      <c r="K127" s="4"/>
      <c r="L127" s="4"/>
      <c r="M127" s="4"/>
    </row>
    <row r="129" spans="9:13" x14ac:dyDescent="0.2">
      <c r="I129" s="4"/>
      <c r="J129" s="4"/>
      <c r="K129" s="4"/>
      <c r="L129" s="4"/>
      <c r="M129" s="4"/>
    </row>
    <row r="130" spans="9:13" x14ac:dyDescent="0.2">
      <c r="I130" s="4"/>
      <c r="J130" s="4"/>
      <c r="K130" s="4"/>
      <c r="L130" s="4"/>
      <c r="M130" s="4"/>
    </row>
    <row r="131" spans="9:13" x14ac:dyDescent="0.2">
      <c r="I131" s="4"/>
      <c r="J131" s="4"/>
      <c r="K131" s="4"/>
      <c r="L131" s="4"/>
      <c r="M131" s="4"/>
    </row>
    <row r="132" spans="9:13" x14ac:dyDescent="0.2">
      <c r="I132" s="4"/>
      <c r="J132" s="4"/>
      <c r="K132" s="4"/>
      <c r="L132" s="4"/>
      <c r="M132" s="4"/>
    </row>
    <row r="133" spans="9:13" x14ac:dyDescent="0.2">
      <c r="I133" s="4"/>
      <c r="J133" s="4"/>
      <c r="K133" s="4"/>
      <c r="L133" s="4"/>
      <c r="M133" s="4"/>
    </row>
    <row r="134" spans="9:13" x14ac:dyDescent="0.2">
      <c r="I134" s="4"/>
      <c r="J134" s="4"/>
      <c r="K134" s="4"/>
      <c r="L134" s="4"/>
      <c r="M134" s="4"/>
    </row>
    <row r="135" spans="9:13" x14ac:dyDescent="0.2">
      <c r="I135" s="4"/>
      <c r="J135" s="4"/>
      <c r="K135" s="4"/>
      <c r="L135" s="4"/>
      <c r="M135" s="4"/>
    </row>
    <row r="136" spans="9:13" x14ac:dyDescent="0.2">
      <c r="I136" s="4"/>
      <c r="J136" s="4"/>
      <c r="K136" s="4"/>
      <c r="L136" s="4"/>
      <c r="M136" s="4"/>
    </row>
    <row r="137" spans="9:13" x14ac:dyDescent="0.2">
      <c r="I137" s="4"/>
      <c r="J137" s="4"/>
      <c r="K137" s="4"/>
      <c r="L137" s="4"/>
      <c r="M137" s="4"/>
    </row>
    <row r="138" spans="9:13" x14ac:dyDescent="0.2">
      <c r="I138" s="4"/>
      <c r="J138" s="4"/>
      <c r="K138" s="4"/>
      <c r="L138" s="4"/>
      <c r="M138" s="4"/>
    </row>
    <row r="139" spans="9:13" x14ac:dyDescent="0.2">
      <c r="I139" s="4"/>
      <c r="J139" s="4"/>
      <c r="K139" s="4"/>
      <c r="L139" s="4"/>
      <c r="M139" s="4"/>
    </row>
    <row r="140" spans="9:13" x14ac:dyDescent="0.2">
      <c r="I140" s="4"/>
      <c r="J140" s="4"/>
      <c r="K140" s="4"/>
      <c r="L140" s="4"/>
      <c r="M140" s="4"/>
    </row>
    <row r="141" spans="9:13" x14ac:dyDescent="0.2">
      <c r="I141" s="4"/>
      <c r="J141" s="4"/>
      <c r="K141" s="4"/>
      <c r="L141" s="4"/>
      <c r="M141" s="4"/>
    </row>
    <row r="142" spans="9:13" x14ac:dyDescent="0.2">
      <c r="I142" s="4"/>
      <c r="J142" s="4"/>
      <c r="K142" s="4"/>
      <c r="L142" s="4"/>
      <c r="M142" s="4"/>
    </row>
    <row r="143" spans="9:13" x14ac:dyDescent="0.2">
      <c r="I143" s="4"/>
      <c r="J143" s="4"/>
      <c r="K143" s="4"/>
      <c r="L143" s="4"/>
      <c r="M143" s="4"/>
    </row>
    <row r="144" spans="9:13" x14ac:dyDescent="0.2">
      <c r="I144" s="4"/>
      <c r="J144" s="4"/>
      <c r="K144" s="4"/>
      <c r="L144" s="4"/>
      <c r="M144" s="4"/>
    </row>
    <row r="145" spans="8:13" x14ac:dyDescent="0.2">
      <c r="H145" s="4"/>
      <c r="I145" s="4"/>
      <c r="J145" s="4"/>
      <c r="K145" s="4"/>
      <c r="L145" s="4"/>
      <c r="M145" s="4"/>
    </row>
  </sheetData>
  <printOptions horizontalCentered="1"/>
  <pageMargins left="0.25" right="0.25" top="0.25" bottom="0.25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653F-7128-4BF2-90BA-EEE09DF1BA67}">
  <dimension ref="A3:N12"/>
  <sheetViews>
    <sheetView topLeftCell="A2" workbookViewId="0">
      <selection activeCell="C5" sqref="C5"/>
    </sheetView>
  </sheetViews>
  <sheetFormatPr defaultRowHeight="12.75" x14ac:dyDescent="0.2"/>
  <cols>
    <col min="1" max="1" width="41.140625" bestFit="1" customWidth="1"/>
    <col min="9" max="9" width="18.85546875" customWidth="1"/>
  </cols>
  <sheetData>
    <row r="3" spans="1:14" ht="15" x14ac:dyDescent="0.2">
      <c r="B3" s="2"/>
      <c r="C3" s="2" t="s">
        <v>72</v>
      </c>
      <c r="D3" s="2" t="s">
        <v>73</v>
      </c>
      <c r="E3" s="7" t="s">
        <v>82</v>
      </c>
      <c r="F3" s="7" t="s">
        <v>83</v>
      </c>
      <c r="G3" s="2" t="s">
        <v>85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</row>
    <row r="4" spans="1:14" ht="15" x14ac:dyDescent="0.2">
      <c r="B4" s="7"/>
      <c r="C4" s="5" t="s">
        <v>74</v>
      </c>
      <c r="D4" s="13"/>
      <c r="E4" s="5" t="s">
        <v>74</v>
      </c>
      <c r="F4" s="13"/>
      <c r="G4" s="5" t="s">
        <v>74</v>
      </c>
      <c r="J4" s="5" t="s">
        <v>74</v>
      </c>
      <c r="K4" s="13"/>
      <c r="L4" s="5" t="s">
        <v>74</v>
      </c>
      <c r="M4" s="13"/>
      <c r="N4" s="5" t="s">
        <v>74</v>
      </c>
    </row>
    <row r="5" spans="1:14" ht="15" x14ac:dyDescent="0.2">
      <c r="A5" s="36" t="s">
        <v>78</v>
      </c>
      <c r="B5" s="5" t="s">
        <v>76</v>
      </c>
      <c r="C5" s="14">
        <v>0.35299999999999998</v>
      </c>
      <c r="D5" s="14">
        <f>Fringe!C5+0.01</f>
        <v>0.36299999999999999</v>
      </c>
      <c r="E5" s="14">
        <f>Fringe!D5+0.01</f>
        <v>0.373</v>
      </c>
      <c r="F5" s="14">
        <f>Fringe!E5+0.01</f>
        <v>0.38300000000000001</v>
      </c>
      <c r="G5" s="14">
        <f>Fringe!F5+0.01</f>
        <v>0.39300000000000002</v>
      </c>
      <c r="I5" s="74" t="s">
        <v>211</v>
      </c>
      <c r="J5">
        <f>'Budget (no PI effort)'!H20*Fringe!C5</f>
        <v>0</v>
      </c>
      <c r="K5">
        <f>'Budget (no PI effort)'!I20*Fringe!D5</f>
        <v>0</v>
      </c>
      <c r="L5">
        <f>'Budget (no PI effort)'!J20*Fringe!E5</f>
        <v>0</v>
      </c>
      <c r="M5">
        <f>'Budget (no PI effort)'!K20*Fringe!F5</f>
        <v>0</v>
      </c>
      <c r="N5">
        <f>'Budget (no PI effort)'!L20*Fringe!G5</f>
        <v>0</v>
      </c>
    </row>
    <row r="6" spans="1:14" ht="15" x14ac:dyDescent="0.2">
      <c r="A6" s="36" t="s">
        <v>21</v>
      </c>
      <c r="B6" s="5" t="s">
        <v>79</v>
      </c>
      <c r="C6" s="14">
        <v>0.19900000000000001</v>
      </c>
      <c r="D6" s="14">
        <f>Fringe!C6+0.01</f>
        <v>0.20900000000000002</v>
      </c>
      <c r="E6" s="14">
        <f>Fringe!D6+0.01</f>
        <v>0.21900000000000003</v>
      </c>
      <c r="F6" s="14">
        <f>Fringe!E6+0.01</f>
        <v>0.22900000000000004</v>
      </c>
      <c r="G6" s="14">
        <f>Fringe!F6+0.01</f>
        <v>0.23900000000000005</v>
      </c>
      <c r="I6" s="74" t="s">
        <v>212</v>
      </c>
      <c r="J6">
        <f>'Budget (no PI effort)'!H25*Fringe!C5</f>
        <v>0</v>
      </c>
      <c r="K6">
        <f>'Budget (no PI effort)'!I25*Fringe!D5</f>
        <v>0</v>
      </c>
      <c r="L6">
        <f>'Budget (no PI effort)'!J25*Fringe!E5</f>
        <v>0</v>
      </c>
      <c r="M6">
        <f>'Budget (no PI effort)'!K25*Fringe!F5</f>
        <v>0</v>
      </c>
      <c r="N6">
        <f>'Budget (no PI effort)'!L25*Fringe!G5</f>
        <v>0</v>
      </c>
    </row>
    <row r="7" spans="1:14" ht="15" x14ac:dyDescent="0.2">
      <c r="A7" s="36" t="s">
        <v>26</v>
      </c>
      <c r="B7" s="5" t="s">
        <v>77</v>
      </c>
      <c r="C7" s="14">
        <v>0.215</v>
      </c>
      <c r="D7" s="14">
        <f>Fringe!C7+0.01</f>
        <v>0.22500000000000001</v>
      </c>
      <c r="E7" s="14">
        <f>Fringe!D7+0.01</f>
        <v>0.23500000000000001</v>
      </c>
      <c r="F7" s="14">
        <f>Fringe!E7+0.01</f>
        <v>0.24500000000000002</v>
      </c>
      <c r="G7" s="14">
        <f>Fringe!F7+0.01</f>
        <v>0.255</v>
      </c>
      <c r="I7" s="74" t="s">
        <v>213</v>
      </c>
      <c r="J7">
        <f>'Budget (no PI effort)'!H24*Fringe!C6</f>
        <v>0</v>
      </c>
      <c r="K7">
        <f>'Budget (no PI effort)'!I24*Fringe!D6</f>
        <v>0</v>
      </c>
      <c r="L7">
        <f>'Budget (no PI effort)'!J24*Fringe!E6</f>
        <v>0</v>
      </c>
      <c r="M7">
        <f>'Budget (no PI effort)'!K24*Fringe!F6</f>
        <v>0</v>
      </c>
      <c r="N7">
        <f>'Budget (no PI effort)'!L24*Fringe!G6</f>
        <v>0</v>
      </c>
    </row>
    <row r="8" spans="1:14" ht="15" x14ac:dyDescent="0.2">
      <c r="A8" s="36" t="s">
        <v>215</v>
      </c>
      <c r="B8" s="5" t="s">
        <v>89</v>
      </c>
      <c r="C8" s="14">
        <v>0.39500000000000002</v>
      </c>
      <c r="D8" s="14">
        <f>Fringe!C8+0.01</f>
        <v>0.40500000000000003</v>
      </c>
      <c r="E8" s="14">
        <f>Fringe!D8+0.01</f>
        <v>0.41500000000000004</v>
      </c>
      <c r="F8" s="14">
        <f>Fringe!E8+0.01</f>
        <v>0.42500000000000004</v>
      </c>
      <c r="G8" s="14">
        <f>Fringe!F8+0.01</f>
        <v>0.43500000000000005</v>
      </c>
      <c r="I8" s="74" t="s">
        <v>208</v>
      </c>
      <c r="J8">
        <f>'Budget (no PI effort)'!H26*Fringe!C7</f>
        <v>6940.63</v>
      </c>
      <c r="K8">
        <f>'Budget (no PI effort)'!I26*Fringe!D7</f>
        <v>8054.3249999999998</v>
      </c>
      <c r="L8">
        <f>'Budget (no PI effort)'!J26*Fringe!E7</f>
        <v>8832.7100000000009</v>
      </c>
      <c r="M8">
        <f>'Budget (no PI effort)'!K26*Fringe!F7</f>
        <v>0</v>
      </c>
      <c r="N8">
        <f>'Budget (no PI effort)'!L26*Fringe!G7</f>
        <v>0</v>
      </c>
    </row>
    <row r="9" spans="1:14" ht="15" x14ac:dyDescent="0.2">
      <c r="A9" s="36" t="s">
        <v>27</v>
      </c>
      <c r="B9" s="5" t="s">
        <v>81</v>
      </c>
      <c r="C9" s="14">
        <v>4.2000000000000003E-2</v>
      </c>
      <c r="D9" s="14">
        <f>Fringe!C9+0.01</f>
        <v>5.2000000000000005E-2</v>
      </c>
      <c r="E9" s="14">
        <f>Fringe!D9+0.01</f>
        <v>6.2000000000000006E-2</v>
      </c>
      <c r="F9" s="14">
        <f>Fringe!E9+0.01</f>
        <v>7.2000000000000008E-2</v>
      </c>
      <c r="G9" s="14">
        <f>Fringe!F9+0.01</f>
        <v>8.2000000000000003E-2</v>
      </c>
      <c r="I9" s="74" t="s">
        <v>215</v>
      </c>
      <c r="J9">
        <f>'Budget (no PI effort)'!H28*Fringe!C8</f>
        <v>0</v>
      </c>
      <c r="K9">
        <f>'Budget (no PI effort)'!I28*Fringe!D8</f>
        <v>0</v>
      </c>
      <c r="L9">
        <f>'Budget (no PI effort)'!J28*Fringe!E8</f>
        <v>0</v>
      </c>
      <c r="M9">
        <f>'Budget (no PI effort)'!K28*Fringe!F8</f>
        <v>0</v>
      </c>
      <c r="N9">
        <f>'Budget (no PI effort)'!L28*Fringe!G8</f>
        <v>0</v>
      </c>
    </row>
    <row r="10" spans="1:14" ht="15" x14ac:dyDescent="0.2">
      <c r="A10" s="36" t="s">
        <v>91</v>
      </c>
      <c r="B10" s="7" t="s">
        <v>90</v>
      </c>
      <c r="C10" s="14">
        <v>0.17199999999999999</v>
      </c>
      <c r="D10" s="14">
        <f>Fringe!C10+0.01</f>
        <v>0.182</v>
      </c>
      <c r="E10" s="14">
        <f>Fringe!D10+0.01</f>
        <v>0.192</v>
      </c>
      <c r="F10" s="14">
        <f>Fringe!E10+0.01</f>
        <v>0.20200000000000001</v>
      </c>
      <c r="G10" s="14">
        <f>Fringe!F10+0.01</f>
        <v>0.21200000000000002</v>
      </c>
      <c r="I10" s="74" t="s">
        <v>216</v>
      </c>
      <c r="J10">
        <f>'Budget (no PI effort)'!H27*Fringe!C9</f>
        <v>0</v>
      </c>
      <c r="K10">
        <f>'Budget (no PI effort)'!I27*Fringe!D9</f>
        <v>0</v>
      </c>
      <c r="L10">
        <f>'Budget (no PI effort)'!J27*Fringe!E9</f>
        <v>0</v>
      </c>
      <c r="M10">
        <f>'Budget (no PI effort)'!K27*Fringe!F9</f>
        <v>0</v>
      </c>
      <c r="N10">
        <f>'Budget (no PI effort)'!L27*Fringe!G9</f>
        <v>0</v>
      </c>
    </row>
    <row r="11" spans="1:14" x14ac:dyDescent="0.2">
      <c r="I11" s="74" t="s">
        <v>214</v>
      </c>
      <c r="J11">
        <f>'Budget (no PI effort)'!H29*Fringe!C10</f>
        <v>0</v>
      </c>
      <c r="K11">
        <f>'Budget (no PI effort)'!I29*Fringe!D10</f>
        <v>0</v>
      </c>
      <c r="L11">
        <f>'Budget (no PI effort)'!J29*Fringe!E10</f>
        <v>0</v>
      </c>
      <c r="M11">
        <f>'Budget (no PI effort)'!K29*Fringe!F10</f>
        <v>0</v>
      </c>
      <c r="N11">
        <f>'Budget (no PI effort)'!L29*Fringe!G10</f>
        <v>0</v>
      </c>
    </row>
    <row r="12" spans="1:14" x14ac:dyDescent="0.2">
      <c r="I12" s="74" t="s">
        <v>9</v>
      </c>
      <c r="J12" s="167">
        <f>SUM(J5:J11)</f>
        <v>6940.63</v>
      </c>
      <c r="K12" s="167">
        <f>SUM(K5:K11)</f>
        <v>8054.3249999999998</v>
      </c>
      <c r="L12" s="167">
        <f>SUM(L5:L11)</f>
        <v>8832.7100000000009</v>
      </c>
      <c r="M12" s="167">
        <f>SUM(M5:M11)</f>
        <v>0</v>
      </c>
      <c r="N12" s="167">
        <f>SUM(N5:N11)</f>
        <v>0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89FB-5109-4CB2-944E-B6E972B7C89A}">
  <dimension ref="B3:T16"/>
  <sheetViews>
    <sheetView workbookViewId="0">
      <selection activeCell="O11" sqref="O11"/>
    </sheetView>
  </sheetViews>
  <sheetFormatPr defaultRowHeight="12.75" x14ac:dyDescent="0.2"/>
  <cols>
    <col min="2" max="2" width="12.5703125" customWidth="1"/>
    <col min="4" max="4" width="11.28515625" bestFit="1" customWidth="1"/>
    <col min="5" max="5" width="11.5703125" bestFit="1" customWidth="1"/>
    <col min="8" max="8" width="10.85546875" customWidth="1"/>
  </cols>
  <sheetData>
    <row r="3" spans="2:20" x14ac:dyDescent="0.2"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s="74" t="s">
        <v>111</v>
      </c>
      <c r="H3" s="74" t="s">
        <v>110</v>
      </c>
      <c r="I3" s="74" t="s">
        <v>5</v>
      </c>
      <c r="J3" s="74" t="s">
        <v>6</v>
      </c>
      <c r="K3" s="74" t="s">
        <v>7</v>
      </c>
      <c r="L3" s="74" t="s">
        <v>8</v>
      </c>
      <c r="O3" s="74" t="s">
        <v>4</v>
      </c>
      <c r="P3" s="74" t="s">
        <v>5</v>
      </c>
      <c r="Q3" s="74" t="s">
        <v>6</v>
      </c>
      <c r="R3" s="74" t="s">
        <v>7</v>
      </c>
      <c r="S3" s="74" t="s">
        <v>8</v>
      </c>
    </row>
    <row r="4" spans="2:20" ht="24.75" x14ac:dyDescent="0.25">
      <c r="B4" s="75"/>
      <c r="C4" s="76"/>
      <c r="D4" s="77" t="s">
        <v>109</v>
      </c>
      <c r="E4" s="78"/>
      <c r="F4" s="79" t="s">
        <v>108</v>
      </c>
      <c r="G4" s="80">
        <v>12</v>
      </c>
      <c r="H4" s="81">
        <v>0.75</v>
      </c>
      <c r="I4" s="81">
        <v>0.75</v>
      </c>
      <c r="J4" s="81">
        <v>0.75</v>
      </c>
      <c r="K4" s="81">
        <v>0.75</v>
      </c>
      <c r="L4" s="81">
        <v>0.75</v>
      </c>
      <c r="O4" s="82">
        <f>E4*H4</f>
        <v>0</v>
      </c>
      <c r="P4" s="82">
        <f>(E4*1.03)*I4</f>
        <v>0</v>
      </c>
      <c r="Q4" s="82">
        <f>(E4*1.03*1.03)*J4</f>
        <v>0</v>
      </c>
      <c r="R4" s="82">
        <f>(E4*1.03*1.03*1.03)*K4</f>
        <v>0</v>
      </c>
      <c r="S4" s="82">
        <f>(E4*1.03*1.03*1.03*1.03)*L4</f>
        <v>0</v>
      </c>
      <c r="T4" s="82">
        <f>SUM(O4:S4)</f>
        <v>0</v>
      </c>
    </row>
    <row r="5" spans="2:20" ht="24.75" x14ac:dyDescent="0.25">
      <c r="B5" s="75"/>
      <c r="C5" s="76"/>
      <c r="D5" s="77" t="s">
        <v>109</v>
      </c>
      <c r="E5" s="78"/>
      <c r="F5" s="79" t="s">
        <v>108</v>
      </c>
      <c r="G5" s="80">
        <v>12</v>
      </c>
      <c r="H5" s="81">
        <v>0.7</v>
      </c>
      <c r="I5" s="81">
        <v>0.7</v>
      </c>
      <c r="J5" s="81">
        <v>0.7</v>
      </c>
      <c r="K5" s="81">
        <v>0.7</v>
      </c>
      <c r="L5" s="81">
        <v>0.7</v>
      </c>
      <c r="O5" s="82">
        <f>E5*H5</f>
        <v>0</v>
      </c>
      <c r="P5" s="82">
        <f t="shared" ref="P5:P10" si="0">(E5*1.03)*I5</f>
        <v>0</v>
      </c>
      <c r="Q5" s="82">
        <f t="shared" ref="Q5:Q10" si="1">(E5*1.03*1.03)*J5</f>
        <v>0</v>
      </c>
      <c r="R5" s="82">
        <f t="shared" ref="R5:R10" si="2">(E5*1.03*1.03*1.03)*K5</f>
        <v>0</v>
      </c>
      <c r="S5" s="82">
        <f t="shared" ref="S5:S10" si="3">(E5*1.03*1.03*1.03*1.03)*L5</f>
        <v>0</v>
      </c>
      <c r="T5" s="82">
        <f>SUM(O5:S5)</f>
        <v>0</v>
      </c>
    </row>
    <row r="6" spans="2:20" ht="24.75" x14ac:dyDescent="0.25">
      <c r="B6" s="75"/>
      <c r="C6" s="76"/>
      <c r="D6" s="77" t="s">
        <v>109</v>
      </c>
      <c r="E6" s="78"/>
      <c r="F6" s="79" t="s">
        <v>108</v>
      </c>
      <c r="G6" s="80">
        <v>12</v>
      </c>
      <c r="H6" s="81">
        <v>0.7</v>
      </c>
      <c r="I6" s="81">
        <v>0.7</v>
      </c>
      <c r="J6" s="81">
        <v>0.7</v>
      </c>
      <c r="K6" s="81">
        <v>0.7</v>
      </c>
      <c r="L6" s="81">
        <v>0.7</v>
      </c>
      <c r="O6" s="82">
        <f>E6*H6</f>
        <v>0</v>
      </c>
      <c r="P6" s="82">
        <f t="shared" si="0"/>
        <v>0</v>
      </c>
      <c r="Q6" s="82">
        <f t="shared" si="1"/>
        <v>0</v>
      </c>
      <c r="R6" s="82">
        <f t="shared" si="2"/>
        <v>0</v>
      </c>
      <c r="S6" s="82">
        <f t="shared" si="3"/>
        <v>0</v>
      </c>
      <c r="T6" s="82">
        <f>SUM(O6:S6)</f>
        <v>0</v>
      </c>
    </row>
    <row r="7" spans="2:20" ht="24" x14ac:dyDescent="0.2">
      <c r="B7" s="75"/>
      <c r="C7" s="76"/>
      <c r="D7" s="77" t="s">
        <v>109</v>
      </c>
      <c r="E7" s="83"/>
      <c r="F7" s="79" t="s">
        <v>108</v>
      </c>
      <c r="G7" s="80">
        <v>12</v>
      </c>
      <c r="H7" s="81">
        <v>0.65</v>
      </c>
      <c r="I7" s="81">
        <v>0.65</v>
      </c>
      <c r="J7" s="81">
        <v>0.65</v>
      </c>
      <c r="K7" s="81">
        <v>0.65</v>
      </c>
      <c r="L7" s="81">
        <v>0.65</v>
      </c>
      <c r="O7" s="82">
        <f>E7*H7</f>
        <v>0</v>
      </c>
      <c r="P7" s="82">
        <f t="shared" si="0"/>
        <v>0</v>
      </c>
      <c r="Q7" s="82">
        <f t="shared" si="1"/>
        <v>0</v>
      </c>
      <c r="R7" s="82">
        <f t="shared" si="2"/>
        <v>0</v>
      </c>
      <c r="S7" s="82">
        <f t="shared" si="3"/>
        <v>0</v>
      </c>
      <c r="T7" s="82">
        <f>SUM(O7:S7)</f>
        <v>0</v>
      </c>
    </row>
    <row r="8" spans="2:20" ht="24" x14ac:dyDescent="0.2">
      <c r="B8" s="75"/>
      <c r="C8" s="76"/>
      <c r="D8" s="77" t="s">
        <v>109</v>
      </c>
      <c r="E8" s="83"/>
      <c r="F8" s="79" t="s">
        <v>108</v>
      </c>
      <c r="G8" s="80">
        <v>12</v>
      </c>
      <c r="H8" s="81">
        <v>0.5</v>
      </c>
      <c r="I8" s="81">
        <v>0.5</v>
      </c>
      <c r="J8" s="81">
        <v>0.5</v>
      </c>
      <c r="K8" s="81">
        <v>0.5</v>
      </c>
      <c r="L8" s="81">
        <v>0.5</v>
      </c>
      <c r="O8" s="82">
        <f>E8*H8</f>
        <v>0</v>
      </c>
      <c r="P8" s="82">
        <f t="shared" si="0"/>
        <v>0</v>
      </c>
      <c r="Q8" s="82">
        <f t="shared" si="1"/>
        <v>0</v>
      </c>
      <c r="R8" s="82">
        <f t="shared" si="2"/>
        <v>0</v>
      </c>
      <c r="S8" s="82">
        <f t="shared" si="3"/>
        <v>0</v>
      </c>
      <c r="T8" s="82">
        <f>SUM(O8:S8)</f>
        <v>0</v>
      </c>
    </row>
    <row r="9" spans="2:20" ht="24" x14ac:dyDescent="0.2">
      <c r="B9" s="75"/>
      <c r="C9" s="76"/>
      <c r="D9" s="77" t="s">
        <v>109</v>
      </c>
      <c r="E9" s="84"/>
      <c r="F9" s="79" t="s">
        <v>108</v>
      </c>
      <c r="G9" s="80">
        <v>12</v>
      </c>
      <c r="H9" s="81">
        <v>0.5</v>
      </c>
      <c r="I9" s="81">
        <v>0.5</v>
      </c>
      <c r="J9" s="81">
        <v>0.5</v>
      </c>
      <c r="K9" s="81">
        <v>0.5</v>
      </c>
      <c r="L9" s="81">
        <v>0.5</v>
      </c>
      <c r="O9" s="82">
        <f t="shared" ref="O9:O10" si="4">E9*H9</f>
        <v>0</v>
      </c>
      <c r="P9" s="82">
        <f t="shared" si="0"/>
        <v>0</v>
      </c>
      <c r="Q9" s="82">
        <f t="shared" si="1"/>
        <v>0</v>
      </c>
      <c r="R9" s="82">
        <f t="shared" si="2"/>
        <v>0</v>
      </c>
      <c r="S9" s="82">
        <f t="shared" si="3"/>
        <v>0</v>
      </c>
      <c r="T9" s="82">
        <f t="shared" ref="T9:T10" si="5">SUM(O9:S9)</f>
        <v>0</v>
      </c>
    </row>
    <row r="10" spans="2:20" ht="24" x14ac:dyDescent="0.2">
      <c r="B10" s="75"/>
      <c r="C10" s="76"/>
      <c r="D10" s="77" t="s">
        <v>109</v>
      </c>
      <c r="E10" s="84"/>
      <c r="F10" s="79" t="s">
        <v>108</v>
      </c>
      <c r="G10" s="80">
        <v>12</v>
      </c>
      <c r="H10" s="81">
        <v>0.5</v>
      </c>
      <c r="I10" s="81">
        <v>0.5</v>
      </c>
      <c r="J10" s="81">
        <v>0.5</v>
      </c>
      <c r="K10" s="81">
        <v>0.5</v>
      </c>
      <c r="L10" s="81">
        <v>0.5</v>
      </c>
      <c r="O10" s="82">
        <f t="shared" si="4"/>
        <v>0</v>
      </c>
      <c r="P10" s="82">
        <f t="shared" si="0"/>
        <v>0</v>
      </c>
      <c r="Q10" s="82">
        <f t="shared" si="1"/>
        <v>0</v>
      </c>
      <c r="R10" s="82">
        <f t="shared" si="2"/>
        <v>0</v>
      </c>
      <c r="S10" s="82">
        <f t="shared" si="3"/>
        <v>0</v>
      </c>
      <c r="T10" s="82">
        <f t="shared" si="5"/>
        <v>0</v>
      </c>
    </row>
    <row r="11" spans="2:20" x14ac:dyDescent="0.2">
      <c r="B11" s="75"/>
      <c r="C11" s="76"/>
      <c r="O11" s="82">
        <f t="shared" ref="O11:T11" si="6">SUM(O4:O8)</f>
        <v>0</v>
      </c>
      <c r="P11" s="82">
        <f t="shared" si="6"/>
        <v>0</v>
      </c>
      <c r="Q11" s="82">
        <f t="shared" si="6"/>
        <v>0</v>
      </c>
      <c r="R11" s="82">
        <f t="shared" si="6"/>
        <v>0</v>
      </c>
      <c r="S11" s="82">
        <f t="shared" si="6"/>
        <v>0</v>
      </c>
      <c r="T11" s="82">
        <f t="shared" si="6"/>
        <v>0</v>
      </c>
    </row>
    <row r="12" spans="2:20" ht="36" x14ac:dyDescent="0.2">
      <c r="B12" s="75"/>
      <c r="C12" s="76"/>
      <c r="D12" s="77" t="s">
        <v>107</v>
      </c>
      <c r="E12" s="83">
        <v>15</v>
      </c>
      <c r="F12" s="79" t="s">
        <v>106</v>
      </c>
      <c r="G12" s="80"/>
      <c r="H12" s="81"/>
      <c r="I12" s="81"/>
    </row>
    <row r="13" spans="2:20" ht="36" x14ac:dyDescent="0.2">
      <c r="B13" s="75"/>
      <c r="C13" s="76"/>
      <c r="D13" s="77" t="s">
        <v>107</v>
      </c>
      <c r="E13" s="83">
        <v>15</v>
      </c>
      <c r="F13" s="79" t="s">
        <v>106</v>
      </c>
      <c r="G13" s="80"/>
      <c r="H13" s="81"/>
      <c r="I13" s="81"/>
    </row>
    <row r="14" spans="2:20" ht="36" x14ac:dyDescent="0.2">
      <c r="D14" s="77" t="s">
        <v>107</v>
      </c>
      <c r="E14" s="83">
        <v>15</v>
      </c>
      <c r="F14" s="79" t="s">
        <v>106</v>
      </c>
      <c r="G14" s="80"/>
      <c r="H14" s="81"/>
      <c r="I14" s="81"/>
    </row>
    <row r="16" spans="2:20" ht="15" x14ac:dyDescent="0.25">
      <c r="B16" s="74" t="s">
        <v>118</v>
      </c>
      <c r="C16" s="85" t="s">
        <v>199</v>
      </c>
    </row>
  </sheetData>
  <dataValidations count="5">
    <dataValidation type="decimal" allowBlank="1" showInputMessage="1" showErrorMessage="1" errorTitle="Entry Error" error="Percent Effort must be a whole number between 0 and 100." sqref="H12:I14 H4:L10" xr:uid="{647DE2C0-8DC9-4CAF-80C0-73FBA0C4A9A6}">
      <formula1>0</formula1>
      <formula2>1</formula2>
    </dataValidation>
    <dataValidation type="list" showInputMessage="1" showErrorMessage="1" errorTitle="Entry Error" error="Value must be from list." sqref="D7 D5 D14 D12" xr:uid="{8D7ACE72-35E6-4E66-A35D-20130A0A9F82}">
      <formula1>Fringe_Categories</formula1>
    </dataValidation>
    <dataValidation type="list" allowBlank="1" showErrorMessage="1" errorTitle="Entry Error" error="Value must be from list." sqref="D6 D4 D8:D10 D13" xr:uid="{C136ED00-9649-46F7-B9B6-76385DAA2795}">
      <formula1>Fringe_Categories</formula1>
    </dataValidation>
    <dataValidation type="decimal" allowBlank="1" showInputMessage="1" showErrorMessage="1" errorTitle="Entry Error" error="Maximum number of months is 12 for Annual (A basis) and 9 for Academic (C basis)." sqref="G4:G10 G12:G14" xr:uid="{E7D8005B-0E6E-4647-8257-0DB8DA2EA2C7}">
      <formula1>0</formula1>
      <formula2>IF(G4="Academic (C basis)",9,12)</formula2>
    </dataValidation>
    <dataValidation type="list" allowBlank="1" showInputMessage="1" showErrorMessage="1" sqref="F4:F10 F12:F14" xr:uid="{6A5104CD-7139-40D7-8F1A-05B9744C53BC}">
      <formula1>"Annual (A basis),Academic (C basis),Hourly (H basis)"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4E1D-EA09-4F7D-8B05-26730E001B97}">
  <dimension ref="B2:E18"/>
  <sheetViews>
    <sheetView workbookViewId="0">
      <selection activeCell="E11" sqref="E11"/>
    </sheetView>
  </sheetViews>
  <sheetFormatPr defaultRowHeight="12.75" x14ac:dyDescent="0.2"/>
  <sheetData>
    <row r="2" spans="2:5" ht="14.25" x14ac:dyDescent="0.2">
      <c r="B2" s="2" t="s">
        <v>117</v>
      </c>
    </row>
    <row r="3" spans="2:5" ht="14.25" x14ac:dyDescent="0.2">
      <c r="B3" s="24"/>
      <c r="C3" s="32" t="s">
        <v>22</v>
      </c>
      <c r="D3" s="33" t="s">
        <v>23</v>
      </c>
      <c r="E3" s="88"/>
    </row>
    <row r="4" spans="2:5" ht="14.25" x14ac:dyDescent="0.2">
      <c r="B4" s="24"/>
      <c r="C4" s="25"/>
      <c r="D4" s="26"/>
      <c r="E4" s="70"/>
    </row>
    <row r="5" spans="2:5" ht="14.25" x14ac:dyDescent="0.2">
      <c r="B5" s="27" t="s">
        <v>25</v>
      </c>
      <c r="C5" s="2">
        <v>0</v>
      </c>
      <c r="D5" s="29">
        <f>E5*C5</f>
        <v>0</v>
      </c>
      <c r="E5" s="88">
        <v>35636</v>
      </c>
    </row>
    <row r="6" spans="2:5" ht="14.25" x14ac:dyDescent="0.2">
      <c r="B6" s="27"/>
      <c r="C6" s="58">
        <f>SUM(C5:C5)</f>
        <v>0</v>
      </c>
      <c r="D6" s="59">
        <f>SUM(D5:D5)</f>
        <v>0</v>
      </c>
      <c r="E6" s="89"/>
    </row>
    <row r="7" spans="2:5" ht="14.25" x14ac:dyDescent="0.2">
      <c r="B7" s="27" t="s">
        <v>32</v>
      </c>
      <c r="C7" s="2"/>
      <c r="D7" s="29"/>
      <c r="E7" s="88"/>
    </row>
    <row r="8" spans="2:5" ht="14.25" x14ac:dyDescent="0.2">
      <c r="B8" s="27"/>
      <c r="C8" s="2">
        <v>0</v>
      </c>
      <c r="D8" s="29">
        <f>E8*C8</f>
        <v>0</v>
      </c>
      <c r="E8" s="88">
        <f>E5*1.05</f>
        <v>37417.800000000003</v>
      </c>
    </row>
    <row r="9" spans="2:5" ht="14.25" x14ac:dyDescent="0.2">
      <c r="B9" s="27"/>
      <c r="C9" s="58">
        <f>C8</f>
        <v>0</v>
      </c>
      <c r="D9" s="59">
        <f>SUM(D8)</f>
        <v>0</v>
      </c>
      <c r="E9" s="89"/>
    </row>
    <row r="10" spans="2:5" ht="14.25" x14ac:dyDescent="0.2">
      <c r="B10" s="27" t="s">
        <v>41</v>
      </c>
      <c r="C10" s="2"/>
      <c r="D10" s="29"/>
      <c r="E10" s="88"/>
    </row>
    <row r="11" spans="2:5" ht="14.25" x14ac:dyDescent="0.2">
      <c r="B11" s="27"/>
      <c r="C11" s="2">
        <v>0</v>
      </c>
      <c r="D11" s="29">
        <f>C11*E11</f>
        <v>0</v>
      </c>
      <c r="E11" s="88">
        <f>E8*1.05</f>
        <v>39288.69</v>
      </c>
    </row>
    <row r="12" spans="2:5" ht="14.25" x14ac:dyDescent="0.2">
      <c r="B12" s="27"/>
      <c r="C12" s="58">
        <f>C11</f>
        <v>0</v>
      </c>
      <c r="D12" s="59">
        <f>SUM(D11)</f>
        <v>0</v>
      </c>
      <c r="E12" s="89"/>
    </row>
    <row r="13" spans="2:5" ht="14.25" x14ac:dyDescent="0.2">
      <c r="B13" s="27" t="s">
        <v>45</v>
      </c>
      <c r="C13" s="2"/>
      <c r="D13" s="29"/>
      <c r="E13" s="88"/>
    </row>
    <row r="14" spans="2:5" ht="14.25" x14ac:dyDescent="0.2">
      <c r="B14" s="27"/>
      <c r="C14" s="2">
        <v>0</v>
      </c>
      <c r="D14" s="29">
        <f>E14*C14</f>
        <v>0</v>
      </c>
      <c r="E14" s="88">
        <f>E11*1.05</f>
        <v>41253.124500000005</v>
      </c>
    </row>
    <row r="15" spans="2:5" ht="14.25" x14ac:dyDescent="0.2">
      <c r="B15" s="27"/>
      <c r="C15" s="58">
        <f>C14</f>
        <v>0</v>
      </c>
      <c r="D15" s="59">
        <f>SUM(D14)</f>
        <v>0</v>
      </c>
      <c r="E15" s="89"/>
    </row>
    <row r="16" spans="2:5" ht="14.25" x14ac:dyDescent="0.2">
      <c r="B16" s="27" t="s">
        <v>51</v>
      </c>
      <c r="C16" s="2"/>
      <c r="D16" s="29"/>
      <c r="E16" s="88"/>
    </row>
    <row r="17" spans="2:5" ht="14.25" x14ac:dyDescent="0.2">
      <c r="B17" s="27"/>
      <c r="C17" s="2">
        <v>0</v>
      </c>
      <c r="D17" s="29">
        <f>E17*C17</f>
        <v>0</v>
      </c>
      <c r="E17" s="88">
        <f>E14*1.05</f>
        <v>43315.780725000004</v>
      </c>
    </row>
    <row r="18" spans="2:5" ht="14.25" x14ac:dyDescent="0.2">
      <c r="B18" s="30"/>
      <c r="C18" s="58">
        <f>C17</f>
        <v>0</v>
      </c>
      <c r="D18" s="59">
        <f>SUM(D17)</f>
        <v>0</v>
      </c>
      <c r="E18" s="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6E42-CB60-4843-B0B5-831073CA6E62}">
  <dimension ref="A2:K19"/>
  <sheetViews>
    <sheetView workbookViewId="0">
      <selection activeCell="B8" sqref="B8"/>
    </sheetView>
  </sheetViews>
  <sheetFormatPr defaultColWidth="8.7109375" defaultRowHeight="12.75" x14ac:dyDescent="0.2"/>
  <cols>
    <col min="1" max="3" width="8.7109375" style="90"/>
    <col min="4" max="4" width="12.28515625" style="90" customWidth="1"/>
    <col min="5" max="5" width="15.140625" style="90" customWidth="1"/>
    <col min="6" max="6" width="10.28515625" style="91" customWidth="1"/>
    <col min="7" max="9" width="9.85546875" style="91" customWidth="1"/>
    <col min="10" max="10" width="9" style="91" customWidth="1"/>
    <col min="11" max="11" width="9.85546875" style="91" bestFit="1" customWidth="1"/>
    <col min="12" max="16384" width="8.7109375" style="90"/>
  </cols>
  <sheetData>
    <row r="2" spans="1:11" ht="39" thickBot="1" x14ac:dyDescent="0.25">
      <c r="A2" s="157" t="s">
        <v>186</v>
      </c>
      <c r="B2" s="157" t="s">
        <v>187</v>
      </c>
    </row>
    <row r="3" spans="1:11" ht="29.25" thickBot="1" x14ac:dyDescent="0.25">
      <c r="D3" s="97" t="s">
        <v>137</v>
      </c>
      <c r="E3" s="96" t="s">
        <v>136</v>
      </c>
      <c r="F3" s="95" t="s">
        <v>4</v>
      </c>
      <c r="G3" s="95" t="s">
        <v>5</v>
      </c>
      <c r="H3" s="95" t="s">
        <v>6</v>
      </c>
      <c r="I3" s="95" t="s">
        <v>7</v>
      </c>
      <c r="J3" s="95" t="s">
        <v>8</v>
      </c>
      <c r="K3" s="95" t="s">
        <v>9</v>
      </c>
    </row>
    <row r="4" spans="1:11" ht="15.75" thickBot="1" x14ac:dyDescent="0.25">
      <c r="A4" s="90">
        <v>3</v>
      </c>
      <c r="B4" s="160">
        <v>0</v>
      </c>
      <c r="D4" s="94" t="s">
        <v>135</v>
      </c>
      <c r="E4" s="93" t="s">
        <v>188</v>
      </c>
      <c r="F4" s="92">
        <f>B4*A4</f>
        <v>0</v>
      </c>
      <c r="G4" s="92">
        <f>F4*1.03</f>
        <v>0</v>
      </c>
      <c r="H4" s="92">
        <f t="shared" ref="H4:J4" si="0">G4*1.03</f>
        <v>0</v>
      </c>
      <c r="I4" s="92">
        <f t="shared" si="0"/>
        <v>0</v>
      </c>
      <c r="J4" s="92">
        <f t="shared" si="0"/>
        <v>0</v>
      </c>
      <c r="K4" s="92">
        <f>SUM(F4:J4)</f>
        <v>0</v>
      </c>
    </row>
    <row r="5" spans="1:11" ht="30.75" thickBot="1" x14ac:dyDescent="0.25">
      <c r="A5" s="90">
        <v>3</v>
      </c>
      <c r="B5" s="160">
        <v>0</v>
      </c>
      <c r="D5" s="94" t="s">
        <v>189</v>
      </c>
      <c r="E5" s="93" t="s">
        <v>190</v>
      </c>
      <c r="F5" s="92">
        <f t="shared" ref="F5:F7" si="1">B5*A5</f>
        <v>0</v>
      </c>
      <c r="G5" s="92">
        <f t="shared" ref="G5:J8" si="2">F5*1.03</f>
        <v>0</v>
      </c>
      <c r="H5" s="92">
        <f t="shared" si="2"/>
        <v>0</v>
      </c>
      <c r="I5" s="92">
        <f t="shared" si="2"/>
        <v>0</v>
      </c>
      <c r="J5" s="92">
        <f t="shared" si="2"/>
        <v>0</v>
      </c>
      <c r="K5" s="92">
        <f t="shared" ref="K5:K8" si="3">SUM(F5:J5)</f>
        <v>0</v>
      </c>
    </row>
    <row r="6" spans="1:11" ht="60.75" thickBot="1" x14ac:dyDescent="0.25">
      <c r="A6" s="90">
        <v>3</v>
      </c>
      <c r="B6" s="160">
        <v>0</v>
      </c>
      <c r="D6" s="94" t="s">
        <v>191</v>
      </c>
      <c r="E6" s="93" t="s">
        <v>192</v>
      </c>
      <c r="F6" s="92">
        <f t="shared" si="1"/>
        <v>0</v>
      </c>
      <c r="G6" s="92">
        <f t="shared" si="2"/>
        <v>0</v>
      </c>
      <c r="H6" s="92">
        <f t="shared" si="2"/>
        <v>0</v>
      </c>
      <c r="I6" s="92">
        <f t="shared" si="2"/>
        <v>0</v>
      </c>
      <c r="J6" s="92">
        <f t="shared" si="2"/>
        <v>0</v>
      </c>
      <c r="K6" s="92">
        <f t="shared" si="3"/>
        <v>0</v>
      </c>
    </row>
    <row r="7" spans="1:11" ht="30.75" thickBot="1" x14ac:dyDescent="0.25">
      <c r="A7" s="90">
        <v>3</v>
      </c>
      <c r="B7" s="160">
        <v>0</v>
      </c>
      <c r="D7" s="94" t="s">
        <v>139</v>
      </c>
      <c r="E7" s="93" t="s">
        <v>193</v>
      </c>
      <c r="F7" s="92">
        <f t="shared" si="1"/>
        <v>0</v>
      </c>
      <c r="G7" s="92">
        <f t="shared" si="2"/>
        <v>0</v>
      </c>
      <c r="H7" s="92">
        <f t="shared" si="2"/>
        <v>0</v>
      </c>
      <c r="I7" s="92">
        <f t="shared" si="2"/>
        <v>0</v>
      </c>
      <c r="J7" s="92">
        <f t="shared" si="2"/>
        <v>0</v>
      </c>
      <c r="K7" s="92">
        <f t="shared" si="3"/>
        <v>0</v>
      </c>
    </row>
    <row r="8" spans="1:11" ht="45.75" thickBot="1" x14ac:dyDescent="0.25">
      <c r="D8" s="94" t="s">
        <v>134</v>
      </c>
      <c r="E8" s="93" t="s">
        <v>188</v>
      </c>
      <c r="F8" s="92">
        <v>0</v>
      </c>
      <c r="G8" s="92">
        <f t="shared" si="2"/>
        <v>0</v>
      </c>
      <c r="H8" s="92">
        <f t="shared" si="2"/>
        <v>0</v>
      </c>
      <c r="I8" s="92">
        <f t="shared" si="2"/>
        <v>0</v>
      </c>
      <c r="J8" s="92">
        <f t="shared" si="2"/>
        <v>0</v>
      </c>
      <c r="K8" s="92">
        <f t="shared" si="3"/>
        <v>0</v>
      </c>
    </row>
    <row r="9" spans="1:11" ht="15.75" thickBot="1" x14ac:dyDescent="0.25">
      <c r="D9" s="176" t="s">
        <v>9</v>
      </c>
      <c r="E9" s="177"/>
      <c r="F9" s="92">
        <f>SUM(F4:F8)</f>
        <v>0</v>
      </c>
      <c r="G9" s="92">
        <f t="shared" ref="G9:J9" si="4">SUM(G4:G8)</f>
        <v>0</v>
      </c>
      <c r="H9" s="92">
        <f t="shared" si="4"/>
        <v>0</v>
      </c>
      <c r="I9" s="92">
        <f t="shared" si="4"/>
        <v>0</v>
      </c>
      <c r="J9" s="92">
        <f t="shared" si="4"/>
        <v>0</v>
      </c>
      <c r="K9" s="92">
        <f>SUM(F9:J9)</f>
        <v>0</v>
      </c>
    </row>
    <row r="12" spans="1:11" ht="39" thickBot="1" x14ac:dyDescent="0.25">
      <c r="A12" s="157" t="s">
        <v>186</v>
      </c>
      <c r="B12" s="157" t="s">
        <v>187</v>
      </c>
    </row>
    <row r="13" spans="1:11" ht="29.25" thickBot="1" x14ac:dyDescent="0.25">
      <c r="A13" s="158"/>
      <c r="D13" s="97" t="s">
        <v>137</v>
      </c>
      <c r="E13" s="96" t="s">
        <v>136</v>
      </c>
      <c r="F13" s="95" t="s">
        <v>4</v>
      </c>
      <c r="G13" s="95" t="s">
        <v>5</v>
      </c>
      <c r="H13" s="95" t="s">
        <v>6</v>
      </c>
      <c r="I13" s="95" t="s">
        <v>7</v>
      </c>
      <c r="J13" s="95" t="s">
        <v>8</v>
      </c>
      <c r="K13" s="95" t="s">
        <v>9</v>
      </c>
    </row>
    <row r="14" spans="1:11" ht="15.75" thickBot="1" x14ac:dyDescent="0.25">
      <c r="A14" s="159">
        <v>1</v>
      </c>
      <c r="B14" s="90">
        <v>0</v>
      </c>
      <c r="D14" s="94" t="s">
        <v>135</v>
      </c>
      <c r="E14" s="93" t="s">
        <v>188</v>
      </c>
      <c r="F14" s="92">
        <f>B14*A14</f>
        <v>0</v>
      </c>
      <c r="G14" s="92">
        <f>F14*1.03</f>
        <v>0</v>
      </c>
      <c r="H14" s="92">
        <f t="shared" ref="H14:J14" si="5">G14*1.03</f>
        <v>0</v>
      </c>
      <c r="I14" s="92">
        <f t="shared" si="5"/>
        <v>0</v>
      </c>
      <c r="J14" s="92">
        <f t="shared" si="5"/>
        <v>0</v>
      </c>
      <c r="K14" s="92">
        <f>SUM(F14:J14)</f>
        <v>0</v>
      </c>
    </row>
    <row r="15" spans="1:11" ht="30.75" thickBot="1" x14ac:dyDescent="0.25">
      <c r="A15" s="159">
        <v>1</v>
      </c>
      <c r="B15" s="90">
        <v>0</v>
      </c>
      <c r="D15" s="94" t="s">
        <v>189</v>
      </c>
      <c r="E15" s="93" t="s">
        <v>190</v>
      </c>
      <c r="F15" s="92">
        <f t="shared" ref="F15:F16" si="6">B15*A15</f>
        <v>0</v>
      </c>
      <c r="G15" s="92">
        <f t="shared" ref="G15:J18" si="7">F15*1.03</f>
        <v>0</v>
      </c>
      <c r="H15" s="92">
        <f t="shared" si="7"/>
        <v>0</v>
      </c>
      <c r="I15" s="92">
        <f t="shared" si="7"/>
        <v>0</v>
      </c>
      <c r="J15" s="92">
        <f t="shared" si="7"/>
        <v>0</v>
      </c>
      <c r="K15" s="92">
        <f t="shared" ref="K15:K18" si="8">SUM(F15:J15)</f>
        <v>0</v>
      </c>
    </row>
    <row r="16" spans="1:11" ht="60.75" thickBot="1" x14ac:dyDescent="0.25">
      <c r="A16" s="159">
        <v>1</v>
      </c>
      <c r="B16" s="90">
        <v>0</v>
      </c>
      <c r="D16" s="94" t="s">
        <v>191</v>
      </c>
      <c r="E16" s="93" t="s">
        <v>192</v>
      </c>
      <c r="F16" s="92">
        <f t="shared" si="6"/>
        <v>0</v>
      </c>
      <c r="G16" s="92">
        <f t="shared" si="7"/>
        <v>0</v>
      </c>
      <c r="H16" s="92">
        <f t="shared" si="7"/>
        <v>0</v>
      </c>
      <c r="I16" s="92">
        <f t="shared" si="7"/>
        <v>0</v>
      </c>
      <c r="J16" s="92">
        <f t="shared" si="7"/>
        <v>0</v>
      </c>
      <c r="K16" s="92">
        <f t="shared" si="8"/>
        <v>0</v>
      </c>
    </row>
    <row r="17" spans="4:11" ht="30.75" thickBot="1" x14ac:dyDescent="0.25">
      <c r="D17" s="94" t="s">
        <v>139</v>
      </c>
      <c r="E17" s="93" t="s">
        <v>193</v>
      </c>
      <c r="F17" s="92">
        <v>0</v>
      </c>
      <c r="G17" s="92">
        <f t="shared" si="7"/>
        <v>0</v>
      </c>
      <c r="H17" s="92">
        <f t="shared" si="7"/>
        <v>0</v>
      </c>
      <c r="I17" s="92">
        <f t="shared" si="7"/>
        <v>0</v>
      </c>
      <c r="J17" s="92">
        <f t="shared" si="7"/>
        <v>0</v>
      </c>
      <c r="K17" s="92">
        <f t="shared" si="8"/>
        <v>0</v>
      </c>
    </row>
    <row r="18" spans="4:11" ht="45.75" thickBot="1" x14ac:dyDescent="0.25">
      <c r="D18" s="94" t="s">
        <v>134</v>
      </c>
      <c r="E18" s="93" t="s">
        <v>188</v>
      </c>
      <c r="F18" s="92">
        <v>0</v>
      </c>
      <c r="G18" s="92">
        <f t="shared" si="7"/>
        <v>0</v>
      </c>
      <c r="H18" s="92">
        <f t="shared" si="7"/>
        <v>0</v>
      </c>
      <c r="I18" s="92">
        <f t="shared" si="7"/>
        <v>0</v>
      </c>
      <c r="J18" s="92">
        <f t="shared" si="7"/>
        <v>0</v>
      </c>
      <c r="K18" s="92">
        <f t="shared" si="8"/>
        <v>0</v>
      </c>
    </row>
    <row r="19" spans="4:11" ht="15.75" thickBot="1" x14ac:dyDescent="0.25">
      <c r="D19" s="176" t="s">
        <v>9</v>
      </c>
      <c r="E19" s="177"/>
      <c r="F19" s="92">
        <f>SUM(F14:F18)</f>
        <v>0</v>
      </c>
      <c r="G19" s="92">
        <f t="shared" ref="G19:J19" si="9">SUM(G14:G18)</f>
        <v>0</v>
      </c>
      <c r="H19" s="92">
        <f t="shared" si="9"/>
        <v>0</v>
      </c>
      <c r="I19" s="92">
        <f t="shared" si="9"/>
        <v>0</v>
      </c>
      <c r="J19" s="92">
        <f t="shared" si="9"/>
        <v>0</v>
      </c>
      <c r="K19" s="92">
        <f>SUM(F19:J19)</f>
        <v>0</v>
      </c>
    </row>
  </sheetData>
  <mergeCells count="2">
    <mergeCell ref="D9:E9"/>
    <mergeCell ref="D19:E19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05CD-4BFC-49D3-9D44-EA36E8497B0E}">
  <dimension ref="A1:U50"/>
  <sheetViews>
    <sheetView workbookViewId="0">
      <selection activeCell="Q10" sqref="Q10"/>
    </sheetView>
  </sheetViews>
  <sheetFormatPr defaultColWidth="8.85546875" defaultRowHeight="15" x14ac:dyDescent="0.25"/>
  <cols>
    <col min="1" max="1" width="12.5703125" style="102" customWidth="1"/>
    <col min="2" max="2" width="19.5703125" style="102" customWidth="1"/>
    <col min="3" max="3" width="23.5703125" style="102" customWidth="1"/>
    <col min="4" max="9" width="8.85546875" style="102"/>
    <col min="10" max="10" width="9.5703125" style="102" customWidth="1"/>
    <col min="11" max="13" width="8.85546875" style="102"/>
    <col min="14" max="14" width="12.140625" style="102" customWidth="1"/>
    <col min="15" max="16" width="8.85546875" style="102"/>
    <col min="17" max="17" width="9.140625" style="102" bestFit="1" customWidth="1"/>
    <col min="18" max="256" width="8.85546875" style="102"/>
    <col min="257" max="257" width="12.5703125" style="102" customWidth="1"/>
    <col min="258" max="258" width="19.5703125" style="102" customWidth="1"/>
    <col min="259" max="259" width="23.5703125" style="102" customWidth="1"/>
    <col min="260" max="265" width="8.85546875" style="102"/>
    <col min="266" max="266" width="9.5703125" style="102" customWidth="1"/>
    <col min="267" max="269" width="8.85546875" style="102"/>
    <col min="270" max="270" width="12.140625" style="102" customWidth="1"/>
    <col min="271" max="272" width="8.85546875" style="102"/>
    <col min="273" max="273" width="9.140625" style="102" bestFit="1" customWidth="1"/>
    <col min="274" max="512" width="8.85546875" style="102"/>
    <col min="513" max="513" width="12.5703125" style="102" customWidth="1"/>
    <col min="514" max="514" width="19.5703125" style="102" customWidth="1"/>
    <col min="515" max="515" width="23.5703125" style="102" customWidth="1"/>
    <col min="516" max="521" width="8.85546875" style="102"/>
    <col min="522" max="522" width="9.5703125" style="102" customWidth="1"/>
    <col min="523" max="525" width="8.85546875" style="102"/>
    <col min="526" max="526" width="12.140625" style="102" customWidth="1"/>
    <col min="527" max="528" width="8.85546875" style="102"/>
    <col min="529" max="529" width="9.140625" style="102" bestFit="1" customWidth="1"/>
    <col min="530" max="768" width="8.85546875" style="102"/>
    <col min="769" max="769" width="12.5703125" style="102" customWidth="1"/>
    <col min="770" max="770" width="19.5703125" style="102" customWidth="1"/>
    <col min="771" max="771" width="23.5703125" style="102" customWidth="1"/>
    <col min="772" max="777" width="8.85546875" style="102"/>
    <col min="778" max="778" width="9.5703125" style="102" customWidth="1"/>
    <col min="779" max="781" width="8.85546875" style="102"/>
    <col min="782" max="782" width="12.140625" style="102" customWidth="1"/>
    <col min="783" max="784" width="8.85546875" style="102"/>
    <col min="785" max="785" width="9.140625" style="102" bestFit="1" customWidth="1"/>
    <col min="786" max="1024" width="8.85546875" style="102"/>
    <col min="1025" max="1025" width="12.5703125" style="102" customWidth="1"/>
    <col min="1026" max="1026" width="19.5703125" style="102" customWidth="1"/>
    <col min="1027" max="1027" width="23.5703125" style="102" customWidth="1"/>
    <col min="1028" max="1033" width="8.85546875" style="102"/>
    <col min="1034" max="1034" width="9.5703125" style="102" customWidth="1"/>
    <col min="1035" max="1037" width="8.85546875" style="102"/>
    <col min="1038" max="1038" width="12.140625" style="102" customWidth="1"/>
    <col min="1039" max="1040" width="8.85546875" style="102"/>
    <col min="1041" max="1041" width="9.140625" style="102" bestFit="1" customWidth="1"/>
    <col min="1042" max="1280" width="8.85546875" style="102"/>
    <col min="1281" max="1281" width="12.5703125" style="102" customWidth="1"/>
    <col min="1282" max="1282" width="19.5703125" style="102" customWidth="1"/>
    <col min="1283" max="1283" width="23.5703125" style="102" customWidth="1"/>
    <col min="1284" max="1289" width="8.85546875" style="102"/>
    <col min="1290" max="1290" width="9.5703125" style="102" customWidth="1"/>
    <col min="1291" max="1293" width="8.85546875" style="102"/>
    <col min="1294" max="1294" width="12.140625" style="102" customWidth="1"/>
    <col min="1295" max="1296" width="8.85546875" style="102"/>
    <col min="1297" max="1297" width="9.140625" style="102" bestFit="1" customWidth="1"/>
    <col min="1298" max="1536" width="8.85546875" style="102"/>
    <col min="1537" max="1537" width="12.5703125" style="102" customWidth="1"/>
    <col min="1538" max="1538" width="19.5703125" style="102" customWidth="1"/>
    <col min="1539" max="1539" width="23.5703125" style="102" customWidth="1"/>
    <col min="1540" max="1545" width="8.85546875" style="102"/>
    <col min="1546" max="1546" width="9.5703125" style="102" customWidth="1"/>
    <col min="1547" max="1549" width="8.85546875" style="102"/>
    <col min="1550" max="1550" width="12.140625" style="102" customWidth="1"/>
    <col min="1551" max="1552" width="8.85546875" style="102"/>
    <col min="1553" max="1553" width="9.140625" style="102" bestFit="1" customWidth="1"/>
    <col min="1554" max="1792" width="8.85546875" style="102"/>
    <col min="1793" max="1793" width="12.5703125" style="102" customWidth="1"/>
    <col min="1794" max="1794" width="19.5703125" style="102" customWidth="1"/>
    <col min="1795" max="1795" width="23.5703125" style="102" customWidth="1"/>
    <col min="1796" max="1801" width="8.85546875" style="102"/>
    <col min="1802" max="1802" width="9.5703125" style="102" customWidth="1"/>
    <col min="1803" max="1805" width="8.85546875" style="102"/>
    <col min="1806" max="1806" width="12.140625" style="102" customWidth="1"/>
    <col min="1807" max="1808" width="8.85546875" style="102"/>
    <col min="1809" max="1809" width="9.140625" style="102" bestFit="1" customWidth="1"/>
    <col min="1810" max="2048" width="8.85546875" style="102"/>
    <col min="2049" max="2049" width="12.5703125" style="102" customWidth="1"/>
    <col min="2050" max="2050" width="19.5703125" style="102" customWidth="1"/>
    <col min="2051" max="2051" width="23.5703125" style="102" customWidth="1"/>
    <col min="2052" max="2057" width="8.85546875" style="102"/>
    <col min="2058" max="2058" width="9.5703125" style="102" customWidth="1"/>
    <col min="2059" max="2061" width="8.85546875" style="102"/>
    <col min="2062" max="2062" width="12.140625" style="102" customWidth="1"/>
    <col min="2063" max="2064" width="8.85546875" style="102"/>
    <col min="2065" max="2065" width="9.140625" style="102" bestFit="1" customWidth="1"/>
    <col min="2066" max="2304" width="8.85546875" style="102"/>
    <col min="2305" max="2305" width="12.5703125" style="102" customWidth="1"/>
    <col min="2306" max="2306" width="19.5703125" style="102" customWidth="1"/>
    <col min="2307" max="2307" width="23.5703125" style="102" customWidth="1"/>
    <col min="2308" max="2313" width="8.85546875" style="102"/>
    <col min="2314" max="2314" width="9.5703125" style="102" customWidth="1"/>
    <col min="2315" max="2317" width="8.85546875" style="102"/>
    <col min="2318" max="2318" width="12.140625" style="102" customWidth="1"/>
    <col min="2319" max="2320" width="8.85546875" style="102"/>
    <col min="2321" max="2321" width="9.140625" style="102" bestFit="1" customWidth="1"/>
    <col min="2322" max="2560" width="8.85546875" style="102"/>
    <col min="2561" max="2561" width="12.5703125" style="102" customWidth="1"/>
    <col min="2562" max="2562" width="19.5703125" style="102" customWidth="1"/>
    <col min="2563" max="2563" width="23.5703125" style="102" customWidth="1"/>
    <col min="2564" max="2569" width="8.85546875" style="102"/>
    <col min="2570" max="2570" width="9.5703125" style="102" customWidth="1"/>
    <col min="2571" max="2573" width="8.85546875" style="102"/>
    <col min="2574" max="2574" width="12.140625" style="102" customWidth="1"/>
    <col min="2575" max="2576" width="8.85546875" style="102"/>
    <col min="2577" max="2577" width="9.140625" style="102" bestFit="1" customWidth="1"/>
    <col min="2578" max="2816" width="8.85546875" style="102"/>
    <col min="2817" max="2817" width="12.5703125" style="102" customWidth="1"/>
    <col min="2818" max="2818" width="19.5703125" style="102" customWidth="1"/>
    <col min="2819" max="2819" width="23.5703125" style="102" customWidth="1"/>
    <col min="2820" max="2825" width="8.85546875" style="102"/>
    <col min="2826" max="2826" width="9.5703125" style="102" customWidth="1"/>
    <col min="2827" max="2829" width="8.85546875" style="102"/>
    <col min="2830" max="2830" width="12.140625" style="102" customWidth="1"/>
    <col min="2831" max="2832" width="8.85546875" style="102"/>
    <col min="2833" max="2833" width="9.140625" style="102" bestFit="1" customWidth="1"/>
    <col min="2834" max="3072" width="8.85546875" style="102"/>
    <col min="3073" max="3073" width="12.5703125" style="102" customWidth="1"/>
    <col min="3074" max="3074" width="19.5703125" style="102" customWidth="1"/>
    <col min="3075" max="3075" width="23.5703125" style="102" customWidth="1"/>
    <col min="3076" max="3081" width="8.85546875" style="102"/>
    <col min="3082" max="3082" width="9.5703125" style="102" customWidth="1"/>
    <col min="3083" max="3085" width="8.85546875" style="102"/>
    <col min="3086" max="3086" width="12.140625" style="102" customWidth="1"/>
    <col min="3087" max="3088" width="8.85546875" style="102"/>
    <col min="3089" max="3089" width="9.140625" style="102" bestFit="1" customWidth="1"/>
    <col min="3090" max="3328" width="8.85546875" style="102"/>
    <col min="3329" max="3329" width="12.5703125" style="102" customWidth="1"/>
    <col min="3330" max="3330" width="19.5703125" style="102" customWidth="1"/>
    <col min="3331" max="3331" width="23.5703125" style="102" customWidth="1"/>
    <col min="3332" max="3337" width="8.85546875" style="102"/>
    <col min="3338" max="3338" width="9.5703125" style="102" customWidth="1"/>
    <col min="3339" max="3341" width="8.85546875" style="102"/>
    <col min="3342" max="3342" width="12.140625" style="102" customWidth="1"/>
    <col min="3343" max="3344" width="8.85546875" style="102"/>
    <col min="3345" max="3345" width="9.140625" style="102" bestFit="1" customWidth="1"/>
    <col min="3346" max="3584" width="8.85546875" style="102"/>
    <col min="3585" max="3585" width="12.5703125" style="102" customWidth="1"/>
    <col min="3586" max="3586" width="19.5703125" style="102" customWidth="1"/>
    <col min="3587" max="3587" width="23.5703125" style="102" customWidth="1"/>
    <col min="3588" max="3593" width="8.85546875" style="102"/>
    <col min="3594" max="3594" width="9.5703125" style="102" customWidth="1"/>
    <col min="3595" max="3597" width="8.85546875" style="102"/>
    <col min="3598" max="3598" width="12.140625" style="102" customWidth="1"/>
    <col min="3599" max="3600" width="8.85546875" style="102"/>
    <col min="3601" max="3601" width="9.140625" style="102" bestFit="1" customWidth="1"/>
    <col min="3602" max="3840" width="8.85546875" style="102"/>
    <col min="3841" max="3841" width="12.5703125" style="102" customWidth="1"/>
    <col min="3842" max="3842" width="19.5703125" style="102" customWidth="1"/>
    <col min="3843" max="3843" width="23.5703125" style="102" customWidth="1"/>
    <col min="3844" max="3849" width="8.85546875" style="102"/>
    <col min="3850" max="3850" width="9.5703125" style="102" customWidth="1"/>
    <col min="3851" max="3853" width="8.85546875" style="102"/>
    <col min="3854" max="3854" width="12.140625" style="102" customWidth="1"/>
    <col min="3855" max="3856" width="8.85546875" style="102"/>
    <col min="3857" max="3857" width="9.140625" style="102" bestFit="1" customWidth="1"/>
    <col min="3858" max="4096" width="8.85546875" style="102"/>
    <col min="4097" max="4097" width="12.5703125" style="102" customWidth="1"/>
    <col min="4098" max="4098" width="19.5703125" style="102" customWidth="1"/>
    <col min="4099" max="4099" width="23.5703125" style="102" customWidth="1"/>
    <col min="4100" max="4105" width="8.85546875" style="102"/>
    <col min="4106" max="4106" width="9.5703125" style="102" customWidth="1"/>
    <col min="4107" max="4109" width="8.85546875" style="102"/>
    <col min="4110" max="4110" width="12.140625" style="102" customWidth="1"/>
    <col min="4111" max="4112" width="8.85546875" style="102"/>
    <col min="4113" max="4113" width="9.140625" style="102" bestFit="1" customWidth="1"/>
    <col min="4114" max="4352" width="8.85546875" style="102"/>
    <col min="4353" max="4353" width="12.5703125" style="102" customWidth="1"/>
    <col min="4354" max="4354" width="19.5703125" style="102" customWidth="1"/>
    <col min="4355" max="4355" width="23.5703125" style="102" customWidth="1"/>
    <col min="4356" max="4361" width="8.85546875" style="102"/>
    <col min="4362" max="4362" width="9.5703125" style="102" customWidth="1"/>
    <col min="4363" max="4365" width="8.85546875" style="102"/>
    <col min="4366" max="4366" width="12.140625" style="102" customWidth="1"/>
    <col min="4367" max="4368" width="8.85546875" style="102"/>
    <col min="4369" max="4369" width="9.140625" style="102" bestFit="1" customWidth="1"/>
    <col min="4370" max="4608" width="8.85546875" style="102"/>
    <col min="4609" max="4609" width="12.5703125" style="102" customWidth="1"/>
    <col min="4610" max="4610" width="19.5703125" style="102" customWidth="1"/>
    <col min="4611" max="4611" width="23.5703125" style="102" customWidth="1"/>
    <col min="4612" max="4617" width="8.85546875" style="102"/>
    <col min="4618" max="4618" width="9.5703125" style="102" customWidth="1"/>
    <col min="4619" max="4621" width="8.85546875" style="102"/>
    <col min="4622" max="4622" width="12.140625" style="102" customWidth="1"/>
    <col min="4623" max="4624" width="8.85546875" style="102"/>
    <col min="4625" max="4625" width="9.140625" style="102" bestFit="1" customWidth="1"/>
    <col min="4626" max="4864" width="8.85546875" style="102"/>
    <col min="4865" max="4865" width="12.5703125" style="102" customWidth="1"/>
    <col min="4866" max="4866" width="19.5703125" style="102" customWidth="1"/>
    <col min="4867" max="4867" width="23.5703125" style="102" customWidth="1"/>
    <col min="4868" max="4873" width="8.85546875" style="102"/>
    <col min="4874" max="4874" width="9.5703125" style="102" customWidth="1"/>
    <col min="4875" max="4877" width="8.85546875" style="102"/>
    <col min="4878" max="4878" width="12.140625" style="102" customWidth="1"/>
    <col min="4879" max="4880" width="8.85546875" style="102"/>
    <col min="4881" max="4881" width="9.140625" style="102" bestFit="1" customWidth="1"/>
    <col min="4882" max="5120" width="8.85546875" style="102"/>
    <col min="5121" max="5121" width="12.5703125" style="102" customWidth="1"/>
    <col min="5122" max="5122" width="19.5703125" style="102" customWidth="1"/>
    <col min="5123" max="5123" width="23.5703125" style="102" customWidth="1"/>
    <col min="5124" max="5129" width="8.85546875" style="102"/>
    <col min="5130" max="5130" width="9.5703125" style="102" customWidth="1"/>
    <col min="5131" max="5133" width="8.85546875" style="102"/>
    <col min="5134" max="5134" width="12.140625" style="102" customWidth="1"/>
    <col min="5135" max="5136" width="8.85546875" style="102"/>
    <col min="5137" max="5137" width="9.140625" style="102" bestFit="1" customWidth="1"/>
    <col min="5138" max="5376" width="8.85546875" style="102"/>
    <col min="5377" max="5377" width="12.5703125" style="102" customWidth="1"/>
    <col min="5378" max="5378" width="19.5703125" style="102" customWidth="1"/>
    <col min="5379" max="5379" width="23.5703125" style="102" customWidth="1"/>
    <col min="5380" max="5385" width="8.85546875" style="102"/>
    <col min="5386" max="5386" width="9.5703125" style="102" customWidth="1"/>
    <col min="5387" max="5389" width="8.85546875" style="102"/>
    <col min="5390" max="5390" width="12.140625" style="102" customWidth="1"/>
    <col min="5391" max="5392" width="8.85546875" style="102"/>
    <col min="5393" max="5393" width="9.140625" style="102" bestFit="1" customWidth="1"/>
    <col min="5394" max="5632" width="8.85546875" style="102"/>
    <col min="5633" max="5633" width="12.5703125" style="102" customWidth="1"/>
    <col min="5634" max="5634" width="19.5703125" style="102" customWidth="1"/>
    <col min="5635" max="5635" width="23.5703125" style="102" customWidth="1"/>
    <col min="5636" max="5641" width="8.85546875" style="102"/>
    <col min="5642" max="5642" width="9.5703125" style="102" customWidth="1"/>
    <col min="5643" max="5645" width="8.85546875" style="102"/>
    <col min="5646" max="5646" width="12.140625" style="102" customWidth="1"/>
    <col min="5647" max="5648" width="8.85546875" style="102"/>
    <col min="5649" max="5649" width="9.140625" style="102" bestFit="1" customWidth="1"/>
    <col min="5650" max="5888" width="8.85546875" style="102"/>
    <col min="5889" max="5889" width="12.5703125" style="102" customWidth="1"/>
    <col min="5890" max="5890" width="19.5703125" style="102" customWidth="1"/>
    <col min="5891" max="5891" width="23.5703125" style="102" customWidth="1"/>
    <col min="5892" max="5897" width="8.85546875" style="102"/>
    <col min="5898" max="5898" width="9.5703125" style="102" customWidth="1"/>
    <col min="5899" max="5901" width="8.85546875" style="102"/>
    <col min="5902" max="5902" width="12.140625" style="102" customWidth="1"/>
    <col min="5903" max="5904" width="8.85546875" style="102"/>
    <col min="5905" max="5905" width="9.140625" style="102" bestFit="1" customWidth="1"/>
    <col min="5906" max="6144" width="8.85546875" style="102"/>
    <col min="6145" max="6145" width="12.5703125" style="102" customWidth="1"/>
    <col min="6146" max="6146" width="19.5703125" style="102" customWidth="1"/>
    <col min="6147" max="6147" width="23.5703125" style="102" customWidth="1"/>
    <col min="6148" max="6153" width="8.85546875" style="102"/>
    <col min="6154" max="6154" width="9.5703125" style="102" customWidth="1"/>
    <col min="6155" max="6157" width="8.85546875" style="102"/>
    <col min="6158" max="6158" width="12.140625" style="102" customWidth="1"/>
    <col min="6159" max="6160" width="8.85546875" style="102"/>
    <col min="6161" max="6161" width="9.140625" style="102" bestFit="1" customWidth="1"/>
    <col min="6162" max="6400" width="8.85546875" style="102"/>
    <col min="6401" max="6401" width="12.5703125" style="102" customWidth="1"/>
    <col min="6402" max="6402" width="19.5703125" style="102" customWidth="1"/>
    <col min="6403" max="6403" width="23.5703125" style="102" customWidth="1"/>
    <col min="6404" max="6409" width="8.85546875" style="102"/>
    <col min="6410" max="6410" width="9.5703125" style="102" customWidth="1"/>
    <col min="6411" max="6413" width="8.85546875" style="102"/>
    <col min="6414" max="6414" width="12.140625" style="102" customWidth="1"/>
    <col min="6415" max="6416" width="8.85546875" style="102"/>
    <col min="6417" max="6417" width="9.140625" style="102" bestFit="1" customWidth="1"/>
    <col min="6418" max="6656" width="8.85546875" style="102"/>
    <col min="6657" max="6657" width="12.5703125" style="102" customWidth="1"/>
    <col min="6658" max="6658" width="19.5703125" style="102" customWidth="1"/>
    <col min="6659" max="6659" width="23.5703125" style="102" customWidth="1"/>
    <col min="6660" max="6665" width="8.85546875" style="102"/>
    <col min="6666" max="6666" width="9.5703125" style="102" customWidth="1"/>
    <col min="6667" max="6669" width="8.85546875" style="102"/>
    <col min="6670" max="6670" width="12.140625" style="102" customWidth="1"/>
    <col min="6671" max="6672" width="8.85546875" style="102"/>
    <col min="6673" max="6673" width="9.140625" style="102" bestFit="1" customWidth="1"/>
    <col min="6674" max="6912" width="8.85546875" style="102"/>
    <col min="6913" max="6913" width="12.5703125" style="102" customWidth="1"/>
    <col min="6914" max="6914" width="19.5703125" style="102" customWidth="1"/>
    <col min="6915" max="6915" width="23.5703125" style="102" customWidth="1"/>
    <col min="6916" max="6921" width="8.85546875" style="102"/>
    <col min="6922" max="6922" width="9.5703125" style="102" customWidth="1"/>
    <col min="6923" max="6925" width="8.85546875" style="102"/>
    <col min="6926" max="6926" width="12.140625" style="102" customWidth="1"/>
    <col min="6927" max="6928" width="8.85546875" style="102"/>
    <col min="6929" max="6929" width="9.140625" style="102" bestFit="1" customWidth="1"/>
    <col min="6930" max="7168" width="8.85546875" style="102"/>
    <col min="7169" max="7169" width="12.5703125" style="102" customWidth="1"/>
    <col min="7170" max="7170" width="19.5703125" style="102" customWidth="1"/>
    <col min="7171" max="7171" width="23.5703125" style="102" customWidth="1"/>
    <col min="7172" max="7177" width="8.85546875" style="102"/>
    <col min="7178" max="7178" width="9.5703125" style="102" customWidth="1"/>
    <col min="7179" max="7181" width="8.85546875" style="102"/>
    <col min="7182" max="7182" width="12.140625" style="102" customWidth="1"/>
    <col min="7183" max="7184" width="8.85546875" style="102"/>
    <col min="7185" max="7185" width="9.140625" style="102" bestFit="1" customWidth="1"/>
    <col min="7186" max="7424" width="8.85546875" style="102"/>
    <col min="7425" max="7425" width="12.5703125" style="102" customWidth="1"/>
    <col min="7426" max="7426" width="19.5703125" style="102" customWidth="1"/>
    <col min="7427" max="7427" width="23.5703125" style="102" customWidth="1"/>
    <col min="7428" max="7433" width="8.85546875" style="102"/>
    <col min="7434" max="7434" width="9.5703125" style="102" customWidth="1"/>
    <col min="7435" max="7437" width="8.85546875" style="102"/>
    <col min="7438" max="7438" width="12.140625" style="102" customWidth="1"/>
    <col min="7439" max="7440" width="8.85546875" style="102"/>
    <col min="7441" max="7441" width="9.140625" style="102" bestFit="1" customWidth="1"/>
    <col min="7442" max="7680" width="8.85546875" style="102"/>
    <col min="7681" max="7681" width="12.5703125" style="102" customWidth="1"/>
    <col min="7682" max="7682" width="19.5703125" style="102" customWidth="1"/>
    <col min="7683" max="7683" width="23.5703125" style="102" customWidth="1"/>
    <col min="7684" max="7689" width="8.85546875" style="102"/>
    <col min="7690" max="7690" width="9.5703125" style="102" customWidth="1"/>
    <col min="7691" max="7693" width="8.85546875" style="102"/>
    <col min="7694" max="7694" width="12.140625" style="102" customWidth="1"/>
    <col min="7695" max="7696" width="8.85546875" style="102"/>
    <col min="7697" max="7697" width="9.140625" style="102" bestFit="1" customWidth="1"/>
    <col min="7698" max="7936" width="8.85546875" style="102"/>
    <col min="7937" max="7937" width="12.5703125" style="102" customWidth="1"/>
    <col min="7938" max="7938" width="19.5703125" style="102" customWidth="1"/>
    <col min="7939" max="7939" width="23.5703125" style="102" customWidth="1"/>
    <col min="7940" max="7945" width="8.85546875" style="102"/>
    <col min="7946" max="7946" width="9.5703125" style="102" customWidth="1"/>
    <col min="7947" max="7949" width="8.85546875" style="102"/>
    <col min="7950" max="7950" width="12.140625" style="102" customWidth="1"/>
    <col min="7951" max="7952" width="8.85546875" style="102"/>
    <col min="7953" max="7953" width="9.140625" style="102" bestFit="1" customWidth="1"/>
    <col min="7954" max="8192" width="8.85546875" style="102"/>
    <col min="8193" max="8193" width="12.5703125" style="102" customWidth="1"/>
    <col min="8194" max="8194" width="19.5703125" style="102" customWidth="1"/>
    <col min="8195" max="8195" width="23.5703125" style="102" customWidth="1"/>
    <col min="8196" max="8201" width="8.85546875" style="102"/>
    <col min="8202" max="8202" width="9.5703125" style="102" customWidth="1"/>
    <col min="8203" max="8205" width="8.85546875" style="102"/>
    <col min="8206" max="8206" width="12.140625" style="102" customWidth="1"/>
    <col min="8207" max="8208" width="8.85546875" style="102"/>
    <col min="8209" max="8209" width="9.140625" style="102" bestFit="1" customWidth="1"/>
    <col min="8210" max="8448" width="8.85546875" style="102"/>
    <col min="8449" max="8449" width="12.5703125" style="102" customWidth="1"/>
    <col min="8450" max="8450" width="19.5703125" style="102" customWidth="1"/>
    <col min="8451" max="8451" width="23.5703125" style="102" customWidth="1"/>
    <col min="8452" max="8457" width="8.85546875" style="102"/>
    <col min="8458" max="8458" width="9.5703125" style="102" customWidth="1"/>
    <col min="8459" max="8461" width="8.85546875" style="102"/>
    <col min="8462" max="8462" width="12.140625" style="102" customWidth="1"/>
    <col min="8463" max="8464" width="8.85546875" style="102"/>
    <col min="8465" max="8465" width="9.140625" style="102" bestFit="1" customWidth="1"/>
    <col min="8466" max="8704" width="8.85546875" style="102"/>
    <col min="8705" max="8705" width="12.5703125" style="102" customWidth="1"/>
    <col min="8706" max="8706" width="19.5703125" style="102" customWidth="1"/>
    <col min="8707" max="8707" width="23.5703125" style="102" customWidth="1"/>
    <col min="8708" max="8713" width="8.85546875" style="102"/>
    <col min="8714" max="8714" width="9.5703125" style="102" customWidth="1"/>
    <col min="8715" max="8717" width="8.85546875" style="102"/>
    <col min="8718" max="8718" width="12.140625" style="102" customWidth="1"/>
    <col min="8719" max="8720" width="8.85546875" style="102"/>
    <col min="8721" max="8721" width="9.140625" style="102" bestFit="1" customWidth="1"/>
    <col min="8722" max="8960" width="8.85546875" style="102"/>
    <col min="8961" max="8961" width="12.5703125" style="102" customWidth="1"/>
    <col min="8962" max="8962" width="19.5703125" style="102" customWidth="1"/>
    <col min="8963" max="8963" width="23.5703125" style="102" customWidth="1"/>
    <col min="8964" max="8969" width="8.85546875" style="102"/>
    <col min="8970" max="8970" width="9.5703125" style="102" customWidth="1"/>
    <col min="8971" max="8973" width="8.85546875" style="102"/>
    <col min="8974" max="8974" width="12.140625" style="102" customWidth="1"/>
    <col min="8975" max="8976" width="8.85546875" style="102"/>
    <col min="8977" max="8977" width="9.140625" style="102" bestFit="1" customWidth="1"/>
    <col min="8978" max="9216" width="8.85546875" style="102"/>
    <col min="9217" max="9217" width="12.5703125" style="102" customWidth="1"/>
    <col min="9218" max="9218" width="19.5703125" style="102" customWidth="1"/>
    <col min="9219" max="9219" width="23.5703125" style="102" customWidth="1"/>
    <col min="9220" max="9225" width="8.85546875" style="102"/>
    <col min="9226" max="9226" width="9.5703125" style="102" customWidth="1"/>
    <col min="9227" max="9229" width="8.85546875" style="102"/>
    <col min="9230" max="9230" width="12.140625" style="102" customWidth="1"/>
    <col min="9231" max="9232" width="8.85546875" style="102"/>
    <col min="9233" max="9233" width="9.140625" style="102" bestFit="1" customWidth="1"/>
    <col min="9234" max="9472" width="8.85546875" style="102"/>
    <col min="9473" max="9473" width="12.5703125" style="102" customWidth="1"/>
    <col min="9474" max="9474" width="19.5703125" style="102" customWidth="1"/>
    <col min="9475" max="9475" width="23.5703125" style="102" customWidth="1"/>
    <col min="9476" max="9481" width="8.85546875" style="102"/>
    <col min="9482" max="9482" width="9.5703125" style="102" customWidth="1"/>
    <col min="9483" max="9485" width="8.85546875" style="102"/>
    <col min="9486" max="9486" width="12.140625" style="102" customWidth="1"/>
    <col min="9487" max="9488" width="8.85546875" style="102"/>
    <col min="9489" max="9489" width="9.140625" style="102" bestFit="1" customWidth="1"/>
    <col min="9490" max="9728" width="8.85546875" style="102"/>
    <col min="9729" max="9729" width="12.5703125" style="102" customWidth="1"/>
    <col min="9730" max="9730" width="19.5703125" style="102" customWidth="1"/>
    <col min="9731" max="9731" width="23.5703125" style="102" customWidth="1"/>
    <col min="9732" max="9737" width="8.85546875" style="102"/>
    <col min="9738" max="9738" width="9.5703125" style="102" customWidth="1"/>
    <col min="9739" max="9741" width="8.85546875" style="102"/>
    <col min="9742" max="9742" width="12.140625" style="102" customWidth="1"/>
    <col min="9743" max="9744" width="8.85546875" style="102"/>
    <col min="9745" max="9745" width="9.140625" style="102" bestFit="1" customWidth="1"/>
    <col min="9746" max="9984" width="8.85546875" style="102"/>
    <col min="9985" max="9985" width="12.5703125" style="102" customWidth="1"/>
    <col min="9986" max="9986" width="19.5703125" style="102" customWidth="1"/>
    <col min="9987" max="9987" width="23.5703125" style="102" customWidth="1"/>
    <col min="9988" max="9993" width="8.85546875" style="102"/>
    <col min="9994" max="9994" width="9.5703125" style="102" customWidth="1"/>
    <col min="9995" max="9997" width="8.85546875" style="102"/>
    <col min="9998" max="9998" width="12.140625" style="102" customWidth="1"/>
    <col min="9999" max="10000" width="8.85546875" style="102"/>
    <col min="10001" max="10001" width="9.140625" style="102" bestFit="1" customWidth="1"/>
    <col min="10002" max="10240" width="8.85546875" style="102"/>
    <col min="10241" max="10241" width="12.5703125" style="102" customWidth="1"/>
    <col min="10242" max="10242" width="19.5703125" style="102" customWidth="1"/>
    <col min="10243" max="10243" width="23.5703125" style="102" customWidth="1"/>
    <col min="10244" max="10249" width="8.85546875" style="102"/>
    <col min="10250" max="10250" width="9.5703125" style="102" customWidth="1"/>
    <col min="10251" max="10253" width="8.85546875" style="102"/>
    <col min="10254" max="10254" width="12.140625" style="102" customWidth="1"/>
    <col min="10255" max="10256" width="8.85546875" style="102"/>
    <col min="10257" max="10257" width="9.140625" style="102" bestFit="1" customWidth="1"/>
    <col min="10258" max="10496" width="8.85546875" style="102"/>
    <col min="10497" max="10497" width="12.5703125" style="102" customWidth="1"/>
    <col min="10498" max="10498" width="19.5703125" style="102" customWidth="1"/>
    <col min="10499" max="10499" width="23.5703125" style="102" customWidth="1"/>
    <col min="10500" max="10505" width="8.85546875" style="102"/>
    <col min="10506" max="10506" width="9.5703125" style="102" customWidth="1"/>
    <col min="10507" max="10509" width="8.85546875" style="102"/>
    <col min="10510" max="10510" width="12.140625" style="102" customWidth="1"/>
    <col min="10511" max="10512" width="8.85546875" style="102"/>
    <col min="10513" max="10513" width="9.140625" style="102" bestFit="1" customWidth="1"/>
    <col min="10514" max="10752" width="8.85546875" style="102"/>
    <col min="10753" max="10753" width="12.5703125" style="102" customWidth="1"/>
    <col min="10754" max="10754" width="19.5703125" style="102" customWidth="1"/>
    <col min="10755" max="10755" width="23.5703125" style="102" customWidth="1"/>
    <col min="10756" max="10761" width="8.85546875" style="102"/>
    <col min="10762" max="10762" width="9.5703125" style="102" customWidth="1"/>
    <col min="10763" max="10765" width="8.85546875" style="102"/>
    <col min="10766" max="10766" width="12.140625" style="102" customWidth="1"/>
    <col min="10767" max="10768" width="8.85546875" style="102"/>
    <col min="10769" max="10769" width="9.140625" style="102" bestFit="1" customWidth="1"/>
    <col min="10770" max="11008" width="8.85546875" style="102"/>
    <col min="11009" max="11009" width="12.5703125" style="102" customWidth="1"/>
    <col min="11010" max="11010" width="19.5703125" style="102" customWidth="1"/>
    <col min="11011" max="11011" width="23.5703125" style="102" customWidth="1"/>
    <col min="11012" max="11017" width="8.85546875" style="102"/>
    <col min="11018" max="11018" width="9.5703125" style="102" customWidth="1"/>
    <col min="11019" max="11021" width="8.85546875" style="102"/>
    <col min="11022" max="11022" width="12.140625" style="102" customWidth="1"/>
    <col min="11023" max="11024" width="8.85546875" style="102"/>
    <col min="11025" max="11025" width="9.140625" style="102" bestFit="1" customWidth="1"/>
    <col min="11026" max="11264" width="8.85546875" style="102"/>
    <col min="11265" max="11265" width="12.5703125" style="102" customWidth="1"/>
    <col min="11266" max="11266" width="19.5703125" style="102" customWidth="1"/>
    <col min="11267" max="11267" width="23.5703125" style="102" customWidth="1"/>
    <col min="11268" max="11273" width="8.85546875" style="102"/>
    <col min="11274" max="11274" width="9.5703125" style="102" customWidth="1"/>
    <col min="11275" max="11277" width="8.85546875" style="102"/>
    <col min="11278" max="11278" width="12.140625" style="102" customWidth="1"/>
    <col min="11279" max="11280" width="8.85546875" style="102"/>
    <col min="11281" max="11281" width="9.140625" style="102" bestFit="1" customWidth="1"/>
    <col min="11282" max="11520" width="8.85546875" style="102"/>
    <col min="11521" max="11521" width="12.5703125" style="102" customWidth="1"/>
    <col min="11522" max="11522" width="19.5703125" style="102" customWidth="1"/>
    <col min="11523" max="11523" width="23.5703125" style="102" customWidth="1"/>
    <col min="11524" max="11529" width="8.85546875" style="102"/>
    <col min="11530" max="11530" width="9.5703125" style="102" customWidth="1"/>
    <col min="11531" max="11533" width="8.85546875" style="102"/>
    <col min="11534" max="11534" width="12.140625" style="102" customWidth="1"/>
    <col min="11535" max="11536" width="8.85546875" style="102"/>
    <col min="11537" max="11537" width="9.140625" style="102" bestFit="1" customWidth="1"/>
    <col min="11538" max="11776" width="8.85546875" style="102"/>
    <col min="11777" max="11777" width="12.5703125" style="102" customWidth="1"/>
    <col min="11778" max="11778" width="19.5703125" style="102" customWidth="1"/>
    <col min="11779" max="11779" width="23.5703125" style="102" customWidth="1"/>
    <col min="11780" max="11785" width="8.85546875" style="102"/>
    <col min="11786" max="11786" width="9.5703125" style="102" customWidth="1"/>
    <col min="11787" max="11789" width="8.85546875" style="102"/>
    <col min="11790" max="11790" width="12.140625" style="102" customWidth="1"/>
    <col min="11791" max="11792" width="8.85546875" style="102"/>
    <col min="11793" max="11793" width="9.140625" style="102" bestFit="1" customWidth="1"/>
    <col min="11794" max="12032" width="8.85546875" style="102"/>
    <col min="12033" max="12033" width="12.5703125" style="102" customWidth="1"/>
    <col min="12034" max="12034" width="19.5703125" style="102" customWidth="1"/>
    <col min="12035" max="12035" width="23.5703125" style="102" customWidth="1"/>
    <col min="12036" max="12041" width="8.85546875" style="102"/>
    <col min="12042" max="12042" width="9.5703125" style="102" customWidth="1"/>
    <col min="12043" max="12045" width="8.85546875" style="102"/>
    <col min="12046" max="12046" width="12.140625" style="102" customWidth="1"/>
    <col min="12047" max="12048" width="8.85546875" style="102"/>
    <col min="12049" max="12049" width="9.140625" style="102" bestFit="1" customWidth="1"/>
    <col min="12050" max="12288" width="8.85546875" style="102"/>
    <col min="12289" max="12289" width="12.5703125" style="102" customWidth="1"/>
    <col min="12290" max="12290" width="19.5703125" style="102" customWidth="1"/>
    <col min="12291" max="12291" width="23.5703125" style="102" customWidth="1"/>
    <col min="12292" max="12297" width="8.85546875" style="102"/>
    <col min="12298" max="12298" width="9.5703125" style="102" customWidth="1"/>
    <col min="12299" max="12301" width="8.85546875" style="102"/>
    <col min="12302" max="12302" width="12.140625" style="102" customWidth="1"/>
    <col min="12303" max="12304" width="8.85546875" style="102"/>
    <col min="12305" max="12305" width="9.140625" style="102" bestFit="1" customWidth="1"/>
    <col min="12306" max="12544" width="8.85546875" style="102"/>
    <col min="12545" max="12545" width="12.5703125" style="102" customWidth="1"/>
    <col min="12546" max="12546" width="19.5703125" style="102" customWidth="1"/>
    <col min="12547" max="12547" width="23.5703125" style="102" customWidth="1"/>
    <col min="12548" max="12553" width="8.85546875" style="102"/>
    <col min="12554" max="12554" width="9.5703125" style="102" customWidth="1"/>
    <col min="12555" max="12557" width="8.85546875" style="102"/>
    <col min="12558" max="12558" width="12.140625" style="102" customWidth="1"/>
    <col min="12559" max="12560" width="8.85546875" style="102"/>
    <col min="12561" max="12561" width="9.140625" style="102" bestFit="1" customWidth="1"/>
    <col min="12562" max="12800" width="8.85546875" style="102"/>
    <col min="12801" max="12801" width="12.5703125" style="102" customWidth="1"/>
    <col min="12802" max="12802" width="19.5703125" style="102" customWidth="1"/>
    <col min="12803" max="12803" width="23.5703125" style="102" customWidth="1"/>
    <col min="12804" max="12809" width="8.85546875" style="102"/>
    <col min="12810" max="12810" width="9.5703125" style="102" customWidth="1"/>
    <col min="12811" max="12813" width="8.85546875" style="102"/>
    <col min="12814" max="12814" width="12.140625" style="102" customWidth="1"/>
    <col min="12815" max="12816" width="8.85546875" style="102"/>
    <col min="12817" max="12817" width="9.140625" style="102" bestFit="1" customWidth="1"/>
    <col min="12818" max="13056" width="8.85546875" style="102"/>
    <col min="13057" max="13057" width="12.5703125" style="102" customWidth="1"/>
    <col min="13058" max="13058" width="19.5703125" style="102" customWidth="1"/>
    <col min="13059" max="13059" width="23.5703125" style="102" customWidth="1"/>
    <col min="13060" max="13065" width="8.85546875" style="102"/>
    <col min="13066" max="13066" width="9.5703125" style="102" customWidth="1"/>
    <col min="13067" max="13069" width="8.85546875" style="102"/>
    <col min="13070" max="13070" width="12.140625" style="102" customWidth="1"/>
    <col min="13071" max="13072" width="8.85546875" style="102"/>
    <col min="13073" max="13073" width="9.140625" style="102" bestFit="1" customWidth="1"/>
    <col min="13074" max="13312" width="8.85546875" style="102"/>
    <col min="13313" max="13313" width="12.5703125" style="102" customWidth="1"/>
    <col min="13314" max="13314" width="19.5703125" style="102" customWidth="1"/>
    <col min="13315" max="13315" width="23.5703125" style="102" customWidth="1"/>
    <col min="13316" max="13321" width="8.85546875" style="102"/>
    <col min="13322" max="13322" width="9.5703125" style="102" customWidth="1"/>
    <col min="13323" max="13325" width="8.85546875" style="102"/>
    <col min="13326" max="13326" width="12.140625" style="102" customWidth="1"/>
    <col min="13327" max="13328" width="8.85546875" style="102"/>
    <col min="13329" max="13329" width="9.140625" style="102" bestFit="1" customWidth="1"/>
    <col min="13330" max="13568" width="8.85546875" style="102"/>
    <col min="13569" max="13569" width="12.5703125" style="102" customWidth="1"/>
    <col min="13570" max="13570" width="19.5703125" style="102" customWidth="1"/>
    <col min="13571" max="13571" width="23.5703125" style="102" customWidth="1"/>
    <col min="13572" max="13577" width="8.85546875" style="102"/>
    <col min="13578" max="13578" width="9.5703125" style="102" customWidth="1"/>
    <col min="13579" max="13581" width="8.85546875" style="102"/>
    <col min="13582" max="13582" width="12.140625" style="102" customWidth="1"/>
    <col min="13583" max="13584" width="8.85546875" style="102"/>
    <col min="13585" max="13585" width="9.140625" style="102" bestFit="1" customWidth="1"/>
    <col min="13586" max="13824" width="8.85546875" style="102"/>
    <col min="13825" max="13825" width="12.5703125" style="102" customWidth="1"/>
    <col min="13826" max="13826" width="19.5703125" style="102" customWidth="1"/>
    <col min="13827" max="13827" width="23.5703125" style="102" customWidth="1"/>
    <col min="13828" max="13833" width="8.85546875" style="102"/>
    <col min="13834" max="13834" width="9.5703125" style="102" customWidth="1"/>
    <col min="13835" max="13837" width="8.85546875" style="102"/>
    <col min="13838" max="13838" width="12.140625" style="102" customWidth="1"/>
    <col min="13839" max="13840" width="8.85546875" style="102"/>
    <col min="13841" max="13841" width="9.140625" style="102" bestFit="1" customWidth="1"/>
    <col min="13842" max="14080" width="8.85546875" style="102"/>
    <col min="14081" max="14081" width="12.5703125" style="102" customWidth="1"/>
    <col min="14082" max="14082" width="19.5703125" style="102" customWidth="1"/>
    <col min="14083" max="14083" width="23.5703125" style="102" customWidth="1"/>
    <col min="14084" max="14089" width="8.85546875" style="102"/>
    <col min="14090" max="14090" width="9.5703125" style="102" customWidth="1"/>
    <col min="14091" max="14093" width="8.85546875" style="102"/>
    <col min="14094" max="14094" width="12.140625" style="102" customWidth="1"/>
    <col min="14095" max="14096" width="8.85546875" style="102"/>
    <col min="14097" max="14097" width="9.140625" style="102" bestFit="1" customWidth="1"/>
    <col min="14098" max="14336" width="8.85546875" style="102"/>
    <col min="14337" max="14337" width="12.5703125" style="102" customWidth="1"/>
    <col min="14338" max="14338" width="19.5703125" style="102" customWidth="1"/>
    <col min="14339" max="14339" width="23.5703125" style="102" customWidth="1"/>
    <col min="14340" max="14345" width="8.85546875" style="102"/>
    <col min="14346" max="14346" width="9.5703125" style="102" customWidth="1"/>
    <col min="14347" max="14349" width="8.85546875" style="102"/>
    <col min="14350" max="14350" width="12.140625" style="102" customWidth="1"/>
    <col min="14351" max="14352" width="8.85546875" style="102"/>
    <col min="14353" max="14353" width="9.140625" style="102" bestFit="1" customWidth="1"/>
    <col min="14354" max="14592" width="8.85546875" style="102"/>
    <col min="14593" max="14593" width="12.5703125" style="102" customWidth="1"/>
    <col min="14594" max="14594" width="19.5703125" style="102" customWidth="1"/>
    <col min="14595" max="14595" width="23.5703125" style="102" customWidth="1"/>
    <col min="14596" max="14601" width="8.85546875" style="102"/>
    <col min="14602" max="14602" width="9.5703125" style="102" customWidth="1"/>
    <col min="14603" max="14605" width="8.85546875" style="102"/>
    <col min="14606" max="14606" width="12.140625" style="102" customWidth="1"/>
    <col min="14607" max="14608" width="8.85546875" style="102"/>
    <col min="14609" max="14609" width="9.140625" style="102" bestFit="1" customWidth="1"/>
    <col min="14610" max="14848" width="8.85546875" style="102"/>
    <col min="14849" max="14849" width="12.5703125" style="102" customWidth="1"/>
    <col min="14850" max="14850" width="19.5703125" style="102" customWidth="1"/>
    <col min="14851" max="14851" width="23.5703125" style="102" customWidth="1"/>
    <col min="14852" max="14857" width="8.85546875" style="102"/>
    <col min="14858" max="14858" width="9.5703125" style="102" customWidth="1"/>
    <col min="14859" max="14861" width="8.85546875" style="102"/>
    <col min="14862" max="14862" width="12.140625" style="102" customWidth="1"/>
    <col min="14863" max="14864" width="8.85546875" style="102"/>
    <col min="14865" max="14865" width="9.140625" style="102" bestFit="1" customWidth="1"/>
    <col min="14866" max="15104" width="8.85546875" style="102"/>
    <col min="15105" max="15105" width="12.5703125" style="102" customWidth="1"/>
    <col min="15106" max="15106" width="19.5703125" style="102" customWidth="1"/>
    <col min="15107" max="15107" width="23.5703125" style="102" customWidth="1"/>
    <col min="15108" max="15113" width="8.85546875" style="102"/>
    <col min="15114" max="15114" width="9.5703125" style="102" customWidth="1"/>
    <col min="15115" max="15117" width="8.85546875" style="102"/>
    <col min="15118" max="15118" width="12.140625" style="102" customWidth="1"/>
    <col min="15119" max="15120" width="8.85546875" style="102"/>
    <col min="15121" max="15121" width="9.140625" style="102" bestFit="1" customWidth="1"/>
    <col min="15122" max="15360" width="8.85546875" style="102"/>
    <col min="15361" max="15361" width="12.5703125" style="102" customWidth="1"/>
    <col min="15362" max="15362" width="19.5703125" style="102" customWidth="1"/>
    <col min="15363" max="15363" width="23.5703125" style="102" customWidth="1"/>
    <col min="15364" max="15369" width="8.85546875" style="102"/>
    <col min="15370" max="15370" width="9.5703125" style="102" customWidth="1"/>
    <col min="15371" max="15373" width="8.85546875" style="102"/>
    <col min="15374" max="15374" width="12.140625" style="102" customWidth="1"/>
    <col min="15375" max="15376" width="8.85546875" style="102"/>
    <col min="15377" max="15377" width="9.140625" style="102" bestFit="1" customWidth="1"/>
    <col min="15378" max="15616" width="8.85546875" style="102"/>
    <col min="15617" max="15617" width="12.5703125" style="102" customWidth="1"/>
    <col min="15618" max="15618" width="19.5703125" style="102" customWidth="1"/>
    <col min="15619" max="15619" width="23.5703125" style="102" customWidth="1"/>
    <col min="15620" max="15625" width="8.85546875" style="102"/>
    <col min="15626" max="15626" width="9.5703125" style="102" customWidth="1"/>
    <col min="15627" max="15629" width="8.85546875" style="102"/>
    <col min="15630" max="15630" width="12.140625" style="102" customWidth="1"/>
    <col min="15631" max="15632" width="8.85546875" style="102"/>
    <col min="15633" max="15633" width="9.140625" style="102" bestFit="1" customWidth="1"/>
    <col min="15634" max="15872" width="8.85546875" style="102"/>
    <col min="15873" max="15873" width="12.5703125" style="102" customWidth="1"/>
    <col min="15874" max="15874" width="19.5703125" style="102" customWidth="1"/>
    <col min="15875" max="15875" width="23.5703125" style="102" customWidth="1"/>
    <col min="15876" max="15881" width="8.85546875" style="102"/>
    <col min="15882" max="15882" width="9.5703125" style="102" customWidth="1"/>
    <col min="15883" max="15885" width="8.85546875" style="102"/>
    <col min="15886" max="15886" width="12.140625" style="102" customWidth="1"/>
    <col min="15887" max="15888" width="8.85546875" style="102"/>
    <col min="15889" max="15889" width="9.140625" style="102" bestFit="1" customWidth="1"/>
    <col min="15890" max="16128" width="8.85546875" style="102"/>
    <col min="16129" max="16129" width="12.5703125" style="102" customWidth="1"/>
    <col min="16130" max="16130" width="19.5703125" style="102" customWidth="1"/>
    <col min="16131" max="16131" width="23.5703125" style="102" customWidth="1"/>
    <col min="16132" max="16137" width="8.85546875" style="102"/>
    <col min="16138" max="16138" width="9.5703125" style="102" customWidth="1"/>
    <col min="16139" max="16141" width="8.85546875" style="102"/>
    <col min="16142" max="16142" width="12.140625" style="102" customWidth="1"/>
    <col min="16143" max="16144" width="8.85546875" style="102"/>
    <col min="16145" max="16145" width="9.140625" style="102" bestFit="1" customWidth="1"/>
    <col min="16146" max="16384" width="8.85546875" style="102"/>
  </cols>
  <sheetData>
    <row r="1" spans="1:19" ht="15.75" x14ac:dyDescent="0.25">
      <c r="A1" s="154" t="s">
        <v>185</v>
      </c>
      <c r="B1" s="155" t="s">
        <v>184</v>
      </c>
      <c r="C1" s="154"/>
      <c r="D1" s="153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05"/>
      <c r="S1" s="105"/>
    </row>
    <row r="2" spans="1:19" ht="16.5" thickBot="1" x14ac:dyDescent="0.3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</row>
    <row r="3" spans="1:19" ht="15.75" x14ac:dyDescent="0.25">
      <c r="C3" s="149" t="s">
        <v>183</v>
      </c>
      <c r="D3" s="151" t="s">
        <v>182</v>
      </c>
      <c r="E3" s="150" t="s">
        <v>182</v>
      </c>
      <c r="F3" s="150" t="s">
        <v>182</v>
      </c>
      <c r="G3" s="150" t="s">
        <v>182</v>
      </c>
      <c r="H3" s="149" t="s">
        <v>181</v>
      </c>
      <c r="I3" s="149" t="s">
        <v>180</v>
      </c>
      <c r="J3" s="149" t="s">
        <v>180</v>
      </c>
      <c r="K3" s="149" t="s">
        <v>179</v>
      </c>
      <c r="L3" s="149" t="s">
        <v>178</v>
      </c>
      <c r="M3" s="149" t="s">
        <v>177</v>
      </c>
      <c r="N3" s="149" t="s">
        <v>176</v>
      </c>
      <c r="O3" s="149" t="s">
        <v>175</v>
      </c>
      <c r="P3" s="149" t="s">
        <v>174</v>
      </c>
      <c r="Q3" s="149"/>
      <c r="R3" s="105"/>
      <c r="S3" s="105"/>
    </row>
    <row r="4" spans="1:19" ht="16.5" thickBot="1" x14ac:dyDescent="0.3">
      <c r="C4" s="146" t="s">
        <v>173</v>
      </c>
      <c r="D4" s="148" t="s">
        <v>172</v>
      </c>
      <c r="E4" s="146" t="s">
        <v>171</v>
      </c>
      <c r="F4" s="148" t="s">
        <v>170</v>
      </c>
      <c r="G4" s="146" t="s">
        <v>169</v>
      </c>
      <c r="H4" s="148"/>
      <c r="I4" s="146" t="s">
        <v>168</v>
      </c>
      <c r="J4" s="146" t="s">
        <v>167</v>
      </c>
      <c r="K4" s="146" t="s">
        <v>166</v>
      </c>
      <c r="L4" s="146"/>
      <c r="M4" s="146"/>
      <c r="N4" s="146" t="s">
        <v>165</v>
      </c>
      <c r="O4" s="146"/>
      <c r="P4" s="147" t="s">
        <v>164</v>
      </c>
      <c r="Q4" s="146" t="s">
        <v>146</v>
      </c>
      <c r="R4" s="105"/>
      <c r="S4" s="105"/>
    </row>
    <row r="5" spans="1:19" ht="16.5" thickBot="1" x14ac:dyDescent="0.3">
      <c r="A5" s="114" t="s">
        <v>4</v>
      </c>
      <c r="B5" s="145" t="s">
        <v>163</v>
      </c>
      <c r="C5" s="144"/>
      <c r="D5" s="114"/>
      <c r="E5" s="114"/>
      <c r="F5" s="114"/>
      <c r="G5" s="114"/>
      <c r="H5" s="114"/>
      <c r="I5" s="114"/>
      <c r="J5" s="143"/>
      <c r="K5" s="114"/>
      <c r="L5" s="114"/>
      <c r="M5" s="114"/>
      <c r="N5" s="114"/>
      <c r="O5" s="114"/>
      <c r="P5" s="114"/>
      <c r="Q5" s="142"/>
      <c r="R5" s="105"/>
      <c r="S5" s="105"/>
    </row>
    <row r="6" spans="1:19" ht="15.75" x14ac:dyDescent="0.25">
      <c r="A6" s="127" t="s">
        <v>153</v>
      </c>
      <c r="B6" s="120" t="s">
        <v>152</v>
      </c>
      <c r="C6" s="141" t="s">
        <v>162</v>
      </c>
      <c r="D6" s="140">
        <v>1</v>
      </c>
      <c r="E6" s="140">
        <v>1</v>
      </c>
      <c r="F6" s="140">
        <v>5</v>
      </c>
      <c r="G6" s="140">
        <v>4</v>
      </c>
      <c r="H6" s="139">
        <v>575</v>
      </c>
      <c r="I6" s="139"/>
      <c r="J6" s="124"/>
      <c r="K6" s="138">
        <v>0</v>
      </c>
      <c r="L6" s="137"/>
      <c r="M6" s="137"/>
      <c r="N6" s="137">
        <v>600</v>
      </c>
      <c r="O6" s="137"/>
      <c r="P6" s="137"/>
      <c r="Q6" s="136">
        <v>0</v>
      </c>
      <c r="R6" s="105"/>
      <c r="S6" s="105"/>
    </row>
    <row r="7" spans="1:19" ht="15.75" x14ac:dyDescent="0.25">
      <c r="A7" s="105" t="s">
        <v>150</v>
      </c>
      <c r="B7" s="120" t="s">
        <v>161</v>
      </c>
      <c r="C7" s="135" t="s">
        <v>156</v>
      </c>
      <c r="D7" s="118" t="s">
        <v>147</v>
      </c>
      <c r="E7" s="118"/>
      <c r="F7" s="118"/>
      <c r="G7" s="118"/>
      <c r="H7" s="116">
        <f>+H6*D6*E6</f>
        <v>575</v>
      </c>
      <c r="I7" s="116">
        <f>+(I6*D6*E6*F6)</f>
        <v>0</v>
      </c>
      <c r="J7" s="117">
        <f>J6*G6*E6*D6</f>
        <v>0</v>
      </c>
      <c r="K7" s="117">
        <f>+K6*D6*F6</f>
        <v>0</v>
      </c>
      <c r="L7" s="116">
        <v>0</v>
      </c>
      <c r="M7" s="116"/>
      <c r="N7" s="134">
        <f>E6*N6</f>
        <v>600</v>
      </c>
      <c r="O7" s="116"/>
      <c r="P7" s="116"/>
      <c r="Q7" s="115">
        <f>SUM(H7:P7)</f>
        <v>1175</v>
      </c>
      <c r="R7" s="105"/>
      <c r="S7" s="105"/>
    </row>
    <row r="8" spans="1:19" ht="15.75" x14ac:dyDescent="0.25">
      <c r="A8" s="127" t="s">
        <v>153</v>
      </c>
      <c r="B8" s="120" t="s">
        <v>152</v>
      </c>
      <c r="C8" s="133" t="s">
        <v>160</v>
      </c>
      <c r="D8" s="105">
        <v>1</v>
      </c>
      <c r="E8" s="105">
        <v>1</v>
      </c>
      <c r="F8" s="105">
        <v>10</v>
      </c>
      <c r="G8" s="105">
        <v>9</v>
      </c>
      <c r="H8" s="125">
        <v>575</v>
      </c>
      <c r="I8" s="122">
        <v>70.3</v>
      </c>
      <c r="J8" s="124">
        <v>170</v>
      </c>
      <c r="K8" s="123">
        <v>40.770000000000003</v>
      </c>
      <c r="L8" s="122">
        <v>20</v>
      </c>
      <c r="M8" s="122"/>
      <c r="N8" s="122">
        <v>600</v>
      </c>
      <c r="O8" s="122"/>
      <c r="P8" s="122"/>
      <c r="Q8" s="121"/>
      <c r="R8" s="105"/>
      <c r="S8" s="105"/>
    </row>
    <row r="9" spans="1:19" ht="16.5" thickBot="1" x14ac:dyDescent="0.3">
      <c r="A9" s="105" t="s">
        <v>150</v>
      </c>
      <c r="B9" s="120" t="s">
        <v>159</v>
      </c>
      <c r="C9" s="132" t="s">
        <v>156</v>
      </c>
      <c r="D9" s="118" t="s">
        <v>147</v>
      </c>
      <c r="E9" s="118"/>
      <c r="F9" s="118"/>
      <c r="G9" s="118"/>
      <c r="H9" s="116">
        <f>+H8*D8*E8</f>
        <v>575</v>
      </c>
      <c r="I9" s="116">
        <f>+(I8*D8*E8*F8)</f>
        <v>703</v>
      </c>
      <c r="J9" s="117">
        <f>J8*G8*E8*D8</f>
        <v>1530</v>
      </c>
      <c r="K9" s="117">
        <f>+K8*D8*F8</f>
        <v>407.70000000000005</v>
      </c>
      <c r="L9" s="116">
        <v>200</v>
      </c>
      <c r="M9" s="116"/>
      <c r="N9" s="116">
        <f>E8*N8</f>
        <v>600</v>
      </c>
      <c r="O9" s="116"/>
      <c r="P9" s="116"/>
      <c r="Q9" s="115">
        <f>SUM(H9:P9)</f>
        <v>4015.7</v>
      </c>
      <c r="R9" s="105"/>
      <c r="S9" s="105"/>
    </row>
    <row r="10" spans="1:19" ht="16.5" thickBot="1" x14ac:dyDescent="0.3">
      <c r="A10" s="131" t="s">
        <v>5</v>
      </c>
      <c r="C10" s="130"/>
      <c r="D10" s="112"/>
      <c r="E10" s="112"/>
      <c r="F10" s="112"/>
      <c r="G10" s="112"/>
      <c r="H10" s="111"/>
      <c r="I10" s="111"/>
      <c r="J10" s="129"/>
      <c r="K10" s="129"/>
      <c r="L10" s="111"/>
      <c r="M10" s="111"/>
      <c r="N10" s="111"/>
      <c r="O10" s="111"/>
      <c r="P10" s="111"/>
      <c r="Q10" s="128"/>
      <c r="R10" s="105"/>
      <c r="S10" s="105"/>
    </row>
    <row r="11" spans="1:19" ht="15.75" x14ac:dyDescent="0.25">
      <c r="A11" s="127" t="s">
        <v>153</v>
      </c>
      <c r="B11" s="120" t="s">
        <v>152</v>
      </c>
      <c r="C11" s="133" t="s">
        <v>158</v>
      </c>
      <c r="D11" s="105">
        <v>1</v>
      </c>
      <c r="E11" s="105">
        <v>1</v>
      </c>
      <c r="F11" s="105">
        <v>4</v>
      </c>
      <c r="G11" s="105">
        <v>3</v>
      </c>
      <c r="H11" s="125"/>
      <c r="I11" s="125"/>
      <c r="J11" s="124"/>
      <c r="K11" s="123">
        <v>0</v>
      </c>
      <c r="L11" s="122"/>
      <c r="M11" s="122"/>
      <c r="N11" s="122"/>
      <c r="O11" s="122"/>
      <c r="P11" s="122"/>
      <c r="Q11" s="121"/>
      <c r="R11" s="105"/>
      <c r="S11" s="105"/>
    </row>
    <row r="12" spans="1:19" ht="15.75" x14ac:dyDescent="0.25">
      <c r="A12" s="105" t="s">
        <v>150</v>
      </c>
      <c r="B12" s="120" t="s">
        <v>157</v>
      </c>
      <c r="C12" s="132" t="s">
        <v>156</v>
      </c>
      <c r="D12" s="118" t="s">
        <v>147</v>
      </c>
      <c r="E12" s="118"/>
      <c r="F12" s="118"/>
      <c r="G12" s="118"/>
      <c r="H12" s="116">
        <f>+H11*D11*E11</f>
        <v>0</v>
      </c>
      <c r="I12" s="116">
        <f>+(I11*D11*E11*F11)</f>
        <v>0</v>
      </c>
      <c r="J12" s="117">
        <f>J11*G11*E11*D11</f>
        <v>0</v>
      </c>
      <c r="K12" s="117">
        <f>+K11*D11*F11</f>
        <v>0</v>
      </c>
      <c r="L12" s="116">
        <v>0</v>
      </c>
      <c r="M12" s="116"/>
      <c r="N12" s="116">
        <f>E11*N11</f>
        <v>0</v>
      </c>
      <c r="O12" s="116"/>
      <c r="P12" s="116"/>
      <c r="Q12" s="115">
        <f>SUM(H12:P12)</f>
        <v>0</v>
      </c>
      <c r="R12" s="105"/>
      <c r="S12" s="105"/>
    </row>
    <row r="13" spans="1:19" ht="15.75" x14ac:dyDescent="0.25">
      <c r="A13" s="127" t="s">
        <v>153</v>
      </c>
      <c r="B13" s="120" t="s">
        <v>152</v>
      </c>
      <c r="C13" s="126" t="s">
        <v>155</v>
      </c>
      <c r="D13" s="105">
        <v>1</v>
      </c>
      <c r="E13" s="105">
        <v>1</v>
      </c>
      <c r="F13" s="105">
        <v>4</v>
      </c>
      <c r="G13" s="105">
        <v>3</v>
      </c>
      <c r="H13" s="125"/>
      <c r="I13" s="125"/>
      <c r="J13" s="124"/>
      <c r="K13" s="123">
        <v>0</v>
      </c>
      <c r="L13" s="122"/>
      <c r="M13" s="122"/>
      <c r="N13" s="122"/>
      <c r="O13" s="122"/>
      <c r="P13" s="122"/>
      <c r="Q13" s="121"/>
      <c r="R13" s="105"/>
      <c r="S13" s="105"/>
    </row>
    <row r="14" spans="1:19" ht="16.5" thickBot="1" x14ac:dyDescent="0.3">
      <c r="A14" s="105" t="s">
        <v>150</v>
      </c>
      <c r="B14" s="120" t="s">
        <v>154</v>
      </c>
      <c r="C14" s="119" t="s">
        <v>148</v>
      </c>
      <c r="D14" s="118" t="s">
        <v>147</v>
      </c>
      <c r="E14" s="118"/>
      <c r="F14" s="118"/>
      <c r="G14" s="118"/>
      <c r="H14" s="116">
        <f>+H13*D13*E13</f>
        <v>0</v>
      </c>
      <c r="I14" s="116">
        <f>+(I13*D13*E13*F13)</f>
        <v>0</v>
      </c>
      <c r="J14" s="117">
        <f>J13*G13*E13*D13</f>
        <v>0</v>
      </c>
      <c r="K14" s="117">
        <f>+K13*D13*F13</f>
        <v>0</v>
      </c>
      <c r="L14" s="116">
        <v>0</v>
      </c>
      <c r="M14" s="116"/>
      <c r="N14" s="116"/>
      <c r="O14" s="116"/>
      <c r="P14" s="116"/>
      <c r="Q14" s="115">
        <f>SUM(H14:P14)</f>
        <v>0</v>
      </c>
      <c r="R14" s="105"/>
      <c r="S14" s="105"/>
    </row>
    <row r="15" spans="1:19" ht="16.5" thickBot="1" x14ac:dyDescent="0.3">
      <c r="A15" s="131" t="s">
        <v>6</v>
      </c>
      <c r="C15" s="130"/>
      <c r="D15" s="112"/>
      <c r="E15" s="112"/>
      <c r="F15" s="112"/>
      <c r="G15" s="112"/>
      <c r="H15" s="111"/>
      <c r="I15" s="111"/>
      <c r="J15" s="129"/>
      <c r="K15" s="129"/>
      <c r="L15" s="111"/>
      <c r="M15" s="111"/>
      <c r="N15" s="111"/>
      <c r="O15" s="111"/>
      <c r="P15" s="111"/>
      <c r="Q15" s="128"/>
      <c r="R15" s="105"/>
      <c r="S15" s="105"/>
    </row>
    <row r="16" spans="1:19" ht="15.75" x14ac:dyDescent="0.25">
      <c r="A16" s="127" t="s">
        <v>153</v>
      </c>
      <c r="B16" s="120" t="s">
        <v>152</v>
      </c>
      <c r="C16" s="126" t="s">
        <v>151</v>
      </c>
      <c r="D16" s="105">
        <v>1</v>
      </c>
      <c r="E16" s="105">
        <v>1</v>
      </c>
      <c r="F16" s="105">
        <v>4</v>
      </c>
      <c r="G16" s="105">
        <v>3</v>
      </c>
      <c r="H16" s="125"/>
      <c r="I16" s="125"/>
      <c r="J16" s="124"/>
      <c r="K16" s="123">
        <v>0</v>
      </c>
      <c r="L16" s="122"/>
      <c r="M16" s="122"/>
      <c r="N16" s="122"/>
      <c r="O16" s="122"/>
      <c r="P16" s="122"/>
      <c r="Q16" s="121"/>
      <c r="R16" s="105"/>
      <c r="S16" s="105"/>
    </row>
    <row r="17" spans="1:21" ht="15.75" x14ac:dyDescent="0.25">
      <c r="A17" s="105" t="s">
        <v>150</v>
      </c>
      <c r="B17" s="120" t="s">
        <v>149</v>
      </c>
      <c r="C17" s="119" t="s">
        <v>148</v>
      </c>
      <c r="D17" s="118" t="s">
        <v>147</v>
      </c>
      <c r="E17" s="118"/>
      <c r="F17" s="118"/>
      <c r="G17" s="118"/>
      <c r="H17" s="116">
        <f>+H16*D16*E16</f>
        <v>0</v>
      </c>
      <c r="I17" s="116">
        <f>+(I16*D16*E16*F16)</f>
        <v>0</v>
      </c>
      <c r="J17" s="117">
        <f>J16*G16*E16*D16</f>
        <v>0</v>
      </c>
      <c r="K17" s="117">
        <f>+K16*D16*F16</f>
        <v>0</v>
      </c>
      <c r="L17" s="116">
        <v>0</v>
      </c>
      <c r="M17" s="116"/>
      <c r="N17" s="116"/>
      <c r="O17" s="116"/>
      <c r="P17" s="116"/>
      <c r="Q17" s="115">
        <f>SUM(H17:P17)</f>
        <v>0</v>
      </c>
      <c r="R17" s="105"/>
      <c r="S17" s="105"/>
    </row>
    <row r="18" spans="1:21" ht="15.75" x14ac:dyDescent="0.25">
      <c r="A18" s="127" t="s">
        <v>153</v>
      </c>
      <c r="B18" s="120" t="s">
        <v>152</v>
      </c>
      <c r="C18" s="126" t="s">
        <v>151</v>
      </c>
      <c r="D18" s="105">
        <v>1</v>
      </c>
      <c r="E18" s="105">
        <v>1</v>
      </c>
      <c r="F18" s="105">
        <v>4</v>
      </c>
      <c r="G18" s="105">
        <v>3</v>
      </c>
      <c r="H18" s="125"/>
      <c r="I18" s="125"/>
      <c r="J18" s="124"/>
      <c r="K18" s="123">
        <v>0</v>
      </c>
      <c r="L18" s="122"/>
      <c r="M18" s="122"/>
      <c r="N18" s="122"/>
      <c r="O18" s="122"/>
      <c r="P18" s="122"/>
      <c r="Q18" s="121"/>
      <c r="R18" s="105"/>
      <c r="S18" s="105"/>
    </row>
    <row r="19" spans="1:21" ht="16.5" thickBot="1" x14ac:dyDescent="0.3">
      <c r="A19" s="105" t="s">
        <v>150</v>
      </c>
      <c r="B19" s="120" t="s">
        <v>149</v>
      </c>
      <c r="C19" s="119" t="s">
        <v>148</v>
      </c>
      <c r="D19" s="118" t="s">
        <v>147</v>
      </c>
      <c r="E19" s="118"/>
      <c r="F19" s="118"/>
      <c r="G19" s="118"/>
      <c r="H19" s="116">
        <f>+H18*D18*E18</f>
        <v>0</v>
      </c>
      <c r="I19" s="116">
        <f>+(I18*D18*E18*F18)</f>
        <v>0</v>
      </c>
      <c r="J19" s="117">
        <f>J18*G18*E18*D18</f>
        <v>0</v>
      </c>
      <c r="K19" s="117">
        <f>+K18*D18*F18</f>
        <v>0</v>
      </c>
      <c r="L19" s="116">
        <v>0</v>
      </c>
      <c r="M19" s="116"/>
      <c r="N19" s="116"/>
      <c r="O19" s="116"/>
      <c r="P19" s="116"/>
      <c r="Q19" s="115">
        <f>SUM(H19:P19)</f>
        <v>0</v>
      </c>
      <c r="R19" s="105"/>
      <c r="S19" s="105"/>
    </row>
    <row r="20" spans="1:21" ht="16.5" thickBot="1" x14ac:dyDescent="0.3">
      <c r="A20" s="131" t="s">
        <v>7</v>
      </c>
      <c r="C20" s="130"/>
      <c r="D20" s="112"/>
      <c r="E20" s="112"/>
      <c r="F20" s="112"/>
      <c r="G20" s="112"/>
      <c r="H20" s="111"/>
      <c r="I20" s="111"/>
      <c r="J20" s="129"/>
      <c r="K20" s="129"/>
      <c r="L20" s="111"/>
      <c r="M20" s="111"/>
      <c r="N20" s="111"/>
      <c r="O20" s="111"/>
      <c r="P20" s="111"/>
      <c r="Q20" s="128"/>
      <c r="R20" s="105"/>
      <c r="S20" s="105"/>
    </row>
    <row r="21" spans="1:21" ht="15.75" x14ac:dyDescent="0.25">
      <c r="A21" s="127" t="s">
        <v>153</v>
      </c>
      <c r="B21" s="120" t="s">
        <v>152</v>
      </c>
      <c r="C21" s="126" t="s">
        <v>151</v>
      </c>
      <c r="D21" s="105">
        <v>1</v>
      </c>
      <c r="E21" s="105">
        <v>1</v>
      </c>
      <c r="F21" s="105">
        <v>4</v>
      </c>
      <c r="G21" s="105">
        <v>3</v>
      </c>
      <c r="H21" s="125"/>
      <c r="I21" s="125"/>
      <c r="J21" s="124"/>
      <c r="K21" s="123">
        <v>0</v>
      </c>
      <c r="L21" s="122"/>
      <c r="M21" s="122"/>
      <c r="N21" s="122"/>
      <c r="O21" s="122"/>
      <c r="P21" s="122"/>
      <c r="Q21" s="121"/>
      <c r="R21" s="105"/>
      <c r="S21" s="105"/>
    </row>
    <row r="22" spans="1:21" ht="15.75" x14ac:dyDescent="0.25">
      <c r="A22" s="105" t="s">
        <v>150</v>
      </c>
      <c r="B22" s="120" t="s">
        <v>149</v>
      </c>
      <c r="C22" s="119" t="s">
        <v>148</v>
      </c>
      <c r="D22" s="118" t="s">
        <v>147</v>
      </c>
      <c r="E22" s="118"/>
      <c r="F22" s="118"/>
      <c r="G22" s="118"/>
      <c r="H22" s="116">
        <f>+H21*D21*E21</f>
        <v>0</v>
      </c>
      <c r="I22" s="116">
        <f>+(I21*D21*E21*F21)</f>
        <v>0</v>
      </c>
      <c r="J22" s="117">
        <f>J21*G21*E21*D21</f>
        <v>0</v>
      </c>
      <c r="K22" s="117">
        <f>+K21*D21*F21</f>
        <v>0</v>
      </c>
      <c r="L22" s="116">
        <v>0</v>
      </c>
      <c r="M22" s="116"/>
      <c r="N22" s="116"/>
      <c r="O22" s="116"/>
      <c r="P22" s="116"/>
      <c r="Q22" s="115">
        <f>SUM(H22:P22)</f>
        <v>0</v>
      </c>
      <c r="R22" s="105"/>
      <c r="S22" s="105"/>
    </row>
    <row r="23" spans="1:21" ht="15.75" x14ac:dyDescent="0.25">
      <c r="A23" s="127" t="s">
        <v>153</v>
      </c>
      <c r="B23" s="120" t="s">
        <v>152</v>
      </c>
      <c r="C23" s="126" t="s">
        <v>151</v>
      </c>
      <c r="D23" s="105">
        <v>1</v>
      </c>
      <c r="E23" s="105">
        <v>1</v>
      </c>
      <c r="F23" s="105">
        <v>4</v>
      </c>
      <c r="G23" s="105">
        <v>3</v>
      </c>
      <c r="H23" s="125"/>
      <c r="I23" s="125"/>
      <c r="J23" s="124"/>
      <c r="K23" s="123">
        <v>0</v>
      </c>
      <c r="L23" s="122"/>
      <c r="M23" s="122"/>
      <c r="N23" s="122"/>
      <c r="O23" s="122"/>
      <c r="P23" s="122"/>
      <c r="Q23" s="121"/>
      <c r="R23" s="105"/>
      <c r="S23" s="105"/>
    </row>
    <row r="24" spans="1:21" ht="16.5" thickBot="1" x14ac:dyDescent="0.3">
      <c r="A24" s="105" t="s">
        <v>150</v>
      </c>
      <c r="B24" s="120" t="s">
        <v>149</v>
      </c>
      <c r="C24" s="119" t="s">
        <v>148</v>
      </c>
      <c r="D24" s="118" t="s">
        <v>147</v>
      </c>
      <c r="E24" s="118"/>
      <c r="F24" s="118"/>
      <c r="G24" s="118"/>
      <c r="H24" s="116">
        <f>+H23*D23*E23</f>
        <v>0</v>
      </c>
      <c r="I24" s="116">
        <f>+(I23*D23*E23*F23)</f>
        <v>0</v>
      </c>
      <c r="J24" s="117">
        <f>J23*G23*E23*D23</f>
        <v>0</v>
      </c>
      <c r="K24" s="117">
        <f>+K23*D23*F23</f>
        <v>0</v>
      </c>
      <c r="L24" s="116">
        <v>0</v>
      </c>
      <c r="M24" s="116"/>
      <c r="N24" s="116"/>
      <c r="O24" s="116"/>
      <c r="P24" s="116"/>
      <c r="Q24" s="115">
        <f>SUM(H24:P24)</f>
        <v>0</v>
      </c>
      <c r="R24" s="105"/>
      <c r="S24" s="105"/>
    </row>
    <row r="25" spans="1:21" ht="16.5" thickBot="1" x14ac:dyDescent="0.3">
      <c r="A25" s="131" t="s">
        <v>8</v>
      </c>
      <c r="C25" s="130"/>
      <c r="D25" s="112"/>
      <c r="E25" s="112"/>
      <c r="F25" s="112"/>
      <c r="G25" s="112"/>
      <c r="H25" s="111"/>
      <c r="I25" s="111"/>
      <c r="J25" s="129"/>
      <c r="K25" s="129"/>
      <c r="L25" s="111"/>
      <c r="M25" s="111"/>
      <c r="N25" s="111"/>
      <c r="O25" s="111"/>
      <c r="P25" s="111"/>
      <c r="Q25" s="128"/>
      <c r="R25" s="105"/>
      <c r="S25" s="105"/>
    </row>
    <row r="26" spans="1:21" ht="15.75" x14ac:dyDescent="0.25">
      <c r="A26" s="127" t="s">
        <v>153</v>
      </c>
      <c r="B26" s="120" t="s">
        <v>152</v>
      </c>
      <c r="C26" s="126" t="s">
        <v>151</v>
      </c>
      <c r="D26" s="105">
        <v>1</v>
      </c>
      <c r="E26" s="105">
        <v>1</v>
      </c>
      <c r="F26" s="105">
        <v>4</v>
      </c>
      <c r="G26" s="105">
        <v>3</v>
      </c>
      <c r="H26" s="125"/>
      <c r="I26" s="125"/>
      <c r="J26" s="124"/>
      <c r="K26" s="123">
        <v>0</v>
      </c>
      <c r="L26" s="122"/>
      <c r="M26" s="122"/>
      <c r="N26" s="122"/>
      <c r="O26" s="122"/>
      <c r="P26" s="122"/>
      <c r="Q26" s="121"/>
      <c r="R26" s="105"/>
      <c r="S26" s="105"/>
    </row>
    <row r="27" spans="1:21" ht="15.75" x14ac:dyDescent="0.25">
      <c r="A27" s="105" t="s">
        <v>150</v>
      </c>
      <c r="B27" s="120" t="s">
        <v>149</v>
      </c>
      <c r="C27" s="119" t="s">
        <v>148</v>
      </c>
      <c r="D27" s="118" t="s">
        <v>147</v>
      </c>
      <c r="E27" s="118"/>
      <c r="F27" s="118"/>
      <c r="G27" s="118"/>
      <c r="H27" s="116">
        <f>+H26*D26*E26</f>
        <v>0</v>
      </c>
      <c r="I27" s="116">
        <f>+(I26*D26*E26*F26)</f>
        <v>0</v>
      </c>
      <c r="J27" s="117">
        <f>J26*G26*E26*D26</f>
        <v>0</v>
      </c>
      <c r="K27" s="117">
        <f>+K26*D26*F26</f>
        <v>0</v>
      </c>
      <c r="L27" s="116">
        <v>0</v>
      </c>
      <c r="M27" s="116"/>
      <c r="N27" s="116"/>
      <c r="O27" s="116"/>
      <c r="P27" s="116"/>
      <c r="Q27" s="115">
        <f>SUM(H27:P27)</f>
        <v>0</v>
      </c>
      <c r="R27" s="105"/>
      <c r="S27" s="105"/>
    </row>
    <row r="28" spans="1:21" ht="15.75" x14ac:dyDescent="0.25">
      <c r="A28" s="127" t="s">
        <v>153</v>
      </c>
      <c r="B28" s="120" t="s">
        <v>152</v>
      </c>
      <c r="C28" s="126" t="s">
        <v>151</v>
      </c>
      <c r="D28" s="105">
        <v>1</v>
      </c>
      <c r="E28" s="105">
        <v>1</v>
      </c>
      <c r="F28" s="105">
        <v>4</v>
      </c>
      <c r="G28" s="105">
        <v>3</v>
      </c>
      <c r="H28" s="125"/>
      <c r="I28" s="125"/>
      <c r="J28" s="124"/>
      <c r="K28" s="123">
        <v>0</v>
      </c>
      <c r="L28" s="122"/>
      <c r="M28" s="122"/>
      <c r="N28" s="122"/>
      <c r="O28" s="122"/>
      <c r="P28" s="122"/>
      <c r="Q28" s="121"/>
      <c r="R28" s="105"/>
      <c r="S28" s="105"/>
    </row>
    <row r="29" spans="1:21" ht="16.5" thickBot="1" x14ac:dyDescent="0.3">
      <c r="A29" s="105" t="s">
        <v>150</v>
      </c>
      <c r="B29" s="120" t="s">
        <v>149</v>
      </c>
      <c r="C29" s="119" t="s">
        <v>148</v>
      </c>
      <c r="D29" s="118" t="s">
        <v>147</v>
      </c>
      <c r="E29" s="118"/>
      <c r="F29" s="118"/>
      <c r="G29" s="118"/>
      <c r="H29" s="116">
        <f>+H28*D28*E28</f>
        <v>0</v>
      </c>
      <c r="I29" s="116">
        <f>+(I28*D28*E28*F28)</f>
        <v>0</v>
      </c>
      <c r="J29" s="117">
        <f>J28*G28*E28*D28</f>
        <v>0</v>
      </c>
      <c r="K29" s="117">
        <f>+K28*D28*F28</f>
        <v>0</v>
      </c>
      <c r="L29" s="116">
        <v>0</v>
      </c>
      <c r="M29" s="116"/>
      <c r="N29" s="116"/>
      <c r="O29" s="116"/>
      <c r="P29" s="116"/>
      <c r="Q29" s="115">
        <f>SUM(H29:P29)</f>
        <v>0</v>
      </c>
      <c r="R29" s="103"/>
      <c r="S29" s="105"/>
    </row>
    <row r="30" spans="1:21" ht="16.5" thickBot="1" x14ac:dyDescent="0.3">
      <c r="B30" s="114" t="s">
        <v>146</v>
      </c>
      <c r="C30" s="113"/>
      <c r="D30" s="112"/>
      <c r="E30" s="112"/>
      <c r="F30" s="112"/>
      <c r="G30" s="112"/>
      <c r="H30" s="111"/>
      <c r="I30" s="111"/>
      <c r="J30" s="111"/>
      <c r="K30" s="111"/>
      <c r="L30" s="111"/>
      <c r="M30" s="111"/>
      <c r="N30" s="111"/>
      <c r="O30" s="111"/>
      <c r="P30" s="111"/>
      <c r="Q30" s="110">
        <f>SUM(Q6:Q29)</f>
        <v>5190.7</v>
      </c>
      <c r="R30" s="103"/>
      <c r="S30" s="108"/>
      <c r="T30" s="108"/>
      <c r="U30" s="108"/>
    </row>
    <row r="31" spans="1:21" ht="15.75" x14ac:dyDescent="0.25"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3"/>
      <c r="S31" s="108"/>
      <c r="T31" s="108"/>
      <c r="U31" s="108"/>
    </row>
    <row r="32" spans="1:21" ht="94.5" hidden="1" x14ac:dyDescent="0.25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3" t="s">
        <v>145</v>
      </c>
      <c r="S32" s="108"/>
      <c r="T32" s="108"/>
      <c r="U32" s="108"/>
    </row>
    <row r="33" spans="1:21" ht="15.75" x14ac:dyDescent="0.25">
      <c r="A33" s="109"/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03"/>
      <c r="S33" s="108"/>
      <c r="T33" s="108"/>
      <c r="U33" s="108"/>
    </row>
    <row r="34" spans="1:21" ht="15.75" x14ac:dyDescent="0.25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3"/>
      <c r="S34" s="105"/>
    </row>
    <row r="35" spans="1:21" ht="15.75" x14ac:dyDescent="0.25">
      <c r="A35" s="106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05"/>
      <c r="S35" s="105"/>
    </row>
    <row r="36" spans="1:21" x14ac:dyDescent="0.25">
      <c r="A36" s="106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</row>
    <row r="37" spans="1:21" x14ac:dyDescent="0.25">
      <c r="A37" s="106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</row>
    <row r="38" spans="1:21" x14ac:dyDescent="0.25">
      <c r="A38" s="106"/>
      <c r="B38" s="106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</row>
    <row r="39" spans="1:21" x14ac:dyDescent="0.25">
      <c r="A39" s="106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</row>
    <row r="40" spans="1:21" x14ac:dyDescent="0.2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21" x14ac:dyDescent="0.25">
      <c r="A41" s="106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21" x14ac:dyDescent="0.2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 t="s">
        <v>1</v>
      </c>
    </row>
    <row r="43" spans="1:21" ht="15.75" x14ac:dyDescent="0.25">
      <c r="B43" s="104"/>
      <c r="C43" s="105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5" spans="1:21" ht="15.75" x14ac:dyDescent="0.25">
      <c r="B45" s="103"/>
    </row>
    <row r="46" spans="1:21" ht="15.75" x14ac:dyDescent="0.25">
      <c r="B46" s="103"/>
    </row>
    <row r="47" spans="1:21" ht="15.75" x14ac:dyDescent="0.25">
      <c r="B47" s="103"/>
    </row>
    <row r="48" spans="1:21" ht="15.75" x14ac:dyDescent="0.25">
      <c r="B48" s="103"/>
    </row>
    <row r="49" spans="2:2" ht="15.75" x14ac:dyDescent="0.25">
      <c r="B49" s="103"/>
    </row>
    <row r="50" spans="2:2" ht="15.75" x14ac:dyDescent="0.25">
      <c r="B50" s="103"/>
    </row>
  </sheetData>
  <mergeCells count="4">
    <mergeCell ref="B33:Q33"/>
    <mergeCell ref="B35:Q37"/>
    <mergeCell ref="B39:Q39"/>
    <mergeCell ref="B41:Q4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5186-DD5C-460C-B04C-33BE42D247BF}">
  <dimension ref="C2:I14"/>
  <sheetViews>
    <sheetView workbookViewId="0">
      <selection activeCell="D5" sqref="D5"/>
    </sheetView>
  </sheetViews>
  <sheetFormatPr defaultRowHeight="12.75" x14ac:dyDescent="0.2"/>
  <cols>
    <col min="3" max="3" width="25.85546875" bestFit="1" customWidth="1"/>
    <col min="4" max="6" width="10.85546875" bestFit="1" customWidth="1"/>
    <col min="7" max="7" width="9.85546875" bestFit="1" customWidth="1"/>
    <col min="8" max="8" width="8.7109375" customWidth="1"/>
  </cols>
  <sheetData>
    <row r="2" spans="3:9" ht="15.75" x14ac:dyDescent="0.25">
      <c r="C2" s="163" t="s">
        <v>205</v>
      </c>
      <c r="D2" s="164" t="s">
        <v>4</v>
      </c>
      <c r="E2" s="164" t="s">
        <v>5</v>
      </c>
      <c r="F2" s="164" t="s">
        <v>6</v>
      </c>
      <c r="G2" s="164" t="s">
        <v>9</v>
      </c>
      <c r="I2" s="165"/>
    </row>
    <row r="3" spans="3:9" x14ac:dyDescent="0.2">
      <c r="C3" s="163" t="s">
        <v>207</v>
      </c>
      <c r="D3" s="162">
        <f>'Budget (no PI effort)'!H20</f>
        <v>0</v>
      </c>
      <c r="E3" s="162">
        <f>'Budget (no PI effort)'!I20</f>
        <v>0</v>
      </c>
      <c r="F3" s="162">
        <f>'Budget (no PI effort)'!J20</f>
        <v>0</v>
      </c>
      <c r="G3" s="162">
        <f t="shared" ref="G3:G10" si="0">SUM(D3:F3)</f>
        <v>0</v>
      </c>
    </row>
    <row r="4" spans="3:9" x14ac:dyDescent="0.2">
      <c r="C4" s="163" t="s">
        <v>206</v>
      </c>
      <c r="D4" s="162">
        <f>'Budget (no PI effort)'!H24</f>
        <v>0</v>
      </c>
      <c r="E4" s="162">
        <f>'Budget (no PI effort)'!I24</f>
        <v>0</v>
      </c>
      <c r="F4" s="162">
        <f>'Budget (no PI effort)'!J24</f>
        <v>0</v>
      </c>
      <c r="G4" s="162">
        <f t="shared" si="0"/>
        <v>0</v>
      </c>
    </row>
    <row r="5" spans="3:9" x14ac:dyDescent="0.2">
      <c r="C5" s="163" t="s">
        <v>208</v>
      </c>
      <c r="D5" s="162">
        <f>'Budget (no PI effort)'!H26</f>
        <v>32282</v>
      </c>
      <c r="E5" s="162">
        <f>'Budget (no PI effort)'!I26</f>
        <v>35797</v>
      </c>
      <c r="F5" s="162">
        <f>'Budget (no PI effort)'!J26</f>
        <v>37586</v>
      </c>
      <c r="G5" s="162">
        <f t="shared" si="0"/>
        <v>105665</v>
      </c>
    </row>
    <row r="6" spans="3:9" x14ac:dyDescent="0.2">
      <c r="C6" s="163" t="s">
        <v>204</v>
      </c>
      <c r="D6" s="162">
        <f>'Budget (no PI effort)'!H34</f>
        <v>6941</v>
      </c>
      <c r="E6" s="162">
        <f>'Budget (no PI effort)'!I34</f>
        <v>8054</v>
      </c>
      <c r="F6" s="162">
        <f>'Budget (no PI effort)'!J34</f>
        <v>8833</v>
      </c>
      <c r="G6" s="162">
        <f t="shared" si="0"/>
        <v>23828</v>
      </c>
    </row>
    <row r="7" spans="3:9" x14ac:dyDescent="0.2">
      <c r="C7" s="163" t="s">
        <v>203</v>
      </c>
      <c r="D7" s="162">
        <f>'Budget (no PI effort)'!H46</f>
        <v>0</v>
      </c>
      <c r="E7" s="162">
        <f>'Budget (no PI effort)'!I46</f>
        <v>0</v>
      </c>
      <c r="F7" s="162">
        <f>'Budget (no PI effort)'!J46</f>
        <v>0</v>
      </c>
      <c r="G7" s="162">
        <f t="shared" si="0"/>
        <v>0</v>
      </c>
    </row>
    <row r="8" spans="3:9" x14ac:dyDescent="0.2">
      <c r="C8" s="163" t="s">
        <v>202</v>
      </c>
      <c r="D8" s="162">
        <f>'Budget (no PI effort)'!H56</f>
        <v>0</v>
      </c>
      <c r="E8" s="162">
        <f>'Budget (no PI effort)'!I56</f>
        <v>0</v>
      </c>
      <c r="F8" s="162">
        <f>'Budget (no PI effort)'!J56</f>
        <v>0</v>
      </c>
      <c r="G8" s="162">
        <f t="shared" si="0"/>
        <v>0</v>
      </c>
    </row>
    <row r="9" spans="3:9" x14ac:dyDescent="0.2">
      <c r="C9" s="163" t="s">
        <v>201</v>
      </c>
      <c r="D9" s="162">
        <f>'Budget (no PI effort)'!H67</f>
        <v>10728</v>
      </c>
      <c r="E9" s="162">
        <f>'Budget (no PI effort)'!I67</f>
        <v>11049.84</v>
      </c>
      <c r="F9" s="162">
        <f>'Budget (no PI effort)'!J67</f>
        <v>11381.335200000001</v>
      </c>
      <c r="G9" s="162">
        <f t="shared" si="0"/>
        <v>33159.175199999998</v>
      </c>
    </row>
    <row r="10" spans="3:9" x14ac:dyDescent="0.2">
      <c r="C10" s="163" t="s">
        <v>200</v>
      </c>
      <c r="D10" s="162">
        <f>'Budget (no PI effort)'!H72</f>
        <v>21769</v>
      </c>
      <c r="E10" s="162">
        <f>'Budget (no PI effort)'!I72</f>
        <v>24337</v>
      </c>
      <c r="F10" s="162">
        <f>'Budget (no PI effort)'!J72</f>
        <v>25763</v>
      </c>
      <c r="G10" s="162">
        <f t="shared" si="0"/>
        <v>71869</v>
      </c>
    </row>
    <row r="11" spans="3:9" x14ac:dyDescent="0.2">
      <c r="C11" s="163" t="s">
        <v>9</v>
      </c>
      <c r="D11" s="162">
        <f>SUM(D3:D10)</f>
        <v>71720</v>
      </c>
      <c r="E11" s="162">
        <f>SUM(E3:E10)</f>
        <v>79237.84</v>
      </c>
      <c r="F11" s="162">
        <f>SUM(F3:F10)</f>
        <v>83563.335200000001</v>
      </c>
      <c r="G11" s="162">
        <f>SUM(G3:G10)</f>
        <v>234521.1752</v>
      </c>
    </row>
    <row r="13" spans="3:9" x14ac:dyDescent="0.2">
      <c r="C13" t="s">
        <v>209</v>
      </c>
    </row>
    <row r="14" spans="3:9" x14ac:dyDescent="0.2">
      <c r="C14" s="166" t="s">
        <v>210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Budget (no PI effort)</vt:lpstr>
      <vt:lpstr>Budget</vt:lpstr>
      <vt:lpstr>Original Budget</vt:lpstr>
      <vt:lpstr>Fringe</vt:lpstr>
      <vt:lpstr>Staff</vt:lpstr>
      <vt:lpstr>PA</vt:lpstr>
      <vt:lpstr>NSF Travel</vt:lpstr>
      <vt:lpstr>DOD-DOE Travel</vt:lpstr>
      <vt:lpstr>Simplified Budget</vt:lpstr>
      <vt:lpstr>Budget!Print_Area</vt:lpstr>
      <vt:lpstr>'Budget (no PI effort)'!Print_Area</vt:lpstr>
      <vt:lpstr>'Original Budget'!Print_Area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 Aided Engineering</dc:creator>
  <cp:keywords/>
  <dc:description/>
  <cp:lastModifiedBy>Ethan Cecchetti</cp:lastModifiedBy>
  <cp:revision/>
  <cp:lastPrinted>2017-09-19T19:36:42Z</cp:lastPrinted>
  <dcterms:created xsi:type="dcterms:W3CDTF">1997-03-26T18:46:54Z</dcterms:created>
  <dcterms:modified xsi:type="dcterms:W3CDTF">2025-09-09T22:05:38Z</dcterms:modified>
  <cp:category/>
  <cp:contentStatus/>
</cp:coreProperties>
</file>