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activeTab="1"/>
  </bookViews>
  <sheets>
    <sheet name="problem1" sheetId="5" r:id="rId1"/>
    <sheet name="problem2" sheetId="1" r:id="rId2"/>
    <sheet name="problem3" sheetId="6" r:id="rId3"/>
    <sheet name="problem4_273_inf" sheetId="7" r:id="rId4"/>
    <sheet name="problem4_0_inf" sheetId="9" r:id="rId5"/>
  </sheets>
  <definedNames>
    <definedName name="output_linearization_1_CV_31_output_1" localSheetId="1">problem2!$B$73:$I$106</definedName>
    <definedName name="output_linearization_1_CV_32_output" localSheetId="2">problem3!$C$53:$K$87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E72" i="1"/>
  <c r="C53" i="1"/>
  <c r="G52" i="6"/>
  <c r="C37" i="1"/>
  <c r="B69" i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40" i="1"/>
  <c r="B39" i="1"/>
  <c r="E16" i="1"/>
  <c r="C38" i="1"/>
  <c r="C33" i="1"/>
  <c r="C32" i="1"/>
  <c r="F23" i="6"/>
  <c r="C31" i="1"/>
  <c r="F3" i="1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54" i="6"/>
  <c r="E4" i="6"/>
  <c r="B37" i="1"/>
  <c r="F22" i="6"/>
  <c r="L13" i="6"/>
  <c r="N14" i="6"/>
  <c r="M14" i="6"/>
  <c r="E13" i="6"/>
  <c r="D13" i="6"/>
  <c r="B14" i="6"/>
  <c r="B15" i="6" s="1"/>
  <c r="B16" i="6" s="1"/>
  <c r="B17" i="6" s="1"/>
  <c r="B18" i="6" s="1"/>
  <c r="B19" i="6" s="1"/>
  <c r="F28" i="1"/>
  <c r="F27" i="1"/>
  <c r="F26" i="1"/>
  <c r="F25" i="1"/>
  <c r="F24" i="1"/>
  <c r="F20" i="1"/>
  <c r="F19" i="1"/>
  <c r="F18" i="1"/>
  <c r="F17" i="1"/>
  <c r="F16" i="1"/>
  <c r="I15" i="5"/>
  <c r="B16" i="5"/>
  <c r="B17" i="5" s="1"/>
  <c r="B18" i="5" s="1"/>
  <c r="B19" i="5" s="1"/>
  <c r="B20" i="5" s="1"/>
  <c r="B15" i="5"/>
  <c r="C46" i="1" l="1"/>
  <c r="C54" i="1"/>
  <c r="C62" i="1"/>
  <c r="C41" i="1"/>
  <c r="C65" i="1"/>
  <c r="C68" i="1"/>
  <c r="C39" i="1"/>
  <c r="C47" i="1"/>
  <c r="C55" i="1"/>
  <c r="C63" i="1"/>
  <c r="C57" i="1"/>
  <c r="C44" i="1"/>
  <c r="C45" i="1"/>
  <c r="C69" i="1"/>
  <c r="D69" i="1" s="1"/>
  <c r="C40" i="1"/>
  <c r="C48" i="1"/>
  <c r="C56" i="1"/>
  <c r="C64" i="1"/>
  <c r="C49" i="1"/>
  <c r="C60" i="1"/>
  <c r="C42" i="1"/>
  <c r="C50" i="1"/>
  <c r="C58" i="1"/>
  <c r="C66" i="1"/>
  <c r="C43" i="1"/>
  <c r="C51" i="1"/>
  <c r="C59" i="1"/>
  <c r="C67" i="1"/>
  <c r="C52" i="1"/>
  <c r="C61" i="1"/>
  <c r="C24" i="6"/>
  <c r="G24" i="6"/>
  <c r="E26" i="6"/>
  <c r="E24" i="6"/>
  <c r="D25" i="6" s="1"/>
  <c r="D14" i="5"/>
  <c r="E14" i="5" s="1"/>
  <c r="C26" i="6" l="1"/>
  <c r="G26" i="6" s="1"/>
  <c r="H26" i="6" s="1"/>
  <c r="Q37" i="9"/>
  <c r="M37" i="9"/>
  <c r="N37" i="9" s="1"/>
  <c r="Q36" i="9"/>
  <c r="N36" i="9"/>
  <c r="M36" i="9"/>
  <c r="Q35" i="9"/>
  <c r="H35" i="9"/>
  <c r="Q34" i="9"/>
  <c r="H34" i="9"/>
  <c r="Q33" i="9"/>
  <c r="H33" i="9"/>
  <c r="Q32" i="9"/>
  <c r="L32" i="9"/>
  <c r="H32" i="9"/>
  <c r="Q31" i="9"/>
  <c r="N31" i="9"/>
  <c r="M31" i="9"/>
  <c r="H31" i="9"/>
  <c r="E31" i="9"/>
  <c r="D31" i="9"/>
  <c r="C32" i="9" s="1"/>
  <c r="N30" i="9"/>
  <c r="M30" i="9"/>
  <c r="D30" i="9"/>
  <c r="E30" i="9" s="1"/>
  <c r="Q27" i="9"/>
  <c r="H27" i="9"/>
  <c r="Q26" i="9"/>
  <c r="H26" i="9"/>
  <c r="Q25" i="9"/>
  <c r="H25" i="9"/>
  <c r="Q24" i="9"/>
  <c r="H24" i="9"/>
  <c r="C24" i="9"/>
  <c r="D24" i="9" s="1"/>
  <c r="E24" i="9" s="1"/>
  <c r="Q23" i="9"/>
  <c r="M23" i="9"/>
  <c r="L24" i="9" s="1"/>
  <c r="H23" i="9"/>
  <c r="E23" i="9"/>
  <c r="D23" i="9"/>
  <c r="M22" i="9"/>
  <c r="N22" i="9" s="1"/>
  <c r="D22" i="9"/>
  <c r="E22" i="9" s="1"/>
  <c r="Q19" i="9"/>
  <c r="H19" i="9"/>
  <c r="Q18" i="9"/>
  <c r="O18" i="9"/>
  <c r="H18" i="9"/>
  <c r="Q17" i="9"/>
  <c r="H17" i="9"/>
  <c r="Q16" i="9"/>
  <c r="H16" i="9"/>
  <c r="C16" i="9"/>
  <c r="D16" i="9" s="1"/>
  <c r="E16" i="9" s="1"/>
  <c r="Q15" i="9"/>
  <c r="N15" i="9"/>
  <c r="M15" i="9"/>
  <c r="L16" i="9" s="1"/>
  <c r="H15" i="9"/>
  <c r="E15" i="9"/>
  <c r="D15" i="9"/>
  <c r="M14" i="9"/>
  <c r="N14" i="9" s="1"/>
  <c r="D14" i="9"/>
  <c r="E14" i="9" s="1"/>
  <c r="C32" i="6"/>
  <c r="C31" i="6"/>
  <c r="C27" i="6" l="1"/>
  <c r="D37" i="1"/>
  <c r="D32" i="9"/>
  <c r="E32" i="9" s="1"/>
  <c r="M24" i="9"/>
  <c r="N24" i="9" s="1"/>
  <c r="M16" i="9"/>
  <c r="N16" i="9" s="1"/>
  <c r="C17" i="9"/>
  <c r="M32" i="9"/>
  <c r="N32" i="9" s="1"/>
  <c r="N23" i="9"/>
  <c r="C25" i="9"/>
  <c r="M36" i="7"/>
  <c r="N36" i="7"/>
  <c r="Q36" i="7"/>
  <c r="H15" i="7"/>
  <c r="D49" i="6" l="1"/>
  <c r="E49" i="6" s="1"/>
  <c r="D33" i="6"/>
  <c r="E33" i="6" s="1"/>
  <c r="D45" i="6"/>
  <c r="E45" i="6" s="1"/>
  <c r="D37" i="6"/>
  <c r="E37" i="6" s="1"/>
  <c r="D27" i="6"/>
  <c r="D41" i="6"/>
  <c r="E41" i="6" s="1"/>
  <c r="D42" i="6"/>
  <c r="E42" i="6" s="1"/>
  <c r="D50" i="6"/>
  <c r="E50" i="6" s="1"/>
  <c r="D36" i="6"/>
  <c r="E36" i="6" s="1"/>
  <c r="D48" i="6"/>
  <c r="E48" i="6" s="1"/>
  <c r="D46" i="6"/>
  <c r="E46" i="6" s="1"/>
  <c r="D39" i="6"/>
  <c r="E39" i="6" s="1"/>
  <c r="D43" i="6"/>
  <c r="E43" i="6" s="1"/>
  <c r="D51" i="6"/>
  <c r="E51" i="6" s="1"/>
  <c r="D47" i="6"/>
  <c r="E47" i="6" s="1"/>
  <c r="D35" i="6"/>
  <c r="E35" i="6" s="1"/>
  <c r="D40" i="6"/>
  <c r="E40" i="6" s="1"/>
  <c r="D38" i="6"/>
  <c r="E38" i="6" s="1"/>
  <c r="D34" i="6"/>
  <c r="E34" i="6" s="1"/>
  <c r="D44" i="6"/>
  <c r="E44" i="6" s="1"/>
  <c r="D31" i="6"/>
  <c r="E31" i="6" s="1"/>
  <c r="H30" i="6" s="1"/>
  <c r="D32" i="6"/>
  <c r="E32" i="6" s="1"/>
  <c r="L33" i="9"/>
  <c r="C33" i="9"/>
  <c r="D17" i="9"/>
  <c r="E17" i="9" s="1"/>
  <c r="L17" i="9"/>
  <c r="D25" i="9"/>
  <c r="E25" i="9" s="1"/>
  <c r="L25" i="9"/>
  <c r="Q35" i="7"/>
  <c r="Q34" i="7"/>
  <c r="Q33" i="7"/>
  <c r="Q32" i="7"/>
  <c r="Q31" i="7"/>
  <c r="M31" i="7"/>
  <c r="L32" i="7" s="1"/>
  <c r="M30" i="7"/>
  <c r="N30" i="7" s="1"/>
  <c r="Q27" i="7"/>
  <c r="Q26" i="7"/>
  <c r="Q25" i="7"/>
  <c r="Q24" i="7"/>
  <c r="Q23" i="7"/>
  <c r="M23" i="7"/>
  <c r="N23" i="7" s="1"/>
  <c r="M22" i="7"/>
  <c r="N22" i="7" s="1"/>
  <c r="Q19" i="7"/>
  <c r="Q18" i="7"/>
  <c r="O18" i="7"/>
  <c r="Q17" i="7"/>
  <c r="Q16" i="7"/>
  <c r="Q15" i="7"/>
  <c r="M15" i="7"/>
  <c r="L16" i="7" s="1"/>
  <c r="M14" i="7"/>
  <c r="N14" i="7" s="1"/>
  <c r="H35" i="7"/>
  <c r="H34" i="7"/>
  <c r="H33" i="7"/>
  <c r="H32" i="7"/>
  <c r="H31" i="7"/>
  <c r="D31" i="7"/>
  <c r="E31" i="7" s="1"/>
  <c r="D30" i="7"/>
  <c r="E30" i="7" s="1"/>
  <c r="H27" i="7"/>
  <c r="H26" i="7"/>
  <c r="H25" i="7"/>
  <c r="H24" i="7"/>
  <c r="H23" i="7"/>
  <c r="D23" i="7"/>
  <c r="E23" i="7" s="1"/>
  <c r="E22" i="7"/>
  <c r="D22" i="7"/>
  <c r="L26" i="9" l="1"/>
  <c r="M25" i="9"/>
  <c r="N25" i="9" s="1"/>
  <c r="C26" i="9"/>
  <c r="D33" i="9"/>
  <c r="E33" i="9" s="1"/>
  <c r="M17" i="9"/>
  <c r="N17" i="9" s="1"/>
  <c r="M33" i="9"/>
  <c r="N33" i="9" s="1"/>
  <c r="C18" i="9"/>
  <c r="C32" i="7"/>
  <c r="D32" i="7" s="1"/>
  <c r="E32" i="7" s="1"/>
  <c r="C24" i="7"/>
  <c r="D24" i="7" s="1"/>
  <c r="E24" i="7" s="1"/>
  <c r="M16" i="7"/>
  <c r="N16" i="7" s="1"/>
  <c r="M32" i="7"/>
  <c r="N32" i="7" s="1"/>
  <c r="N15" i="7"/>
  <c r="L24" i="7"/>
  <c r="N31" i="7"/>
  <c r="N19" i="6"/>
  <c r="N18" i="6"/>
  <c r="N17" i="6"/>
  <c r="N16" i="6"/>
  <c r="N15" i="6"/>
  <c r="L14" i="6"/>
  <c r="L19" i="6"/>
  <c r="L18" i="6"/>
  <c r="L17" i="6"/>
  <c r="L16" i="6"/>
  <c r="L15" i="6"/>
  <c r="J29" i="1"/>
  <c r="J28" i="1"/>
  <c r="J27" i="1"/>
  <c r="J26" i="1"/>
  <c r="J25" i="1"/>
  <c r="J24" i="1"/>
  <c r="H28" i="1"/>
  <c r="H27" i="1"/>
  <c r="H26" i="1"/>
  <c r="H25" i="1"/>
  <c r="H24" i="1"/>
  <c r="L27" i="9" l="1"/>
  <c r="M27" i="9" s="1"/>
  <c r="N27" i="9" s="1"/>
  <c r="M26" i="9"/>
  <c r="N26" i="9" s="1"/>
  <c r="L34" i="9"/>
  <c r="L18" i="9"/>
  <c r="C34" i="9"/>
  <c r="D26" i="9"/>
  <c r="E26" i="9" s="1"/>
  <c r="D18" i="9"/>
  <c r="E18" i="9" s="1"/>
  <c r="C25" i="7"/>
  <c r="C33" i="7"/>
  <c r="M24" i="7"/>
  <c r="N24" i="7" s="1"/>
  <c r="L33" i="7"/>
  <c r="L17" i="7"/>
  <c r="D33" i="7"/>
  <c r="E33" i="7" s="1"/>
  <c r="C34" i="7"/>
  <c r="D25" i="7"/>
  <c r="E25" i="7" s="1"/>
  <c r="I28" i="1"/>
  <c r="D28" i="1"/>
  <c r="E28" i="1" s="1"/>
  <c r="I27" i="1"/>
  <c r="D27" i="1"/>
  <c r="E27" i="1" s="1"/>
  <c r="I26" i="1"/>
  <c r="D26" i="1"/>
  <c r="E26" i="1" s="1"/>
  <c r="I25" i="1"/>
  <c r="D25" i="1"/>
  <c r="E25" i="1" s="1"/>
  <c r="D24" i="1"/>
  <c r="E24" i="1" s="1"/>
  <c r="I20" i="1"/>
  <c r="I19" i="1"/>
  <c r="I18" i="1"/>
  <c r="I17" i="1"/>
  <c r="D20" i="1"/>
  <c r="E20" i="1" s="1"/>
  <c r="D19" i="1"/>
  <c r="E19" i="1" s="1"/>
  <c r="D18" i="1"/>
  <c r="E18" i="1" s="1"/>
  <c r="D17" i="1"/>
  <c r="E17" i="1" s="1"/>
  <c r="D16" i="1"/>
  <c r="B38" i="1" l="1"/>
  <c r="C19" i="9"/>
  <c r="D19" i="9" s="1"/>
  <c r="E19" i="9" s="1"/>
  <c r="C27" i="9"/>
  <c r="D27" i="9" s="1"/>
  <c r="E27" i="9" s="1"/>
  <c r="C35" i="9"/>
  <c r="D35" i="9" s="1"/>
  <c r="E35" i="9" s="1"/>
  <c r="D34" i="9"/>
  <c r="E34" i="9" s="1"/>
  <c r="M18" i="9"/>
  <c r="N18" i="9" s="1"/>
  <c r="M34" i="9"/>
  <c r="N34" i="9" s="1"/>
  <c r="L35" i="9"/>
  <c r="M35" i="9" s="1"/>
  <c r="N35" i="9" s="1"/>
  <c r="C26" i="7"/>
  <c r="M33" i="7"/>
  <c r="N33" i="7" s="1"/>
  <c r="M17" i="7"/>
  <c r="N17" i="7" s="1"/>
  <c r="L25" i="7"/>
  <c r="D34" i="7"/>
  <c r="E34" i="7" s="1"/>
  <c r="D26" i="7"/>
  <c r="E26" i="7" s="1"/>
  <c r="H19" i="7"/>
  <c r="H18" i="7"/>
  <c r="H17" i="7"/>
  <c r="H16" i="7"/>
  <c r="D15" i="7"/>
  <c r="C16" i="7" s="1"/>
  <c r="D14" i="7"/>
  <c r="E14" i="7" s="1"/>
  <c r="F19" i="6"/>
  <c r="F18" i="6"/>
  <c r="F17" i="6"/>
  <c r="F16" i="6"/>
  <c r="F15" i="6"/>
  <c r="F14" i="6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U57" i="1"/>
  <c r="U56" i="1"/>
  <c r="U55" i="1"/>
  <c r="U54" i="1"/>
  <c r="U53" i="1"/>
  <c r="U52" i="1"/>
  <c r="W32" i="1"/>
  <c r="V37" i="1"/>
  <c r="V36" i="1"/>
  <c r="V35" i="1"/>
  <c r="W35" i="1" s="1"/>
  <c r="V34" i="1"/>
  <c r="V33" i="1"/>
  <c r="V32" i="1"/>
  <c r="V47" i="1"/>
  <c r="V46" i="1"/>
  <c r="W46" i="1" s="1"/>
  <c r="V45" i="1"/>
  <c r="V44" i="1"/>
  <c r="V43" i="1"/>
  <c r="W43" i="1" s="1"/>
  <c r="V42" i="1"/>
  <c r="U47" i="1"/>
  <c r="O47" i="1"/>
  <c r="P47" i="1" s="1"/>
  <c r="U46" i="1"/>
  <c r="O46" i="1"/>
  <c r="P46" i="1" s="1"/>
  <c r="U45" i="1"/>
  <c r="O45" i="1"/>
  <c r="P45" i="1" s="1"/>
  <c r="U44" i="1"/>
  <c r="O44" i="1"/>
  <c r="P44" i="1" s="1"/>
  <c r="U43" i="1"/>
  <c r="O43" i="1"/>
  <c r="P43" i="1" s="1"/>
  <c r="U42" i="1"/>
  <c r="O42" i="1"/>
  <c r="P42" i="1" s="1"/>
  <c r="U37" i="1"/>
  <c r="O37" i="1"/>
  <c r="P37" i="1" s="1"/>
  <c r="U36" i="1"/>
  <c r="U35" i="1"/>
  <c r="U34" i="1"/>
  <c r="U33" i="1"/>
  <c r="U32" i="1"/>
  <c r="O36" i="1"/>
  <c r="P36" i="1" s="1"/>
  <c r="O35" i="1"/>
  <c r="P35" i="1" s="1"/>
  <c r="O34" i="1"/>
  <c r="P34" i="1" s="1"/>
  <c r="O33" i="1"/>
  <c r="P33" i="1" s="1"/>
  <c r="O32" i="1"/>
  <c r="P32" i="1" s="1"/>
  <c r="T27" i="1"/>
  <c r="T26" i="1"/>
  <c r="T25" i="1"/>
  <c r="T24" i="1"/>
  <c r="O27" i="1"/>
  <c r="P27" i="1" s="1"/>
  <c r="O26" i="1"/>
  <c r="P26" i="1" s="1"/>
  <c r="O25" i="1"/>
  <c r="P25" i="1" s="1"/>
  <c r="O24" i="1"/>
  <c r="P24" i="1" s="1"/>
  <c r="O23" i="1"/>
  <c r="P23" i="1" s="1"/>
  <c r="W17" i="1"/>
  <c r="W20" i="1"/>
  <c r="T17" i="1"/>
  <c r="T18" i="1"/>
  <c r="T19" i="1"/>
  <c r="T20" i="1"/>
  <c r="W19" i="1"/>
  <c r="W18" i="1"/>
  <c r="D68" i="1" l="1"/>
  <c r="D60" i="1"/>
  <c r="D52" i="1"/>
  <c r="D44" i="1"/>
  <c r="D66" i="1"/>
  <c r="D42" i="1"/>
  <c r="D65" i="1"/>
  <c r="D41" i="1"/>
  <c r="D56" i="1"/>
  <c r="D67" i="1"/>
  <c r="D59" i="1"/>
  <c r="D51" i="1"/>
  <c r="D43" i="1"/>
  <c r="D58" i="1"/>
  <c r="D50" i="1"/>
  <c r="D57" i="1"/>
  <c r="D49" i="1"/>
  <c r="D64" i="1"/>
  <c r="D48" i="1"/>
  <c r="D63" i="1"/>
  <c r="D55" i="1"/>
  <c r="D47" i="1"/>
  <c r="D39" i="1"/>
  <c r="D62" i="1"/>
  <c r="D54" i="1"/>
  <c r="D46" i="1"/>
  <c r="D61" i="1"/>
  <c r="D53" i="1"/>
  <c r="D45" i="1"/>
  <c r="L19" i="9"/>
  <c r="M19" i="9" s="1"/>
  <c r="N19" i="9" s="1"/>
  <c r="W33" i="1"/>
  <c r="W44" i="1"/>
  <c r="W36" i="1"/>
  <c r="L34" i="7"/>
  <c r="M34" i="7"/>
  <c r="N34" i="7" s="1"/>
  <c r="M25" i="7"/>
  <c r="N25" i="7" s="1"/>
  <c r="L18" i="7"/>
  <c r="C35" i="7"/>
  <c r="D35" i="7" s="1"/>
  <c r="E35" i="7" s="1"/>
  <c r="C27" i="7"/>
  <c r="D27" i="7" s="1"/>
  <c r="E27" i="7" s="1"/>
  <c r="D16" i="7"/>
  <c r="E16" i="7" s="1"/>
  <c r="E15" i="7"/>
  <c r="W34" i="1"/>
  <c r="W45" i="1"/>
  <c r="I20" i="5"/>
  <c r="I19" i="5"/>
  <c r="I18" i="5"/>
  <c r="I17" i="5"/>
  <c r="I16" i="5"/>
  <c r="D38" i="1" l="1"/>
  <c r="D40" i="1"/>
  <c r="L26" i="7"/>
  <c r="L35" i="7"/>
  <c r="M35" i="7" s="1"/>
  <c r="N35" i="7" s="1"/>
  <c r="M18" i="7"/>
  <c r="N18" i="7" s="1"/>
  <c r="L19" i="7"/>
  <c r="M19" i="7" s="1"/>
  <c r="N19" i="7" s="1"/>
  <c r="C17" i="7"/>
  <c r="M18" i="6"/>
  <c r="M15" i="6"/>
  <c r="M16" i="6"/>
  <c r="M17" i="6"/>
  <c r="M19" i="6"/>
  <c r="D15" i="6"/>
  <c r="E15" i="6" s="1"/>
  <c r="D14" i="6"/>
  <c r="E14" i="6" s="1"/>
  <c r="E35" i="1" l="1"/>
  <c r="M26" i="7"/>
  <c r="N26" i="7" s="1"/>
  <c r="D17" i="7"/>
  <c r="E17" i="7" s="1"/>
  <c r="C16" i="6"/>
  <c r="D16" i="6" s="1"/>
  <c r="E16" i="6" s="1"/>
  <c r="F16" i="5"/>
  <c r="F17" i="5" s="1"/>
  <c r="F18" i="5" s="1"/>
  <c r="F19" i="5" s="1"/>
  <c r="F20" i="5" s="1"/>
  <c r="F14" i="5" s="1"/>
  <c r="D16" i="5"/>
  <c r="D15" i="5"/>
  <c r="E15" i="5" s="1"/>
  <c r="O17" i="1"/>
  <c r="O16" i="1"/>
  <c r="P16" i="1" s="1"/>
  <c r="L27" i="7" l="1"/>
  <c r="M27" i="7" s="1"/>
  <c r="N27" i="7" s="1"/>
  <c r="C18" i="7"/>
  <c r="D18" i="7" s="1"/>
  <c r="E18" i="7" s="1"/>
  <c r="C17" i="5"/>
  <c r="E16" i="5"/>
  <c r="C17" i="6"/>
  <c r="D17" i="6" s="1"/>
  <c r="E17" i="6" s="1"/>
  <c r="O18" i="1"/>
  <c r="P18" i="1" s="1"/>
  <c r="P17" i="1"/>
  <c r="D17" i="5"/>
  <c r="C18" i="5" l="1"/>
  <c r="D18" i="5" s="1"/>
  <c r="E17" i="5"/>
  <c r="C19" i="7"/>
  <c r="D19" i="7" s="1"/>
  <c r="E19" i="7" s="1"/>
  <c r="C18" i="6"/>
  <c r="D18" i="6" s="1"/>
  <c r="E18" i="6" s="1"/>
  <c r="O19" i="1"/>
  <c r="C19" i="5" l="1"/>
  <c r="D19" i="5" s="1"/>
  <c r="E18" i="5"/>
  <c r="C19" i="6"/>
  <c r="D19" i="6" s="1"/>
  <c r="E19" i="6" s="1"/>
  <c r="O20" i="1"/>
  <c r="P20" i="1" s="1"/>
  <c r="P19" i="1"/>
  <c r="C20" i="5" l="1"/>
  <c r="D20" i="5" s="1"/>
  <c r="E20" i="5" s="1"/>
  <c r="E19" i="5"/>
</calcChain>
</file>

<file path=xl/comments1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nnections.xml><?xml version="1.0" encoding="utf-8"?>
<connections xmlns="http://schemas.openxmlformats.org/spreadsheetml/2006/main">
  <connection id="1" name="output_linearization_1_CV_31_output" type="6" refreshedVersion="6" background="1" saveData="1">
    <textPr codePage="850" sourceFile="C:\Users\Alex\Documents\GitHub\CFD_course\assignment_1\problem_2\output_linearization_1_CV_31_output.txt" delimited="0">
      <textFields count="8">
        <textField/>
        <textField position="2"/>
        <textField position="7"/>
        <textField position="17"/>
        <textField position="29"/>
        <textField position="40"/>
        <textField position="51"/>
        <textField position="61"/>
      </textFields>
    </textPr>
  </connection>
  <connection id="2" name="output_linearization_1_CV_32_output" type="6" refreshedVersion="6" background="1" saveData="1">
    <textPr codePage="850" sourceFile="C:\Users\Alex\Documents\GitHub\CFD_course\assignment_1\problem_3\output_linearization_1_CV_32_output.txt" delimited="0">
      <textFields count="8">
        <textField/>
        <textField position="2"/>
        <textField position="7"/>
        <textField position="17"/>
        <textField position="28"/>
        <textField position="39"/>
        <textField position="50"/>
        <textField position="61"/>
      </textFields>
    </textPr>
  </connection>
</connections>
</file>

<file path=xl/sharedStrings.xml><?xml version="1.0" encoding="utf-8"?>
<sst xmlns="http://schemas.openxmlformats.org/spreadsheetml/2006/main" count="434" uniqueCount="152">
  <si>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</si>
  <si>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</si>
  <si>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</si>
  <si>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</si>
  <si>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</si>
  <si>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</si>
  <si>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</si>
  <si>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% Chg. In Tmin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</si>
  <si>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</si>
  <si>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</si>
  <si>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</si>
  <si>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</si>
  <si>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</si>
  <si>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</si>
  <si>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</si>
  <si>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Base Heat Flux (W/m^2)</t>
  </si>
  <si>
    <t>Average Residual</t>
  </si>
  <si>
    <t>L</t>
  </si>
  <si>
    <t>length of the bar</t>
  </si>
  <si>
    <t>m</t>
  </si>
  <si>
    <t>Avg. Res.</t>
  </si>
  <si>
    <t>Temperature Grad (K/m)</t>
  </si>
  <si>
    <t>GRADIENT OVER HALF FIN</t>
  </si>
  <si>
    <t>GRADIENT OVER TWO NODES CLOSEST TO CENTER</t>
  </si>
  <si>
    <t>GRADIENT OVER THREE NODES CLOSEST TO CENTER</t>
  </si>
  <si>
    <t>First Temp Grad (K/m)</t>
  </si>
  <si>
    <t>Second Temp Grad (K/m)</t>
  </si>
  <si>
    <t>Percent Difference (2f1)</t>
  </si>
  <si>
    <t>COMPARE FIRST HALF WITH SECOND GRADIENT: 1 Node</t>
  </si>
  <si>
    <t>COMPARE FIRST HALF WITH SECOND GRADIENT: 2 Nodes</t>
  </si>
  <si>
    <t>Difference</t>
  </si>
  <si>
    <t>Change in Dif</t>
  </si>
  <si>
    <t>COMPARE FIRST HALF WITH SECOND GRADIENT: Half Center Node</t>
  </si>
  <si>
    <t xml:space="preserve">L </t>
  </si>
  <si>
    <t>See problem_4 directory for plots</t>
  </si>
  <si>
    <t>Density</t>
  </si>
  <si>
    <t>CP</t>
  </si>
  <si>
    <t>H</t>
  </si>
  <si>
    <t>T1</t>
  </si>
  <si>
    <t>T2</t>
  </si>
  <si>
    <t>k</t>
  </si>
  <si>
    <t>C</t>
  </si>
  <si>
    <t>W/m^2K</t>
  </si>
  <si>
    <t>J/kgK</t>
  </si>
  <si>
    <t>kg/m3</t>
  </si>
  <si>
    <t>W/mK</t>
  </si>
  <si>
    <t>TINF</t>
  </si>
  <si>
    <t>HEAT FLUX 1-&gt;2 Node</t>
  </si>
  <si>
    <t>Percent change (2f1)</t>
  </si>
  <si>
    <t>temp grad</t>
  </si>
  <si>
    <t>b</t>
  </si>
  <si>
    <t>h</t>
  </si>
  <si>
    <t>Q</t>
  </si>
  <si>
    <t>W/m^3</t>
  </si>
  <si>
    <t>Residual</t>
  </si>
  <si>
    <t>Robin boundary condition</t>
  </si>
  <si>
    <t xml:space="preserve">Only internal gen on internal nodes, therfore set R(I) = 0 </t>
  </si>
  <si>
    <t>Only occurs on outside faces</t>
  </si>
  <si>
    <t>Heat flux</t>
  </si>
  <si>
    <t>% Chg. HF</t>
  </si>
  <si>
    <t>X Pos</t>
  </si>
  <si>
    <t>Y,Z</t>
  </si>
  <si>
    <t xml:space="preserve">T1 </t>
  </si>
  <si>
    <t>K</t>
  </si>
  <si>
    <t>EMIS</t>
  </si>
  <si>
    <t>Wood</t>
  </si>
  <si>
    <t xml:space="preserve">Cp </t>
  </si>
  <si>
    <t>Steel</t>
  </si>
  <si>
    <t>Linearization 1</t>
  </si>
  <si>
    <t>Linearization 2</t>
  </si>
  <si>
    <t>Linearization 3 - Newton Raphson</t>
  </si>
  <si>
    <t>residuals did not reach crit</t>
  </si>
  <si>
    <t>resid converged, not crit</t>
  </si>
  <si>
    <t>resid did not converge or crit</t>
  </si>
  <si>
    <t>resid converged to 3.91 and 3.05, not crit</t>
  </si>
  <si>
    <t>did not converge, reached crit</t>
  </si>
  <si>
    <t>converged to 1.28 and 1.22 after 50 it., not crit</t>
  </si>
  <si>
    <t>converged to 1.56 and 1.316 after 50 it., not crit</t>
  </si>
  <si>
    <t>converged to 3.488 and 4.1992 after 50 it., not crit</t>
  </si>
  <si>
    <t>converged after 28 it., not crit</t>
  </si>
  <si>
    <t>reached crit after 6 iterations</t>
  </si>
  <si>
    <t>reached crit after 7 iterations</t>
  </si>
  <si>
    <t>did not converge, or reach crit. Between 1.39 and 2.34 every 4 iterations after 16</t>
  </si>
  <si>
    <t>converged after 10 it., not to crit</t>
  </si>
  <si>
    <t>did not converge, or reach crit. Between 4.43 and 5.5411 every 5 iterations after 21</t>
  </si>
  <si>
    <t>Comments</t>
  </si>
  <si>
    <t>Residual went to infinity after 2 iterations, no solution</t>
  </si>
  <si>
    <t>NA</t>
  </si>
  <si>
    <t>residuals did not converge, 9.119e10 to 31.6636 after 4. No solution</t>
  </si>
  <si>
    <t>residuals did not converge, 5.68e9 to 4.566 after 5. No solution</t>
  </si>
  <si>
    <t>residuals did not converge, 1.616e10 to 10.5879 after 5. No solution</t>
  </si>
  <si>
    <t>residuals did not converge, 2.518e9 to 2.157 after 5. No solution</t>
  </si>
  <si>
    <t>residuals did not converge, 5.914e8 to 0.5515 after 5. No solution</t>
  </si>
  <si>
    <t>residuals reached crit after 6 iterations, did not converge</t>
  </si>
  <si>
    <t>residuals didn't reach crit, but converged</t>
  </si>
  <si>
    <t>x</t>
  </si>
  <si>
    <t>Surface 1</t>
  </si>
  <si>
    <t>Surface 2</t>
  </si>
  <si>
    <t>T(x) [C]</t>
  </si>
  <si>
    <t>T(x) [K]</t>
  </si>
  <si>
    <t>Analytic Solution</t>
  </si>
  <si>
    <t>x [m]</t>
  </si>
  <si>
    <t>Ts(x) [C]</t>
  </si>
  <si>
    <t>Ts(x) [K]</t>
  </si>
  <si>
    <t>P</t>
  </si>
  <si>
    <t>Ac</t>
  </si>
  <si>
    <t>YZ</t>
  </si>
  <si>
    <t>Constants</t>
  </si>
  <si>
    <t xml:space="preserve">TINF </t>
  </si>
  <si>
    <t>resid not converged, reached crit at 96 it</t>
  </si>
  <si>
    <t>resid not converged, reached crit at 26 it</t>
  </si>
  <si>
    <t>resid not converged, reached crit at 21 it</t>
  </si>
  <si>
    <t>resid not converged, reached crit at 20 it</t>
  </si>
  <si>
    <t xml:space="preserve">residuals btw 1.341 and 1.686 since 20, not crit </t>
  </si>
  <si>
    <t xml:space="preserve">residuals btw 2.69 and 2.709 since 20, not crit </t>
  </si>
  <si>
    <t>resid not conv., reached crit at 26</t>
  </si>
  <si>
    <t>resid not conv., reached crit at 17</t>
  </si>
  <si>
    <t>reached crit at 15, did not conv</t>
  </si>
  <si>
    <t>did not conv, reached crit at 15</t>
  </si>
  <si>
    <t>converged to 1.419 after 16</t>
  </si>
  <si>
    <t>converged after 12, not crit</t>
  </si>
  <si>
    <t>didn't reach crit, converged after 7</t>
  </si>
  <si>
    <t>bounced btw 3.05 and 5.72 after 21</t>
  </si>
  <si>
    <t xml:space="preserve">residuals did not converge, btw 23.25 and 9.96e-2 after 2, no soln </t>
  </si>
  <si>
    <t>residuals did not converge, btw 9.175 and 6.61e-2 aftern 2, no soln</t>
  </si>
  <si>
    <t>residuals did not converge, btw 4.081 and 5.566e-2 aftern 2, no soln</t>
  </si>
  <si>
    <t>residuals did not converge, btw 1.875 and 4.8688e-2 aftern 2, no soln</t>
  </si>
  <si>
    <t>residuals did not converge, btw 0.754 and 3.6995e-2 aftern 2, no soln</t>
  </si>
  <si>
    <t>residuals did not converge, btw 0.2496 and 1.8193e-2 aftern 2, no soln</t>
  </si>
  <si>
    <t>residuals reached crit after 12 iterations, did not converge</t>
  </si>
  <si>
    <t>residuals reached crit after 11 iterations, did not converge</t>
  </si>
  <si>
    <t>residuals reached crit after 10 iterations, did not converge</t>
  </si>
  <si>
    <t>residuals converged after 1st it. Didn't reach crit</t>
  </si>
  <si>
    <t>reached crit after 1st it</t>
  </si>
  <si>
    <t>#</t>
  </si>
  <si>
    <t>I XP</t>
  </si>
  <si>
    <t>T DE ATW</t>
  </si>
  <si>
    <t>ATP BT</t>
  </si>
  <si>
    <t>TEMP GRAD OVER 1-&gt;2 NODE</t>
  </si>
  <si>
    <t>MAX</t>
  </si>
  <si>
    <t>residuals reached crit</t>
  </si>
  <si>
    <t>qL</t>
  </si>
  <si>
    <t>k/2L</t>
  </si>
  <si>
    <t>Ts2 =</t>
  </si>
  <si>
    <t>+</t>
  </si>
  <si>
    <t>*</t>
  </si>
  <si>
    <t>Ts1</t>
  </si>
  <si>
    <t>Ts1=</t>
  </si>
  <si>
    <t>/</t>
  </si>
  <si>
    <t>=</t>
  </si>
  <si>
    <t>X</t>
  </si>
  <si>
    <t>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</si>
</sst>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%"/>
    <numFmt numFmtId="165" formatCode="0.00000%"/>
    <numFmt numFmtId="166" formatCode="0.00000"/>
    <numFmt numFmtId="171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4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Font="1"/>
    <xf numFmtId="11" fontId="0" fillId="0" borderId="22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40" xfId="0" quotePrefix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11" fontId="0" fillId="0" borderId="43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8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1" fillId="0" borderId="0" xfId="0" applyFont="1"/>
    <xf numFmtId="11" fontId="0" fillId="0" borderId="34" xfId="0" applyNumberFormat="1" applyFill="1" applyBorder="1" applyAlignment="1">
      <alignment horizontal="center"/>
    </xf>
    <xf numFmtId="0" fontId="1" fillId="0" borderId="52" xfId="0" applyFont="1" applyBorder="1"/>
    <xf numFmtId="0" fontId="1" fillId="0" borderId="53" xfId="0" applyFont="1" applyBorder="1" applyAlignment="1">
      <alignment horizontal="center"/>
    </xf>
    <xf numFmtId="165" fontId="0" fillId="0" borderId="54" xfId="1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165" fontId="0" fillId="0" borderId="55" xfId="1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8" xfId="0" applyFill="1" applyBorder="1" applyAlignment="1">
      <alignment horizontal="center"/>
    </xf>
    <xf numFmtId="165" fontId="0" fillId="0" borderId="59" xfId="1" applyNumberFormat="1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11" fontId="0" fillId="0" borderId="58" xfId="0" applyNumberFormat="1" applyBorder="1" applyAlignment="1">
      <alignment horizontal="center"/>
    </xf>
    <xf numFmtId="0" fontId="0" fillId="0" borderId="65" xfId="0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6" xfId="0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67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 wrapText="1"/>
    </xf>
    <xf numFmtId="0" fontId="0" fillId="0" borderId="57" xfId="0" applyBorder="1" applyAlignment="1">
      <alignment horizontal="center"/>
    </xf>
    <xf numFmtId="11" fontId="0" fillId="0" borderId="65" xfId="0" applyNumberFormat="1" applyFill="1" applyBorder="1" applyAlignment="1">
      <alignment horizontal="center"/>
    </xf>
    <xf numFmtId="11" fontId="0" fillId="0" borderId="66" xfId="0" applyNumberFormat="1" applyFill="1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6" xfId="0" applyBorder="1"/>
    <xf numFmtId="0" fontId="0" fillId="0" borderId="60" xfId="0" applyBorder="1"/>
    <xf numFmtId="0" fontId="0" fillId="0" borderId="0" xfId="0" applyBorder="1"/>
    <xf numFmtId="0" fontId="0" fillId="0" borderId="28" xfId="0" applyBorder="1"/>
    <xf numFmtId="0" fontId="0" fillId="0" borderId="5" xfId="0" applyBorder="1"/>
    <xf numFmtId="166" fontId="0" fillId="0" borderId="6" xfId="0" applyNumberFormat="1" applyBorder="1"/>
    <xf numFmtId="0" fontId="0" fillId="0" borderId="31" xfId="0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166" fontId="0" fillId="0" borderId="2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4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64" fontId="0" fillId="0" borderId="40" xfId="1" applyNumberFormat="1" applyFont="1" applyBorder="1" applyAlignment="1">
      <alignment horizontal="center"/>
    </xf>
    <xf numFmtId="171" fontId="0" fillId="0" borderId="24" xfId="0" applyNumberFormat="1" applyBorder="1" applyAlignment="1">
      <alignment horizontal="center"/>
    </xf>
    <xf numFmtId="171" fontId="0" fillId="0" borderId="34" xfId="0" applyNumberFormat="1" applyFill="1" applyBorder="1" applyAlignment="1">
      <alignment horizontal="center"/>
    </xf>
    <xf numFmtId="0" fontId="0" fillId="0" borderId="10" xfId="0" applyBorder="1"/>
    <xf numFmtId="0" fontId="0" fillId="0" borderId="61" xfId="0" applyBorder="1"/>
    <xf numFmtId="0" fontId="0" fillId="0" borderId="40" xfId="0" applyBorder="1"/>
    <xf numFmtId="0" fontId="0" fillId="0" borderId="41" xfId="0" applyBorder="1"/>
    <xf numFmtId="0" fontId="0" fillId="0" borderId="18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" xfId="0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0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4" xfId="0" applyFill="1" applyBorder="1" applyAlignment="1">
      <alignment horizontal="center"/>
    </xf>
    <xf numFmtId="11" fontId="0" fillId="0" borderId="51" xfId="0" applyNumberFormat="1" applyFont="1" applyBorder="1" applyAlignment="1">
      <alignment horizontal="center"/>
    </xf>
    <xf numFmtId="165" fontId="0" fillId="0" borderId="41" xfId="1" applyNumberFormat="1" applyFont="1" applyFill="1" applyBorder="1" applyAlignment="1">
      <alignment horizontal="center"/>
    </xf>
    <xf numFmtId="165" fontId="0" fillId="0" borderId="66" xfId="1" applyNumberFormat="1" applyFont="1" applyFill="1" applyBorder="1" applyAlignment="1">
      <alignment horizontal="center"/>
    </xf>
    <xf numFmtId="165" fontId="0" fillId="0" borderId="42" xfId="1" applyNumberFormat="1" applyFont="1" applyFill="1" applyBorder="1" applyAlignment="1">
      <alignment horizontal="center"/>
    </xf>
    <xf numFmtId="165" fontId="0" fillId="0" borderId="71" xfId="1" applyNumberFormat="1" applyFont="1" applyFill="1" applyBorder="1" applyAlignment="1">
      <alignment horizontal="center"/>
    </xf>
    <xf numFmtId="0" fontId="0" fillId="0" borderId="72" xfId="0" applyBorder="1"/>
    <xf numFmtId="0" fontId="0" fillId="0" borderId="41" xfId="0" applyFill="1" applyBorder="1"/>
    <xf numFmtId="0" fontId="0" fillId="0" borderId="42" xfId="0" applyFill="1" applyBorder="1"/>
    <xf numFmtId="0" fontId="0" fillId="0" borderId="44" xfId="0" applyBorder="1"/>
    <xf numFmtId="0" fontId="1" fillId="0" borderId="52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58" xfId="0" applyBorder="1"/>
    <xf numFmtId="0" fontId="0" fillId="0" borderId="51" xfId="0" applyBorder="1"/>
    <xf numFmtId="0" fontId="0" fillId="0" borderId="54" xfId="0" applyBorder="1"/>
    <xf numFmtId="0" fontId="1" fillId="0" borderId="68" xfId="0" applyFont="1" applyBorder="1" applyAlignment="1">
      <alignment horizontal="center"/>
    </xf>
    <xf numFmtId="0" fontId="0" fillId="0" borderId="30" xfId="0" applyBorder="1"/>
    <xf numFmtId="0" fontId="0" fillId="0" borderId="59" xfId="0" applyBorder="1" applyAlignment="1">
      <alignment horizontal="center"/>
    </xf>
    <xf numFmtId="0" fontId="0" fillId="0" borderId="7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problem2!$D$74:$D$106</c:f>
              <c:numCache>
                <c:formatCode>General</c:formatCode>
                <c:ptCount val="33"/>
                <c:pt idx="0">
                  <c:v>0</c:v>
                </c:pt>
                <c:pt idx="1">
                  <c:v>1.6100000000000001E-3</c:v>
                </c:pt>
                <c:pt idx="2">
                  <c:v>4.8399999999999997E-3</c:v>
                </c:pt>
                <c:pt idx="3">
                  <c:v>8.0700000000000008E-3</c:v>
                </c:pt>
                <c:pt idx="4">
                  <c:v>1.1299999999999999E-2</c:v>
                </c:pt>
                <c:pt idx="5">
                  <c:v>1.453E-2</c:v>
                </c:pt>
                <c:pt idx="6">
                  <c:v>1.7770000000000001E-2</c:v>
                </c:pt>
                <c:pt idx="7">
                  <c:v>2.0990000000000002E-2</c:v>
                </c:pt>
                <c:pt idx="8">
                  <c:v>2.4230000000000002E-2</c:v>
                </c:pt>
                <c:pt idx="9">
                  <c:v>2.7449999999999999E-2</c:v>
                </c:pt>
                <c:pt idx="10">
                  <c:v>3.0689999999999999E-2</c:v>
                </c:pt>
                <c:pt idx="11">
                  <c:v>3.3910000000000003E-2</c:v>
                </c:pt>
                <c:pt idx="12">
                  <c:v>3.7139999999999999E-2</c:v>
                </c:pt>
                <c:pt idx="13">
                  <c:v>4.0370000000000003E-2</c:v>
                </c:pt>
                <c:pt idx="14">
                  <c:v>4.36E-2</c:v>
                </c:pt>
                <c:pt idx="15">
                  <c:v>4.6829999999999997E-2</c:v>
                </c:pt>
                <c:pt idx="16">
                  <c:v>5.006E-2</c:v>
                </c:pt>
                <c:pt idx="17">
                  <c:v>5.3289999999999997E-2</c:v>
                </c:pt>
                <c:pt idx="18">
                  <c:v>5.6520000000000001E-2</c:v>
                </c:pt>
                <c:pt idx="19">
                  <c:v>5.9749999999999998E-2</c:v>
                </c:pt>
                <c:pt idx="20">
                  <c:v>6.2990000000000004E-2</c:v>
                </c:pt>
                <c:pt idx="21">
                  <c:v>6.6210000000000005E-2</c:v>
                </c:pt>
                <c:pt idx="22">
                  <c:v>6.9440000000000002E-2</c:v>
                </c:pt>
                <c:pt idx="23">
                  <c:v>7.2679999999999995E-2</c:v>
                </c:pt>
                <c:pt idx="24">
                  <c:v>7.5899999999999995E-2</c:v>
                </c:pt>
                <c:pt idx="25">
                  <c:v>7.9140000000000002E-2</c:v>
                </c:pt>
                <c:pt idx="26">
                  <c:v>8.2360000000000003E-2</c:v>
                </c:pt>
                <c:pt idx="27">
                  <c:v>8.5589999999999999E-2</c:v>
                </c:pt>
                <c:pt idx="28">
                  <c:v>8.8830000000000006E-2</c:v>
                </c:pt>
                <c:pt idx="29">
                  <c:v>9.2050000000000007E-2</c:v>
                </c:pt>
                <c:pt idx="30">
                  <c:v>9.5280000000000004E-2</c:v>
                </c:pt>
                <c:pt idx="31">
                  <c:v>9.8519999999999996E-2</c:v>
                </c:pt>
                <c:pt idx="32">
                  <c:v>0.10013</c:v>
                </c:pt>
              </c:numCache>
            </c:numRef>
          </c:xVal>
          <c:yVal>
            <c:numRef>
              <c:f>problem2!$E$74:$E$106</c:f>
              <c:numCache>
                <c:formatCode>General</c:formatCode>
                <c:ptCount val="33"/>
                <c:pt idx="0">
                  <c:v>373.14999</c:v>
                </c:pt>
                <c:pt idx="1">
                  <c:v>372.69495000000001</c:v>
                </c:pt>
                <c:pt idx="2">
                  <c:v>371.84697999999997</c:v>
                </c:pt>
                <c:pt idx="3">
                  <c:v>371.06052</c:v>
                </c:pt>
                <c:pt idx="4">
                  <c:v>370.3349</c:v>
                </c:pt>
                <c:pt idx="5">
                  <c:v>369.66955999999999</c:v>
                </c:pt>
                <c:pt idx="6">
                  <c:v>369.06389999999999</c:v>
                </c:pt>
                <c:pt idx="7">
                  <c:v>368.51742999999999</c:v>
                </c:pt>
                <c:pt idx="8">
                  <c:v>368.02969000000002</c:v>
                </c:pt>
                <c:pt idx="9">
                  <c:v>367.60028</c:v>
                </c:pt>
                <c:pt idx="10">
                  <c:v>367.22881999999998</c:v>
                </c:pt>
                <c:pt idx="11">
                  <c:v>366.91503999999998</c:v>
                </c:pt>
                <c:pt idx="12">
                  <c:v>366.65872000000002</c:v>
                </c:pt>
                <c:pt idx="13">
                  <c:v>366.45956000000001</c:v>
                </c:pt>
                <c:pt idx="14">
                  <c:v>366.31741</c:v>
                </c:pt>
                <c:pt idx="15">
                  <c:v>366.23218000000003</c:v>
                </c:pt>
                <c:pt idx="16">
                  <c:v>366.20377000000002</c:v>
                </c:pt>
                <c:pt idx="17">
                  <c:v>366.23214999999999</c:v>
                </c:pt>
                <c:pt idx="18">
                  <c:v>366.31738000000001</c:v>
                </c:pt>
                <c:pt idx="19">
                  <c:v>366.45949999999999</c:v>
                </c:pt>
                <c:pt idx="20">
                  <c:v>366.65868999999998</c:v>
                </c:pt>
                <c:pt idx="21">
                  <c:v>366.91503999999998</c:v>
                </c:pt>
                <c:pt idx="22">
                  <c:v>367.22881999999998</c:v>
                </c:pt>
                <c:pt idx="23">
                  <c:v>367.60025000000002</c:v>
                </c:pt>
                <c:pt idx="24">
                  <c:v>368.02963</c:v>
                </c:pt>
                <c:pt idx="25">
                  <c:v>368.51740000000001</c:v>
                </c:pt>
                <c:pt idx="26">
                  <c:v>369.06384000000003</c:v>
                </c:pt>
                <c:pt idx="27">
                  <c:v>369.66949</c:v>
                </c:pt>
                <c:pt idx="28">
                  <c:v>370.33483999999999</c:v>
                </c:pt>
                <c:pt idx="29">
                  <c:v>371.06045999999998</c:v>
                </c:pt>
                <c:pt idx="30">
                  <c:v>371.84694999999999</c:v>
                </c:pt>
                <c:pt idx="31">
                  <c:v>372.69495000000001</c:v>
                </c:pt>
                <c:pt idx="32">
                  <c:v>373.14999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2-44E9-BAF5-5DF586FB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problem2!$B$37:$B$70</c:f>
              <c:numCache>
                <c:formatCode>General</c:formatCode>
                <c:ptCount val="34"/>
                <c:pt idx="0">
                  <c:v>0</c:v>
                </c:pt>
                <c:pt idx="1">
                  <c:v>1.6129032258064516E-3</c:v>
                </c:pt>
                <c:pt idx="2">
                  <c:v>4.8387096774193551E-3</c:v>
                </c:pt>
                <c:pt idx="3">
                  <c:v>8.0645161290322578E-3</c:v>
                </c:pt>
                <c:pt idx="4">
                  <c:v>1.1290322580645161E-2</c:v>
                </c:pt>
                <c:pt idx="5">
                  <c:v>1.4516129032258063E-2</c:v>
                </c:pt>
                <c:pt idx="6">
                  <c:v>1.7741935483870968E-2</c:v>
                </c:pt>
                <c:pt idx="7">
                  <c:v>2.0967741935483872E-2</c:v>
                </c:pt>
                <c:pt idx="8">
                  <c:v>2.4193548387096777E-2</c:v>
                </c:pt>
                <c:pt idx="9">
                  <c:v>2.7419354838709682E-2</c:v>
                </c:pt>
                <c:pt idx="10">
                  <c:v>3.0645161290322586E-2</c:v>
                </c:pt>
                <c:pt idx="11">
                  <c:v>3.3870967741935487E-2</c:v>
                </c:pt>
                <c:pt idx="12">
                  <c:v>3.7096774193548392E-2</c:v>
                </c:pt>
                <c:pt idx="13">
                  <c:v>4.0322580645161296E-2</c:v>
                </c:pt>
                <c:pt idx="14">
                  <c:v>4.3548387096774201E-2</c:v>
                </c:pt>
                <c:pt idx="15">
                  <c:v>4.6774193548387105E-2</c:v>
                </c:pt>
                <c:pt idx="16">
                  <c:v>5.000000000000001E-2</c:v>
                </c:pt>
                <c:pt idx="17">
                  <c:v>5.3225806451612914E-2</c:v>
                </c:pt>
                <c:pt idx="18">
                  <c:v>5.6451612903225819E-2</c:v>
                </c:pt>
                <c:pt idx="19">
                  <c:v>5.9677419354838723E-2</c:v>
                </c:pt>
                <c:pt idx="20">
                  <c:v>6.2903225806451621E-2</c:v>
                </c:pt>
                <c:pt idx="21">
                  <c:v>6.6129032258064518E-2</c:v>
                </c:pt>
                <c:pt idx="22">
                  <c:v>6.9354838709677416E-2</c:v>
                </c:pt>
                <c:pt idx="23">
                  <c:v>7.2580645161290314E-2</c:v>
                </c:pt>
                <c:pt idx="24">
                  <c:v>7.5806451612903211E-2</c:v>
                </c:pt>
                <c:pt idx="25">
                  <c:v>7.9032258064516109E-2</c:v>
                </c:pt>
                <c:pt idx="26">
                  <c:v>8.2258064516129006E-2</c:v>
                </c:pt>
                <c:pt idx="27">
                  <c:v>8.5483870967741904E-2</c:v>
                </c:pt>
                <c:pt idx="28">
                  <c:v>8.8709677419354802E-2</c:v>
                </c:pt>
                <c:pt idx="29">
                  <c:v>9.1935483870967699E-2</c:v>
                </c:pt>
                <c:pt idx="30">
                  <c:v>9.5161290322580597E-2</c:v>
                </c:pt>
                <c:pt idx="31">
                  <c:v>9.8387096774193494E-2</c:v>
                </c:pt>
                <c:pt idx="32">
                  <c:v>9.999999999999995E-2</c:v>
                </c:pt>
              </c:numCache>
            </c:numRef>
          </c:xVal>
          <c:yVal>
            <c:numRef>
              <c:f>problem2!$D$37:$D$70</c:f>
              <c:numCache>
                <c:formatCode>General</c:formatCode>
                <c:ptCount val="34"/>
                <c:pt idx="0">
                  <c:v>373.15</c:v>
                </c:pt>
                <c:pt idx="1">
                  <c:v>372.30907135692456</c:v>
                </c:pt>
                <c:pt idx="2">
                  <c:v>370.71948247569833</c:v>
                </c:pt>
                <c:pt idx="3">
                  <c:v>369.25073363882791</c:v>
                </c:pt>
                <c:pt idx="4">
                  <c:v>367.90037913954302</c:v>
                </c:pt>
                <c:pt idx="5">
                  <c:v>366.66617041698839</c:v>
                </c:pt>
                <c:pt idx="6">
                  <c:v>365.54605231200219</c:v>
                </c:pt>
                <c:pt idx="7">
                  <c:v>364.53815964494038</c:v>
                </c:pt>
                <c:pt idx="8">
                  <c:v>363.64081410984795</c:v>
                </c:pt>
                <c:pt idx="9">
                  <c:v>362.8525214798052</c:v>
                </c:pt>
                <c:pt idx="10">
                  <c:v>362.17196911879586</c:v>
                </c:pt>
                <c:pt idx="11">
                  <c:v>361.59802379595362</c:v>
                </c:pt>
                <c:pt idx="12">
                  <c:v>361.12972979854777</c:v>
                </c:pt>
                <c:pt idx="13">
                  <c:v>360.76630734056505</c:v>
                </c:pt>
                <c:pt idx="14">
                  <c:v>360.50715126423881</c:v>
                </c:pt>
                <c:pt idx="15">
                  <c:v>360.35183003236239</c:v>
                </c:pt>
                <c:pt idx="16">
                  <c:v>360.30008500970905</c:v>
                </c:pt>
                <c:pt idx="17">
                  <c:v>360.35183003236239</c:v>
                </c:pt>
                <c:pt idx="18">
                  <c:v>360.50715126423881</c:v>
                </c:pt>
                <c:pt idx="19">
                  <c:v>360.76630734056505</c:v>
                </c:pt>
                <c:pt idx="20">
                  <c:v>361.12972979854777</c:v>
                </c:pt>
                <c:pt idx="21">
                  <c:v>361.59802379595362</c:v>
                </c:pt>
                <c:pt idx="22">
                  <c:v>362.17196911879586</c:v>
                </c:pt>
                <c:pt idx="23">
                  <c:v>362.8525214798052</c:v>
                </c:pt>
                <c:pt idx="24">
                  <c:v>363.64081410984795</c:v>
                </c:pt>
                <c:pt idx="25">
                  <c:v>364.53815964494038</c:v>
                </c:pt>
                <c:pt idx="26">
                  <c:v>365.54605231200219</c:v>
                </c:pt>
                <c:pt idx="27">
                  <c:v>366.66617041698839</c:v>
                </c:pt>
                <c:pt idx="28">
                  <c:v>367.90037913954302</c:v>
                </c:pt>
                <c:pt idx="29">
                  <c:v>369.25073363882785</c:v>
                </c:pt>
                <c:pt idx="30">
                  <c:v>370.71948247569833</c:v>
                </c:pt>
                <c:pt idx="31">
                  <c:v>372.30907135692451</c:v>
                </c:pt>
                <c:pt idx="32">
                  <c:v>373.15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6-4949-9803-5D7A6686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valAx>
        <c:axId val="4540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20"/>
        <c:crosses val="autoZero"/>
        <c:crossBetween val="midCat"/>
      </c:valAx>
      <c:valAx>
        <c:axId val="73910120"/>
        <c:scaling>
          <c:orientation val="minMax"/>
          <c:min val="3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problem3!$F$54:$F$87</c:f>
              <c:numCache>
                <c:formatCode>General</c:formatCode>
                <c:ptCount val="34"/>
                <c:pt idx="0">
                  <c:v>-0.05</c:v>
                </c:pt>
                <c:pt idx="1">
                  <c:v>-4.8430000000000001E-2</c:v>
                </c:pt>
                <c:pt idx="2">
                  <c:v>-4.53E-2</c:v>
                </c:pt>
                <c:pt idx="3">
                  <c:v>-4.2169999999999999E-2</c:v>
                </c:pt>
                <c:pt idx="4">
                  <c:v>-3.9040000000000005E-2</c:v>
                </c:pt>
                <c:pt idx="5">
                  <c:v>-3.5910000000000004E-2</c:v>
                </c:pt>
                <c:pt idx="6">
                  <c:v>-3.2780000000000004E-2</c:v>
                </c:pt>
                <c:pt idx="7">
                  <c:v>-2.9650000000000003E-2</c:v>
                </c:pt>
                <c:pt idx="8">
                  <c:v>-2.6520000000000002E-2</c:v>
                </c:pt>
                <c:pt idx="9">
                  <c:v>-2.3390000000000001E-2</c:v>
                </c:pt>
                <c:pt idx="10">
                  <c:v>-2.0260000000000004E-2</c:v>
                </c:pt>
                <c:pt idx="11">
                  <c:v>-1.7129999999999999E-2</c:v>
                </c:pt>
                <c:pt idx="12">
                  <c:v>-1.4010000000000002E-2</c:v>
                </c:pt>
                <c:pt idx="13">
                  <c:v>-1.0870000000000005E-2</c:v>
                </c:pt>
                <c:pt idx="14">
                  <c:v>-7.7499999999999999E-3</c:v>
                </c:pt>
                <c:pt idx="15">
                  <c:v>-4.610000000000003E-3</c:v>
                </c:pt>
                <c:pt idx="16">
                  <c:v>-1.4900000000000052E-3</c:v>
                </c:pt>
                <c:pt idx="17">
                  <c:v>1.6499999999999987E-3</c:v>
                </c:pt>
                <c:pt idx="18">
                  <c:v>4.7699999999999965E-3</c:v>
                </c:pt>
                <c:pt idx="19">
                  <c:v>7.9100000000000004E-3</c:v>
                </c:pt>
                <c:pt idx="20">
                  <c:v>1.1029999999999998E-2</c:v>
                </c:pt>
                <c:pt idx="21">
                  <c:v>1.4170000000000002E-2</c:v>
                </c:pt>
                <c:pt idx="22">
                  <c:v>1.729E-2</c:v>
                </c:pt>
                <c:pt idx="23">
                  <c:v>2.0430000000000004E-2</c:v>
                </c:pt>
                <c:pt idx="24">
                  <c:v>2.3559999999999998E-2</c:v>
                </c:pt>
                <c:pt idx="25">
                  <c:v>2.6689999999999992E-2</c:v>
                </c:pt>
                <c:pt idx="26">
                  <c:v>2.9819999999999999E-2</c:v>
                </c:pt>
                <c:pt idx="27">
                  <c:v>3.2949999999999993E-2</c:v>
                </c:pt>
                <c:pt idx="28">
                  <c:v>3.6080000000000001E-2</c:v>
                </c:pt>
                <c:pt idx="29">
                  <c:v>3.9209999999999995E-2</c:v>
                </c:pt>
                <c:pt idx="30">
                  <c:v>4.2340000000000003E-2</c:v>
                </c:pt>
                <c:pt idx="31">
                  <c:v>4.5469999999999997E-2</c:v>
                </c:pt>
                <c:pt idx="32">
                  <c:v>4.859999999999999E-2</c:v>
                </c:pt>
                <c:pt idx="33">
                  <c:v>5.0159999999999996E-2</c:v>
                </c:pt>
              </c:numCache>
            </c:numRef>
          </c:xVal>
          <c:yVal>
            <c:numRef>
              <c:f>problem3!$G$54:$G$87</c:f>
              <c:numCache>
                <c:formatCode>General</c:formatCode>
                <c:ptCount val="34"/>
                <c:pt idx="0">
                  <c:v>328.84325999999999</c:v>
                </c:pt>
                <c:pt idx="1">
                  <c:v>328.93923999999998</c:v>
                </c:pt>
                <c:pt idx="2">
                  <c:v>329.11237</c:v>
                </c:pt>
                <c:pt idx="3">
                  <c:v>329.26668999999998</c:v>
                </c:pt>
                <c:pt idx="4">
                  <c:v>329.40215999999998</c:v>
                </c:pt>
                <c:pt idx="5">
                  <c:v>329.51882999999998</c:v>
                </c:pt>
                <c:pt idx="6">
                  <c:v>329.61664000000002</c:v>
                </c:pt>
                <c:pt idx="7">
                  <c:v>329.69562000000002</c:v>
                </c:pt>
                <c:pt idx="8">
                  <c:v>329.75574</c:v>
                </c:pt>
                <c:pt idx="9">
                  <c:v>329.79700000000003</c:v>
                </c:pt>
                <c:pt idx="10">
                  <c:v>329.81945999999999</c:v>
                </c:pt>
                <c:pt idx="11">
                  <c:v>329.82306</c:v>
                </c:pt>
                <c:pt idx="12">
                  <c:v>329.80779999999999</c:v>
                </c:pt>
                <c:pt idx="13">
                  <c:v>329.77370999999999</c:v>
                </c:pt>
                <c:pt idx="14">
                  <c:v>329.72075999999998</c:v>
                </c:pt>
                <c:pt idx="15">
                  <c:v>329.64899000000003</c:v>
                </c:pt>
                <c:pt idx="16">
                  <c:v>329.55835000000002</c:v>
                </c:pt>
                <c:pt idx="17">
                  <c:v>329.44884999999999</c:v>
                </c:pt>
                <c:pt idx="18">
                  <c:v>329.32053000000002</c:v>
                </c:pt>
                <c:pt idx="19">
                  <c:v>329.17336999999998</c:v>
                </c:pt>
                <c:pt idx="20">
                  <c:v>329.00742000000002</c:v>
                </c:pt>
                <c:pt idx="21">
                  <c:v>328.82256999999998</c:v>
                </c:pt>
                <c:pt idx="22">
                  <c:v>328.6189</c:v>
                </c:pt>
                <c:pt idx="23">
                  <c:v>328.39639</c:v>
                </c:pt>
                <c:pt idx="24">
                  <c:v>328.15503000000001</c:v>
                </c:pt>
                <c:pt idx="25">
                  <c:v>327.89483999999999</c:v>
                </c:pt>
                <c:pt idx="26">
                  <c:v>327.61581000000001</c:v>
                </c:pt>
                <c:pt idx="27">
                  <c:v>327.31792999999999</c:v>
                </c:pt>
                <c:pt idx="28">
                  <c:v>327.00121999999999</c:v>
                </c:pt>
                <c:pt idx="29">
                  <c:v>326.66568000000001</c:v>
                </c:pt>
                <c:pt idx="30">
                  <c:v>326.31128000000001</c:v>
                </c:pt>
                <c:pt idx="31">
                  <c:v>325.93801999999999</c:v>
                </c:pt>
                <c:pt idx="32">
                  <c:v>325.54593</c:v>
                </c:pt>
                <c:pt idx="33">
                  <c:v>325.34044999999998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E-4191-BF78-BB8196A4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scatterChart>
        <c:scatterStyle val="smoothMarker"/>
        <c:varyColors val="0"/>
        <c:ser>
          <c:idx val="0"/>
          <c:order val="0"/>
          <c:tx>
            <c:strRef>
              <c:f>problem3!$E$30</c:f>
              <c:strCache>
                <c:ptCount val="1"/>
                <c:pt idx="0">
                  <c:v>T(x) [K]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problem3!$C$31:$C$51</c:f>
              <c:numCache>
                <c:formatCode>General</c:formatCode>
                <c:ptCount val="21"/>
                <c:pt idx="0">
                  <c:v>-0.05</c:v>
                </c:pt>
                <c:pt idx="1">
                  <c:v>-4.4999999999999998E-2</c:v>
                </c:pt>
                <c:pt idx="2">
                  <c:v>-0.04</c:v>
                </c:pt>
                <c:pt idx="3">
                  <c:v>-3.5000000000000003E-2</c:v>
                </c:pt>
                <c:pt idx="4">
                  <c:v>-0.03</c:v>
                </c:pt>
                <c:pt idx="5">
                  <c:v>-2.5000000000000001E-2</c:v>
                </c:pt>
                <c:pt idx="6">
                  <c:v>-0.02</c:v>
                </c:pt>
                <c:pt idx="7">
                  <c:v>-1.4999999999999999E-2</c:v>
                </c:pt>
                <c:pt idx="8">
                  <c:v>-0.01</c:v>
                </c:pt>
                <c:pt idx="9">
                  <c:v>-5.0000000000000001E-3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</c:numCache>
            </c:numRef>
          </c:xVal>
          <c:yVal>
            <c:numRef>
              <c:f>problem3!$E$31:$E$51</c:f>
              <c:numCache>
                <c:formatCode>General</c:formatCode>
                <c:ptCount val="21"/>
                <c:pt idx="0">
                  <c:v>328.82857142857142</c:v>
                </c:pt>
                <c:pt idx="1">
                  <c:v>329.11030219780218</c:v>
                </c:pt>
                <c:pt idx="2">
                  <c:v>329.34395604395604</c:v>
                </c:pt>
                <c:pt idx="3">
                  <c:v>329.52953296703294</c:v>
                </c:pt>
                <c:pt idx="4">
                  <c:v>329.66703296703292</c:v>
                </c:pt>
                <c:pt idx="5">
                  <c:v>329.75645604395601</c:v>
                </c:pt>
                <c:pt idx="6">
                  <c:v>329.79780219780218</c:v>
                </c:pt>
                <c:pt idx="7">
                  <c:v>329.7910714285714</c:v>
                </c:pt>
                <c:pt idx="8">
                  <c:v>329.73626373626371</c:v>
                </c:pt>
                <c:pt idx="9">
                  <c:v>329.63337912087911</c:v>
                </c:pt>
                <c:pt idx="10">
                  <c:v>329.48241758241755</c:v>
                </c:pt>
                <c:pt idx="11">
                  <c:v>329.28337912087909</c:v>
                </c:pt>
                <c:pt idx="12">
                  <c:v>329.03626373626372</c:v>
                </c:pt>
                <c:pt idx="13">
                  <c:v>328.74107142857139</c:v>
                </c:pt>
                <c:pt idx="14">
                  <c:v>328.39780219780215</c:v>
                </c:pt>
                <c:pt idx="15">
                  <c:v>328.00645604395601</c:v>
                </c:pt>
                <c:pt idx="16">
                  <c:v>327.56703296703296</c:v>
                </c:pt>
                <c:pt idx="17">
                  <c:v>327.07953296703295</c:v>
                </c:pt>
                <c:pt idx="18">
                  <c:v>326.54395604395603</c:v>
                </c:pt>
                <c:pt idx="19">
                  <c:v>325.96030219780215</c:v>
                </c:pt>
                <c:pt idx="20">
                  <c:v>325.32857142857142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59B-B4E8-2640829A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valAx>
        <c:axId val="227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280"/>
        <c:crosses val="autoZero"/>
        <c:crossBetween val="midCat"/>
      </c:valAx>
      <c:valAx>
        <c:axId val="227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74706</xdr:colOff>
      <xdr:row>29</xdr:row>
      <xdr:rowOff>62752</xdr:rowOff>
    </xdr:from>
    <xdr:to>
      <xdr:col>9</xdr:col>
      <xdr:colOff>1337235</xdr:colOff>
      <xdr:row>47</xdr:row>
      <xdr:rowOff>104587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4A180-FDF9-415A-983A-39940689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19</xdr:row>
      <xdr:rowOff>182880</xdr:rowOff>
    </xdr:from>
    <xdr:to>
      <xdr:col>19</xdr:col>
      <xdr:colOff>556260</xdr:colOff>
      <xdr:row>42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A2540-2E54-4E7B-8939-641D3A63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linearization_1_CV_31_output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_linearization_1_CV_32_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7"/>
  <sheetViews>
    <sheetView workbookViewId="0">
      <selection activeCell="C16" sqref="C16"/>
    </sheetView>
  </sheetViews>
  <sheetFormatPr defaultRowHeight="14.4" x14ac:dyDescent="0.3"/>
  <cols>
    <col min="1" max="1" width="1.5546875" customWidth="1"/>
    <col min="3" max="3" width="14.5546875" bestFit="1" customWidth="1"/>
    <col min="4" max="4" width="6" bestFit="1" customWidth="1"/>
    <col min="5" max="5" width="9" bestFit="1" customWidth="1"/>
    <col min="6" max="6" width="5.77734375" customWidth="1"/>
    <col min="7" max="7" width="15.44140625" bestFit="1" customWidth="1"/>
    <col min="8" max="8" width="21.44140625" bestFit="1" customWidth="1"/>
    <col min="9" max="9" width="11.5546875" customWidth="1"/>
  </cols>
  <sheetData>
    <row r="2" spans="2:10" x14ac:dyDescent="0.3">
      <c r="B2" s="27" t="s">
        <v>5</v>
      </c>
    </row>
    <row r="3" spans="2:10" x14ac:dyDescent="0.3">
      <c r="B3" s="27"/>
    </row>
    <row r="4" spans="2:10" x14ac:dyDescent="0.3">
      <c r="B4" s="39" t="s">
        <v>17</v>
      </c>
      <c r="C4" t="s">
        <v>18</v>
      </c>
      <c r="D4">
        <v>0.1</v>
      </c>
      <c r="E4" t="s">
        <v>19</v>
      </c>
    </row>
    <row r="5" spans="2:10" x14ac:dyDescent="0.3">
      <c r="B5" t="s">
        <v>35</v>
      </c>
      <c r="D5">
        <v>7800</v>
      </c>
      <c r="E5" t="s">
        <v>44</v>
      </c>
    </row>
    <row r="6" spans="2:10" x14ac:dyDescent="0.3">
      <c r="B6" t="s">
        <v>40</v>
      </c>
      <c r="D6">
        <v>60</v>
      </c>
      <c r="E6" t="s">
        <v>45</v>
      </c>
    </row>
    <row r="7" spans="2:10" x14ac:dyDescent="0.3">
      <c r="B7" t="s">
        <v>36</v>
      </c>
      <c r="D7">
        <v>430</v>
      </c>
      <c r="E7" t="s">
        <v>43</v>
      </c>
    </row>
    <row r="8" spans="2:10" x14ac:dyDescent="0.3">
      <c r="B8" t="s">
        <v>37</v>
      </c>
      <c r="D8">
        <v>0</v>
      </c>
      <c r="E8" t="s">
        <v>42</v>
      </c>
    </row>
    <row r="9" spans="2:10" x14ac:dyDescent="0.3">
      <c r="B9" t="s">
        <v>38</v>
      </c>
      <c r="D9">
        <v>100</v>
      </c>
      <c r="E9" t="s">
        <v>41</v>
      </c>
    </row>
    <row r="10" spans="2:10" x14ac:dyDescent="0.3">
      <c r="B10" t="s">
        <v>39</v>
      </c>
      <c r="D10">
        <v>0</v>
      </c>
      <c r="E10" t="s">
        <v>41</v>
      </c>
    </row>
    <row r="11" spans="2:10" x14ac:dyDescent="0.3">
      <c r="B11" t="s">
        <v>106</v>
      </c>
      <c r="D11">
        <v>5.0000000000000001E-3</v>
      </c>
      <c r="E11" t="s">
        <v>19</v>
      </c>
    </row>
    <row r="12" spans="2:10" ht="15" thickBot="1" x14ac:dyDescent="0.35"/>
    <row r="13" spans="2:10" ht="15" thickBot="1" x14ac:dyDescent="0.35">
      <c r="B13" s="45" t="s">
        <v>0</v>
      </c>
      <c r="C13" s="30" t="s">
        <v>1</v>
      </c>
      <c r="D13" s="13" t="s">
        <v>3</v>
      </c>
      <c r="E13" s="13" t="s">
        <v>2</v>
      </c>
      <c r="F13" s="38" t="s">
        <v>13</v>
      </c>
      <c r="G13" s="12" t="s">
        <v>16</v>
      </c>
      <c r="H13" s="36" t="s">
        <v>15</v>
      </c>
      <c r="I13" s="45" t="s">
        <v>4</v>
      </c>
    </row>
    <row r="14" spans="2:10" x14ac:dyDescent="0.3">
      <c r="B14" s="46">
        <v>1</v>
      </c>
      <c r="C14" s="16">
        <v>2</v>
      </c>
      <c r="D14" s="17">
        <f t="shared" ref="D14" si="0">C14-1</f>
        <v>1</v>
      </c>
      <c r="E14" s="17">
        <f t="shared" ref="E14" si="1">$D$4/D14</f>
        <v>0.1</v>
      </c>
      <c r="F14" s="24">
        <f>F20</f>
        <v>100</v>
      </c>
      <c r="G14" s="129">
        <v>0</v>
      </c>
      <c r="H14" s="131">
        <v>6</v>
      </c>
      <c r="I14" s="130"/>
      <c r="J14" s="10"/>
    </row>
    <row r="15" spans="2:10" x14ac:dyDescent="0.3">
      <c r="B15" s="47">
        <f>B14+1</f>
        <v>2</v>
      </c>
      <c r="C15" s="127">
        <v>3</v>
      </c>
      <c r="D15" s="66">
        <f>C15-1</f>
        <v>2</v>
      </c>
      <c r="E15" s="66">
        <f>$D$4/D15</f>
        <v>0.05</v>
      </c>
      <c r="F15" s="128">
        <v>100</v>
      </c>
      <c r="G15" s="40">
        <v>0</v>
      </c>
      <c r="H15" s="132">
        <v>6</v>
      </c>
      <c r="I15" s="51">
        <f>(H15-H14)/H14</f>
        <v>0</v>
      </c>
    </row>
    <row r="16" spans="2:10" x14ac:dyDescent="0.3">
      <c r="B16" s="47">
        <f t="shared" ref="B16:B20" si="2">B15+1</f>
        <v>3</v>
      </c>
      <c r="C16" s="41">
        <v>5</v>
      </c>
      <c r="D16" s="15">
        <f t="shared" ref="D16:D19" si="3">C16-1</f>
        <v>4</v>
      </c>
      <c r="E16" s="15">
        <f t="shared" ref="E16:E20" si="4">$D$4/D16</f>
        <v>2.5000000000000001E-2</v>
      </c>
      <c r="F16" s="2">
        <f>F15</f>
        <v>100</v>
      </c>
      <c r="G16" s="42">
        <v>9.5367431599999995E-6</v>
      </c>
      <c r="H16" s="132">
        <v>5.9999852000000002</v>
      </c>
      <c r="I16" s="51">
        <f>(H16-H15)/H15</f>
        <v>-2.4666666666265749E-6</v>
      </c>
    </row>
    <row r="17" spans="2:10" x14ac:dyDescent="0.3">
      <c r="B17" s="47">
        <f t="shared" si="2"/>
        <v>4</v>
      </c>
      <c r="C17" s="41">
        <f>C16+D16</f>
        <v>9</v>
      </c>
      <c r="D17" s="15">
        <f t="shared" si="3"/>
        <v>8</v>
      </c>
      <c r="E17" s="15">
        <f t="shared" si="4"/>
        <v>1.2500000000000001E-2</v>
      </c>
      <c r="F17" s="2">
        <f t="shared" ref="F17:F21" si="5">F16</f>
        <v>100</v>
      </c>
      <c r="G17" s="42">
        <v>1.5258789099999998E-5</v>
      </c>
      <c r="H17" s="132">
        <v>5.9999703999999996</v>
      </c>
      <c r="I17" s="51">
        <f t="shared" ref="I17:I20" si="6">(H17-H16)/H16</f>
        <v>-2.4666727512340576E-6</v>
      </c>
      <c r="J17" t="s">
        <v>132</v>
      </c>
    </row>
    <row r="18" spans="2:10" x14ac:dyDescent="0.3">
      <c r="B18" s="47">
        <f t="shared" si="2"/>
        <v>5</v>
      </c>
      <c r="C18" s="41">
        <f>C17+D17</f>
        <v>17</v>
      </c>
      <c r="D18" s="15">
        <f t="shared" si="3"/>
        <v>16</v>
      </c>
      <c r="E18" s="15">
        <f t="shared" si="4"/>
        <v>6.2500000000000003E-3</v>
      </c>
      <c r="F18" s="2">
        <f t="shared" si="5"/>
        <v>100</v>
      </c>
      <c r="G18" s="42">
        <v>2.0980835E-5</v>
      </c>
      <c r="H18" s="132">
        <v>5.9999414</v>
      </c>
      <c r="I18" s="51">
        <f t="shared" si="6"/>
        <v>-4.8333571778308556E-6</v>
      </c>
      <c r="J18" t="s">
        <v>132</v>
      </c>
    </row>
    <row r="19" spans="2:10" x14ac:dyDescent="0.3">
      <c r="B19" s="47">
        <f t="shared" si="2"/>
        <v>6</v>
      </c>
      <c r="C19" s="41">
        <f>C18+D18</f>
        <v>33</v>
      </c>
      <c r="D19" s="15">
        <f t="shared" si="3"/>
        <v>32</v>
      </c>
      <c r="E19" s="15">
        <f t="shared" si="4"/>
        <v>3.1250000000000002E-3</v>
      </c>
      <c r="F19" s="2">
        <f t="shared" si="5"/>
        <v>100</v>
      </c>
      <c r="G19" s="43">
        <v>5.7220459E-5</v>
      </c>
      <c r="H19" s="132">
        <v>5.9902982700000003</v>
      </c>
      <c r="I19" s="52">
        <f t="shared" si="6"/>
        <v>-1.6072040303593169E-3</v>
      </c>
      <c r="J19" t="s">
        <v>132</v>
      </c>
    </row>
    <row r="20" spans="2:10" ht="15" thickBot="1" x14ac:dyDescent="0.35">
      <c r="B20" s="48">
        <f t="shared" si="2"/>
        <v>7</v>
      </c>
      <c r="C20" s="44">
        <f>C19+D19</f>
        <v>65</v>
      </c>
      <c r="D20" s="18">
        <f t="shared" ref="D20" si="7">C20-1</f>
        <v>64</v>
      </c>
      <c r="E20" s="18">
        <f t="shared" si="4"/>
        <v>1.5625000000000001E-3</v>
      </c>
      <c r="F20" s="4">
        <f t="shared" si="5"/>
        <v>100</v>
      </c>
      <c r="G20" s="49">
        <v>8.2015991200000001E-5</v>
      </c>
      <c r="H20" s="33">
        <v>6.0105547899999996</v>
      </c>
      <c r="I20" s="53">
        <f t="shared" si="6"/>
        <v>3.3815544881038674E-3</v>
      </c>
      <c r="J20" t="s">
        <v>132</v>
      </c>
    </row>
    <row r="22" spans="2:10" x14ac:dyDescent="0.3">
      <c r="B22" s="6"/>
      <c r="C22" s="74"/>
      <c r="D22" s="6"/>
      <c r="E22" s="7"/>
      <c r="F22" s="7"/>
      <c r="G22" s="7"/>
      <c r="H22" s="7"/>
      <c r="I22" s="7"/>
    </row>
    <row r="23" spans="2:10" x14ac:dyDescent="0.3">
      <c r="B23" s="6"/>
      <c r="C23" s="6"/>
      <c r="D23" s="6"/>
      <c r="E23" s="7"/>
      <c r="F23" s="7"/>
      <c r="G23" s="7"/>
      <c r="H23" s="7"/>
      <c r="I23" s="7"/>
    </row>
    <row r="24" spans="2:10" x14ac:dyDescent="0.3">
      <c r="B24" s="6"/>
      <c r="C24" s="6"/>
      <c r="D24" s="6"/>
      <c r="E24" s="7"/>
      <c r="F24" s="7"/>
      <c r="G24" s="7"/>
      <c r="H24" s="7"/>
      <c r="I24" s="7"/>
    </row>
    <row r="25" spans="2:10" x14ac:dyDescent="0.3">
      <c r="B25" s="6"/>
      <c r="C25" s="6"/>
      <c r="D25" s="6"/>
      <c r="E25" s="7"/>
      <c r="F25" s="7"/>
      <c r="G25" s="7"/>
      <c r="H25" s="7"/>
      <c r="I25" s="7"/>
    </row>
    <row r="26" spans="2:10" x14ac:dyDescent="0.3">
      <c r="B26" s="6"/>
      <c r="C26" s="6"/>
      <c r="D26" s="6"/>
    </row>
    <row r="27" spans="2:10" x14ac:dyDescent="0.3">
      <c r="B27" s="6"/>
      <c r="C27" s="6"/>
      <c r="D27" s="6"/>
    </row>
    <row r="28" spans="2:10" x14ac:dyDescent="0.3">
      <c r="B28" s="6"/>
      <c r="C28" s="6"/>
      <c r="D28" s="6"/>
    </row>
    <row r="29" spans="2:10" x14ac:dyDescent="0.3">
      <c r="B29" s="6"/>
      <c r="C29" s="6"/>
      <c r="D29" s="6"/>
    </row>
    <row r="30" spans="2:10" x14ac:dyDescent="0.3">
      <c r="B30" s="6"/>
      <c r="C30" s="6"/>
      <c r="D30" s="6"/>
    </row>
    <row r="31" spans="2:10" x14ac:dyDescent="0.3">
      <c r="B31" s="6"/>
      <c r="C31" s="6"/>
      <c r="D31" s="6"/>
    </row>
    <row r="32" spans="2:10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  <row r="67" spans="2:4" x14ac:dyDescent="0.3">
      <c r="B67" s="6"/>
      <c r="C67" s="6"/>
      <c r="D6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A28" zoomScale="102" workbookViewId="0">
      <selection activeCell="E44" sqref="E44"/>
    </sheetView>
  </sheetViews>
  <sheetFormatPr defaultRowHeight="14.4" x14ac:dyDescent="0.3"/>
  <cols>
    <col min="1" max="1" width="13.109375" customWidth="1"/>
    <col min="2" max="2" width="13" bestFit="1" customWidth="1"/>
    <col min="3" max="3" width="14.88671875" bestFit="1" customWidth="1"/>
    <col min="4" max="5" width="13" bestFit="1" customWidth="1"/>
    <col min="6" max="6" width="11" bestFit="1" customWidth="1"/>
    <col min="7" max="7" width="20.21875" customWidth="1"/>
    <col min="8" max="8" width="8.88671875" bestFit="1" customWidth="1"/>
    <col min="9" max="9" width="19.109375" bestFit="1" customWidth="1"/>
    <col min="10" max="10" width="44.88671875" bestFit="1" customWidth="1"/>
    <col min="11" max="11" width="4.21875" customWidth="1"/>
    <col min="12" max="12" width="9.109375" bestFit="1" customWidth="1"/>
    <col min="13" max="13" width="10.77734375" bestFit="1" customWidth="1"/>
    <col min="14" max="14" width="8.5546875" customWidth="1"/>
    <col min="15" max="15" width="8.5546875" bestFit="1" customWidth="1"/>
    <col min="16" max="16" width="8.5546875" customWidth="1"/>
    <col min="17" max="17" width="10.77734375" bestFit="1" customWidth="1"/>
    <col min="18" max="18" width="22.109375" customWidth="1"/>
    <col min="19" max="19" width="22.6640625" bestFit="1" customWidth="1"/>
    <col min="20" max="20" width="13.5546875" bestFit="1" customWidth="1"/>
    <col min="21" max="21" width="22.109375" bestFit="1" customWidth="1"/>
    <col min="22" max="22" width="9.21875" bestFit="1" customWidth="1"/>
    <col min="23" max="23" width="13.5546875" bestFit="1" customWidth="1"/>
  </cols>
  <sheetData>
    <row r="1" spans="2:23" ht="15" thickBot="1" x14ac:dyDescent="0.35"/>
    <row r="2" spans="2:23" ht="15" thickBot="1" x14ac:dyDescent="0.35">
      <c r="B2" s="118" t="s">
        <v>107</v>
      </c>
      <c r="C2" s="119"/>
      <c r="D2" s="119"/>
      <c r="E2" s="120"/>
      <c r="G2" s="27" t="s">
        <v>6</v>
      </c>
    </row>
    <row r="3" spans="2:23" x14ac:dyDescent="0.3">
      <c r="B3" s="109" t="s">
        <v>17</v>
      </c>
      <c r="C3" s="97" t="s">
        <v>18</v>
      </c>
      <c r="D3" s="97">
        <v>0.1</v>
      </c>
      <c r="E3" s="98" t="s">
        <v>19</v>
      </c>
      <c r="F3">
        <f>D3/2</f>
        <v>0.05</v>
      </c>
      <c r="M3" s="27"/>
    </row>
    <row r="4" spans="2:23" x14ac:dyDescent="0.3">
      <c r="B4" s="99" t="s">
        <v>35</v>
      </c>
      <c r="C4" s="95"/>
      <c r="D4" s="95">
        <v>7800</v>
      </c>
      <c r="E4" s="100" t="s">
        <v>44</v>
      </c>
      <c r="M4" s="27"/>
    </row>
    <row r="5" spans="2:23" x14ac:dyDescent="0.3">
      <c r="B5" s="99" t="s">
        <v>40</v>
      </c>
      <c r="C5" s="95"/>
      <c r="D5" s="95">
        <v>60</v>
      </c>
      <c r="E5" s="100" t="s">
        <v>45</v>
      </c>
      <c r="M5" s="27"/>
    </row>
    <row r="6" spans="2:23" x14ac:dyDescent="0.3">
      <c r="B6" s="99" t="s">
        <v>36</v>
      </c>
      <c r="C6" s="95"/>
      <c r="D6" s="95">
        <v>430</v>
      </c>
      <c r="E6" s="100" t="s">
        <v>43</v>
      </c>
      <c r="M6" s="27"/>
    </row>
    <row r="7" spans="2:23" x14ac:dyDescent="0.3">
      <c r="B7" s="99" t="s">
        <v>37</v>
      </c>
      <c r="C7" s="95"/>
      <c r="D7" s="95">
        <v>12</v>
      </c>
      <c r="E7" s="100" t="s">
        <v>42</v>
      </c>
      <c r="M7" s="27"/>
    </row>
    <row r="8" spans="2:23" x14ac:dyDescent="0.3">
      <c r="B8" s="99" t="s">
        <v>38</v>
      </c>
      <c r="C8" s="95"/>
      <c r="D8" s="95">
        <v>100</v>
      </c>
      <c r="E8" s="100" t="s">
        <v>41</v>
      </c>
      <c r="M8" s="27"/>
    </row>
    <row r="9" spans="2:23" x14ac:dyDescent="0.3">
      <c r="B9" s="99" t="s">
        <v>39</v>
      </c>
      <c r="C9" s="95"/>
      <c r="D9" s="95">
        <v>100</v>
      </c>
      <c r="E9" s="100" t="s">
        <v>41</v>
      </c>
      <c r="M9" s="27"/>
    </row>
    <row r="10" spans="2:23" x14ac:dyDescent="0.3">
      <c r="B10" s="110" t="s">
        <v>46</v>
      </c>
      <c r="C10" s="95"/>
      <c r="D10" s="95">
        <v>25</v>
      </c>
      <c r="E10" s="100" t="s">
        <v>41</v>
      </c>
      <c r="M10" s="27"/>
    </row>
    <row r="11" spans="2:23" ht="15" thickBot="1" x14ac:dyDescent="0.35">
      <c r="B11" s="111" t="s">
        <v>106</v>
      </c>
      <c r="C11" s="101"/>
      <c r="D11" s="101">
        <v>5.0000000000000001E-3</v>
      </c>
      <c r="E11" s="102" t="s">
        <v>19</v>
      </c>
      <c r="M11" s="27"/>
    </row>
    <row r="12" spans="2:23" x14ac:dyDescent="0.3">
      <c r="B12" s="39"/>
      <c r="M12" s="27"/>
    </row>
    <row r="13" spans="2:23" ht="15" thickBot="1" x14ac:dyDescent="0.35">
      <c r="M13" s="39" t="s">
        <v>17</v>
      </c>
      <c r="N13" t="s">
        <v>18</v>
      </c>
      <c r="O13">
        <v>1</v>
      </c>
      <c r="P13" t="s">
        <v>19</v>
      </c>
    </row>
    <row r="14" spans="2:23" ht="15" thickBot="1" x14ac:dyDescent="0.35">
      <c r="B14" s="39"/>
      <c r="G14" s="118" t="s">
        <v>47</v>
      </c>
      <c r="H14" s="119"/>
      <c r="I14" s="120"/>
      <c r="J14" s="6"/>
      <c r="K14" s="73"/>
      <c r="M14" s="39"/>
      <c r="R14" s="118" t="s">
        <v>22</v>
      </c>
      <c r="S14" s="119"/>
      <c r="T14" s="120"/>
      <c r="U14" s="118" t="s">
        <v>23</v>
      </c>
      <c r="V14" s="119"/>
      <c r="W14" s="120"/>
    </row>
    <row r="15" spans="2:23" ht="15" thickBot="1" x14ac:dyDescent="0.35">
      <c r="B15" s="11" t="s">
        <v>0</v>
      </c>
      <c r="C15" s="12" t="s">
        <v>1</v>
      </c>
      <c r="D15" s="13" t="s">
        <v>3</v>
      </c>
      <c r="E15" s="13" t="s">
        <v>2</v>
      </c>
      <c r="F15" s="30" t="s">
        <v>8</v>
      </c>
      <c r="G15" s="9" t="s">
        <v>47</v>
      </c>
      <c r="H15" s="113" t="s">
        <v>20</v>
      </c>
      <c r="I15" s="64" t="s">
        <v>48</v>
      </c>
      <c r="M15" s="11" t="s">
        <v>0</v>
      </c>
      <c r="N15" s="12" t="s">
        <v>1</v>
      </c>
      <c r="O15" s="13" t="s">
        <v>3</v>
      </c>
      <c r="P15" s="13" t="s">
        <v>2</v>
      </c>
      <c r="Q15" s="30" t="s">
        <v>8</v>
      </c>
      <c r="R15" s="12" t="s">
        <v>21</v>
      </c>
      <c r="S15" s="36" t="s">
        <v>20</v>
      </c>
      <c r="T15" s="14" t="s">
        <v>7</v>
      </c>
      <c r="U15" s="12" t="s">
        <v>21</v>
      </c>
      <c r="V15" s="36" t="s">
        <v>20</v>
      </c>
      <c r="W15" s="14" t="s">
        <v>7</v>
      </c>
    </row>
    <row r="16" spans="2:23" x14ac:dyDescent="0.3">
      <c r="B16" s="19">
        <v>1</v>
      </c>
      <c r="C16" s="16">
        <v>4</v>
      </c>
      <c r="D16" s="17">
        <f>C16-1</f>
        <v>3</v>
      </c>
      <c r="E16" s="17">
        <f>$D$3/D16</f>
        <v>3.3333333333333333E-2</v>
      </c>
      <c r="F16" s="24">
        <f>$D$11</f>
        <v>5.0000000000000001E-3</v>
      </c>
      <c r="G16" s="137">
        <v>1.51779544</v>
      </c>
      <c r="H16" s="54">
        <v>4.7683715799999998E-6</v>
      </c>
      <c r="I16" s="34"/>
      <c r="J16" t="s">
        <v>133</v>
      </c>
      <c r="M16" s="19">
        <v>1</v>
      </c>
      <c r="N16" s="16">
        <v>4</v>
      </c>
      <c r="O16" s="17">
        <f>N16-1</f>
        <v>3</v>
      </c>
      <c r="P16" s="26">
        <f>$O$13/O16</f>
        <v>0.33333333333333331</v>
      </c>
      <c r="Q16" s="31">
        <v>1.2500000000000001E-2</v>
      </c>
      <c r="R16" s="28">
        <v>136.9479</v>
      </c>
      <c r="S16" s="54">
        <v>-7.6293900000000003E-6</v>
      </c>
      <c r="T16" s="34"/>
      <c r="U16" s="28">
        <v>-24.446653399999999</v>
      </c>
      <c r="V16" s="54">
        <v>-7.6293900000000003E-6</v>
      </c>
      <c r="W16" s="34"/>
    </row>
    <row r="17" spans="2:23" x14ac:dyDescent="0.3">
      <c r="B17" s="20">
        <v>2</v>
      </c>
      <c r="C17" s="1">
        <v>8</v>
      </c>
      <c r="D17" s="15">
        <f t="shared" ref="D17:D21" si="0">C17-1</f>
        <v>7</v>
      </c>
      <c r="E17" s="15">
        <f t="shared" ref="E17:E21" si="1">$D$3/D17</f>
        <v>1.4285714285714287E-2</v>
      </c>
      <c r="F17" s="2">
        <f t="shared" ref="F17:F21" si="2">$D$11</f>
        <v>5.0000000000000001E-3</v>
      </c>
      <c r="G17" s="70">
        <v>1.5573523</v>
      </c>
      <c r="H17" s="55">
        <v>5.8582850199999998E-6</v>
      </c>
      <c r="I17" s="65">
        <f>(G17-G16)/G16</f>
        <v>2.6062049573689607E-2</v>
      </c>
      <c r="J17" t="s">
        <v>94</v>
      </c>
      <c r="M17" s="20">
        <v>2</v>
      </c>
      <c r="N17" s="1">
        <v>8</v>
      </c>
      <c r="O17" s="15">
        <f t="shared" ref="O17:O20" si="3">N17-1</f>
        <v>7</v>
      </c>
      <c r="P17" s="15">
        <f t="shared" ref="P17:P20" si="4">$O$13/O17</f>
        <v>0.14285714285714285</v>
      </c>
      <c r="Q17" s="32">
        <v>1.2500000000000001E-2</v>
      </c>
      <c r="R17" s="29">
        <v>136.04730000000001</v>
      </c>
      <c r="S17" s="55">
        <v>-7629390</v>
      </c>
      <c r="T17" s="35">
        <f>(R17-R16)/R16</f>
        <v>-6.5762235127373048E-3</v>
      </c>
      <c r="U17" s="29">
        <v>-12.4961</v>
      </c>
      <c r="V17" s="55">
        <v>-7.6293949999999998E-6</v>
      </c>
      <c r="W17" s="35">
        <f>(U17-U16)/U16</f>
        <v>-0.48884210057152438</v>
      </c>
    </row>
    <row r="18" spans="2:23" x14ac:dyDescent="0.3">
      <c r="B18" s="20">
        <v>3</v>
      </c>
      <c r="C18" s="1">
        <v>16</v>
      </c>
      <c r="D18" s="15">
        <f t="shared" si="0"/>
        <v>15</v>
      </c>
      <c r="E18" s="15">
        <f t="shared" si="1"/>
        <v>6.6666666666666671E-3</v>
      </c>
      <c r="F18" s="2">
        <f t="shared" si="2"/>
        <v>5.0000000000000001E-3</v>
      </c>
      <c r="G18" s="70">
        <v>1.5647639</v>
      </c>
      <c r="H18" s="55">
        <v>7.6095261599999998E-6</v>
      </c>
      <c r="I18" s="65">
        <f t="shared" ref="I18:I21" si="5">(G18-G17)/G17</f>
        <v>4.7591029980820409E-3</v>
      </c>
      <c r="J18" t="s">
        <v>94</v>
      </c>
      <c r="M18" s="20">
        <v>3</v>
      </c>
      <c r="N18" s="1">
        <v>16</v>
      </c>
      <c r="O18" s="15">
        <f t="shared" si="3"/>
        <v>15</v>
      </c>
      <c r="P18" s="15">
        <f t="shared" si="4"/>
        <v>6.6666666666666666E-2</v>
      </c>
      <c r="Q18" s="32">
        <v>1.2500000000000001E-2</v>
      </c>
      <c r="R18" s="29">
        <v>134.70966000000001</v>
      </c>
      <c r="S18" s="55">
        <v>3.8146969999999998E-6</v>
      </c>
      <c r="T18" s="35">
        <f t="shared" ref="T18:T20" si="6">(R18-R17)/R17</f>
        <v>-9.8321686648687127E-3</v>
      </c>
      <c r="U18" s="29">
        <v>-7.0437212000000002</v>
      </c>
      <c r="V18" s="55">
        <v>3.8146969999999998E-6</v>
      </c>
      <c r="W18" s="35">
        <f t="shared" ref="W18:W19" si="7">(U18-U17)/U17</f>
        <v>-0.43632643784860875</v>
      </c>
    </row>
    <row r="19" spans="2:23" x14ac:dyDescent="0.3">
      <c r="B19" s="20">
        <v>4</v>
      </c>
      <c r="C19" s="1">
        <v>32</v>
      </c>
      <c r="D19" s="15">
        <f t="shared" si="0"/>
        <v>31</v>
      </c>
      <c r="E19" s="15">
        <f t="shared" si="1"/>
        <v>3.2258064516129032E-3</v>
      </c>
      <c r="F19" s="2">
        <f t="shared" si="2"/>
        <v>5.0000000000000001E-3</v>
      </c>
      <c r="G19" s="70">
        <v>1.69057941</v>
      </c>
      <c r="H19" s="55">
        <v>5.8344296099999997E-5</v>
      </c>
      <c r="I19" s="65">
        <f t="shared" si="5"/>
        <v>8.0405427298009632E-2</v>
      </c>
      <c r="J19" t="s">
        <v>94</v>
      </c>
      <c r="M19" s="20">
        <v>4</v>
      </c>
      <c r="N19" s="1">
        <v>32</v>
      </c>
      <c r="O19" s="15">
        <f t="shared" si="3"/>
        <v>31</v>
      </c>
      <c r="P19" s="15">
        <f t="shared" si="4"/>
        <v>3.2258064516129031E-2</v>
      </c>
      <c r="Q19" s="32">
        <v>1.2500000000000001E-2</v>
      </c>
      <c r="R19" s="29">
        <v>133.68523999999999</v>
      </c>
      <c r="S19" s="55">
        <v>1.7325100000000001E-5</v>
      </c>
      <c r="T19" s="35">
        <f t="shared" si="6"/>
        <v>-7.6046513665020046E-3</v>
      </c>
      <c r="U19" s="29">
        <v>-3.8842340000000002</v>
      </c>
      <c r="V19" s="55">
        <v>1.7325100000000001E-5</v>
      </c>
      <c r="W19" s="35">
        <f t="shared" si="7"/>
        <v>-0.44855369914413989</v>
      </c>
    </row>
    <row r="20" spans="2:23" ht="15" thickBot="1" x14ac:dyDescent="0.35">
      <c r="B20" s="57">
        <v>5</v>
      </c>
      <c r="C20" s="3">
        <v>64</v>
      </c>
      <c r="D20" s="18">
        <f t="shared" si="0"/>
        <v>63</v>
      </c>
      <c r="E20" s="18">
        <f t="shared" si="1"/>
        <v>1.5873015873015873E-3</v>
      </c>
      <c r="F20" s="4">
        <f t="shared" si="2"/>
        <v>5.0000000000000001E-3</v>
      </c>
      <c r="G20" s="138">
        <v>1.6947044099999999</v>
      </c>
      <c r="H20" s="59">
        <v>1.0103673399999999E-4</v>
      </c>
      <c r="I20" s="76">
        <f t="shared" si="5"/>
        <v>2.4399918605420221E-3</v>
      </c>
      <c r="J20" t="s">
        <v>94</v>
      </c>
      <c r="M20" s="57">
        <v>5</v>
      </c>
      <c r="N20" s="3">
        <v>64</v>
      </c>
      <c r="O20" s="18">
        <f t="shared" si="3"/>
        <v>63</v>
      </c>
      <c r="P20" s="18">
        <f t="shared" si="4"/>
        <v>1.5873015873015872E-2</v>
      </c>
      <c r="Q20" s="33">
        <v>1.2500000000000001E-2</v>
      </c>
      <c r="R20" s="58">
        <v>133.04077000000001</v>
      </c>
      <c r="S20" s="59">
        <v>8.1523779999999999E-6</v>
      </c>
      <c r="T20" s="60">
        <f t="shared" si="6"/>
        <v>-4.8208014587099082E-3</v>
      </c>
      <c r="U20" s="58">
        <v>-2.0653000000000001</v>
      </c>
      <c r="V20" s="59">
        <v>8.1523779999999999E-6</v>
      </c>
      <c r="W20" s="60">
        <f>(U20-U19)/U19</f>
        <v>-0.46828641116884306</v>
      </c>
    </row>
    <row r="21" spans="2:23" ht="15" thickBot="1" x14ac:dyDescent="0.35">
      <c r="B21" s="6"/>
      <c r="C21" s="6"/>
      <c r="D21" s="6"/>
      <c r="E21" s="6"/>
      <c r="F21" s="6"/>
      <c r="G21" s="6"/>
      <c r="H21" s="6"/>
      <c r="I21" s="37"/>
      <c r="M21" s="6"/>
      <c r="N21" s="6"/>
      <c r="O21" s="6"/>
      <c r="P21" s="6"/>
      <c r="Q21" s="6"/>
      <c r="R21" s="118" t="s">
        <v>24</v>
      </c>
      <c r="S21" s="119"/>
      <c r="T21" s="120"/>
    </row>
    <row r="22" spans="2:23" ht="15" thickBot="1" x14ac:dyDescent="0.35">
      <c r="B22" s="39"/>
      <c r="G22" s="118" t="s">
        <v>138</v>
      </c>
      <c r="H22" s="119"/>
      <c r="I22" s="120"/>
      <c r="M22" s="11" t="s">
        <v>0</v>
      </c>
      <c r="N22" s="12" t="s">
        <v>1</v>
      </c>
      <c r="O22" s="13" t="s">
        <v>3</v>
      </c>
      <c r="P22" s="13" t="s">
        <v>2</v>
      </c>
      <c r="Q22" s="30" t="s">
        <v>8</v>
      </c>
      <c r="R22" s="12" t="s">
        <v>21</v>
      </c>
      <c r="S22" s="36" t="s">
        <v>20</v>
      </c>
      <c r="T22" s="14" t="s">
        <v>7</v>
      </c>
    </row>
    <row r="23" spans="2:23" ht="15" thickBot="1" x14ac:dyDescent="0.35">
      <c r="B23" s="11" t="s">
        <v>0</v>
      </c>
      <c r="C23" s="12" t="s">
        <v>1</v>
      </c>
      <c r="D23" s="13" t="s">
        <v>3</v>
      </c>
      <c r="E23" s="13" t="s">
        <v>2</v>
      </c>
      <c r="F23" s="30" t="s">
        <v>8</v>
      </c>
      <c r="G23" s="9" t="s">
        <v>49</v>
      </c>
      <c r="H23" s="113" t="s">
        <v>20</v>
      </c>
      <c r="I23" s="64" t="s">
        <v>48</v>
      </c>
      <c r="M23" s="19">
        <v>1</v>
      </c>
      <c r="N23" s="16">
        <v>4</v>
      </c>
      <c r="O23" s="17">
        <f>N23-1</f>
        <v>3</v>
      </c>
      <c r="P23" s="26">
        <f>$O$13/O23</f>
        <v>0.33333333333333331</v>
      </c>
      <c r="Q23" s="31">
        <v>1.2500000000000001E-2</v>
      </c>
      <c r="R23" s="28">
        <v>-102.71196999999999</v>
      </c>
      <c r="S23" s="54">
        <v>-7.6293900000000003E-6</v>
      </c>
      <c r="T23" s="34"/>
    </row>
    <row r="24" spans="2:23" x14ac:dyDescent="0.3">
      <c r="B24" s="19">
        <v>1</v>
      </c>
      <c r="C24" s="16">
        <v>4</v>
      </c>
      <c r="D24" s="17">
        <f>C24-1</f>
        <v>3</v>
      </c>
      <c r="E24" s="17">
        <f>$D$3/D24</f>
        <v>3.3333333333333333E-2</v>
      </c>
      <c r="F24" s="24">
        <f>$D$11</f>
        <v>5.0000000000000001E-3</v>
      </c>
      <c r="G24" s="75">
        <v>-583.76745600000004</v>
      </c>
      <c r="H24" s="62">
        <f>H16</f>
        <v>4.7683715799999998E-6</v>
      </c>
      <c r="I24" s="65"/>
      <c r="J24" t="str">
        <f>J16</f>
        <v>reached crit after 1st it</v>
      </c>
      <c r="M24" s="20">
        <v>2</v>
      </c>
      <c r="N24" s="1">
        <v>8</v>
      </c>
      <c r="O24" s="15">
        <f t="shared" ref="O24:O27" si="8">N24-1</f>
        <v>7</v>
      </c>
      <c r="P24" s="15">
        <f t="shared" ref="P24:P27" si="9">$O$13/O24</f>
        <v>0.14285714285714285</v>
      </c>
      <c r="Q24" s="32">
        <v>1.2500000000000001E-2</v>
      </c>
      <c r="R24" s="29">
        <v>-32.522938000000003</v>
      </c>
      <c r="S24" s="55">
        <v>-7.6293949999999998E-6</v>
      </c>
      <c r="T24" s="35">
        <f>(R24-R23)/R23</f>
        <v>-0.6833578598482728</v>
      </c>
    </row>
    <row r="25" spans="2:23" x14ac:dyDescent="0.3">
      <c r="B25" s="20">
        <v>2</v>
      </c>
      <c r="C25" s="1">
        <v>8</v>
      </c>
      <c r="D25" s="15">
        <f t="shared" ref="D25:D29" si="10">C25-1</f>
        <v>7</v>
      </c>
      <c r="E25" s="15">
        <f t="shared" ref="E25:E29" si="11">$D$3/D25</f>
        <v>1.4285714285714287E-2</v>
      </c>
      <c r="F25" s="2">
        <f t="shared" ref="F25:F29" si="12">$D$11</f>
        <v>5.0000000000000001E-3</v>
      </c>
      <c r="G25" s="29">
        <v>-598.98168899999996</v>
      </c>
      <c r="H25" s="55">
        <f>H17</f>
        <v>5.8582850199999998E-6</v>
      </c>
      <c r="I25" s="65">
        <f>(G25-G24)/G24</f>
        <v>2.6062146568170325E-2</v>
      </c>
      <c r="J25" t="str">
        <f>J17</f>
        <v>residuals didn't reach crit, but converged</v>
      </c>
      <c r="M25" s="20">
        <v>3</v>
      </c>
      <c r="N25" s="1">
        <v>16</v>
      </c>
      <c r="O25" s="15">
        <f t="shared" si="8"/>
        <v>15</v>
      </c>
      <c r="P25" s="15">
        <f t="shared" si="9"/>
        <v>6.6666666666666666E-2</v>
      </c>
      <c r="Q25" s="32">
        <v>1.2500000000000001E-2</v>
      </c>
      <c r="R25" s="29">
        <v>-15.700065</v>
      </c>
      <c r="S25" s="55">
        <v>3.8146969999999998E-6</v>
      </c>
      <c r="T25" s="35">
        <f t="shared" ref="T25:T26" si="13">(R25-R24)/R24</f>
        <v>-0.51726178612768625</v>
      </c>
    </row>
    <row r="26" spans="2:23" x14ac:dyDescent="0.3">
      <c r="B26" s="20">
        <v>3</v>
      </c>
      <c r="C26" s="1">
        <v>16</v>
      </c>
      <c r="D26" s="15">
        <f t="shared" si="10"/>
        <v>15</v>
      </c>
      <c r="E26" s="15">
        <f t="shared" si="11"/>
        <v>6.6666666666666671E-3</v>
      </c>
      <c r="F26" s="2">
        <f t="shared" si="12"/>
        <v>5.0000000000000001E-3</v>
      </c>
      <c r="G26" s="29">
        <v>-601.83227499999998</v>
      </c>
      <c r="H26" s="55">
        <f t="shared" ref="H26:H28" si="14">H18</f>
        <v>7.6095261599999998E-6</v>
      </c>
      <c r="I26" s="65">
        <f t="shared" ref="I26:I29" si="15">(G26-G25)/G25</f>
        <v>4.7590536611546086E-3</v>
      </c>
      <c r="J26" t="str">
        <f t="shared" ref="J25:J29" si="16">J18</f>
        <v>residuals didn't reach crit, but converged</v>
      </c>
      <c r="M26" s="20">
        <v>4</v>
      </c>
      <c r="N26" s="1">
        <v>32</v>
      </c>
      <c r="O26" s="15">
        <f t="shared" si="8"/>
        <v>31</v>
      </c>
      <c r="P26" s="15">
        <f t="shared" si="9"/>
        <v>3.2258064516129031E-2</v>
      </c>
      <c r="Q26" s="32">
        <v>1.2500000000000001E-2</v>
      </c>
      <c r="R26" s="29">
        <v>-8.1601085999999992</v>
      </c>
      <c r="S26" s="55">
        <v>1.7325100000000001E-5</v>
      </c>
      <c r="T26" s="35">
        <f t="shared" si="13"/>
        <v>-0.48025001170377329</v>
      </c>
    </row>
    <row r="27" spans="2:23" ht="15" thickBot="1" x14ac:dyDescent="0.35">
      <c r="B27" s="20">
        <v>4</v>
      </c>
      <c r="C27" s="1">
        <v>32</v>
      </c>
      <c r="D27" s="15">
        <f t="shared" si="10"/>
        <v>31</v>
      </c>
      <c r="E27" s="15">
        <f t="shared" si="11"/>
        <v>3.2258064516129032E-3</v>
      </c>
      <c r="F27" s="2">
        <f t="shared" si="12"/>
        <v>5.0000000000000001E-3</v>
      </c>
      <c r="G27" s="29">
        <v>-281.76324449999998</v>
      </c>
      <c r="H27" s="55">
        <f t="shared" si="14"/>
        <v>5.8344296099999997E-5</v>
      </c>
      <c r="I27" s="65">
        <f t="shared" si="15"/>
        <v>-0.53182430354038424</v>
      </c>
      <c r="J27" t="str">
        <f t="shared" si="16"/>
        <v>residuals didn't reach crit, but converged</v>
      </c>
      <c r="M27" s="57">
        <v>5</v>
      </c>
      <c r="N27" s="3">
        <v>64</v>
      </c>
      <c r="O27" s="18">
        <f t="shared" si="8"/>
        <v>63</v>
      </c>
      <c r="P27" s="18">
        <f t="shared" si="9"/>
        <v>1.5873015873015872E-2</v>
      </c>
      <c r="Q27" s="33">
        <v>1.2500000000000001E-2</v>
      </c>
      <c r="R27" s="58">
        <v>-4.22478</v>
      </c>
      <c r="S27" s="59">
        <v>8.1523779999999999E-6</v>
      </c>
      <c r="T27" s="60">
        <f>(R27-R26)/R26</f>
        <v>-0.48226424339499596</v>
      </c>
    </row>
    <row r="28" spans="2:23" ht="15" thickBot="1" x14ac:dyDescent="0.35">
      <c r="B28" s="57">
        <v>5</v>
      </c>
      <c r="C28" s="3">
        <v>64</v>
      </c>
      <c r="D28" s="18">
        <f t="shared" si="10"/>
        <v>63</v>
      </c>
      <c r="E28" s="18">
        <f t="shared" si="11"/>
        <v>1.5873015873015873E-3</v>
      </c>
      <c r="F28" s="4">
        <f t="shared" si="12"/>
        <v>5.0000000000000001E-3</v>
      </c>
      <c r="G28" s="58">
        <v>-282.45074499999998</v>
      </c>
      <c r="H28" s="59">
        <f t="shared" si="14"/>
        <v>1.0103673399999999E-4</v>
      </c>
      <c r="I28" s="76">
        <f t="shared" si="15"/>
        <v>2.4399935528141561E-3</v>
      </c>
      <c r="J28" t="str">
        <f t="shared" si="16"/>
        <v>residuals didn't reach crit, but converged</v>
      </c>
      <c r="N28" s="6"/>
      <c r="O28" s="6"/>
      <c r="P28" s="6"/>
      <c r="Q28" s="6"/>
      <c r="R28" s="6"/>
      <c r="S28" s="6"/>
      <c r="T28" s="6"/>
    </row>
    <row r="29" spans="2:23" ht="15" thickBot="1" x14ac:dyDescent="0.35">
      <c r="B29" s="6"/>
      <c r="C29" s="6"/>
      <c r="D29" s="6"/>
      <c r="E29" s="6"/>
      <c r="F29" s="6"/>
      <c r="G29" s="6"/>
      <c r="H29" s="6"/>
      <c r="I29" s="37"/>
      <c r="J29">
        <f t="shared" si="16"/>
        <v>0</v>
      </c>
      <c r="N29" s="6"/>
      <c r="O29" s="6"/>
      <c r="P29" s="6"/>
      <c r="Q29" s="6"/>
      <c r="R29" s="6"/>
      <c r="S29" s="6"/>
      <c r="T29" s="6"/>
    </row>
    <row r="30" spans="2:23" ht="15" thickBot="1" x14ac:dyDescent="0.35">
      <c r="M30" s="6"/>
      <c r="N30" s="6"/>
      <c r="O30" s="6"/>
      <c r="P30" s="6"/>
      <c r="Q30" s="6"/>
      <c r="R30" s="118" t="s">
        <v>28</v>
      </c>
      <c r="S30" s="119"/>
      <c r="T30" s="119"/>
      <c r="U30" s="120"/>
    </row>
    <row r="31" spans="2:23" ht="15" thickBot="1" x14ac:dyDescent="0.35">
      <c r="B31" s="96" t="s">
        <v>104</v>
      </c>
      <c r="C31" s="98">
        <f>2*D11+2*D11</f>
        <v>0.02</v>
      </c>
      <c r="D31" s="108"/>
      <c r="M31" s="11" t="s">
        <v>0</v>
      </c>
      <c r="N31" s="12" t="s">
        <v>1</v>
      </c>
      <c r="O31" s="13" t="s">
        <v>3</v>
      </c>
      <c r="P31" s="13" t="s">
        <v>2</v>
      </c>
      <c r="Q31" s="30" t="s">
        <v>8</v>
      </c>
      <c r="R31" s="9" t="s">
        <v>25</v>
      </c>
      <c r="S31" s="63" t="s">
        <v>26</v>
      </c>
      <c r="T31" s="8" t="s">
        <v>20</v>
      </c>
      <c r="U31" s="64" t="s">
        <v>27</v>
      </c>
      <c r="V31" s="61" t="s">
        <v>30</v>
      </c>
      <c r="W31" s="73" t="s">
        <v>31</v>
      </c>
    </row>
    <row r="32" spans="2:23" x14ac:dyDescent="0.3">
      <c r="B32" s="99" t="s">
        <v>105</v>
      </c>
      <c r="C32" s="100">
        <f>D11*D11</f>
        <v>2.5000000000000001E-5</v>
      </c>
      <c r="D32" s="105"/>
      <c r="M32" s="19">
        <v>1</v>
      </c>
      <c r="N32" s="16">
        <v>4</v>
      </c>
      <c r="O32" s="17">
        <f>N32-1</f>
        <v>3</v>
      </c>
      <c r="P32" s="26">
        <f>$O$13/O32</f>
        <v>0.33333333333333331</v>
      </c>
      <c r="Q32" s="24">
        <v>1.2500000000000001E-2</v>
      </c>
      <c r="R32" s="69">
        <v>-24.446653399999999</v>
      </c>
      <c r="S32" s="66">
        <v>-45.164230000000003</v>
      </c>
      <c r="T32" s="62">
        <v>-7.6293900000000003E-6</v>
      </c>
      <c r="U32" s="65">
        <f>(S32-R32)/R32</f>
        <v>0.84746064260885723</v>
      </c>
      <c r="V32">
        <f>R32-S32</f>
        <v>20.717576600000005</v>
      </c>
      <c r="W32">
        <f>(V32-V33)/V32</f>
        <v>0.66695477307900974</v>
      </c>
    </row>
    <row r="33" spans="1:23" ht="15" thickBot="1" x14ac:dyDescent="0.35">
      <c r="B33" s="106" t="s">
        <v>19</v>
      </c>
      <c r="C33" s="107">
        <f>SQRT(D7*C31/(D5*C32))</f>
        <v>12.649110640673518</v>
      </c>
      <c r="D33" s="105"/>
      <c r="M33" s="20">
        <v>2</v>
      </c>
      <c r="N33" s="1">
        <v>8</v>
      </c>
      <c r="O33" s="15">
        <f t="shared" ref="O33:O37" si="17">N33-1</f>
        <v>7</v>
      </c>
      <c r="P33" s="15">
        <f t="shared" ref="P33:P37" si="18">$O$13/O33</f>
        <v>0.14285714285714285</v>
      </c>
      <c r="Q33" s="2">
        <v>1.2500000000000001E-2</v>
      </c>
      <c r="R33" s="70">
        <v>-12.49606</v>
      </c>
      <c r="S33" s="15">
        <v>-19.395949999999999</v>
      </c>
      <c r="T33" s="55">
        <v>-7.6293949999999998E-6</v>
      </c>
      <c r="U33" s="65">
        <f t="shared" ref="U33:U35" si="19">(S33-R33)/R33</f>
        <v>0.552165242484431</v>
      </c>
      <c r="V33">
        <f t="shared" ref="V33:V37" si="20">R33-S33</f>
        <v>6.8998899999999992</v>
      </c>
      <c r="W33">
        <f>(V33-V34)/V33</f>
        <v>0.67798388090244921</v>
      </c>
    </row>
    <row r="34" spans="1:23" ht="15" thickBot="1" x14ac:dyDescent="0.35">
      <c r="B34" s="103"/>
      <c r="C34" s="104"/>
      <c r="D34" s="105"/>
      <c r="M34" s="20">
        <v>3</v>
      </c>
      <c r="N34" s="1">
        <v>16</v>
      </c>
      <c r="O34" s="15">
        <f t="shared" si="17"/>
        <v>15</v>
      </c>
      <c r="P34" s="15">
        <f t="shared" si="18"/>
        <v>6.6666666666666666E-2</v>
      </c>
      <c r="Q34" s="2">
        <v>1.2500000000000001E-2</v>
      </c>
      <c r="R34" s="70">
        <v>-7.0437212000000002</v>
      </c>
      <c r="S34" s="15">
        <v>-9.2655969999999996</v>
      </c>
      <c r="T34" s="55">
        <v>3.8146969999999998E-6</v>
      </c>
      <c r="U34" s="65">
        <f t="shared" si="19"/>
        <v>0.31544062249368976</v>
      </c>
      <c r="V34">
        <f t="shared" si="20"/>
        <v>2.2218757999999994</v>
      </c>
      <c r="W34">
        <f t="shared" ref="W34:W36" si="21">(V34-V35)/V34</f>
        <v>0.70622300310395381</v>
      </c>
    </row>
    <row r="35" spans="1:23" ht="15" thickBot="1" x14ac:dyDescent="0.35">
      <c r="B35" s="115" t="s">
        <v>100</v>
      </c>
      <c r="C35" s="116"/>
      <c r="D35" s="117"/>
      <c r="E35">
        <f>MIN(D37:D70)</f>
        <v>360.30008500970905</v>
      </c>
      <c r="M35" s="20">
        <v>4</v>
      </c>
      <c r="N35" s="1">
        <v>32</v>
      </c>
      <c r="O35" s="15">
        <f t="shared" si="17"/>
        <v>31</v>
      </c>
      <c r="P35" s="15">
        <f t="shared" si="18"/>
        <v>3.2258064516129031E-2</v>
      </c>
      <c r="Q35" s="2">
        <v>1.2500000000000001E-2</v>
      </c>
      <c r="R35" s="70">
        <v>-3.8842340000000002</v>
      </c>
      <c r="S35" s="15">
        <v>-4.5369700000000002</v>
      </c>
      <c r="T35" s="55">
        <v>1.7325100000000001E-5</v>
      </c>
      <c r="U35" s="65">
        <f t="shared" si="19"/>
        <v>0.1680475481137336</v>
      </c>
      <c r="V35">
        <f t="shared" si="20"/>
        <v>0.65273599999999998</v>
      </c>
      <c r="W35">
        <f t="shared" si="21"/>
        <v>0.7289654776203548</v>
      </c>
    </row>
    <row r="36" spans="1:23" ht="15" thickBot="1" x14ac:dyDescent="0.35">
      <c r="B36" s="9" t="s">
        <v>95</v>
      </c>
      <c r="C36" s="164" t="s">
        <v>102</v>
      </c>
      <c r="D36" s="64" t="s">
        <v>103</v>
      </c>
      <c r="M36" s="21">
        <v>5</v>
      </c>
      <c r="N36" s="22">
        <v>64</v>
      </c>
      <c r="O36" s="23">
        <f t="shared" si="17"/>
        <v>63</v>
      </c>
      <c r="P36" s="23">
        <f t="shared" si="18"/>
        <v>1.5873015873015872E-2</v>
      </c>
      <c r="Q36" s="72">
        <v>1.2500000000000001E-2</v>
      </c>
      <c r="R36" s="71">
        <v>-2.06527591</v>
      </c>
      <c r="S36" s="23">
        <v>-2.2421899000000001</v>
      </c>
      <c r="T36" s="56">
        <v>8.1523779999999999E-6</v>
      </c>
      <c r="U36" s="67">
        <f>(S36-R36)/R36</f>
        <v>8.5661188969177529E-2</v>
      </c>
      <c r="V36">
        <f t="shared" si="20"/>
        <v>0.17691399000000008</v>
      </c>
      <c r="W36">
        <f t="shared" si="21"/>
        <v>0.60743635932918605</v>
      </c>
    </row>
    <row r="37" spans="1:23" ht="15" thickBot="1" x14ac:dyDescent="0.35">
      <c r="A37" s="135">
        <v>0</v>
      </c>
      <c r="B37" s="142">
        <f>A37*$E$19</f>
        <v>0</v>
      </c>
      <c r="C37" s="66">
        <f>$D$10+($D$8-$D$10)*COSH($C$33*($F$3-B37))/COSH($C$33*$F$3)</f>
        <v>100</v>
      </c>
      <c r="D37" s="128">
        <f>C37+273.15</f>
        <v>373.15</v>
      </c>
      <c r="E37" s="104"/>
      <c r="F37" s="6"/>
      <c r="M37" s="57">
        <v>6</v>
      </c>
      <c r="N37" s="3">
        <v>100</v>
      </c>
      <c r="O37" s="18">
        <f t="shared" si="17"/>
        <v>99</v>
      </c>
      <c r="P37" s="18">
        <f t="shared" si="18"/>
        <v>1.0101010101010102E-2</v>
      </c>
      <c r="Q37" s="4">
        <v>1.2500000000000001E-2</v>
      </c>
      <c r="R37" s="44">
        <v>-1.35365</v>
      </c>
      <c r="S37" s="18">
        <v>-1.4231</v>
      </c>
      <c r="T37" s="18"/>
      <c r="U37" s="68">
        <f>(S37-R37)/R37</f>
        <v>5.1305728955047473E-2</v>
      </c>
      <c r="V37">
        <f t="shared" si="20"/>
        <v>6.9450000000000012E-2</v>
      </c>
    </row>
    <row r="38" spans="1:23" x14ac:dyDescent="0.3">
      <c r="A38" s="163">
        <v>0.5</v>
      </c>
      <c r="B38" s="142">
        <f>A38*$E$19</f>
        <v>1.6129032258064516E-3</v>
      </c>
      <c r="C38" s="66">
        <f>$D$10+($D$8-$D$10)*COSH($C$33*($F$3-B38))/COSH($C$33*$F$3)</f>
        <v>99.159071356924571</v>
      </c>
      <c r="D38" s="128">
        <f t="shared" ref="D38:D69" si="22">C38+273.15</f>
        <v>372.30907135692456</v>
      </c>
      <c r="E38" s="104"/>
      <c r="F38" s="6"/>
      <c r="M38" s="6"/>
      <c r="N38" s="6"/>
      <c r="O38" s="6"/>
      <c r="P38" s="7"/>
      <c r="Q38" s="7"/>
      <c r="R38" s="7"/>
      <c r="S38" s="7"/>
      <c r="T38" s="7"/>
    </row>
    <row r="39" spans="1:23" ht="15" thickBot="1" x14ac:dyDescent="0.35">
      <c r="A39" s="136">
        <v>1</v>
      </c>
      <c r="B39" s="1">
        <f>B38+A39*$E$19</f>
        <v>4.8387096774193551E-3</v>
      </c>
      <c r="C39" s="66">
        <f t="shared" ref="C38:C70" si="23">$D$10+($D$8-$D$10)*COSH($C$33*($F$3-B39))/COSH($C$33*$F$3)</f>
        <v>97.569482475698379</v>
      </c>
      <c r="D39" s="2">
        <f t="shared" si="22"/>
        <v>370.71948247569833</v>
      </c>
      <c r="E39" s="104"/>
      <c r="F39" s="6"/>
      <c r="M39" s="6"/>
      <c r="N39" s="6"/>
      <c r="O39" s="6"/>
      <c r="P39" s="7"/>
      <c r="Q39" s="7"/>
      <c r="R39" s="7"/>
      <c r="S39" s="7"/>
      <c r="T39" s="7"/>
    </row>
    <row r="40" spans="1:23" ht="15" thickBot="1" x14ac:dyDescent="0.35">
      <c r="A40" s="136">
        <v>2</v>
      </c>
      <c r="B40" s="1">
        <f>$E$19+B39</f>
        <v>8.0645161290322578E-3</v>
      </c>
      <c r="C40" s="66">
        <f t="shared" si="23"/>
        <v>96.100733638827919</v>
      </c>
      <c r="D40" s="2">
        <f t="shared" si="22"/>
        <v>369.25073363882791</v>
      </c>
      <c r="E40" s="104"/>
      <c r="F40" s="6"/>
      <c r="M40" s="6"/>
      <c r="N40" s="6"/>
      <c r="O40" s="6"/>
      <c r="P40" s="6"/>
      <c r="Q40" s="6"/>
      <c r="R40" s="118" t="s">
        <v>29</v>
      </c>
      <c r="S40" s="119"/>
      <c r="T40" s="119"/>
      <c r="U40" s="120"/>
    </row>
    <row r="41" spans="1:23" ht="15" thickBot="1" x14ac:dyDescent="0.35">
      <c r="A41" s="136">
        <v>3</v>
      </c>
      <c r="B41" s="1">
        <f t="shared" ref="B41:B70" si="24">$E$19+B40</f>
        <v>1.1290322580645161E-2</v>
      </c>
      <c r="C41" s="66">
        <f t="shared" si="23"/>
        <v>94.750379139543057</v>
      </c>
      <c r="D41" s="2">
        <f t="shared" si="22"/>
        <v>367.90037913954302</v>
      </c>
      <c r="E41" s="104"/>
      <c r="F41" s="6"/>
      <c r="M41" s="11" t="s">
        <v>0</v>
      </c>
      <c r="N41" s="12" t="s">
        <v>1</v>
      </c>
      <c r="O41" s="13" t="s">
        <v>3</v>
      </c>
      <c r="P41" s="13" t="s">
        <v>2</v>
      </c>
      <c r="Q41" s="30" t="s">
        <v>8</v>
      </c>
      <c r="R41" s="9" t="s">
        <v>25</v>
      </c>
      <c r="S41" s="63" t="s">
        <v>26</v>
      </c>
      <c r="T41" s="8" t="s">
        <v>20</v>
      </c>
      <c r="U41" s="64" t="s">
        <v>27</v>
      </c>
      <c r="V41" s="61" t="s">
        <v>30</v>
      </c>
      <c r="W41" s="73" t="s">
        <v>31</v>
      </c>
    </row>
    <row r="42" spans="1:23" x14ac:dyDescent="0.3">
      <c r="A42" s="136">
        <v>4</v>
      </c>
      <c r="B42" s="1">
        <f t="shared" si="24"/>
        <v>1.4516129032258063E-2</v>
      </c>
      <c r="C42" s="66">
        <f t="shared" si="23"/>
        <v>93.51617041698843</v>
      </c>
      <c r="D42" s="2">
        <f t="shared" si="22"/>
        <v>366.66617041698839</v>
      </c>
      <c r="E42" s="104"/>
      <c r="F42" s="6"/>
      <c r="M42" s="19">
        <v>1</v>
      </c>
      <c r="N42" s="16">
        <v>4</v>
      </c>
      <c r="O42" s="17">
        <f>N42-1</f>
        <v>3</v>
      </c>
      <c r="P42" s="26">
        <f>$O$13/O42</f>
        <v>0.33333333333333331</v>
      </c>
      <c r="Q42" s="24">
        <v>1.2500000000000001E-2</v>
      </c>
      <c r="R42" s="69">
        <v>-102.711967</v>
      </c>
      <c r="S42" s="66">
        <v>-102.711967</v>
      </c>
      <c r="T42" s="62">
        <v>-7.6293900000000003E-6</v>
      </c>
      <c r="U42" s="65">
        <f t="shared" ref="U42:U47" si="25">(S42-R42)/R42</f>
        <v>0</v>
      </c>
      <c r="V42">
        <f>R42-S42</f>
        <v>0</v>
      </c>
    </row>
    <row r="43" spans="1:23" x14ac:dyDescent="0.3">
      <c r="A43" s="136">
        <v>5</v>
      </c>
      <c r="B43" s="1">
        <f t="shared" si="24"/>
        <v>1.7741935483870968E-2</v>
      </c>
      <c r="C43" s="66">
        <f t="shared" si="23"/>
        <v>92.396052312002226</v>
      </c>
      <c r="D43" s="2">
        <f t="shared" si="22"/>
        <v>365.54605231200219</v>
      </c>
      <c r="E43" s="104"/>
      <c r="F43" s="6"/>
      <c r="M43" s="20">
        <v>2</v>
      </c>
      <c r="N43" s="1">
        <v>8</v>
      </c>
      <c r="O43" s="15">
        <f t="shared" ref="O43:O47" si="26">N43-1</f>
        <v>7</v>
      </c>
      <c r="P43" s="15">
        <f t="shared" ref="P43:P47" si="27">$O$13/O43</f>
        <v>0.14285714285714285</v>
      </c>
      <c r="Q43" s="2">
        <v>1.2500000000000001E-2</v>
      </c>
      <c r="R43" s="70">
        <v>-32.522938000000003</v>
      </c>
      <c r="S43" s="15">
        <v>-41.675651999999999</v>
      </c>
      <c r="T43" s="55">
        <v>-7.6293949999999998E-6</v>
      </c>
      <c r="U43" s="65">
        <f t="shared" si="25"/>
        <v>0.28142334496348376</v>
      </c>
      <c r="V43">
        <f t="shared" ref="V43:V47" si="28">R43-S43</f>
        <v>9.152713999999996</v>
      </c>
      <c r="W43">
        <f>(V43-V44)/V43</f>
        <v>0.73996511854298064</v>
      </c>
    </row>
    <row r="44" spans="1:23" x14ac:dyDescent="0.3">
      <c r="A44" s="136">
        <v>6</v>
      </c>
      <c r="B44" s="1">
        <f t="shared" si="24"/>
        <v>2.0967741935483872E-2</v>
      </c>
      <c r="C44" s="66">
        <f t="shared" si="23"/>
        <v>91.388159644940416</v>
      </c>
      <c r="D44" s="2">
        <f t="shared" si="22"/>
        <v>364.53815964494038</v>
      </c>
      <c r="E44" s="104"/>
      <c r="F44" s="6"/>
      <c r="M44" s="20">
        <v>3</v>
      </c>
      <c r="N44" s="1">
        <v>16</v>
      </c>
      <c r="O44" s="15">
        <f t="shared" si="26"/>
        <v>15</v>
      </c>
      <c r="P44" s="15">
        <f t="shared" si="27"/>
        <v>6.6666666666666666E-2</v>
      </c>
      <c r="Q44" s="2">
        <v>1.2500000000000001E-2</v>
      </c>
      <c r="R44" s="70">
        <v>-15.7000647</v>
      </c>
      <c r="S44" s="15">
        <v>-18.080089600000001</v>
      </c>
      <c r="T44" s="55">
        <v>3.8146969999999998E-6</v>
      </c>
      <c r="U44" s="65">
        <f t="shared" si="25"/>
        <v>0.15159331795619926</v>
      </c>
      <c r="V44">
        <f t="shared" si="28"/>
        <v>2.3800249000000004</v>
      </c>
      <c r="W44">
        <f t="shared" ref="W44:W46" si="29">(V44-V45)/V44</f>
        <v>0.72117908094154792</v>
      </c>
    </row>
    <row r="45" spans="1:23" x14ac:dyDescent="0.3">
      <c r="A45" s="136">
        <v>7</v>
      </c>
      <c r="B45" s="1">
        <f t="shared" si="24"/>
        <v>2.4193548387096777E-2</v>
      </c>
      <c r="C45" s="66">
        <f t="shared" si="23"/>
        <v>90.490814109847989</v>
      </c>
      <c r="D45" s="2">
        <f t="shared" si="22"/>
        <v>363.64081410984795</v>
      </c>
      <c r="E45" s="104"/>
      <c r="F45" s="6"/>
      <c r="M45" s="20">
        <v>4</v>
      </c>
      <c r="N45" s="1">
        <v>32</v>
      </c>
      <c r="O45" s="15">
        <f t="shared" si="26"/>
        <v>31</v>
      </c>
      <c r="P45" s="15">
        <f t="shared" si="27"/>
        <v>3.2258064516129031E-2</v>
      </c>
      <c r="Q45" s="2">
        <v>1.2500000000000001E-2</v>
      </c>
      <c r="R45" s="70">
        <v>-8.1601085700000002</v>
      </c>
      <c r="S45" s="15">
        <v>-8.8237093000000009</v>
      </c>
      <c r="T45" s="55">
        <v>1.7325100000000001E-5</v>
      </c>
      <c r="U45" s="65">
        <f t="shared" si="25"/>
        <v>8.1322536864236919E-2</v>
      </c>
      <c r="V45">
        <f t="shared" si="28"/>
        <v>0.66360073000000064</v>
      </c>
      <c r="W45">
        <f t="shared" si="29"/>
        <v>0.73050538989009295</v>
      </c>
    </row>
    <row r="46" spans="1:23" x14ac:dyDescent="0.3">
      <c r="A46" s="136">
        <v>8</v>
      </c>
      <c r="B46" s="1">
        <f t="shared" si="24"/>
        <v>2.7419354838709682E-2</v>
      </c>
      <c r="C46" s="66">
        <f t="shared" si="23"/>
        <v>89.702521479805242</v>
      </c>
      <c r="D46" s="2">
        <f t="shared" si="22"/>
        <v>362.8525214798052</v>
      </c>
      <c r="E46" s="104"/>
      <c r="F46" s="6"/>
      <c r="M46" s="21">
        <v>5</v>
      </c>
      <c r="N46" s="22">
        <v>64</v>
      </c>
      <c r="O46" s="23">
        <f t="shared" si="26"/>
        <v>63</v>
      </c>
      <c r="P46" s="23">
        <f t="shared" si="27"/>
        <v>1.5873015873015872E-2</v>
      </c>
      <c r="Q46" s="72">
        <v>1.2500000000000001E-2</v>
      </c>
      <c r="R46" s="71">
        <v>-4.2247776999999997</v>
      </c>
      <c r="S46" s="23">
        <v>-4.4036145199999996</v>
      </c>
      <c r="T46" s="56">
        <v>8.1523779999999999E-6</v>
      </c>
      <c r="U46" s="67">
        <f t="shared" si="25"/>
        <v>4.2330468654007504E-2</v>
      </c>
      <c r="V46">
        <f t="shared" si="28"/>
        <v>0.1788368199999999</v>
      </c>
      <c r="W46">
        <f t="shared" si="29"/>
        <v>0.61165715203390414</v>
      </c>
    </row>
    <row r="47" spans="1:23" ht="15" thickBot="1" x14ac:dyDescent="0.35">
      <c r="A47" s="136">
        <v>9</v>
      </c>
      <c r="B47" s="1">
        <f t="shared" si="24"/>
        <v>3.0645161290322586E-2</v>
      </c>
      <c r="C47" s="66">
        <f t="shared" si="23"/>
        <v>89.02196911879588</v>
      </c>
      <c r="D47" s="2">
        <f t="shared" si="22"/>
        <v>362.17196911879586</v>
      </c>
      <c r="E47" s="104"/>
      <c r="F47" s="6"/>
      <c r="M47" s="57">
        <v>6</v>
      </c>
      <c r="N47" s="3">
        <v>100</v>
      </c>
      <c r="O47" s="18">
        <f t="shared" si="26"/>
        <v>99</v>
      </c>
      <c r="P47" s="18">
        <f t="shared" si="27"/>
        <v>1.0101010101010102E-2</v>
      </c>
      <c r="Q47" s="4">
        <v>1.2500000000000001E-2</v>
      </c>
      <c r="R47" s="44">
        <v>-1.35365</v>
      </c>
      <c r="S47" s="18">
        <v>-1.4231</v>
      </c>
      <c r="T47" s="18"/>
      <c r="U47" s="68">
        <f t="shared" si="25"/>
        <v>5.1305728955047473E-2</v>
      </c>
      <c r="V47">
        <f t="shared" si="28"/>
        <v>6.9450000000000012E-2</v>
      </c>
    </row>
    <row r="48" spans="1:23" x14ac:dyDescent="0.3">
      <c r="A48" s="136">
        <v>10</v>
      </c>
      <c r="B48" s="1">
        <f t="shared" si="24"/>
        <v>3.3870967741935487E-2</v>
      </c>
      <c r="C48" s="66">
        <f t="shared" si="23"/>
        <v>88.448023795953674</v>
      </c>
      <c r="D48" s="2">
        <f t="shared" si="22"/>
        <v>361.59802379595362</v>
      </c>
      <c r="E48" s="104"/>
      <c r="F48" s="6"/>
      <c r="M48" s="6"/>
      <c r="N48" s="6"/>
      <c r="O48" s="6"/>
    </row>
    <row r="49" spans="1:21" ht="15" thickBot="1" x14ac:dyDescent="0.35">
      <c r="A49" s="136">
        <v>11</v>
      </c>
      <c r="B49" s="1">
        <f t="shared" si="24"/>
        <v>3.7096774193548392E-2</v>
      </c>
      <c r="C49" s="66">
        <f t="shared" si="23"/>
        <v>87.979729798547794</v>
      </c>
      <c r="D49" s="2">
        <f t="shared" si="22"/>
        <v>361.12972979854777</v>
      </c>
      <c r="E49" s="104"/>
      <c r="F49" s="6"/>
      <c r="M49" s="6"/>
      <c r="N49" s="6"/>
      <c r="O49" s="6"/>
    </row>
    <row r="50" spans="1:21" ht="15" thickBot="1" x14ac:dyDescent="0.35">
      <c r="A50" s="136">
        <v>12</v>
      </c>
      <c r="B50" s="1">
        <f t="shared" si="24"/>
        <v>4.0322580645161296E-2</v>
      </c>
      <c r="C50" s="66">
        <f t="shared" si="23"/>
        <v>87.616307340565044</v>
      </c>
      <c r="D50" s="2">
        <f t="shared" si="22"/>
        <v>360.76630734056505</v>
      </c>
      <c r="E50" s="104"/>
      <c r="F50" s="6"/>
      <c r="M50" s="39"/>
      <c r="R50" s="118" t="s">
        <v>32</v>
      </c>
      <c r="S50" s="119"/>
      <c r="T50" s="119"/>
      <c r="U50" s="120"/>
    </row>
    <row r="51" spans="1:21" ht="15" thickBot="1" x14ac:dyDescent="0.35">
      <c r="A51" s="136">
        <v>13</v>
      </c>
      <c r="B51" s="1">
        <f t="shared" si="24"/>
        <v>4.3548387096774201E-2</v>
      </c>
      <c r="C51" s="66">
        <f t="shared" si="23"/>
        <v>87.357151264238823</v>
      </c>
      <c r="D51" s="2">
        <f t="shared" si="22"/>
        <v>360.50715126423881</v>
      </c>
      <c r="E51" s="104"/>
      <c r="F51" s="6"/>
      <c r="M51" s="11" t="s">
        <v>0</v>
      </c>
      <c r="N51" s="12" t="s">
        <v>1</v>
      </c>
      <c r="O51" s="13" t="s">
        <v>3</v>
      </c>
      <c r="P51" s="13" t="s">
        <v>2</v>
      </c>
      <c r="Q51" s="30" t="s">
        <v>8</v>
      </c>
      <c r="R51" s="9" t="s">
        <v>25</v>
      </c>
      <c r="S51" s="63" t="s">
        <v>26</v>
      </c>
      <c r="T51" s="8" t="s">
        <v>20</v>
      </c>
      <c r="U51" s="64" t="s">
        <v>27</v>
      </c>
    </row>
    <row r="52" spans="1:21" x14ac:dyDescent="0.3">
      <c r="A52" s="136">
        <v>14</v>
      </c>
      <c r="B52" s="1">
        <f t="shared" si="24"/>
        <v>4.6774193548387105E-2</v>
      </c>
      <c r="C52" s="66">
        <f>$D$10+($D$8-$D$10)*COSH($C$33*($F$3-B52))/COSH($C$33*$F$3)</f>
        <v>87.201830032362381</v>
      </c>
      <c r="D52" s="2">
        <f t="shared" si="22"/>
        <v>360.35183003236239</v>
      </c>
      <c r="E52" s="104"/>
      <c r="F52" s="6"/>
      <c r="M52" s="19">
        <v>1</v>
      </c>
      <c r="N52" s="16">
        <v>4</v>
      </c>
      <c r="O52" s="17">
        <f>N52-1</f>
        <v>3</v>
      </c>
      <c r="P52" s="26">
        <f t="shared" ref="P52:P57" si="30">$O$13/O52</f>
        <v>0.33333333333333331</v>
      </c>
      <c r="Q52" s="24">
        <v>1.2500000000000001E-2</v>
      </c>
      <c r="R52" s="69">
        <v>-24.446653399999999</v>
      </c>
      <c r="S52" s="66">
        <v>-45.164230000000003</v>
      </c>
      <c r="T52" s="62">
        <v>-7.6293900000000003E-6</v>
      </c>
      <c r="U52" s="65">
        <f>(S52-R52)/R52</f>
        <v>0.84746064260885723</v>
      </c>
    </row>
    <row r="53" spans="1:21" x14ac:dyDescent="0.3">
      <c r="A53" s="136">
        <v>15</v>
      </c>
      <c r="B53" s="1">
        <f t="shared" si="24"/>
        <v>5.000000000000001E-2</v>
      </c>
      <c r="C53" s="66">
        <f>$D$10+($D$8-$D$10)*COSH($C$33*($F$3-B53))/COSH($C$33*$F$3)</f>
        <v>87.150085009709102</v>
      </c>
      <c r="D53" s="2">
        <f t="shared" si="22"/>
        <v>360.30008500970905</v>
      </c>
      <c r="E53" s="104"/>
      <c r="F53" s="6"/>
      <c r="M53" s="20">
        <v>2</v>
      </c>
      <c r="N53" s="1">
        <v>8</v>
      </c>
      <c r="O53" s="15">
        <f t="shared" ref="O53:O57" si="31">N53-1</f>
        <v>7</v>
      </c>
      <c r="P53" s="15">
        <f t="shared" si="30"/>
        <v>0.14285714285714285</v>
      </c>
      <c r="Q53" s="2">
        <v>1.2500000000000001E-2</v>
      </c>
      <c r="R53" s="70">
        <v>-32.522937800000001</v>
      </c>
      <c r="S53" s="15">
        <v>-41.675651600000002</v>
      </c>
      <c r="T53" s="55">
        <v>-7.6293949999999998E-6</v>
      </c>
      <c r="U53" s="65">
        <f t="shared" ref="U53:U55" si="32">(S53-R53)/R53</f>
        <v>0.2814233405445925</v>
      </c>
    </row>
    <row r="54" spans="1:21" x14ac:dyDescent="0.3">
      <c r="A54" s="136">
        <v>16</v>
      </c>
      <c r="B54" s="1">
        <f t="shared" si="24"/>
        <v>5.3225806451612914E-2</v>
      </c>
      <c r="C54" s="66">
        <f t="shared" si="23"/>
        <v>87.201830032362395</v>
      </c>
      <c r="D54" s="2">
        <f t="shared" si="22"/>
        <v>360.35183003236239</v>
      </c>
      <c r="E54" s="104"/>
      <c r="F54" s="6"/>
      <c r="M54" s="20">
        <v>3</v>
      </c>
      <c r="N54" s="1">
        <v>16</v>
      </c>
      <c r="O54" s="15">
        <f t="shared" si="31"/>
        <v>15</v>
      </c>
      <c r="P54" s="15">
        <f t="shared" si="30"/>
        <v>6.6666666666666666E-2</v>
      </c>
      <c r="Q54" s="2">
        <v>1.2500000000000001E-2</v>
      </c>
      <c r="R54" s="70">
        <v>-37.215389299999998</v>
      </c>
      <c r="S54" s="15">
        <v>-40.296787299999998</v>
      </c>
      <c r="T54" s="55">
        <v>3.8146969999999998E-6</v>
      </c>
      <c r="U54" s="65">
        <f t="shared" si="32"/>
        <v>8.2799026369448733E-2</v>
      </c>
    </row>
    <row r="55" spans="1:21" x14ac:dyDescent="0.3">
      <c r="A55" s="136">
        <v>17</v>
      </c>
      <c r="B55" s="1">
        <f t="shared" si="24"/>
        <v>5.6451612903225819E-2</v>
      </c>
      <c r="C55" s="66">
        <f t="shared" si="23"/>
        <v>87.357151264238823</v>
      </c>
      <c r="D55" s="2">
        <f t="shared" si="22"/>
        <v>360.50715126423881</v>
      </c>
      <c r="E55" s="104"/>
      <c r="F55" s="6"/>
      <c r="M55" s="20">
        <v>4</v>
      </c>
      <c r="N55" s="1">
        <v>32</v>
      </c>
      <c r="O55" s="15">
        <f t="shared" si="31"/>
        <v>31</v>
      </c>
      <c r="P55" s="15">
        <f t="shared" si="30"/>
        <v>3.2258064516129031E-2</v>
      </c>
      <c r="Q55" s="2">
        <v>1.2500000000000001E-2</v>
      </c>
      <c r="R55" s="70">
        <v>-39.526885999999998</v>
      </c>
      <c r="S55" s="15">
        <v>-40.431015000000002</v>
      </c>
      <c r="T55" s="55">
        <v>1.7325100000000001E-5</v>
      </c>
      <c r="U55" s="65">
        <f t="shared" si="32"/>
        <v>2.2873772550663481E-2</v>
      </c>
    </row>
    <row r="56" spans="1:21" x14ac:dyDescent="0.3">
      <c r="A56" s="136">
        <v>18</v>
      </c>
      <c r="B56" s="1">
        <f t="shared" si="24"/>
        <v>5.9677419354838723E-2</v>
      </c>
      <c r="C56" s="66">
        <f t="shared" si="23"/>
        <v>87.616307340565044</v>
      </c>
      <c r="D56" s="2">
        <f t="shared" si="22"/>
        <v>360.76630734056505</v>
      </c>
      <c r="E56" s="104"/>
      <c r="F56" s="6"/>
      <c r="M56" s="21">
        <v>5</v>
      </c>
      <c r="N56" s="22">
        <v>64</v>
      </c>
      <c r="O56" s="23">
        <f t="shared" si="31"/>
        <v>63</v>
      </c>
      <c r="P56" s="23">
        <f t="shared" si="30"/>
        <v>1.5873015873015872E-2</v>
      </c>
      <c r="Q56" s="72">
        <v>1.2500000000000001E-2</v>
      </c>
      <c r="R56" s="71">
        <v>-40.631996200000003</v>
      </c>
      <c r="S56" s="23">
        <v>-40.878498100000002</v>
      </c>
      <c r="T56" s="56">
        <v>8.1523779999999999E-6</v>
      </c>
      <c r="U56" s="67">
        <f>(S56-R56)/R56</f>
        <v>6.0666943062964345E-3</v>
      </c>
    </row>
    <row r="57" spans="1:21" ht="15" thickBot="1" x14ac:dyDescent="0.35">
      <c r="A57" s="136">
        <v>19</v>
      </c>
      <c r="B57" s="1">
        <f t="shared" si="24"/>
        <v>6.2903225806451621E-2</v>
      </c>
      <c r="C57" s="66">
        <f t="shared" si="23"/>
        <v>87.979729798547794</v>
      </c>
      <c r="D57" s="2">
        <f t="shared" si="22"/>
        <v>361.12972979854777</v>
      </c>
      <c r="E57" s="104"/>
      <c r="F57" s="6"/>
      <c r="M57" s="57">
        <v>6</v>
      </c>
      <c r="N57" s="3">
        <v>100</v>
      </c>
      <c r="O57" s="18">
        <f t="shared" si="31"/>
        <v>99</v>
      </c>
      <c r="P57" s="18">
        <f t="shared" si="30"/>
        <v>1.0101010101010102E-2</v>
      </c>
      <c r="Q57" s="4">
        <v>1.2500000000000001E-2</v>
      </c>
      <c r="R57" s="44">
        <v>-1.35365</v>
      </c>
      <c r="S57" s="18">
        <v>-1.4231</v>
      </c>
      <c r="T57" s="18"/>
      <c r="U57" s="68">
        <f>(S57-R57)/R57</f>
        <v>5.1305728955047473E-2</v>
      </c>
    </row>
    <row r="58" spans="1:21" x14ac:dyDescent="0.3">
      <c r="A58" s="136">
        <v>20</v>
      </c>
      <c r="B58" s="1">
        <f t="shared" si="24"/>
        <v>6.6129032258064518E-2</v>
      </c>
      <c r="C58" s="66">
        <f t="shared" si="23"/>
        <v>88.448023795953674</v>
      </c>
      <c r="D58" s="2">
        <f t="shared" si="22"/>
        <v>361.59802379595362</v>
      </c>
      <c r="E58" s="104"/>
      <c r="F58" s="6"/>
      <c r="M58" s="6"/>
      <c r="N58" s="6"/>
      <c r="O58" s="6"/>
    </row>
    <row r="59" spans="1:21" x14ac:dyDescent="0.3">
      <c r="A59" s="136">
        <v>21</v>
      </c>
      <c r="B59" s="1">
        <f t="shared" si="24"/>
        <v>6.9354838709677416E-2</v>
      </c>
      <c r="C59" s="66">
        <f t="shared" si="23"/>
        <v>89.02196911879588</v>
      </c>
      <c r="D59" s="2">
        <f t="shared" si="22"/>
        <v>362.17196911879586</v>
      </c>
      <c r="E59" s="104"/>
      <c r="F59" s="6"/>
      <c r="M59" s="6"/>
      <c r="N59" s="6"/>
      <c r="O59" s="6"/>
    </row>
    <row r="60" spans="1:21" x14ac:dyDescent="0.3">
      <c r="A60" s="136">
        <v>22</v>
      </c>
      <c r="B60" s="1">
        <f t="shared" si="24"/>
        <v>7.2580645161290314E-2</v>
      </c>
      <c r="C60" s="66">
        <f t="shared" si="23"/>
        <v>89.702521479805242</v>
      </c>
      <c r="D60" s="2">
        <f t="shared" si="22"/>
        <v>362.8525214798052</v>
      </c>
      <c r="E60" s="104"/>
      <c r="F60" s="6"/>
      <c r="M60" s="6"/>
      <c r="N60" s="6"/>
      <c r="O60" s="6"/>
    </row>
    <row r="61" spans="1:21" x14ac:dyDescent="0.3">
      <c r="A61" s="136">
        <v>23</v>
      </c>
      <c r="B61" s="1">
        <f t="shared" si="24"/>
        <v>7.5806451612903211E-2</v>
      </c>
      <c r="C61" s="66">
        <f t="shared" si="23"/>
        <v>90.490814109847989</v>
      </c>
      <c r="D61" s="2">
        <f t="shared" si="22"/>
        <v>363.64081410984795</v>
      </c>
      <c r="E61" s="104"/>
      <c r="F61" s="6"/>
      <c r="M61" s="6"/>
      <c r="N61" s="6"/>
      <c r="O61" s="6"/>
    </row>
    <row r="62" spans="1:21" x14ac:dyDescent="0.3">
      <c r="A62" s="136">
        <v>24</v>
      </c>
      <c r="B62" s="1">
        <f t="shared" si="24"/>
        <v>7.9032258064516109E-2</v>
      </c>
      <c r="C62" s="66">
        <f t="shared" si="23"/>
        <v>91.388159644940416</v>
      </c>
      <c r="D62" s="2">
        <f t="shared" si="22"/>
        <v>364.53815964494038</v>
      </c>
      <c r="E62" s="104"/>
      <c r="F62" s="6"/>
      <c r="M62" s="6"/>
      <c r="N62" s="6"/>
      <c r="O62" s="6"/>
    </row>
    <row r="63" spans="1:21" x14ac:dyDescent="0.3">
      <c r="A63" s="136">
        <v>25</v>
      </c>
      <c r="B63" s="1">
        <f t="shared" si="24"/>
        <v>8.2258064516129006E-2</v>
      </c>
      <c r="C63" s="66">
        <f t="shared" si="23"/>
        <v>92.396052312002212</v>
      </c>
      <c r="D63" s="2">
        <f t="shared" si="22"/>
        <v>365.54605231200219</v>
      </c>
      <c r="E63" s="104"/>
      <c r="F63" s="6"/>
      <c r="M63" s="6"/>
      <c r="N63" s="6"/>
      <c r="O63" s="6"/>
    </row>
    <row r="64" spans="1:21" x14ac:dyDescent="0.3">
      <c r="A64" s="136">
        <v>26</v>
      </c>
      <c r="B64" s="1">
        <f t="shared" si="24"/>
        <v>8.5483870967741904E-2</v>
      </c>
      <c r="C64" s="66">
        <f t="shared" si="23"/>
        <v>93.516170416988416</v>
      </c>
      <c r="D64" s="2">
        <f t="shared" si="22"/>
        <v>366.66617041698839</v>
      </c>
      <c r="E64" s="104"/>
      <c r="F64" s="6"/>
      <c r="N64" s="6"/>
      <c r="O64" s="6"/>
      <c r="P64" s="6"/>
    </row>
    <row r="65" spans="1:16" x14ac:dyDescent="0.3">
      <c r="A65" s="136">
        <v>27</v>
      </c>
      <c r="B65" s="1">
        <f t="shared" si="24"/>
        <v>8.8709677419354802E-2</v>
      </c>
      <c r="C65" s="66">
        <f t="shared" si="23"/>
        <v>94.750379139543028</v>
      </c>
      <c r="D65" s="2">
        <f t="shared" si="22"/>
        <v>367.90037913954302</v>
      </c>
      <c r="E65" s="104"/>
      <c r="F65" s="6"/>
      <c r="N65" s="6"/>
      <c r="O65" s="6"/>
      <c r="P65" s="6"/>
    </row>
    <row r="66" spans="1:16" x14ac:dyDescent="0.3">
      <c r="A66" s="136">
        <v>28</v>
      </c>
      <c r="B66" s="1">
        <f t="shared" si="24"/>
        <v>9.1935483870967699E-2</v>
      </c>
      <c r="C66" s="66">
        <f t="shared" si="23"/>
        <v>96.10073363882789</v>
      </c>
      <c r="D66" s="2">
        <f t="shared" si="22"/>
        <v>369.25073363882785</v>
      </c>
      <c r="E66" s="104"/>
      <c r="F66" s="6"/>
      <c r="N66" s="6"/>
      <c r="O66" s="6"/>
      <c r="P66" s="6"/>
    </row>
    <row r="67" spans="1:16" x14ac:dyDescent="0.3">
      <c r="A67" s="136">
        <v>29</v>
      </c>
      <c r="B67" s="1">
        <f t="shared" si="24"/>
        <v>9.5161290322580597E-2</v>
      </c>
      <c r="C67" s="66">
        <f t="shared" si="23"/>
        <v>97.569482475698337</v>
      </c>
      <c r="D67" s="2">
        <f t="shared" si="22"/>
        <v>370.71948247569833</v>
      </c>
      <c r="E67" s="104"/>
      <c r="F67" s="6"/>
      <c r="N67" s="6"/>
      <c r="O67" s="6"/>
      <c r="P67" s="6"/>
    </row>
    <row r="68" spans="1:16" x14ac:dyDescent="0.3">
      <c r="A68" s="160">
        <v>30</v>
      </c>
      <c r="B68" s="1">
        <f t="shared" si="24"/>
        <v>9.8387096774193494E-2</v>
      </c>
      <c r="C68" s="66">
        <f t="shared" si="23"/>
        <v>99.159071356924528</v>
      </c>
      <c r="D68" s="72">
        <f t="shared" si="22"/>
        <v>372.30907135692451</v>
      </c>
      <c r="E68" s="104"/>
      <c r="F68" s="6"/>
      <c r="N68" s="6"/>
      <c r="O68" s="6"/>
      <c r="P68" s="6"/>
    </row>
    <row r="69" spans="1:16" ht="15" thickBot="1" x14ac:dyDescent="0.35">
      <c r="A69" s="161">
        <v>30.5</v>
      </c>
      <c r="B69" s="3">
        <f>$E$19/2+B68</f>
        <v>9.999999999999995E-2</v>
      </c>
      <c r="C69" s="173">
        <f t="shared" si="23"/>
        <v>99.999999999999972</v>
      </c>
      <c r="D69" s="150">
        <f t="shared" si="22"/>
        <v>373.15</v>
      </c>
      <c r="E69" s="104"/>
      <c r="F69" s="6"/>
      <c r="N69" s="6"/>
      <c r="O69" s="6"/>
      <c r="P69" s="6"/>
    </row>
    <row r="70" spans="1:16" ht="15" thickBot="1" x14ac:dyDescent="0.35">
      <c r="A70" s="162"/>
      <c r="B70" s="142"/>
      <c r="C70" s="66"/>
      <c r="D70" s="172"/>
      <c r="N70" s="6"/>
      <c r="O70" s="6"/>
      <c r="P70" s="6"/>
    </row>
    <row r="71" spans="1:16" x14ac:dyDescent="0.3">
      <c r="A71" s="104"/>
      <c r="B71" s="6"/>
      <c r="C71" s="6"/>
      <c r="D71" s="6"/>
      <c r="N71" s="6"/>
      <c r="O71" s="6"/>
      <c r="P71" s="6"/>
    </row>
    <row r="72" spans="1:16" x14ac:dyDescent="0.3">
      <c r="A72" s="104"/>
      <c r="B72" s="6"/>
      <c r="C72" s="6"/>
      <c r="D72" s="6"/>
      <c r="E72">
        <f>MIN(E74:E106)</f>
        <v>366.20377000000002</v>
      </c>
      <c r="F72">
        <f>E72-273.15</f>
        <v>93.053770000000043</v>
      </c>
      <c r="N72" s="6"/>
      <c r="O72" s="6"/>
      <c r="P72" s="6"/>
    </row>
    <row r="73" spans="1:16" x14ac:dyDescent="0.3">
      <c r="A73" s="104"/>
      <c r="B73" s="6" t="s">
        <v>134</v>
      </c>
      <c r="C73" s="6" t="s">
        <v>135</v>
      </c>
      <c r="D73" s="6" t="s">
        <v>136</v>
      </c>
      <c r="E73" t="s">
        <v>137</v>
      </c>
      <c r="N73" s="6"/>
      <c r="O73" s="6"/>
      <c r="P73" s="6"/>
    </row>
    <row r="74" spans="1:16" x14ac:dyDescent="0.3">
      <c r="A74" s="104"/>
      <c r="B74" s="6"/>
      <c r="C74" s="6">
        <v>1</v>
      </c>
      <c r="D74" s="6">
        <v>0</v>
      </c>
      <c r="E74">
        <v>373.14999</v>
      </c>
      <c r="F74">
        <v>3.7151700000000001</v>
      </c>
      <c r="G74">
        <v>0</v>
      </c>
      <c r="H74">
        <v>1</v>
      </c>
      <c r="I74">
        <v>373.14999</v>
      </c>
      <c r="N74" s="6"/>
      <c r="O74" s="6"/>
      <c r="P74" s="6"/>
    </row>
    <row r="75" spans="1:16" x14ac:dyDescent="0.3">
      <c r="A75" s="104"/>
      <c r="B75" s="6"/>
      <c r="C75" s="6">
        <v>2</v>
      </c>
      <c r="D75" s="6">
        <v>1.6100000000000001E-3</v>
      </c>
      <c r="E75">
        <v>372.69495000000001</v>
      </c>
      <c r="F75">
        <v>1.8575900000000001</v>
      </c>
      <c r="G75">
        <v>3.7151700000000001</v>
      </c>
      <c r="H75">
        <v>5.5743099999999997</v>
      </c>
      <c r="I75">
        <v>0.46224999999999999</v>
      </c>
      <c r="N75" s="6"/>
      <c r="O75" s="6"/>
      <c r="P75" s="6"/>
    </row>
    <row r="76" spans="1:16" x14ac:dyDescent="0.3">
      <c r="A76" s="104"/>
      <c r="B76" s="6"/>
      <c r="C76" s="6">
        <v>3</v>
      </c>
      <c r="D76" s="6">
        <v>4.8399999999999997E-3</v>
      </c>
      <c r="E76">
        <v>371.84697999999997</v>
      </c>
      <c r="F76">
        <v>1.8575900000000001</v>
      </c>
      <c r="G76">
        <v>1.8575900000000001</v>
      </c>
      <c r="H76">
        <v>3.71672</v>
      </c>
      <c r="I76">
        <v>0.46224999999999999</v>
      </c>
      <c r="N76" s="6"/>
      <c r="O76" s="6"/>
      <c r="P76" s="6"/>
    </row>
    <row r="77" spans="1:16" x14ac:dyDescent="0.3">
      <c r="A77" s="104"/>
      <c r="B77" s="6"/>
      <c r="C77" s="6">
        <v>4</v>
      </c>
      <c r="D77" s="6">
        <v>8.0700000000000008E-3</v>
      </c>
      <c r="E77">
        <v>371.06052</v>
      </c>
      <c r="F77">
        <v>1.8575900000000001</v>
      </c>
      <c r="G77">
        <v>1.8575900000000001</v>
      </c>
      <c r="H77">
        <v>3.71672</v>
      </c>
      <c r="I77">
        <v>0.46224999999999999</v>
      </c>
      <c r="N77" s="6"/>
      <c r="O77" s="6"/>
      <c r="P77" s="6"/>
    </row>
    <row r="78" spans="1:16" x14ac:dyDescent="0.3">
      <c r="A78" s="104"/>
      <c r="B78" s="6"/>
      <c r="C78" s="6">
        <v>5</v>
      </c>
      <c r="D78" s="6">
        <v>1.1299999999999999E-2</v>
      </c>
      <c r="E78">
        <v>370.3349</v>
      </c>
      <c r="F78">
        <v>1.8575900000000001</v>
      </c>
      <c r="G78">
        <v>1.8575900000000001</v>
      </c>
      <c r="H78">
        <v>3.71672</v>
      </c>
      <c r="I78">
        <v>0.46224999999999999</v>
      </c>
      <c r="N78" s="6"/>
      <c r="O78" s="6"/>
      <c r="P78" s="6"/>
    </row>
    <row r="79" spans="1:16" x14ac:dyDescent="0.3">
      <c r="A79" s="104"/>
      <c r="B79" s="6"/>
      <c r="C79" s="6">
        <v>6</v>
      </c>
      <c r="D79" s="6">
        <v>1.453E-2</v>
      </c>
      <c r="E79">
        <v>369.66955999999999</v>
      </c>
      <c r="F79">
        <v>1.85758</v>
      </c>
      <c r="G79">
        <v>1.8575900000000001</v>
      </c>
      <c r="H79">
        <v>3.71672</v>
      </c>
      <c r="I79">
        <v>0.46224999999999999</v>
      </c>
      <c r="N79" s="6"/>
      <c r="O79" s="6"/>
      <c r="P79" s="6"/>
    </row>
    <row r="80" spans="1:16" x14ac:dyDescent="0.3">
      <c r="A80" s="104"/>
      <c r="B80" s="6"/>
      <c r="C80" s="6">
        <v>7</v>
      </c>
      <c r="D80" s="6">
        <v>1.7770000000000001E-2</v>
      </c>
      <c r="E80">
        <v>369.06389999999999</v>
      </c>
      <c r="F80">
        <v>1.8575900000000001</v>
      </c>
      <c r="G80">
        <v>1.85758</v>
      </c>
      <c r="H80">
        <v>3.71672</v>
      </c>
      <c r="I80">
        <v>0.46224999999999999</v>
      </c>
      <c r="N80" s="6"/>
      <c r="O80" s="6"/>
      <c r="P80" s="6"/>
    </row>
    <row r="81" spans="1:16" x14ac:dyDescent="0.3">
      <c r="A81" s="104"/>
      <c r="B81" s="6"/>
      <c r="C81" s="6">
        <v>8</v>
      </c>
      <c r="D81" s="6">
        <v>2.0990000000000002E-2</v>
      </c>
      <c r="E81">
        <v>368.51742999999999</v>
      </c>
      <c r="F81">
        <v>1.85758</v>
      </c>
      <c r="G81">
        <v>1.8575900000000001</v>
      </c>
      <c r="H81">
        <v>3.71672</v>
      </c>
      <c r="I81">
        <v>0.46224999999999999</v>
      </c>
      <c r="N81" s="6"/>
      <c r="O81" s="6"/>
      <c r="P81" s="6"/>
    </row>
    <row r="82" spans="1:16" x14ac:dyDescent="0.3">
      <c r="A82" s="104"/>
      <c r="B82" s="6"/>
      <c r="C82" s="6">
        <v>9</v>
      </c>
      <c r="D82" s="6">
        <v>2.4230000000000002E-2</v>
      </c>
      <c r="E82">
        <v>368.02969000000002</v>
      </c>
      <c r="F82">
        <v>1.8575900000000001</v>
      </c>
      <c r="G82">
        <v>1.85758</v>
      </c>
      <c r="H82">
        <v>3.71672</v>
      </c>
      <c r="I82">
        <v>0.46224999999999999</v>
      </c>
      <c r="N82" s="6"/>
      <c r="O82" s="6"/>
      <c r="P82" s="6"/>
    </row>
    <row r="83" spans="1:16" x14ac:dyDescent="0.3">
      <c r="A83" s="104"/>
      <c r="B83" s="6"/>
      <c r="C83" s="6">
        <v>10</v>
      </c>
      <c r="D83" s="6">
        <v>2.7449999999999999E-2</v>
      </c>
      <c r="E83">
        <v>367.60028</v>
      </c>
      <c r="F83">
        <v>1.85758</v>
      </c>
      <c r="G83">
        <v>1.8575900000000001</v>
      </c>
      <c r="H83">
        <v>3.71672</v>
      </c>
      <c r="I83">
        <v>0.46224999999999999</v>
      </c>
    </row>
    <row r="84" spans="1:16" x14ac:dyDescent="0.3">
      <c r="A84" s="104"/>
      <c r="B84" s="6"/>
      <c r="C84" s="6">
        <v>11</v>
      </c>
      <c r="D84" s="6">
        <v>3.0689999999999999E-2</v>
      </c>
      <c r="E84">
        <v>367.22881999999998</v>
      </c>
      <c r="F84">
        <v>1.8575900000000001</v>
      </c>
      <c r="G84">
        <v>1.85758</v>
      </c>
      <c r="H84">
        <v>3.71672</v>
      </c>
      <c r="I84">
        <v>0.46224999999999999</v>
      </c>
    </row>
    <row r="85" spans="1:16" x14ac:dyDescent="0.3">
      <c r="A85" s="104"/>
      <c r="B85" s="6"/>
      <c r="C85" s="6">
        <v>12</v>
      </c>
      <c r="D85" s="6">
        <v>3.3910000000000003E-2</v>
      </c>
      <c r="E85">
        <v>366.91503999999998</v>
      </c>
      <c r="F85">
        <v>1.85758</v>
      </c>
      <c r="G85">
        <v>1.8575900000000001</v>
      </c>
      <c r="H85">
        <v>3.71672</v>
      </c>
      <c r="I85">
        <v>0.46224999999999999</v>
      </c>
    </row>
    <row r="86" spans="1:16" x14ac:dyDescent="0.3">
      <c r="A86" s="104"/>
      <c r="B86" s="6"/>
      <c r="C86" s="6">
        <v>13</v>
      </c>
      <c r="D86" s="6">
        <v>3.7139999999999999E-2</v>
      </c>
      <c r="E86">
        <v>366.65872000000002</v>
      </c>
      <c r="F86">
        <v>1.8575900000000001</v>
      </c>
      <c r="G86">
        <v>1.85758</v>
      </c>
      <c r="H86">
        <v>3.71672</v>
      </c>
      <c r="I86">
        <v>0.46224999999999999</v>
      </c>
    </row>
    <row r="87" spans="1:16" x14ac:dyDescent="0.3">
      <c r="A87" s="104"/>
      <c r="B87" s="6"/>
      <c r="C87" s="6">
        <v>14</v>
      </c>
      <c r="D87" s="6">
        <v>4.0370000000000003E-2</v>
      </c>
      <c r="E87">
        <v>366.45956000000001</v>
      </c>
      <c r="F87">
        <v>1.85758</v>
      </c>
      <c r="G87">
        <v>1.8575900000000001</v>
      </c>
      <c r="H87">
        <v>3.71672</v>
      </c>
      <c r="I87">
        <v>0.46224999999999999</v>
      </c>
    </row>
    <row r="88" spans="1:16" x14ac:dyDescent="0.3">
      <c r="A88" s="104"/>
      <c r="B88" s="6"/>
      <c r="C88" s="6">
        <v>15</v>
      </c>
      <c r="D88" s="6">
        <v>4.36E-2</v>
      </c>
      <c r="E88">
        <v>366.31741</v>
      </c>
      <c r="F88">
        <v>1.8575900000000001</v>
      </c>
      <c r="G88">
        <v>1.85758</v>
      </c>
      <c r="H88">
        <v>3.71672</v>
      </c>
      <c r="I88">
        <v>0.46224999999999999</v>
      </c>
    </row>
    <row r="89" spans="1:16" x14ac:dyDescent="0.3">
      <c r="A89" s="104"/>
      <c r="B89" s="6"/>
      <c r="C89" s="6">
        <v>16</v>
      </c>
      <c r="D89" s="6">
        <v>4.6829999999999997E-2</v>
      </c>
      <c r="E89">
        <v>366.23218000000003</v>
      </c>
      <c r="F89">
        <v>1.85758</v>
      </c>
      <c r="G89">
        <v>1.8575900000000001</v>
      </c>
      <c r="H89">
        <v>3.71672</v>
      </c>
      <c r="I89">
        <v>0.46224999999999999</v>
      </c>
    </row>
    <row r="90" spans="1:16" x14ac:dyDescent="0.3">
      <c r="A90" s="104"/>
      <c r="B90" s="6"/>
      <c r="C90" s="6">
        <v>17</v>
      </c>
      <c r="D90" s="6">
        <v>5.006E-2</v>
      </c>
      <c r="E90">
        <v>366.20377000000002</v>
      </c>
      <c r="F90">
        <v>1.8575900000000001</v>
      </c>
      <c r="G90">
        <v>1.85758</v>
      </c>
      <c r="H90">
        <v>3.71672</v>
      </c>
      <c r="I90">
        <v>0.46224999999999999</v>
      </c>
    </row>
    <row r="91" spans="1:16" x14ac:dyDescent="0.3">
      <c r="A91" s="104"/>
      <c r="B91" s="6"/>
      <c r="C91" s="6">
        <v>18</v>
      </c>
      <c r="D91" s="6">
        <v>5.3289999999999997E-2</v>
      </c>
      <c r="E91">
        <v>366.23214999999999</v>
      </c>
      <c r="F91">
        <v>1.85758</v>
      </c>
      <c r="G91">
        <v>1.8575900000000001</v>
      </c>
      <c r="H91">
        <v>3.71672</v>
      </c>
      <c r="I91">
        <v>0.46224999999999999</v>
      </c>
    </row>
    <row r="92" spans="1:16" x14ac:dyDescent="0.3">
      <c r="A92" s="104"/>
      <c r="B92" s="6"/>
      <c r="C92" s="6">
        <v>19</v>
      </c>
      <c r="D92" s="6">
        <v>5.6520000000000001E-2</v>
      </c>
      <c r="E92">
        <v>366.31738000000001</v>
      </c>
      <c r="F92">
        <v>1.8575900000000001</v>
      </c>
      <c r="G92">
        <v>1.85758</v>
      </c>
      <c r="H92">
        <v>3.71672</v>
      </c>
      <c r="I92">
        <v>0.46224999999999999</v>
      </c>
    </row>
    <row r="93" spans="1:16" x14ac:dyDescent="0.3">
      <c r="A93" s="104"/>
      <c r="B93" s="6"/>
      <c r="C93" s="6">
        <v>20</v>
      </c>
      <c r="D93" s="6">
        <v>5.9749999999999998E-2</v>
      </c>
      <c r="E93">
        <v>366.45949999999999</v>
      </c>
      <c r="F93">
        <v>1.85758</v>
      </c>
      <c r="G93">
        <v>1.8575900000000001</v>
      </c>
      <c r="H93">
        <v>3.71672</v>
      </c>
      <c r="I93">
        <v>0.46224999999999999</v>
      </c>
    </row>
    <row r="94" spans="1:16" x14ac:dyDescent="0.3">
      <c r="A94" s="104"/>
      <c r="B94" s="6"/>
      <c r="C94" s="6">
        <v>21</v>
      </c>
      <c r="D94" s="6">
        <v>6.2990000000000004E-2</v>
      </c>
      <c r="E94">
        <v>366.65868999999998</v>
      </c>
      <c r="F94">
        <v>1.8575900000000001</v>
      </c>
      <c r="G94">
        <v>1.85758</v>
      </c>
      <c r="H94">
        <v>3.71672</v>
      </c>
      <c r="I94">
        <v>0.46224999999999999</v>
      </c>
    </row>
    <row r="95" spans="1:16" x14ac:dyDescent="0.3">
      <c r="A95" s="104"/>
      <c r="B95" s="6"/>
      <c r="C95" s="6">
        <v>22</v>
      </c>
      <c r="D95" s="6">
        <v>6.6210000000000005E-2</v>
      </c>
      <c r="E95">
        <v>366.91503999999998</v>
      </c>
      <c r="F95">
        <v>1.85758</v>
      </c>
      <c r="G95">
        <v>1.8575900000000001</v>
      </c>
      <c r="H95">
        <v>3.71672</v>
      </c>
      <c r="I95">
        <v>0.46224999999999999</v>
      </c>
    </row>
    <row r="96" spans="1:16" x14ac:dyDescent="0.3">
      <c r="A96" s="104"/>
      <c r="B96" s="6"/>
      <c r="C96" s="6">
        <v>23</v>
      </c>
      <c r="D96" s="6">
        <v>6.9440000000000002E-2</v>
      </c>
      <c r="E96">
        <v>367.22881999999998</v>
      </c>
      <c r="F96">
        <v>1.85758</v>
      </c>
      <c r="G96">
        <v>1.85758</v>
      </c>
      <c r="H96">
        <v>3.71671</v>
      </c>
      <c r="I96">
        <v>0.46224999999999999</v>
      </c>
    </row>
    <row r="97" spans="1:9" x14ac:dyDescent="0.3">
      <c r="A97" s="104"/>
      <c r="B97" s="6"/>
      <c r="C97" s="6">
        <v>24</v>
      </c>
      <c r="D97" s="6">
        <v>7.2679999999999995E-2</v>
      </c>
      <c r="E97">
        <v>367.60025000000002</v>
      </c>
      <c r="F97">
        <v>1.8575900000000001</v>
      </c>
      <c r="G97">
        <v>1.85758</v>
      </c>
      <c r="H97">
        <v>3.71672</v>
      </c>
      <c r="I97">
        <v>0.46224999999999999</v>
      </c>
    </row>
    <row r="98" spans="1:9" x14ac:dyDescent="0.3">
      <c r="A98" s="104"/>
      <c r="B98" s="6"/>
      <c r="C98" s="6">
        <v>25</v>
      </c>
      <c r="D98" s="6">
        <v>7.5899999999999995E-2</v>
      </c>
      <c r="E98">
        <v>368.02963</v>
      </c>
      <c r="F98">
        <v>1.85758</v>
      </c>
      <c r="G98">
        <v>1.8575900000000001</v>
      </c>
      <c r="H98">
        <v>3.71672</v>
      </c>
      <c r="I98">
        <v>0.46224999999999999</v>
      </c>
    </row>
    <row r="99" spans="1:9" x14ac:dyDescent="0.3">
      <c r="A99" s="104"/>
      <c r="B99" s="6"/>
      <c r="C99" s="6">
        <v>26</v>
      </c>
      <c r="D99" s="6">
        <v>7.9140000000000002E-2</v>
      </c>
      <c r="E99">
        <v>368.51740000000001</v>
      </c>
      <c r="F99">
        <v>1.8575900000000001</v>
      </c>
      <c r="G99">
        <v>1.85758</v>
      </c>
      <c r="H99">
        <v>3.71672</v>
      </c>
      <c r="I99">
        <v>0.46224999999999999</v>
      </c>
    </row>
    <row r="100" spans="1:9" x14ac:dyDescent="0.3">
      <c r="A100" s="104"/>
      <c r="B100" s="6"/>
      <c r="C100" s="6">
        <v>27</v>
      </c>
      <c r="D100" s="6">
        <v>8.2360000000000003E-2</v>
      </c>
      <c r="E100">
        <v>369.06384000000003</v>
      </c>
      <c r="F100">
        <v>1.85758</v>
      </c>
      <c r="G100">
        <v>1.8575900000000001</v>
      </c>
      <c r="H100">
        <v>3.71672</v>
      </c>
      <c r="I100">
        <v>0.46224999999999999</v>
      </c>
    </row>
    <row r="101" spans="1:9" x14ac:dyDescent="0.3">
      <c r="A101" s="104"/>
      <c r="B101" s="6"/>
      <c r="C101" s="6">
        <v>28</v>
      </c>
      <c r="D101" s="6">
        <v>8.5589999999999999E-2</v>
      </c>
      <c r="E101">
        <v>369.66949</v>
      </c>
      <c r="F101">
        <v>1.85758</v>
      </c>
      <c r="G101">
        <v>1.85758</v>
      </c>
      <c r="H101">
        <v>3.71671</v>
      </c>
      <c r="I101">
        <v>0.46224999999999999</v>
      </c>
    </row>
    <row r="102" spans="1:9" x14ac:dyDescent="0.3">
      <c r="A102" s="104"/>
      <c r="B102" s="6"/>
      <c r="C102" s="6">
        <v>29</v>
      </c>
      <c r="D102" s="6">
        <v>8.8830000000000006E-2</v>
      </c>
      <c r="E102">
        <v>370.33483999999999</v>
      </c>
      <c r="F102">
        <v>1.8575900000000001</v>
      </c>
      <c r="G102">
        <v>1.85758</v>
      </c>
      <c r="H102">
        <v>3.71672</v>
      </c>
      <c r="I102">
        <v>0.46224999999999999</v>
      </c>
    </row>
    <row r="103" spans="1:9" x14ac:dyDescent="0.3">
      <c r="A103" s="104"/>
      <c r="B103" s="6"/>
      <c r="C103" s="6">
        <v>30</v>
      </c>
      <c r="D103" s="6">
        <v>9.2050000000000007E-2</v>
      </c>
      <c r="E103">
        <v>371.06045999999998</v>
      </c>
      <c r="F103">
        <v>1.85758</v>
      </c>
      <c r="G103">
        <v>1.8575900000000001</v>
      </c>
      <c r="H103">
        <v>3.71672</v>
      </c>
      <c r="I103">
        <v>0.46224999999999999</v>
      </c>
    </row>
    <row r="104" spans="1:9" x14ac:dyDescent="0.3">
      <c r="A104" s="104"/>
      <c r="B104" s="6"/>
      <c r="C104" s="6">
        <v>31</v>
      </c>
      <c r="D104" s="6">
        <v>9.5280000000000004E-2</v>
      </c>
      <c r="E104">
        <v>371.84694999999999</v>
      </c>
      <c r="F104">
        <v>1.85758</v>
      </c>
      <c r="G104">
        <v>1.85758</v>
      </c>
      <c r="H104">
        <v>3.71671</v>
      </c>
      <c r="I104">
        <v>0.46224999999999999</v>
      </c>
    </row>
    <row r="105" spans="1:9" x14ac:dyDescent="0.3">
      <c r="A105" s="104"/>
      <c r="B105" s="6"/>
      <c r="C105" s="6">
        <v>32</v>
      </c>
      <c r="D105" s="6">
        <v>9.8519999999999996E-2</v>
      </c>
      <c r="E105">
        <v>372.69495000000001</v>
      </c>
      <c r="F105">
        <v>3.7151800000000001</v>
      </c>
      <c r="G105">
        <v>1.85758</v>
      </c>
      <c r="H105">
        <v>5.5743099999999997</v>
      </c>
      <c r="I105">
        <v>0.46224999999999999</v>
      </c>
    </row>
    <row r="106" spans="1:9" x14ac:dyDescent="0.3">
      <c r="A106" s="104"/>
      <c r="B106" s="6"/>
      <c r="C106" s="6">
        <v>33</v>
      </c>
      <c r="D106" s="6">
        <v>0.10013</v>
      </c>
      <c r="E106">
        <v>373.14999</v>
      </c>
      <c r="F106" t="s">
        <v>151</v>
      </c>
      <c r="G106">
        <v>0</v>
      </c>
      <c r="H106">
        <v>1</v>
      </c>
      <c r="I106">
        <v>373.14999</v>
      </c>
    </row>
    <row r="107" spans="1:9" x14ac:dyDescent="0.3">
      <c r="A107" s="104"/>
      <c r="B107" s="6"/>
      <c r="C107" s="6"/>
      <c r="D107" s="6"/>
    </row>
    <row r="108" spans="1:9" x14ac:dyDescent="0.3">
      <c r="A108" s="104"/>
      <c r="B108" s="6"/>
      <c r="C108" s="6"/>
      <c r="D108" s="6"/>
    </row>
    <row r="109" spans="1:9" x14ac:dyDescent="0.3">
      <c r="A109" s="104"/>
      <c r="B109" s="6"/>
      <c r="C109" s="6"/>
      <c r="D109" s="6"/>
    </row>
    <row r="110" spans="1:9" x14ac:dyDescent="0.3">
      <c r="A110" s="104"/>
      <c r="B110" s="6"/>
      <c r="C110" s="6"/>
      <c r="D110" s="6"/>
    </row>
    <row r="111" spans="1:9" x14ac:dyDescent="0.3">
      <c r="A111" s="104"/>
      <c r="B111" s="6"/>
      <c r="C111" s="6"/>
      <c r="D111" s="6"/>
    </row>
    <row r="112" spans="1:9" x14ac:dyDescent="0.3">
      <c r="A112" s="104"/>
      <c r="B112" s="6"/>
      <c r="C112" s="6"/>
      <c r="D112" s="6"/>
    </row>
    <row r="113" spans="1:4" x14ac:dyDescent="0.3">
      <c r="A113" s="104"/>
      <c r="B113" s="6"/>
      <c r="C113" s="6"/>
      <c r="D113" s="6"/>
    </row>
    <row r="114" spans="1:4" x14ac:dyDescent="0.3">
      <c r="A114" s="104"/>
      <c r="B114" s="6"/>
      <c r="C114" s="6"/>
      <c r="D114" s="6"/>
    </row>
    <row r="115" spans="1:4" x14ac:dyDescent="0.3">
      <c r="A115" s="104"/>
      <c r="B115" s="6"/>
      <c r="C115" s="6"/>
      <c r="D115" s="6"/>
    </row>
    <row r="116" spans="1:4" x14ac:dyDescent="0.3">
      <c r="A116" s="104"/>
      <c r="B116" s="6"/>
      <c r="C116" s="6"/>
      <c r="D116" s="6"/>
    </row>
    <row r="117" spans="1:4" x14ac:dyDescent="0.3">
      <c r="A117" s="104"/>
      <c r="B117" s="6"/>
      <c r="C117" s="6"/>
      <c r="D117" s="6"/>
    </row>
    <row r="118" spans="1:4" x14ac:dyDescent="0.3">
      <c r="A118" s="104"/>
      <c r="B118" s="6"/>
      <c r="C118" s="6"/>
      <c r="D118" s="6"/>
    </row>
    <row r="119" spans="1:4" x14ac:dyDescent="0.3">
      <c r="A119" s="104"/>
      <c r="B119" s="6"/>
      <c r="C119" s="6"/>
      <c r="D119" s="6"/>
    </row>
    <row r="120" spans="1:4" x14ac:dyDescent="0.3">
      <c r="A120" s="104"/>
      <c r="B120" s="6"/>
      <c r="C120" s="6"/>
      <c r="D120" s="6"/>
    </row>
    <row r="121" spans="1:4" x14ac:dyDescent="0.3">
      <c r="A121" s="104"/>
      <c r="B121" s="6"/>
      <c r="C121" s="6"/>
      <c r="D121" s="6"/>
    </row>
    <row r="122" spans="1:4" x14ac:dyDescent="0.3">
      <c r="A122" s="104"/>
      <c r="B122" s="6"/>
      <c r="C122" s="6"/>
      <c r="D122" s="6"/>
    </row>
    <row r="123" spans="1:4" x14ac:dyDescent="0.3">
      <c r="A123" s="104"/>
      <c r="B123" s="6"/>
      <c r="C123" s="6"/>
      <c r="D123" s="6"/>
    </row>
    <row r="124" spans="1:4" x14ac:dyDescent="0.3">
      <c r="A124" s="104"/>
      <c r="B124" s="6"/>
      <c r="C124" s="6"/>
      <c r="D124" s="6"/>
    </row>
    <row r="125" spans="1:4" x14ac:dyDescent="0.3">
      <c r="A125" s="104"/>
      <c r="B125" s="6"/>
      <c r="C125" s="6"/>
      <c r="D125" s="6"/>
    </row>
    <row r="126" spans="1:4" x14ac:dyDescent="0.3">
      <c r="A126" s="104"/>
      <c r="B126" s="6"/>
      <c r="C126" s="6"/>
      <c r="D126" s="6"/>
    </row>
    <row r="127" spans="1:4" x14ac:dyDescent="0.3">
      <c r="A127" s="104"/>
      <c r="B127" s="6"/>
      <c r="C127" s="6"/>
      <c r="D127" s="6"/>
    </row>
    <row r="128" spans="1:4" x14ac:dyDescent="0.3">
      <c r="A128" s="104"/>
      <c r="B128" s="6"/>
      <c r="C128" s="6"/>
      <c r="D128" s="6"/>
    </row>
    <row r="129" spans="1:4" x14ac:dyDescent="0.3">
      <c r="A129" s="104"/>
      <c r="B129" s="6"/>
      <c r="C129" s="6"/>
      <c r="D129" s="6"/>
    </row>
    <row r="130" spans="1:4" x14ac:dyDescent="0.3">
      <c r="A130" s="104"/>
      <c r="B130" s="6"/>
      <c r="C130" s="6"/>
      <c r="D130" s="6"/>
    </row>
    <row r="131" spans="1:4" x14ac:dyDescent="0.3">
      <c r="A131" s="104"/>
      <c r="B131" s="6"/>
      <c r="C131" s="6"/>
      <c r="D131" s="6"/>
    </row>
    <row r="132" spans="1:4" x14ac:dyDescent="0.3">
      <c r="A132" s="104"/>
      <c r="B132" s="6"/>
      <c r="C132" s="6"/>
      <c r="D132" s="6"/>
    </row>
    <row r="133" spans="1:4" x14ac:dyDescent="0.3">
      <c r="A133" s="104"/>
      <c r="B133" s="6"/>
      <c r="C133" s="6"/>
      <c r="D133" s="6"/>
    </row>
    <row r="134" spans="1:4" x14ac:dyDescent="0.3">
      <c r="A134" s="104"/>
      <c r="B134" s="6"/>
      <c r="C134" s="6"/>
      <c r="D134" s="6"/>
    </row>
    <row r="135" spans="1:4" x14ac:dyDescent="0.3">
      <c r="A135" s="104"/>
      <c r="B135" s="6"/>
      <c r="C135" s="6"/>
      <c r="D135" s="6"/>
    </row>
    <row r="136" spans="1:4" x14ac:dyDescent="0.3">
      <c r="A136" s="104"/>
      <c r="B136" s="6"/>
      <c r="C136" s="6"/>
      <c r="D136" s="6"/>
    </row>
    <row r="137" spans="1:4" x14ac:dyDescent="0.3">
      <c r="A137" s="104"/>
      <c r="B137" s="6"/>
      <c r="C137" s="6"/>
      <c r="D137" s="6"/>
    </row>
  </sheetData>
  <mergeCells count="10">
    <mergeCell ref="B2:E2"/>
    <mergeCell ref="R40:U40"/>
    <mergeCell ref="G22:I22"/>
    <mergeCell ref="R50:U50"/>
    <mergeCell ref="R14:T14"/>
    <mergeCell ref="U14:W14"/>
    <mergeCell ref="R21:T21"/>
    <mergeCell ref="R30:U30"/>
    <mergeCell ref="G14:I14"/>
    <mergeCell ref="B35:D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opLeftCell="A23" workbookViewId="0">
      <selection activeCell="G53" sqref="G53"/>
    </sheetView>
  </sheetViews>
  <sheetFormatPr defaultRowHeight="14.4" x14ac:dyDescent="0.3"/>
  <cols>
    <col min="1" max="1" width="1.6640625" customWidth="1"/>
    <col min="3" max="4" width="12" bestFit="1" customWidth="1"/>
    <col min="5" max="5" width="14.33203125" customWidth="1"/>
    <col min="6" max="10" width="10" bestFit="1" customWidth="1"/>
    <col min="13" max="13" width="11.77734375" bestFit="1" customWidth="1"/>
    <col min="14" max="14" width="10.6640625" bestFit="1" customWidth="1"/>
  </cols>
  <sheetData>
    <row r="2" spans="2:15" x14ac:dyDescent="0.3">
      <c r="B2" s="27" t="s">
        <v>9</v>
      </c>
    </row>
    <row r="3" spans="2:15" ht="15" thickBot="1" x14ac:dyDescent="0.35"/>
    <row r="4" spans="2:15" x14ac:dyDescent="0.3">
      <c r="B4" s="96" t="s">
        <v>33</v>
      </c>
      <c r="C4" s="97">
        <v>0.1</v>
      </c>
      <c r="D4" s="98" t="s">
        <v>19</v>
      </c>
      <c r="E4">
        <f>C4/2</f>
        <v>0.05</v>
      </c>
      <c r="N4" s="5"/>
    </row>
    <row r="5" spans="2:15" x14ac:dyDescent="0.3">
      <c r="B5" s="99" t="s">
        <v>50</v>
      </c>
      <c r="C5" s="95">
        <v>5.0000000000000001E-3</v>
      </c>
      <c r="D5" s="100" t="s">
        <v>19</v>
      </c>
      <c r="N5" s="37"/>
    </row>
    <row r="6" spans="2:15" x14ac:dyDescent="0.3">
      <c r="B6" s="99" t="s">
        <v>40</v>
      </c>
      <c r="C6" s="95">
        <v>26</v>
      </c>
      <c r="D6" s="100" t="s">
        <v>45</v>
      </c>
      <c r="N6" s="37"/>
    </row>
    <row r="7" spans="2:15" x14ac:dyDescent="0.3">
      <c r="B7" s="99" t="s">
        <v>51</v>
      </c>
      <c r="C7" s="95">
        <v>280</v>
      </c>
      <c r="D7" s="100" t="s">
        <v>42</v>
      </c>
      <c r="E7" t="s">
        <v>57</v>
      </c>
      <c r="N7" s="37"/>
    </row>
    <row r="8" spans="2:15" x14ac:dyDescent="0.3">
      <c r="B8" s="99" t="s">
        <v>52</v>
      </c>
      <c r="C8" s="95">
        <v>50000</v>
      </c>
      <c r="D8" s="100" t="s">
        <v>53</v>
      </c>
      <c r="E8" t="s">
        <v>56</v>
      </c>
      <c r="N8" s="37"/>
    </row>
    <row r="9" spans="2:15" x14ac:dyDescent="0.3">
      <c r="B9" s="99" t="s">
        <v>38</v>
      </c>
      <c r="C9" s="95">
        <v>50</v>
      </c>
      <c r="D9" s="100" t="s">
        <v>41</v>
      </c>
      <c r="E9" t="s">
        <v>55</v>
      </c>
      <c r="N9" s="37"/>
    </row>
    <row r="10" spans="2:15" ht="15" thickBot="1" x14ac:dyDescent="0.35">
      <c r="B10" s="106" t="s">
        <v>39</v>
      </c>
      <c r="C10" s="101">
        <v>40</v>
      </c>
      <c r="D10" s="102" t="s">
        <v>41</v>
      </c>
      <c r="N10" s="37"/>
    </row>
    <row r="11" spans="2:15" ht="15" thickBot="1" x14ac:dyDescent="0.35">
      <c r="N11" s="37"/>
    </row>
    <row r="12" spans="2:15" ht="15" thickBot="1" x14ac:dyDescent="0.35">
      <c r="B12" s="11" t="s">
        <v>0</v>
      </c>
      <c r="C12" s="12" t="s">
        <v>1</v>
      </c>
      <c r="D12" s="13" t="s">
        <v>3</v>
      </c>
      <c r="E12" s="13" t="s">
        <v>2</v>
      </c>
      <c r="F12" s="36" t="s">
        <v>8</v>
      </c>
      <c r="G12" s="9" t="s">
        <v>10</v>
      </c>
      <c r="H12" s="113" t="s">
        <v>58</v>
      </c>
      <c r="I12" s="113" t="s">
        <v>54</v>
      </c>
      <c r="J12" s="113" t="s">
        <v>60</v>
      </c>
      <c r="K12" s="113" t="s">
        <v>12</v>
      </c>
      <c r="L12" s="114" t="s">
        <v>3</v>
      </c>
      <c r="M12" s="114" t="s">
        <v>11</v>
      </c>
      <c r="N12" s="64" t="s">
        <v>59</v>
      </c>
    </row>
    <row r="13" spans="2:15" x14ac:dyDescent="0.3">
      <c r="B13" s="140">
        <v>1</v>
      </c>
      <c r="C13" s="141">
        <v>2</v>
      </c>
      <c r="D13" s="17">
        <f>C13-1</f>
        <v>1</v>
      </c>
      <c r="E13" s="17">
        <f t="shared" ref="E13:E19" si="0">$C$4/D13</f>
        <v>0.1</v>
      </c>
      <c r="F13" s="143"/>
      <c r="G13" s="152">
        <v>331.88623000000001</v>
      </c>
      <c r="H13" s="153">
        <v>-15.89992262</v>
      </c>
      <c r="I13" s="155">
        <v>3.8146972000000001E-6</v>
      </c>
      <c r="J13" s="153">
        <v>0.05</v>
      </c>
      <c r="K13" s="153">
        <v>2</v>
      </c>
      <c r="L13" s="154">
        <f>K13-1</f>
        <v>1</v>
      </c>
      <c r="M13" s="139"/>
      <c r="N13" s="151"/>
      <c r="O13" t="s">
        <v>140</v>
      </c>
    </row>
    <row r="14" spans="2:15" x14ac:dyDescent="0.3">
      <c r="B14" s="20">
        <f>B13+1</f>
        <v>2</v>
      </c>
      <c r="C14" s="142">
        <v>3</v>
      </c>
      <c r="D14" s="66">
        <f>C14-1</f>
        <v>2</v>
      </c>
      <c r="E14" s="66">
        <f t="shared" si="0"/>
        <v>0.05</v>
      </c>
      <c r="F14" s="144">
        <f t="shared" ref="F14:F19" si="1">$C$5</f>
        <v>5.0000000000000001E-3</v>
      </c>
      <c r="G14" s="29">
        <v>330.35736000000003</v>
      </c>
      <c r="H14" s="145">
        <v>-15.9002438</v>
      </c>
      <c r="I14" s="146">
        <v>1.83105469E-4</v>
      </c>
      <c r="J14" s="145">
        <v>2.5000000000000001E-2</v>
      </c>
      <c r="K14" s="145">
        <v>2</v>
      </c>
      <c r="L14" s="147">
        <f>K14-1</f>
        <v>1</v>
      </c>
      <c r="M14" s="156">
        <f t="shared" ref="M14" si="2">(G14-G13)/G13</f>
        <v>-4.6066087164869226E-3</v>
      </c>
      <c r="N14" s="157">
        <f t="shared" ref="N14" si="3">(H14-H13)/H13</f>
        <v>2.0200098307161073E-5</v>
      </c>
    </row>
    <row r="15" spans="2:15" x14ac:dyDescent="0.3">
      <c r="B15" s="20">
        <f t="shared" ref="B15:B19" si="4">B14+1</f>
        <v>3</v>
      </c>
      <c r="C15" s="1">
        <v>5</v>
      </c>
      <c r="D15" s="15">
        <f t="shared" ref="D15:D19" si="5">C15-1</f>
        <v>4</v>
      </c>
      <c r="E15" s="15">
        <f t="shared" si="0"/>
        <v>2.5000000000000001E-2</v>
      </c>
      <c r="F15" s="32">
        <f t="shared" si="1"/>
        <v>5.0000000000000001E-3</v>
      </c>
      <c r="G15" s="29">
        <v>329.92003999999997</v>
      </c>
      <c r="H15" s="145">
        <v>-15.9002438</v>
      </c>
      <c r="I15" s="146">
        <v>2.4461746199999998E-4</v>
      </c>
      <c r="J15" s="145">
        <v>3.7499999999999999E-2</v>
      </c>
      <c r="K15" s="145">
        <v>3</v>
      </c>
      <c r="L15" s="147">
        <f>K15-1</f>
        <v>2</v>
      </c>
      <c r="M15" s="156">
        <f t="shared" ref="M15:N19" si="6">(G15-G14)/G14</f>
        <v>-1.3237785893435415E-3</v>
      </c>
      <c r="N15" s="157">
        <f t="shared" si="6"/>
        <v>0</v>
      </c>
    </row>
    <row r="16" spans="2:15" x14ac:dyDescent="0.3">
      <c r="B16" s="20">
        <f t="shared" si="4"/>
        <v>4</v>
      </c>
      <c r="C16" s="1">
        <f>C15+D15</f>
        <v>9</v>
      </c>
      <c r="D16" s="15">
        <f t="shared" si="5"/>
        <v>8</v>
      </c>
      <c r="E16" s="15">
        <f t="shared" si="0"/>
        <v>1.2500000000000001E-2</v>
      </c>
      <c r="F16" s="32">
        <f t="shared" si="1"/>
        <v>5.0000000000000001E-3</v>
      </c>
      <c r="G16" s="29">
        <v>329.83816999999999</v>
      </c>
      <c r="H16" s="145">
        <v>-15.900878000000001</v>
      </c>
      <c r="I16" s="146">
        <v>6.1011314399999998E-4</v>
      </c>
      <c r="J16" s="145">
        <v>3.125E-2</v>
      </c>
      <c r="K16" s="145">
        <v>4</v>
      </c>
      <c r="L16" s="147">
        <f t="shared" ref="L16:L19" si="7">K16-1</f>
        <v>3</v>
      </c>
      <c r="M16" s="156">
        <f t="shared" si="6"/>
        <v>-2.4815103683904983E-4</v>
      </c>
      <c r="N16" s="157">
        <f t="shared" si="6"/>
        <v>3.9886180864746381E-5</v>
      </c>
    </row>
    <row r="17" spans="2:15" x14ac:dyDescent="0.3">
      <c r="B17" s="20">
        <f t="shared" si="4"/>
        <v>5</v>
      </c>
      <c r="C17" s="1">
        <f>C16+D16</f>
        <v>17</v>
      </c>
      <c r="D17" s="15">
        <f t="shared" si="5"/>
        <v>16</v>
      </c>
      <c r="E17" s="15">
        <f t="shared" si="0"/>
        <v>6.2500000000000003E-3</v>
      </c>
      <c r="F17" s="32">
        <f t="shared" si="1"/>
        <v>5.0000000000000001E-3</v>
      </c>
      <c r="G17" s="29">
        <v>329.80450000000002</v>
      </c>
      <c r="H17" s="145">
        <v>-15.902148199999999</v>
      </c>
      <c r="I17" s="146">
        <v>7.3271989800000005E-4</v>
      </c>
      <c r="J17" s="145">
        <v>3.4380000000000001E-2</v>
      </c>
      <c r="K17" s="145">
        <v>7</v>
      </c>
      <c r="L17" s="147">
        <f t="shared" si="7"/>
        <v>6</v>
      </c>
      <c r="M17" s="156">
        <f t="shared" si="6"/>
        <v>-1.0208036262137985E-4</v>
      </c>
      <c r="N17" s="157">
        <f t="shared" si="6"/>
        <v>7.9882381337600784E-5</v>
      </c>
      <c r="O17" t="s">
        <v>71</v>
      </c>
    </row>
    <row r="18" spans="2:15" x14ac:dyDescent="0.3">
      <c r="B18" s="20">
        <f t="shared" si="4"/>
        <v>6</v>
      </c>
      <c r="C18" s="1">
        <f>C17+D17</f>
        <v>33</v>
      </c>
      <c r="D18" s="15">
        <f t="shared" si="5"/>
        <v>32</v>
      </c>
      <c r="E18" s="15">
        <f t="shared" si="0"/>
        <v>3.1250000000000002E-3</v>
      </c>
      <c r="F18" s="32">
        <f t="shared" si="1"/>
        <v>5.0000000000000001E-3</v>
      </c>
      <c r="G18" s="29">
        <v>329.82306</v>
      </c>
      <c r="H18" s="145">
        <v>-15.9451895</v>
      </c>
      <c r="I18" s="146">
        <v>1.90651417E-3</v>
      </c>
      <c r="J18" s="145">
        <v>3.2870000000000003E-2</v>
      </c>
      <c r="K18" s="145"/>
      <c r="L18" s="147">
        <f t="shared" si="7"/>
        <v>-1</v>
      </c>
      <c r="M18" s="156">
        <f t="shared" si="6"/>
        <v>5.6275763368842699E-5</v>
      </c>
      <c r="N18" s="157">
        <f t="shared" si="6"/>
        <v>2.7066343149789352E-3</v>
      </c>
      <c r="O18" t="s">
        <v>71</v>
      </c>
    </row>
    <row r="19" spans="2:15" ht="15" thickBot="1" x14ac:dyDescent="0.35">
      <c r="B19" s="57">
        <f t="shared" si="4"/>
        <v>7</v>
      </c>
      <c r="C19" s="3">
        <f t="shared" ref="C19" si="8">C18+D18</f>
        <v>65</v>
      </c>
      <c r="D19" s="18">
        <f t="shared" si="5"/>
        <v>64</v>
      </c>
      <c r="E19" s="18">
        <f t="shared" si="0"/>
        <v>1.5625000000000001E-3</v>
      </c>
      <c r="F19" s="33">
        <f t="shared" si="1"/>
        <v>5.0000000000000001E-3</v>
      </c>
      <c r="G19" s="58">
        <v>329.77990999999997</v>
      </c>
      <c r="H19" s="148">
        <v>-15.8487949</v>
      </c>
      <c r="I19" s="149">
        <v>3.53008881E-3</v>
      </c>
      <c r="J19" s="148">
        <v>3.1980000000000001E-2</v>
      </c>
      <c r="K19" s="148"/>
      <c r="L19" s="150">
        <f t="shared" si="7"/>
        <v>-1</v>
      </c>
      <c r="M19" s="158">
        <f t="shared" si="6"/>
        <v>-1.308277232041494E-4</v>
      </c>
      <c r="N19" s="159">
        <f t="shared" si="6"/>
        <v>-6.0453718659160497E-3</v>
      </c>
    </row>
    <row r="20" spans="2:15" ht="15" thickBot="1" x14ac:dyDescent="0.35"/>
    <row r="21" spans="2:15" ht="15" thickBot="1" x14ac:dyDescent="0.35">
      <c r="B21" s="115" t="s">
        <v>100</v>
      </c>
      <c r="C21" s="116"/>
      <c r="D21" s="116"/>
      <c r="E21" s="116"/>
      <c r="F21" s="117"/>
    </row>
    <row r="22" spans="2:15" x14ac:dyDescent="0.3">
      <c r="B22" t="s">
        <v>141</v>
      </c>
      <c r="F22">
        <f>C8*C4/2</f>
        <v>2500</v>
      </c>
    </row>
    <row r="23" spans="2:15" x14ac:dyDescent="0.3">
      <c r="B23" t="s">
        <v>142</v>
      </c>
      <c r="F23">
        <f>C6/2/E4</f>
        <v>260</v>
      </c>
    </row>
    <row r="24" spans="2:15" x14ac:dyDescent="0.3">
      <c r="B24" t="s">
        <v>143</v>
      </c>
      <c r="C24">
        <f>F22/(C7+F23)</f>
        <v>4.6296296296296298</v>
      </c>
      <c r="D24" t="s">
        <v>144</v>
      </c>
      <c r="E24">
        <f>C7*C10/(C7+F23)</f>
        <v>20.74074074074074</v>
      </c>
      <c r="F24" t="s">
        <v>144</v>
      </c>
      <c r="G24">
        <f>F23/(C7+F23)</f>
        <v>0.48148148148148145</v>
      </c>
      <c r="H24" t="s">
        <v>145</v>
      </c>
      <c r="I24" t="s">
        <v>146</v>
      </c>
    </row>
    <row r="25" spans="2:15" x14ac:dyDescent="0.3">
      <c r="D25">
        <f>SUM(C24,E24)</f>
        <v>25.37037037037037</v>
      </c>
    </row>
    <row r="26" spans="2:15" x14ac:dyDescent="0.3">
      <c r="B26" t="s">
        <v>147</v>
      </c>
      <c r="C26">
        <f>C8*C4/2+F23*D25+C9*C7</f>
        <v>23096.296296296296</v>
      </c>
      <c r="D26" t="s">
        <v>148</v>
      </c>
      <c r="E26">
        <f>C7+F23-F23*G24</f>
        <v>414.81481481481484</v>
      </c>
      <c r="F26" t="s">
        <v>149</v>
      </c>
      <c r="G26" s="165">
        <f>C26/E26</f>
        <v>55.678571428571423</v>
      </c>
      <c r="H26">
        <f>G26+273.15</f>
        <v>328.82857142857142</v>
      </c>
    </row>
    <row r="27" spans="2:15" x14ac:dyDescent="0.3">
      <c r="B27" t="s">
        <v>143</v>
      </c>
      <c r="C27" s="165">
        <f>D25+G24*G26</f>
        <v>52.178571428571423</v>
      </c>
      <c r="D27" s="166">
        <f>C27+273.15</f>
        <v>325.32857142857142</v>
      </c>
    </row>
    <row r="28" spans="2:15" ht="15" thickBot="1" x14ac:dyDescent="0.35"/>
    <row r="29" spans="2:15" ht="15" thickBot="1" x14ac:dyDescent="0.35">
      <c r="C29" s="115" t="s">
        <v>100</v>
      </c>
      <c r="D29" s="116"/>
      <c r="E29" s="117"/>
    </row>
    <row r="30" spans="2:15" ht="15" thickBot="1" x14ac:dyDescent="0.35">
      <c r="C30" s="9" t="s">
        <v>101</v>
      </c>
      <c r="D30" s="170" t="s">
        <v>98</v>
      </c>
      <c r="E30" s="64" t="s">
        <v>99</v>
      </c>
      <c r="G30" s="73" t="s">
        <v>139</v>
      </c>
      <c r="H30">
        <f>MAX(E31:E51)</f>
        <v>329.79780219780218</v>
      </c>
    </row>
    <row r="31" spans="2:15" x14ac:dyDescent="0.3">
      <c r="B31" t="s">
        <v>96</v>
      </c>
      <c r="C31" s="167">
        <f>-0.05</f>
        <v>-0.05</v>
      </c>
      <c r="D31" s="168">
        <f>$C$8*$E$4^2*(1-C31^2/$E$4^2)/2/$C$6+($C$27-$G$26)/2*C31/$E$4+($G$26+$C$27)/2</f>
        <v>55.678571428571423</v>
      </c>
      <c r="E31" s="169">
        <f>D31+273.15</f>
        <v>328.82857142857142</v>
      </c>
    </row>
    <row r="32" spans="2:15" x14ac:dyDescent="0.3">
      <c r="C32" s="99">
        <f>-0.045</f>
        <v>-4.4999999999999998E-2</v>
      </c>
      <c r="D32" s="95">
        <f t="shared" ref="D32:D51" si="9">$C$8*$E$4^2*(1-C32^2/$E$4^2)/2/$C$6+($C$27-$G$26)/2*C32/$E$4+($G$26+$C$27)/2</f>
        <v>55.960302197802193</v>
      </c>
      <c r="E32" s="100">
        <f t="shared" ref="E32:E51" si="10">D32+273.15</f>
        <v>329.11030219780218</v>
      </c>
    </row>
    <row r="33" spans="3:5" x14ac:dyDescent="0.3">
      <c r="C33" s="99">
        <v>-0.04</v>
      </c>
      <c r="D33" s="95">
        <f t="shared" si="9"/>
        <v>56.193956043956042</v>
      </c>
      <c r="E33" s="100">
        <f t="shared" si="10"/>
        <v>329.34395604395604</v>
      </c>
    </row>
    <row r="34" spans="3:5" x14ac:dyDescent="0.3">
      <c r="C34" s="99">
        <v>-3.5000000000000003E-2</v>
      </c>
      <c r="D34" s="95">
        <f t="shared" si="9"/>
        <v>56.379532967032965</v>
      </c>
      <c r="E34" s="100">
        <f t="shared" si="10"/>
        <v>329.52953296703294</v>
      </c>
    </row>
    <row r="35" spans="3:5" x14ac:dyDescent="0.3">
      <c r="C35" s="99">
        <v>-0.03</v>
      </c>
      <c r="D35" s="95">
        <f t="shared" si="9"/>
        <v>56.517032967032961</v>
      </c>
      <c r="E35" s="100">
        <f t="shared" si="10"/>
        <v>329.66703296703292</v>
      </c>
    </row>
    <row r="36" spans="3:5" x14ac:dyDescent="0.3">
      <c r="C36" s="99">
        <v>-2.5000000000000001E-2</v>
      </c>
      <c r="D36" s="95">
        <f t="shared" si="9"/>
        <v>56.606456043956037</v>
      </c>
      <c r="E36" s="100">
        <f t="shared" si="10"/>
        <v>329.75645604395601</v>
      </c>
    </row>
    <row r="37" spans="3:5" x14ac:dyDescent="0.3">
      <c r="C37" s="99">
        <v>-0.02</v>
      </c>
      <c r="D37" s="95">
        <f t="shared" si="9"/>
        <v>56.647802197802193</v>
      </c>
      <c r="E37" s="100">
        <f t="shared" si="10"/>
        <v>329.79780219780218</v>
      </c>
    </row>
    <row r="38" spans="3:5" x14ac:dyDescent="0.3">
      <c r="C38" s="99">
        <v>-1.4999999999999999E-2</v>
      </c>
      <c r="D38" s="95">
        <f t="shared" si="9"/>
        <v>56.641071428571422</v>
      </c>
      <c r="E38" s="100">
        <f t="shared" si="10"/>
        <v>329.7910714285714</v>
      </c>
    </row>
    <row r="39" spans="3:5" x14ac:dyDescent="0.3">
      <c r="C39" s="99">
        <v>-0.01</v>
      </c>
      <c r="D39" s="95">
        <f t="shared" si="9"/>
        <v>56.586263736263732</v>
      </c>
      <c r="E39" s="100">
        <f t="shared" si="10"/>
        <v>329.73626373626371</v>
      </c>
    </row>
    <row r="40" spans="3:5" x14ac:dyDescent="0.3">
      <c r="C40" s="99">
        <v>-5.0000000000000001E-3</v>
      </c>
      <c r="D40" s="95">
        <f t="shared" si="9"/>
        <v>56.483379120879114</v>
      </c>
      <c r="E40" s="100">
        <f t="shared" si="10"/>
        <v>329.63337912087911</v>
      </c>
    </row>
    <row r="41" spans="3:5" x14ac:dyDescent="0.3">
      <c r="C41" s="1">
        <v>0</v>
      </c>
      <c r="D41" s="95">
        <f t="shared" si="9"/>
        <v>56.332417582417577</v>
      </c>
      <c r="E41" s="100">
        <f t="shared" si="10"/>
        <v>329.48241758241755</v>
      </c>
    </row>
    <row r="42" spans="3:5" x14ac:dyDescent="0.3">
      <c r="C42" s="1">
        <v>5.0000000000000001E-3</v>
      </c>
      <c r="D42" s="95">
        <f t="shared" si="9"/>
        <v>56.13337912087912</v>
      </c>
      <c r="E42" s="100">
        <f t="shared" si="10"/>
        <v>329.28337912087909</v>
      </c>
    </row>
    <row r="43" spans="3:5" x14ac:dyDescent="0.3">
      <c r="C43" s="1">
        <v>0.01</v>
      </c>
      <c r="D43" s="95">
        <f t="shared" si="9"/>
        <v>55.886263736263729</v>
      </c>
      <c r="E43" s="100">
        <f t="shared" si="10"/>
        <v>329.03626373626372</v>
      </c>
    </row>
    <row r="44" spans="3:5" x14ac:dyDescent="0.3">
      <c r="C44" s="1">
        <v>1.4999999999999999E-2</v>
      </c>
      <c r="D44" s="95">
        <f t="shared" si="9"/>
        <v>55.591071428571425</v>
      </c>
      <c r="E44" s="100">
        <f t="shared" si="10"/>
        <v>328.74107142857139</v>
      </c>
    </row>
    <row r="45" spans="3:5" x14ac:dyDescent="0.3">
      <c r="C45" s="1">
        <v>0.02</v>
      </c>
      <c r="D45" s="95">
        <f t="shared" si="9"/>
        <v>55.247802197802194</v>
      </c>
      <c r="E45" s="100">
        <f t="shared" si="10"/>
        <v>328.39780219780215</v>
      </c>
    </row>
    <row r="46" spans="3:5" x14ac:dyDescent="0.3">
      <c r="C46" s="1">
        <v>2.5000000000000001E-2</v>
      </c>
      <c r="D46" s="95">
        <f t="shared" si="9"/>
        <v>54.856456043956037</v>
      </c>
      <c r="E46" s="100">
        <f t="shared" si="10"/>
        <v>328.00645604395601</v>
      </c>
    </row>
    <row r="47" spans="3:5" x14ac:dyDescent="0.3">
      <c r="C47" s="1">
        <v>0.03</v>
      </c>
      <c r="D47" s="95">
        <f t="shared" si="9"/>
        <v>54.417032967032959</v>
      </c>
      <c r="E47" s="100">
        <f t="shared" si="10"/>
        <v>327.56703296703296</v>
      </c>
    </row>
    <row r="48" spans="3:5" x14ac:dyDescent="0.3">
      <c r="C48" s="1">
        <v>3.5000000000000003E-2</v>
      </c>
      <c r="D48" s="95">
        <f t="shared" si="9"/>
        <v>53.929532967032962</v>
      </c>
      <c r="E48" s="100">
        <f t="shared" si="10"/>
        <v>327.07953296703295</v>
      </c>
    </row>
    <row r="49" spans="2:11" x14ac:dyDescent="0.3">
      <c r="C49" s="1">
        <v>0.04</v>
      </c>
      <c r="D49" s="95">
        <f t="shared" si="9"/>
        <v>53.393956043956038</v>
      </c>
      <c r="E49" s="100">
        <f t="shared" si="10"/>
        <v>326.54395604395603</v>
      </c>
    </row>
    <row r="50" spans="2:11" x14ac:dyDescent="0.3">
      <c r="C50" s="1">
        <v>4.4999999999999998E-2</v>
      </c>
      <c r="D50" s="95">
        <f t="shared" si="9"/>
        <v>52.810302197802194</v>
      </c>
      <c r="E50" s="100">
        <f t="shared" si="10"/>
        <v>325.96030219780215</v>
      </c>
    </row>
    <row r="51" spans="2:11" ht="15" thickBot="1" x14ac:dyDescent="0.35">
      <c r="B51" t="s">
        <v>97</v>
      </c>
      <c r="C51" s="3">
        <v>0.05</v>
      </c>
      <c r="D51" s="101">
        <f t="shared" si="9"/>
        <v>52.178571428571423</v>
      </c>
      <c r="E51" s="102">
        <f t="shared" si="10"/>
        <v>325.32857142857142</v>
      </c>
    </row>
    <row r="52" spans="2:11" ht="15" thickBot="1" x14ac:dyDescent="0.35">
      <c r="G52">
        <f>MAX(G54:G87)</f>
        <v>329.82306</v>
      </c>
    </row>
    <row r="53" spans="2:11" x14ac:dyDescent="0.3">
      <c r="C53" t="s">
        <v>134</v>
      </c>
      <c r="D53" t="s">
        <v>135</v>
      </c>
      <c r="E53" t="s">
        <v>136</v>
      </c>
      <c r="F53" s="133" t="s">
        <v>150</v>
      </c>
      <c r="G53" s="108" t="s">
        <v>137</v>
      </c>
    </row>
    <row r="54" spans="2:11" x14ac:dyDescent="0.3">
      <c r="D54">
        <v>1</v>
      </c>
      <c r="E54">
        <v>0</v>
      </c>
      <c r="F54" s="103">
        <f>E54-0.05</f>
        <v>-0.05</v>
      </c>
      <c r="G54" s="105">
        <v>328.84325999999999</v>
      </c>
      <c r="H54">
        <v>166.13417000000001</v>
      </c>
      <c r="I54">
        <v>0</v>
      </c>
      <c r="J54">
        <v>168.93416999999999</v>
      </c>
      <c r="K54">
        <v>904.81994999999995</v>
      </c>
    </row>
    <row r="55" spans="2:11" x14ac:dyDescent="0.3">
      <c r="D55">
        <v>2</v>
      </c>
      <c r="E55">
        <v>1.57E-3</v>
      </c>
      <c r="F55" s="103">
        <f t="shared" ref="F55:F87" si="11">E55-0.05</f>
        <v>-4.8430000000000001E-2</v>
      </c>
      <c r="G55" s="105">
        <v>328.93923999999998</v>
      </c>
      <c r="H55">
        <v>83.067089999999993</v>
      </c>
      <c r="I55">
        <v>166.13417000000001</v>
      </c>
      <c r="J55">
        <v>249.20125999999999</v>
      </c>
      <c r="K55">
        <v>1.5649999999999999</v>
      </c>
    </row>
    <row r="56" spans="2:11" x14ac:dyDescent="0.3">
      <c r="D56">
        <v>3</v>
      </c>
      <c r="E56">
        <v>4.7000000000000002E-3</v>
      </c>
      <c r="F56" s="103">
        <f t="shared" si="11"/>
        <v>-4.53E-2</v>
      </c>
      <c r="G56" s="105">
        <v>329.11237</v>
      </c>
      <c r="H56">
        <v>83.067089999999993</v>
      </c>
      <c r="I56">
        <v>83.067089999999993</v>
      </c>
      <c r="J56">
        <v>166.13417000000001</v>
      </c>
      <c r="K56">
        <v>1.5649999999999999</v>
      </c>
    </row>
    <row r="57" spans="2:11" x14ac:dyDescent="0.3">
      <c r="D57">
        <v>4</v>
      </c>
      <c r="E57">
        <v>7.8300000000000002E-3</v>
      </c>
      <c r="F57" s="103">
        <f t="shared" si="11"/>
        <v>-4.2169999999999999E-2</v>
      </c>
      <c r="G57" s="105">
        <v>329.26668999999998</v>
      </c>
      <c r="H57">
        <v>83.067089999999993</v>
      </c>
      <c r="I57">
        <v>83.067089999999993</v>
      </c>
      <c r="J57">
        <v>166.13417000000001</v>
      </c>
      <c r="K57">
        <v>1.5649999999999999</v>
      </c>
    </row>
    <row r="58" spans="2:11" x14ac:dyDescent="0.3">
      <c r="D58">
        <v>5</v>
      </c>
      <c r="E58">
        <v>1.0959999999999999E-2</v>
      </c>
      <c r="F58" s="103">
        <f t="shared" si="11"/>
        <v>-3.9040000000000005E-2</v>
      </c>
      <c r="G58" s="105">
        <v>329.40215999999998</v>
      </c>
      <c r="H58">
        <v>83.067089999999993</v>
      </c>
      <c r="I58">
        <v>83.067089999999993</v>
      </c>
      <c r="J58">
        <v>166.13417000000001</v>
      </c>
      <c r="K58">
        <v>1.5649999999999999</v>
      </c>
    </row>
    <row r="59" spans="2:11" x14ac:dyDescent="0.3">
      <c r="D59">
        <v>6</v>
      </c>
      <c r="E59">
        <v>1.409E-2</v>
      </c>
      <c r="F59" s="103">
        <f t="shared" si="11"/>
        <v>-3.5910000000000004E-2</v>
      </c>
      <c r="G59" s="105">
        <v>329.51882999999998</v>
      </c>
      <c r="H59">
        <v>83.067089999999993</v>
      </c>
      <c r="I59">
        <v>83.067089999999993</v>
      </c>
      <c r="J59">
        <v>166.13417000000001</v>
      </c>
      <c r="K59">
        <v>1.5649999999999999</v>
      </c>
    </row>
    <row r="60" spans="2:11" x14ac:dyDescent="0.3">
      <c r="D60">
        <v>7</v>
      </c>
      <c r="E60">
        <v>1.7219999999999999E-2</v>
      </c>
      <c r="F60" s="103">
        <f t="shared" si="11"/>
        <v>-3.2780000000000004E-2</v>
      </c>
      <c r="G60" s="105">
        <v>329.61664000000002</v>
      </c>
      <c r="H60">
        <v>83.067089999999993</v>
      </c>
      <c r="I60">
        <v>83.067089999999993</v>
      </c>
      <c r="J60">
        <v>166.13417000000001</v>
      </c>
      <c r="K60">
        <v>1.5649999999999999</v>
      </c>
    </row>
    <row r="61" spans="2:11" x14ac:dyDescent="0.3">
      <c r="D61">
        <v>8</v>
      </c>
      <c r="E61">
        <v>2.035E-2</v>
      </c>
      <c r="F61" s="103">
        <f t="shared" si="11"/>
        <v>-2.9650000000000003E-2</v>
      </c>
      <c r="G61" s="105">
        <v>329.69562000000002</v>
      </c>
      <c r="H61">
        <v>83.067089999999993</v>
      </c>
      <c r="I61">
        <v>83.067089999999993</v>
      </c>
      <c r="J61">
        <v>166.13417000000001</v>
      </c>
      <c r="K61">
        <v>1.5649999999999999</v>
      </c>
    </row>
    <row r="62" spans="2:11" x14ac:dyDescent="0.3">
      <c r="D62">
        <v>9</v>
      </c>
      <c r="E62">
        <v>2.3480000000000001E-2</v>
      </c>
      <c r="F62" s="103">
        <f t="shared" si="11"/>
        <v>-2.6520000000000002E-2</v>
      </c>
      <c r="G62" s="105">
        <v>329.75574</v>
      </c>
      <c r="H62">
        <v>83.067089999999993</v>
      </c>
      <c r="I62">
        <v>83.067089999999993</v>
      </c>
      <c r="J62">
        <v>166.13417000000001</v>
      </c>
      <c r="K62">
        <v>1.5649999999999999</v>
      </c>
    </row>
    <row r="63" spans="2:11" x14ac:dyDescent="0.3">
      <c r="D63">
        <v>10</v>
      </c>
      <c r="E63">
        <v>2.6610000000000002E-2</v>
      </c>
      <c r="F63" s="103">
        <f t="shared" si="11"/>
        <v>-2.3390000000000001E-2</v>
      </c>
      <c r="G63" s="105">
        <v>329.79700000000003</v>
      </c>
      <c r="H63">
        <v>83.067089999999993</v>
      </c>
      <c r="I63">
        <v>83.067089999999993</v>
      </c>
      <c r="J63">
        <v>166.13417000000001</v>
      </c>
      <c r="K63">
        <v>1.5649999999999999</v>
      </c>
    </row>
    <row r="64" spans="2:11" x14ac:dyDescent="0.3">
      <c r="D64">
        <v>11</v>
      </c>
      <c r="E64">
        <v>2.9739999999999999E-2</v>
      </c>
      <c r="F64" s="103">
        <f t="shared" si="11"/>
        <v>-2.0260000000000004E-2</v>
      </c>
      <c r="G64" s="105">
        <v>329.81945999999999</v>
      </c>
      <c r="H64">
        <v>83.067040000000006</v>
      </c>
      <c r="I64">
        <v>83.067089999999993</v>
      </c>
      <c r="J64">
        <v>166.13412</v>
      </c>
      <c r="K64">
        <v>1.5649999999999999</v>
      </c>
    </row>
    <row r="65" spans="4:11" x14ac:dyDescent="0.3">
      <c r="D65">
        <v>12</v>
      </c>
      <c r="E65">
        <v>3.2870000000000003E-2</v>
      </c>
      <c r="F65" s="103">
        <f t="shared" si="11"/>
        <v>-1.7129999999999999E-2</v>
      </c>
      <c r="G65" s="105">
        <v>329.82306</v>
      </c>
      <c r="H65">
        <v>83.067179999999993</v>
      </c>
      <c r="I65">
        <v>83.067040000000006</v>
      </c>
      <c r="J65">
        <v>166.13422</v>
      </c>
      <c r="K65">
        <v>1.5649999999999999</v>
      </c>
    </row>
    <row r="66" spans="4:11" x14ac:dyDescent="0.3">
      <c r="D66">
        <v>13</v>
      </c>
      <c r="E66">
        <v>3.5990000000000001E-2</v>
      </c>
      <c r="F66" s="103">
        <f t="shared" si="11"/>
        <v>-1.4010000000000002E-2</v>
      </c>
      <c r="G66" s="105">
        <v>329.80779999999999</v>
      </c>
      <c r="H66">
        <v>83.066990000000004</v>
      </c>
      <c r="I66">
        <v>83.067179999999993</v>
      </c>
      <c r="J66">
        <v>166.13417000000001</v>
      </c>
      <c r="K66">
        <v>1.5649999999999999</v>
      </c>
    </row>
    <row r="67" spans="4:11" x14ac:dyDescent="0.3">
      <c r="D67">
        <v>14</v>
      </c>
      <c r="E67">
        <v>3.9129999999999998E-2</v>
      </c>
      <c r="F67" s="103">
        <f t="shared" si="11"/>
        <v>-1.0870000000000005E-2</v>
      </c>
      <c r="G67" s="105">
        <v>329.77370999999999</v>
      </c>
      <c r="H67">
        <v>83.067179999999993</v>
      </c>
      <c r="I67">
        <v>83.066990000000004</v>
      </c>
      <c r="J67">
        <v>166.13417000000001</v>
      </c>
      <c r="K67">
        <v>1.5649999999999999</v>
      </c>
    </row>
    <row r="68" spans="4:11" x14ac:dyDescent="0.3">
      <c r="D68">
        <v>15</v>
      </c>
      <c r="E68">
        <v>4.2250000000000003E-2</v>
      </c>
      <c r="F68" s="103">
        <f t="shared" si="11"/>
        <v>-7.7499999999999999E-3</v>
      </c>
      <c r="G68" s="105">
        <v>329.72075999999998</v>
      </c>
      <c r="H68">
        <v>83.066990000000004</v>
      </c>
      <c r="I68">
        <v>83.067179999999993</v>
      </c>
      <c r="J68">
        <v>166.13417000000001</v>
      </c>
      <c r="K68">
        <v>1.5649999999999999</v>
      </c>
    </row>
    <row r="69" spans="4:11" x14ac:dyDescent="0.3">
      <c r="D69">
        <v>16</v>
      </c>
      <c r="E69">
        <v>4.539E-2</v>
      </c>
      <c r="F69" s="103">
        <f t="shared" si="11"/>
        <v>-4.610000000000003E-3</v>
      </c>
      <c r="G69" s="105">
        <v>329.64899000000003</v>
      </c>
      <c r="H69">
        <v>83.067179999999993</v>
      </c>
      <c r="I69">
        <v>83.066990000000004</v>
      </c>
      <c r="J69">
        <v>166.13417000000001</v>
      </c>
      <c r="K69">
        <v>1.5649999999999999</v>
      </c>
    </row>
    <row r="70" spans="4:11" x14ac:dyDescent="0.3">
      <c r="D70">
        <v>17</v>
      </c>
      <c r="E70">
        <v>4.8509999999999998E-2</v>
      </c>
      <c r="F70" s="103">
        <f t="shared" si="11"/>
        <v>-1.4900000000000052E-3</v>
      </c>
      <c r="G70" s="105">
        <v>329.55835000000002</v>
      </c>
      <c r="H70">
        <v>83.066990000000004</v>
      </c>
      <c r="I70">
        <v>83.067179999999993</v>
      </c>
      <c r="J70">
        <v>166.13417000000001</v>
      </c>
      <c r="K70">
        <v>1.5649999999999999</v>
      </c>
    </row>
    <row r="71" spans="4:11" x14ac:dyDescent="0.3">
      <c r="D71">
        <v>18</v>
      </c>
      <c r="E71">
        <v>5.1650000000000001E-2</v>
      </c>
      <c r="F71" s="103">
        <f t="shared" si="11"/>
        <v>1.6499999999999987E-3</v>
      </c>
      <c r="G71" s="105">
        <v>329.44884999999999</v>
      </c>
      <c r="H71">
        <v>83.067179999999993</v>
      </c>
      <c r="I71">
        <v>83.066990000000004</v>
      </c>
      <c r="J71">
        <v>166.13417000000001</v>
      </c>
      <c r="K71">
        <v>1.5649999999999999</v>
      </c>
    </row>
    <row r="72" spans="4:11" x14ac:dyDescent="0.3">
      <c r="D72">
        <v>19</v>
      </c>
      <c r="E72">
        <v>5.4769999999999999E-2</v>
      </c>
      <c r="F72" s="103">
        <f t="shared" si="11"/>
        <v>4.7699999999999965E-3</v>
      </c>
      <c r="G72" s="105">
        <v>329.32053000000002</v>
      </c>
      <c r="H72">
        <v>83.066990000000004</v>
      </c>
      <c r="I72">
        <v>83.067179999999993</v>
      </c>
      <c r="J72">
        <v>166.13417000000001</v>
      </c>
      <c r="K72">
        <v>1.5649999999999999</v>
      </c>
    </row>
    <row r="73" spans="4:11" x14ac:dyDescent="0.3">
      <c r="D73">
        <v>20</v>
      </c>
      <c r="E73">
        <v>5.7910000000000003E-2</v>
      </c>
      <c r="F73" s="103">
        <f t="shared" si="11"/>
        <v>7.9100000000000004E-3</v>
      </c>
      <c r="G73" s="105">
        <v>329.17336999999998</v>
      </c>
      <c r="H73">
        <v>83.067179999999993</v>
      </c>
      <c r="I73">
        <v>83.066990000000004</v>
      </c>
      <c r="J73">
        <v>166.13417000000001</v>
      </c>
      <c r="K73">
        <v>1.5649999999999999</v>
      </c>
    </row>
    <row r="74" spans="4:11" x14ac:dyDescent="0.3">
      <c r="D74">
        <v>21</v>
      </c>
      <c r="E74">
        <v>6.1030000000000001E-2</v>
      </c>
      <c r="F74" s="103">
        <f t="shared" si="11"/>
        <v>1.1029999999999998E-2</v>
      </c>
      <c r="G74" s="105">
        <v>329.00742000000002</v>
      </c>
      <c r="H74">
        <v>83.066990000000004</v>
      </c>
      <c r="I74">
        <v>83.067179999999993</v>
      </c>
      <c r="J74">
        <v>166.13417000000001</v>
      </c>
      <c r="K74">
        <v>1.5649999999999999</v>
      </c>
    </row>
    <row r="75" spans="4:11" x14ac:dyDescent="0.3">
      <c r="D75">
        <v>22</v>
      </c>
      <c r="E75">
        <v>6.4170000000000005E-2</v>
      </c>
      <c r="F75" s="103">
        <f t="shared" si="11"/>
        <v>1.4170000000000002E-2</v>
      </c>
      <c r="G75" s="105">
        <v>328.82256999999998</v>
      </c>
      <c r="H75">
        <v>83.067179999999993</v>
      </c>
      <c r="I75">
        <v>83.066990000000004</v>
      </c>
      <c r="J75">
        <v>166.13417000000001</v>
      </c>
      <c r="K75">
        <v>1.5649999999999999</v>
      </c>
    </row>
    <row r="76" spans="4:11" x14ac:dyDescent="0.3">
      <c r="D76">
        <v>23</v>
      </c>
      <c r="E76">
        <v>6.7290000000000003E-2</v>
      </c>
      <c r="F76" s="103">
        <f t="shared" si="11"/>
        <v>1.729E-2</v>
      </c>
      <c r="G76" s="105">
        <v>328.6189</v>
      </c>
      <c r="H76">
        <v>83.066990000000004</v>
      </c>
      <c r="I76">
        <v>83.067179999999993</v>
      </c>
      <c r="J76">
        <v>166.13417000000001</v>
      </c>
      <c r="K76">
        <v>1.5649999999999999</v>
      </c>
    </row>
    <row r="77" spans="4:11" x14ac:dyDescent="0.3">
      <c r="D77">
        <v>24</v>
      </c>
      <c r="E77">
        <v>7.0430000000000006E-2</v>
      </c>
      <c r="F77" s="103">
        <f t="shared" si="11"/>
        <v>2.0430000000000004E-2</v>
      </c>
      <c r="G77" s="105">
        <v>328.39639</v>
      </c>
      <c r="H77">
        <v>83.067179999999993</v>
      </c>
      <c r="I77">
        <v>83.066990000000004</v>
      </c>
      <c r="J77">
        <v>166.13417000000001</v>
      </c>
      <c r="K77">
        <v>1.5649999999999999</v>
      </c>
    </row>
    <row r="78" spans="4:11" x14ac:dyDescent="0.3">
      <c r="D78">
        <v>25</v>
      </c>
      <c r="E78">
        <v>7.356E-2</v>
      </c>
      <c r="F78" s="103">
        <f t="shared" si="11"/>
        <v>2.3559999999999998E-2</v>
      </c>
      <c r="G78" s="105">
        <v>328.15503000000001</v>
      </c>
      <c r="H78">
        <v>83.066990000000004</v>
      </c>
      <c r="I78">
        <v>83.067179999999993</v>
      </c>
      <c r="J78">
        <v>166.13417000000001</v>
      </c>
      <c r="K78">
        <v>1.5649999999999999</v>
      </c>
    </row>
    <row r="79" spans="4:11" x14ac:dyDescent="0.3">
      <c r="D79">
        <v>26</v>
      </c>
      <c r="E79">
        <v>7.6689999999999994E-2</v>
      </c>
      <c r="F79" s="103">
        <f t="shared" si="11"/>
        <v>2.6689999999999992E-2</v>
      </c>
      <c r="G79" s="105">
        <v>327.89483999999999</v>
      </c>
      <c r="H79">
        <v>83.067179999999993</v>
      </c>
      <c r="I79">
        <v>83.066990000000004</v>
      </c>
      <c r="J79">
        <v>166.13417000000001</v>
      </c>
      <c r="K79">
        <v>1.5649999999999999</v>
      </c>
    </row>
    <row r="80" spans="4:11" x14ac:dyDescent="0.3">
      <c r="D80">
        <v>27</v>
      </c>
      <c r="E80">
        <v>7.9820000000000002E-2</v>
      </c>
      <c r="F80" s="103">
        <f t="shared" si="11"/>
        <v>2.9819999999999999E-2</v>
      </c>
      <c r="G80" s="105">
        <v>327.61581000000001</v>
      </c>
      <c r="H80">
        <v>83.066990000000004</v>
      </c>
      <c r="I80">
        <v>83.067179999999993</v>
      </c>
      <c r="J80">
        <v>166.13417000000001</v>
      </c>
      <c r="K80">
        <v>1.5649999999999999</v>
      </c>
    </row>
    <row r="81" spans="4:11" x14ac:dyDescent="0.3">
      <c r="D81">
        <v>28</v>
      </c>
      <c r="E81">
        <v>8.2949999999999996E-2</v>
      </c>
      <c r="F81" s="103">
        <f t="shared" si="11"/>
        <v>3.2949999999999993E-2</v>
      </c>
      <c r="G81" s="105">
        <v>327.31792999999999</v>
      </c>
      <c r="H81">
        <v>83.067179999999993</v>
      </c>
      <c r="I81">
        <v>83.066990000000004</v>
      </c>
      <c r="J81">
        <v>166.13417000000001</v>
      </c>
      <c r="K81">
        <v>1.5649999999999999</v>
      </c>
    </row>
    <row r="82" spans="4:11" x14ac:dyDescent="0.3">
      <c r="D82">
        <v>29</v>
      </c>
      <c r="E82">
        <v>8.6080000000000004E-2</v>
      </c>
      <c r="F82" s="103">
        <f t="shared" si="11"/>
        <v>3.6080000000000001E-2</v>
      </c>
      <c r="G82" s="105">
        <v>327.00121999999999</v>
      </c>
      <c r="H82">
        <v>83.066990000000004</v>
      </c>
      <c r="I82">
        <v>83.067179999999993</v>
      </c>
      <c r="J82">
        <v>166.13417000000001</v>
      </c>
      <c r="K82">
        <v>1.5649999999999999</v>
      </c>
    </row>
    <row r="83" spans="4:11" x14ac:dyDescent="0.3">
      <c r="D83">
        <v>30</v>
      </c>
      <c r="E83">
        <v>8.9209999999999998E-2</v>
      </c>
      <c r="F83" s="103">
        <f t="shared" si="11"/>
        <v>3.9209999999999995E-2</v>
      </c>
      <c r="G83" s="105">
        <v>326.66568000000001</v>
      </c>
      <c r="H83">
        <v>83.067179999999993</v>
      </c>
      <c r="I83">
        <v>83.066990000000004</v>
      </c>
      <c r="J83">
        <v>166.13417000000001</v>
      </c>
      <c r="K83">
        <v>1.5649999999999999</v>
      </c>
    </row>
    <row r="84" spans="4:11" x14ac:dyDescent="0.3">
      <c r="D84">
        <v>31</v>
      </c>
      <c r="E84">
        <v>9.2340000000000005E-2</v>
      </c>
      <c r="F84" s="103">
        <f t="shared" si="11"/>
        <v>4.2340000000000003E-2</v>
      </c>
      <c r="G84" s="105">
        <v>326.31128000000001</v>
      </c>
      <c r="H84">
        <v>83.066990000000004</v>
      </c>
      <c r="I84">
        <v>83.067179999999993</v>
      </c>
      <c r="J84">
        <v>166.13417000000001</v>
      </c>
      <c r="K84">
        <v>1.5649999999999999</v>
      </c>
    </row>
    <row r="85" spans="4:11" x14ac:dyDescent="0.3">
      <c r="D85">
        <v>32</v>
      </c>
      <c r="E85">
        <v>9.5469999999999999E-2</v>
      </c>
      <c r="F85" s="103">
        <f t="shared" si="11"/>
        <v>4.5469999999999997E-2</v>
      </c>
      <c r="G85" s="105">
        <v>325.93801999999999</v>
      </c>
      <c r="H85">
        <v>83.067179999999993</v>
      </c>
      <c r="I85">
        <v>83.066990000000004</v>
      </c>
      <c r="J85">
        <v>166.13417000000001</v>
      </c>
      <c r="K85">
        <v>1.5649999999999999</v>
      </c>
    </row>
    <row r="86" spans="4:11" x14ac:dyDescent="0.3">
      <c r="D86">
        <v>33</v>
      </c>
      <c r="E86">
        <v>9.8599999999999993E-2</v>
      </c>
      <c r="F86" s="103">
        <f t="shared" si="11"/>
        <v>4.859999999999999E-2</v>
      </c>
      <c r="G86" s="105">
        <v>325.54593</v>
      </c>
      <c r="H86">
        <v>166.13397000000001</v>
      </c>
      <c r="I86">
        <v>83.067179999999993</v>
      </c>
      <c r="J86">
        <v>249.20115999999999</v>
      </c>
      <c r="K86">
        <v>1.5649999999999999</v>
      </c>
    </row>
    <row r="87" spans="4:11" ht="15" thickBot="1" x14ac:dyDescent="0.35">
      <c r="D87">
        <v>34</v>
      </c>
      <c r="E87">
        <v>0.10016</v>
      </c>
      <c r="F87" s="134">
        <f t="shared" si="11"/>
        <v>5.0159999999999996E-2</v>
      </c>
      <c r="G87" s="171">
        <v>325.34044999999998</v>
      </c>
      <c r="H87">
        <v>0</v>
      </c>
      <c r="I87">
        <v>166.13397000000001</v>
      </c>
      <c r="J87">
        <v>168.93397999999999</v>
      </c>
      <c r="K87">
        <v>876.81994999999995</v>
      </c>
    </row>
  </sheetData>
  <mergeCells count="2">
    <mergeCell ref="B21:F21"/>
    <mergeCell ref="C29:E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6"/>
  <sheetViews>
    <sheetView topLeftCell="A28" workbookViewId="0">
      <selection activeCell="D55" sqref="D55"/>
    </sheetView>
  </sheetViews>
  <sheetFormatPr defaultRowHeight="14.4" x14ac:dyDescent="0.3"/>
  <cols>
    <col min="1" max="1" width="0.5546875" customWidth="1"/>
    <col min="3" max="3" width="14.5546875" bestFit="1" customWidth="1"/>
    <col min="6" max="6" width="15.44140625" bestFit="1" customWidth="1"/>
    <col min="7" max="7" width="21.44140625" bestFit="1" customWidth="1"/>
    <col min="8" max="8" width="11.5546875" bestFit="1" customWidth="1"/>
    <col min="9" max="9" width="42.77734375" bestFit="1" customWidth="1"/>
    <col min="10" max="10" width="5.44140625" customWidth="1"/>
    <col min="15" max="15" width="15.44140625" bestFit="1" customWidth="1"/>
    <col min="16" max="17" width="21.44140625" bestFit="1" customWidth="1"/>
    <col min="18" max="18" width="57.33203125" bestFit="1" customWidth="1"/>
  </cols>
  <sheetData>
    <row r="2" spans="2:18" x14ac:dyDescent="0.3">
      <c r="B2" s="27" t="s">
        <v>34</v>
      </c>
    </row>
    <row r="3" spans="2:18" x14ac:dyDescent="0.3">
      <c r="B3" s="27"/>
    </row>
    <row r="4" spans="2:18" x14ac:dyDescent="0.3">
      <c r="B4" s="39" t="s">
        <v>17</v>
      </c>
      <c r="C4">
        <v>1</v>
      </c>
      <c r="D4" t="s">
        <v>19</v>
      </c>
      <c r="F4" t="s">
        <v>67</v>
      </c>
      <c r="G4" t="s">
        <v>65</v>
      </c>
    </row>
    <row r="5" spans="2:18" x14ac:dyDescent="0.3">
      <c r="B5" t="s">
        <v>61</v>
      </c>
      <c r="C5">
        <v>1.2500000000000001E-2</v>
      </c>
      <c r="D5" t="s">
        <v>19</v>
      </c>
      <c r="E5" t="s">
        <v>40</v>
      </c>
      <c r="F5">
        <v>60</v>
      </c>
      <c r="G5">
        <v>0.1</v>
      </c>
      <c r="H5" t="s">
        <v>45</v>
      </c>
    </row>
    <row r="6" spans="2:18" x14ac:dyDescent="0.3">
      <c r="B6" t="s">
        <v>62</v>
      </c>
      <c r="C6">
        <v>400</v>
      </c>
      <c r="D6" t="s">
        <v>63</v>
      </c>
      <c r="E6" t="s">
        <v>66</v>
      </c>
      <c r="F6">
        <v>430</v>
      </c>
      <c r="G6">
        <v>1.3</v>
      </c>
      <c r="H6" t="s">
        <v>43</v>
      </c>
    </row>
    <row r="7" spans="2:18" x14ac:dyDescent="0.3">
      <c r="B7" t="s">
        <v>39</v>
      </c>
      <c r="C7">
        <v>0</v>
      </c>
      <c r="D7" t="s">
        <v>63</v>
      </c>
    </row>
    <row r="8" spans="2:18" x14ac:dyDescent="0.3">
      <c r="B8" t="s">
        <v>64</v>
      </c>
      <c r="C8">
        <v>1</v>
      </c>
    </row>
    <row r="9" spans="2:18" x14ac:dyDescent="0.3">
      <c r="B9" t="s">
        <v>108</v>
      </c>
      <c r="C9">
        <v>273</v>
      </c>
      <c r="D9" t="s">
        <v>63</v>
      </c>
    </row>
    <row r="10" spans="2:18" ht="15" thickBot="1" x14ac:dyDescent="0.35"/>
    <row r="11" spans="2:18" ht="15" thickBot="1" x14ac:dyDescent="0.35">
      <c r="B11" s="115" t="s">
        <v>67</v>
      </c>
      <c r="C11" s="116"/>
      <c r="D11" s="116"/>
      <c r="E11" s="116"/>
      <c r="F11" s="116"/>
      <c r="G11" s="116"/>
      <c r="H11" s="116"/>
      <c r="I11" s="117"/>
      <c r="K11" s="115" t="s">
        <v>65</v>
      </c>
      <c r="L11" s="116"/>
      <c r="M11" s="116"/>
      <c r="N11" s="116"/>
      <c r="O11" s="116"/>
      <c r="P11" s="116"/>
      <c r="Q11" s="116"/>
      <c r="R11" s="117"/>
    </row>
    <row r="12" spans="2:18" ht="15" thickBot="1" x14ac:dyDescent="0.35">
      <c r="B12" s="124" t="s">
        <v>68</v>
      </c>
      <c r="C12" s="125"/>
      <c r="D12" s="125"/>
      <c r="E12" s="125"/>
      <c r="F12" s="125"/>
      <c r="G12" s="125"/>
      <c r="H12" s="126"/>
      <c r="I12" s="92" t="s">
        <v>85</v>
      </c>
      <c r="K12" s="121" t="s">
        <v>68</v>
      </c>
      <c r="L12" s="122"/>
      <c r="M12" s="122"/>
      <c r="N12" s="122"/>
      <c r="O12" s="122"/>
      <c r="P12" s="122"/>
      <c r="Q12" s="123"/>
      <c r="R12" s="92" t="s">
        <v>85</v>
      </c>
    </row>
    <row r="13" spans="2:18" ht="15" thickBot="1" x14ac:dyDescent="0.35">
      <c r="B13" s="77" t="s">
        <v>0</v>
      </c>
      <c r="C13" s="78" t="s">
        <v>1</v>
      </c>
      <c r="D13" s="79" t="s">
        <v>3</v>
      </c>
      <c r="E13" s="80" t="s">
        <v>2</v>
      </c>
      <c r="F13" s="9" t="s">
        <v>16</v>
      </c>
      <c r="G13" s="81" t="s">
        <v>15</v>
      </c>
      <c r="H13" s="77" t="s">
        <v>4</v>
      </c>
      <c r="I13" s="5"/>
      <c r="J13" s="5"/>
      <c r="K13" s="77" t="s">
        <v>0</v>
      </c>
      <c r="L13" s="78" t="s">
        <v>1</v>
      </c>
      <c r="M13" s="79" t="s">
        <v>3</v>
      </c>
      <c r="N13" s="80" t="s">
        <v>2</v>
      </c>
      <c r="O13" s="9" t="s">
        <v>16</v>
      </c>
      <c r="P13" s="81" t="s">
        <v>15</v>
      </c>
      <c r="Q13" s="77" t="s">
        <v>4</v>
      </c>
    </row>
    <row r="14" spans="2:18" x14ac:dyDescent="0.3">
      <c r="B14" s="46">
        <v>1</v>
      </c>
      <c r="C14" s="25">
        <v>3</v>
      </c>
      <c r="D14" s="17">
        <f>C14-1</f>
        <v>2</v>
      </c>
      <c r="E14" s="31">
        <f t="shared" ref="E14:E19" si="0">$C$4/D14</f>
        <v>0.5</v>
      </c>
      <c r="F14" s="82">
        <v>81.400024400000007</v>
      </c>
      <c r="G14" s="83">
        <v>-0.77624362999999996</v>
      </c>
      <c r="H14" s="50" t="s">
        <v>14</v>
      </c>
      <c r="I14" s="89" t="s">
        <v>72</v>
      </c>
      <c r="J14" s="89"/>
      <c r="K14" s="46">
        <v>1</v>
      </c>
      <c r="L14" s="25">
        <v>3</v>
      </c>
      <c r="M14" s="17">
        <f>L14-1</f>
        <v>2</v>
      </c>
      <c r="N14" s="31">
        <f t="shared" ref="N14:N19" si="1">$C$4/M14</f>
        <v>0.5</v>
      </c>
      <c r="O14" s="82" t="s">
        <v>87</v>
      </c>
      <c r="P14" s="83" t="s">
        <v>87</v>
      </c>
      <c r="Q14" s="50" t="s">
        <v>14</v>
      </c>
      <c r="R14" t="s">
        <v>86</v>
      </c>
    </row>
    <row r="15" spans="2:18" x14ac:dyDescent="0.3">
      <c r="B15" s="47">
        <v>2</v>
      </c>
      <c r="C15" s="41">
        <v>5</v>
      </c>
      <c r="D15" s="15">
        <f t="shared" ref="D15:D19" si="2">C15-1</f>
        <v>4</v>
      </c>
      <c r="E15" s="32">
        <f t="shared" si="0"/>
        <v>0.25</v>
      </c>
      <c r="F15" s="84">
        <v>10.8807764</v>
      </c>
      <c r="G15" s="85">
        <v>9.4412660600000002</v>
      </c>
      <c r="H15" s="51">
        <f>ABS((G15-G14)/G14)</f>
        <v>13.162761400051682</v>
      </c>
      <c r="I15" s="89" t="s">
        <v>72</v>
      </c>
      <c r="J15" s="89"/>
      <c r="K15" s="47">
        <v>2</v>
      </c>
      <c r="L15" s="41">
        <v>5</v>
      </c>
      <c r="M15" s="15">
        <f t="shared" ref="M15:M19" si="3">L15-1</f>
        <v>4</v>
      </c>
      <c r="N15" s="32">
        <f t="shared" si="1"/>
        <v>0.25</v>
      </c>
      <c r="O15" s="84">
        <v>-3.8147000000000001E-6</v>
      </c>
      <c r="P15" s="85">
        <v>6.0000095399999998</v>
      </c>
      <c r="Q15" s="51" t="e">
        <f>(P15-P14)/P14</f>
        <v>#VALUE!</v>
      </c>
      <c r="R15" t="s">
        <v>86</v>
      </c>
    </row>
    <row r="16" spans="2:18" x14ac:dyDescent="0.3">
      <c r="B16" s="47">
        <v>3</v>
      </c>
      <c r="C16" s="41">
        <f>C15+D15</f>
        <v>9</v>
      </c>
      <c r="D16" s="15">
        <f t="shared" si="2"/>
        <v>8</v>
      </c>
      <c r="E16" s="32">
        <f t="shared" si="0"/>
        <v>0.125</v>
      </c>
      <c r="F16" s="84">
        <v>0.20726420000000001</v>
      </c>
      <c r="G16" s="85">
        <v>21.601612100000001</v>
      </c>
      <c r="H16" s="51">
        <f t="shared" ref="H16:H19" si="4">(G16-G15)/G15</f>
        <v>1.2879995079812421</v>
      </c>
      <c r="I16" s="90" t="s">
        <v>73</v>
      </c>
      <c r="J16" s="90"/>
      <c r="K16" s="47">
        <v>3</v>
      </c>
      <c r="L16" s="41">
        <f>L15+M15</f>
        <v>9</v>
      </c>
      <c r="M16" s="15">
        <f t="shared" si="3"/>
        <v>8</v>
      </c>
      <c r="N16" s="32">
        <f t="shared" si="1"/>
        <v>0.125</v>
      </c>
      <c r="O16" s="84">
        <v>-2.1798299999999998E-6</v>
      </c>
      <c r="P16" s="85">
        <v>6.6666689999999997</v>
      </c>
      <c r="Q16" s="51">
        <f t="shared" ref="Q16:Q19" si="5">(P16-P15)/P15</f>
        <v>0.111109733335524</v>
      </c>
      <c r="R16" t="s">
        <v>86</v>
      </c>
    </row>
    <row r="17" spans="2:18" x14ac:dyDescent="0.3">
      <c r="B17" s="47">
        <v>4</v>
      </c>
      <c r="C17" s="41">
        <f>C16+D16</f>
        <v>17</v>
      </c>
      <c r="D17" s="15">
        <f t="shared" si="2"/>
        <v>16</v>
      </c>
      <c r="E17" s="32">
        <f t="shared" si="0"/>
        <v>6.25E-2</v>
      </c>
      <c r="F17" s="84">
        <v>3.0620316000000002E-2</v>
      </c>
      <c r="G17" s="85">
        <v>22.768726300000001</v>
      </c>
      <c r="H17" s="51">
        <f t="shared" si="4"/>
        <v>5.4029032398003309E-2</v>
      </c>
      <c r="I17" s="90" t="s">
        <v>73</v>
      </c>
      <c r="J17" s="90"/>
      <c r="K17" s="47">
        <v>4</v>
      </c>
      <c r="L17" s="41">
        <f>L16+M16</f>
        <v>17</v>
      </c>
      <c r="M17" s="15">
        <f t="shared" si="3"/>
        <v>16</v>
      </c>
      <c r="N17" s="32">
        <f t="shared" si="1"/>
        <v>6.25E-2</v>
      </c>
      <c r="O17" s="84">
        <v>-7.1207999999999997E-6</v>
      </c>
      <c r="P17" s="85">
        <v>7.0589360000000001</v>
      </c>
      <c r="Q17" s="51">
        <f t="shared" si="5"/>
        <v>5.8840029405989765E-2</v>
      </c>
      <c r="R17" t="s">
        <v>86</v>
      </c>
    </row>
    <row r="18" spans="2:18" x14ac:dyDescent="0.3">
      <c r="B18" s="47">
        <v>5</v>
      </c>
      <c r="C18" s="41">
        <f>C17+D17</f>
        <v>33</v>
      </c>
      <c r="D18" s="15">
        <f t="shared" si="2"/>
        <v>32</v>
      </c>
      <c r="E18" s="32">
        <f t="shared" si="0"/>
        <v>3.125E-2</v>
      </c>
      <c r="F18" s="86">
        <v>1.1448655300000001E-2</v>
      </c>
      <c r="G18" s="87">
        <v>23.039722399999999</v>
      </c>
      <c r="H18" s="52">
        <f t="shared" si="4"/>
        <v>1.190211944354559E-2</v>
      </c>
      <c r="I18" s="90" t="s">
        <v>73</v>
      </c>
      <c r="J18" s="90"/>
      <c r="K18" s="47">
        <v>5</v>
      </c>
      <c r="L18" s="41">
        <f>L17+M17</f>
        <v>33</v>
      </c>
      <c r="M18" s="15">
        <f t="shared" si="3"/>
        <v>32</v>
      </c>
      <c r="N18" s="32">
        <f t="shared" si="1"/>
        <v>3.125E-2</v>
      </c>
      <c r="O18" s="86">
        <f>--0.000015751</f>
        <v>1.5750999999999999E-5</v>
      </c>
      <c r="P18" s="87">
        <v>7.2731700000000004</v>
      </c>
      <c r="Q18" s="52">
        <f t="shared" si="5"/>
        <v>3.0349333100625965E-2</v>
      </c>
      <c r="R18" t="s">
        <v>86</v>
      </c>
    </row>
    <row r="19" spans="2:18" ht="15" thickBot="1" x14ac:dyDescent="0.35">
      <c r="B19" s="48">
        <v>6</v>
      </c>
      <c r="C19" s="44">
        <f>C18+D18</f>
        <v>65</v>
      </c>
      <c r="D19" s="18">
        <f t="shared" si="2"/>
        <v>64</v>
      </c>
      <c r="E19" s="33">
        <f t="shared" si="0"/>
        <v>1.5625E-2</v>
      </c>
      <c r="F19" s="88">
        <v>5.6391218700000004E-3</v>
      </c>
      <c r="G19" s="4">
        <v>23.097883199999998</v>
      </c>
      <c r="H19" s="53">
        <f t="shared" si="4"/>
        <v>2.5243706929385388E-3</v>
      </c>
      <c r="I19" s="90" t="s">
        <v>73</v>
      </c>
      <c r="J19" s="90"/>
      <c r="K19" s="48">
        <v>6</v>
      </c>
      <c r="L19" s="44">
        <f>L18+M18</f>
        <v>65</v>
      </c>
      <c r="M19" s="18">
        <f t="shared" si="3"/>
        <v>64</v>
      </c>
      <c r="N19" s="33">
        <f t="shared" si="1"/>
        <v>1.5625E-2</v>
      </c>
      <c r="O19" s="88">
        <v>3.1001989999999998E-5</v>
      </c>
      <c r="P19" s="4">
        <v>7.3851760000000004</v>
      </c>
      <c r="Q19" s="53">
        <f t="shared" si="5"/>
        <v>1.5399887531846505E-2</v>
      </c>
      <c r="R19" t="s">
        <v>86</v>
      </c>
    </row>
    <row r="20" spans="2:18" ht="15" thickBot="1" x14ac:dyDescent="0.35">
      <c r="B20" s="124" t="s">
        <v>69</v>
      </c>
      <c r="C20" s="125"/>
      <c r="D20" s="125"/>
      <c r="E20" s="125"/>
      <c r="F20" s="125"/>
      <c r="G20" s="125"/>
      <c r="H20" s="126"/>
      <c r="I20" s="6"/>
      <c r="J20" s="6"/>
      <c r="K20" s="118" t="s">
        <v>69</v>
      </c>
      <c r="L20" s="119"/>
      <c r="M20" s="119"/>
      <c r="N20" s="119"/>
      <c r="O20" s="119"/>
      <c r="P20" s="119"/>
      <c r="Q20" s="120"/>
    </row>
    <row r="21" spans="2:18" ht="15" thickBot="1" x14ac:dyDescent="0.35">
      <c r="B21" s="77" t="s">
        <v>0</v>
      </c>
      <c r="C21" s="78" t="s">
        <v>1</v>
      </c>
      <c r="D21" s="79" t="s">
        <v>3</v>
      </c>
      <c r="E21" s="80" t="s">
        <v>2</v>
      </c>
      <c r="F21" s="9" t="s">
        <v>16</v>
      </c>
      <c r="G21" s="81" t="s">
        <v>15</v>
      </c>
      <c r="H21" s="77" t="s">
        <v>4</v>
      </c>
      <c r="I21" s="5"/>
      <c r="J21" s="5"/>
      <c r="K21" s="77" t="s">
        <v>0</v>
      </c>
      <c r="L21" s="78" t="s">
        <v>1</v>
      </c>
      <c r="M21" s="79" t="s">
        <v>3</v>
      </c>
      <c r="N21" s="80" t="s">
        <v>2</v>
      </c>
      <c r="O21" s="9" t="s">
        <v>16</v>
      </c>
      <c r="P21" s="81" t="s">
        <v>15</v>
      </c>
      <c r="Q21" s="77" t="s">
        <v>4</v>
      </c>
    </row>
    <row r="22" spans="2:18" x14ac:dyDescent="0.3">
      <c r="B22" s="46">
        <v>1</v>
      </c>
      <c r="C22" s="25">
        <v>3</v>
      </c>
      <c r="D22" s="17">
        <f>C22-1</f>
        <v>2</v>
      </c>
      <c r="E22" s="31">
        <f t="shared" ref="E22:E27" si="6">$C$4/D22</f>
        <v>0.5</v>
      </c>
      <c r="F22" s="82">
        <v>3.0517578099999999E-5</v>
      </c>
      <c r="G22" s="83">
        <v>15.7651615</v>
      </c>
      <c r="H22" s="50" t="s">
        <v>14</v>
      </c>
      <c r="I22" s="89" t="s">
        <v>74</v>
      </c>
      <c r="J22" s="89"/>
      <c r="K22" s="46">
        <v>1</v>
      </c>
      <c r="L22" s="25">
        <v>3</v>
      </c>
      <c r="M22" s="17">
        <f>L22-1</f>
        <v>2</v>
      </c>
      <c r="N22" s="31">
        <f t="shared" ref="N22:N27" si="7">$C$4/M22</f>
        <v>0.5</v>
      </c>
      <c r="O22" s="82">
        <v>31.663698199999999</v>
      </c>
      <c r="P22" s="83">
        <v>-15.756850200000001</v>
      </c>
      <c r="Q22" s="50" t="s">
        <v>14</v>
      </c>
      <c r="R22" t="s">
        <v>88</v>
      </c>
    </row>
    <row r="23" spans="2:18" x14ac:dyDescent="0.3">
      <c r="B23" s="47">
        <v>2</v>
      </c>
      <c r="C23" s="41">
        <v>5</v>
      </c>
      <c r="D23" s="15">
        <f t="shared" ref="D23:D27" si="8">C23-1</f>
        <v>4</v>
      </c>
      <c r="E23" s="32">
        <f t="shared" si="6"/>
        <v>0.25</v>
      </c>
      <c r="F23" s="84">
        <v>3.8146972699999997E-6</v>
      </c>
      <c r="G23" s="85">
        <v>19.843707999999999</v>
      </c>
      <c r="H23" s="51">
        <f>(G23-G22)/G22</f>
        <v>0.2587062936209058</v>
      </c>
      <c r="I23" s="90" t="s">
        <v>75</v>
      </c>
      <c r="J23" s="90"/>
      <c r="K23" s="47">
        <v>2</v>
      </c>
      <c r="L23" s="41">
        <v>5</v>
      </c>
      <c r="M23" s="15">
        <f t="shared" ref="M23:M27" si="9">L23-1</f>
        <v>4</v>
      </c>
      <c r="N23" s="32">
        <f t="shared" si="7"/>
        <v>0.25</v>
      </c>
      <c r="O23" s="84">
        <v>10.587899200000001</v>
      </c>
      <c r="P23" s="85">
        <v>-15.7568512</v>
      </c>
      <c r="Q23" s="51">
        <f>(P23-P22)/P22</f>
        <v>6.3464460635133765E-8</v>
      </c>
      <c r="R23" t="s">
        <v>90</v>
      </c>
    </row>
    <row r="24" spans="2:18" x14ac:dyDescent="0.3">
      <c r="B24" s="47">
        <v>3</v>
      </c>
      <c r="C24" s="41">
        <f>C23+D23</f>
        <v>9</v>
      </c>
      <c r="D24" s="15">
        <f t="shared" si="8"/>
        <v>8</v>
      </c>
      <c r="E24" s="32">
        <f t="shared" si="6"/>
        <v>0.125</v>
      </c>
      <c r="F24" s="84">
        <v>1.28064839E-5</v>
      </c>
      <c r="G24" s="85">
        <v>22.1014175</v>
      </c>
      <c r="H24" s="51">
        <f t="shared" ref="H24:H27" si="10">(G24-G23)/G23</f>
        <v>0.11377457781579939</v>
      </c>
      <c r="I24" s="90" t="s">
        <v>76</v>
      </c>
      <c r="J24" s="90"/>
      <c r="K24" s="47">
        <v>3</v>
      </c>
      <c r="L24" s="41">
        <f>L23+M23</f>
        <v>9</v>
      </c>
      <c r="M24" s="15">
        <f t="shared" si="9"/>
        <v>8</v>
      </c>
      <c r="N24" s="32">
        <f t="shared" si="7"/>
        <v>0.125</v>
      </c>
      <c r="O24" s="84">
        <v>4.5662417399999997</v>
      </c>
      <c r="P24" s="85">
        <v>-15.7568483</v>
      </c>
      <c r="Q24" s="51">
        <f t="shared" ref="Q24:Q27" si="11">(P24-P23)/P23</f>
        <v>-1.8404692430800532E-7</v>
      </c>
      <c r="R24" t="s">
        <v>89</v>
      </c>
    </row>
    <row r="25" spans="2:18" x14ac:dyDescent="0.3">
      <c r="B25" s="47">
        <v>4</v>
      </c>
      <c r="C25" s="41">
        <f>C24+D24</f>
        <v>17</v>
      </c>
      <c r="D25" s="15">
        <f t="shared" si="8"/>
        <v>16</v>
      </c>
      <c r="E25" s="32">
        <f t="shared" si="6"/>
        <v>6.25E-2</v>
      </c>
      <c r="F25" s="84">
        <v>1.5640258400000002E-5</v>
      </c>
      <c r="G25" s="85">
        <v>22.925611499999999</v>
      </c>
      <c r="H25" s="51">
        <f t="shared" si="10"/>
        <v>3.7291454269844843E-2</v>
      </c>
      <c r="I25" s="90" t="s">
        <v>77</v>
      </c>
      <c r="J25" s="90"/>
      <c r="K25" s="47">
        <v>4</v>
      </c>
      <c r="L25" s="41">
        <f>L24+M24</f>
        <v>17</v>
      </c>
      <c r="M25" s="15">
        <f t="shared" si="9"/>
        <v>16</v>
      </c>
      <c r="N25" s="32">
        <f t="shared" si="7"/>
        <v>6.25E-2</v>
      </c>
      <c r="O25" s="84">
        <v>2.1575799999999998</v>
      </c>
      <c r="P25" s="85">
        <v>-15.756850200000001</v>
      </c>
      <c r="Q25" s="51">
        <f t="shared" si="11"/>
        <v>1.2058248989344544E-7</v>
      </c>
      <c r="R25" t="s">
        <v>91</v>
      </c>
    </row>
    <row r="26" spans="2:18" x14ac:dyDescent="0.3">
      <c r="B26" s="47">
        <v>5</v>
      </c>
      <c r="C26" s="41">
        <f>C25+D25</f>
        <v>33</v>
      </c>
      <c r="D26" s="15">
        <f t="shared" si="8"/>
        <v>32</v>
      </c>
      <c r="E26" s="32">
        <f t="shared" si="6"/>
        <v>3.125E-2</v>
      </c>
      <c r="F26" s="86">
        <v>3.4886023000000001E-5</v>
      </c>
      <c r="G26" s="87">
        <v>23.160425199999999</v>
      </c>
      <c r="H26" s="52">
        <f t="shared" si="10"/>
        <v>1.0242418179336247E-2</v>
      </c>
      <c r="I26" s="90" t="s">
        <v>78</v>
      </c>
      <c r="J26" s="90"/>
      <c r="K26" s="47">
        <v>5</v>
      </c>
      <c r="L26" s="41">
        <f>L25+M25</f>
        <v>33</v>
      </c>
      <c r="M26" s="15">
        <f t="shared" si="9"/>
        <v>32</v>
      </c>
      <c r="N26" s="32">
        <f t="shared" si="7"/>
        <v>3.125E-2</v>
      </c>
      <c r="O26" s="86">
        <v>1.06976235</v>
      </c>
      <c r="P26" s="87">
        <v>-15.7568521</v>
      </c>
      <c r="Q26" s="52">
        <f t="shared" si="11"/>
        <v>1.2058247524057479E-7</v>
      </c>
      <c r="R26" t="s">
        <v>91</v>
      </c>
    </row>
    <row r="27" spans="2:18" ht="15" thickBot="1" x14ac:dyDescent="0.35">
      <c r="B27" s="48">
        <v>6</v>
      </c>
      <c r="C27" s="44">
        <f>C26+D26</f>
        <v>65</v>
      </c>
      <c r="D27" s="18">
        <f t="shared" si="8"/>
        <v>64</v>
      </c>
      <c r="E27" s="33">
        <f t="shared" si="6"/>
        <v>1.5625E-2</v>
      </c>
      <c r="F27" s="88">
        <v>3.31723495E-5</v>
      </c>
      <c r="G27" s="4">
        <v>23.2192802</v>
      </c>
      <c r="H27" s="53">
        <f t="shared" si="10"/>
        <v>2.5411882334526923E-3</v>
      </c>
      <c r="I27" s="90" t="s">
        <v>79</v>
      </c>
      <c r="J27" s="90"/>
      <c r="K27" s="48">
        <v>6</v>
      </c>
      <c r="L27" s="44">
        <f>L26+M26</f>
        <v>65</v>
      </c>
      <c r="M27" s="18">
        <f t="shared" si="9"/>
        <v>64</v>
      </c>
      <c r="N27" s="33">
        <f t="shared" si="7"/>
        <v>1.5625E-2</v>
      </c>
      <c r="O27" s="88">
        <v>0.55146622700000003</v>
      </c>
      <c r="P27" s="4">
        <v>-15.761786499999999</v>
      </c>
      <c r="Q27" s="53">
        <f t="shared" si="11"/>
        <v>3.1315899703087161E-4</v>
      </c>
      <c r="R27" t="s">
        <v>92</v>
      </c>
    </row>
    <row r="28" spans="2:18" ht="15" thickBot="1" x14ac:dyDescent="0.35">
      <c r="B28" s="124" t="s">
        <v>70</v>
      </c>
      <c r="C28" s="125"/>
      <c r="D28" s="125"/>
      <c r="E28" s="125"/>
      <c r="F28" s="125"/>
      <c r="G28" s="125"/>
      <c r="H28" s="126"/>
      <c r="I28" s="6"/>
      <c r="J28" s="6"/>
      <c r="K28" s="118" t="s">
        <v>70</v>
      </c>
      <c r="L28" s="119"/>
      <c r="M28" s="119"/>
      <c r="N28" s="119"/>
      <c r="O28" s="119"/>
      <c r="P28" s="119"/>
      <c r="Q28" s="120"/>
    </row>
    <row r="29" spans="2:18" ht="15" thickBot="1" x14ac:dyDescent="0.35">
      <c r="B29" s="77" t="s">
        <v>0</v>
      </c>
      <c r="C29" s="78" t="s">
        <v>1</v>
      </c>
      <c r="D29" s="79" t="s">
        <v>3</v>
      </c>
      <c r="E29" s="80" t="s">
        <v>2</v>
      </c>
      <c r="F29" s="9" t="s">
        <v>16</v>
      </c>
      <c r="G29" s="81" t="s">
        <v>15</v>
      </c>
      <c r="H29" s="77" t="s">
        <v>4</v>
      </c>
      <c r="I29" s="5"/>
      <c r="J29" s="5"/>
      <c r="K29" s="77" t="s">
        <v>0</v>
      </c>
      <c r="L29" s="78" t="s">
        <v>1</v>
      </c>
      <c r="M29" s="79" t="s">
        <v>3</v>
      </c>
      <c r="N29" s="80" t="s">
        <v>2</v>
      </c>
      <c r="O29" s="9" t="s">
        <v>16</v>
      </c>
      <c r="P29" s="81" t="s">
        <v>15</v>
      </c>
      <c r="Q29" s="77" t="s">
        <v>4</v>
      </c>
    </row>
    <row r="30" spans="2:18" x14ac:dyDescent="0.3">
      <c r="B30" s="46">
        <v>1</v>
      </c>
      <c r="C30" s="25">
        <v>3</v>
      </c>
      <c r="D30" s="17">
        <f>C30-1</f>
        <v>2</v>
      </c>
      <c r="E30" s="31">
        <f t="shared" ref="E30:E35" si="12">$C$4/D30</f>
        <v>0.5</v>
      </c>
      <c r="F30" s="82">
        <v>3.8146972699999997E-6</v>
      </c>
      <c r="G30" s="83">
        <v>15.7651711</v>
      </c>
      <c r="H30" s="50" t="s">
        <v>14</v>
      </c>
      <c r="I30" s="89" t="s">
        <v>80</v>
      </c>
      <c r="J30" s="89"/>
      <c r="K30" s="46">
        <v>1</v>
      </c>
      <c r="L30" s="25">
        <v>3</v>
      </c>
      <c r="M30" s="17">
        <f>L30-1</f>
        <v>2</v>
      </c>
      <c r="N30" s="31">
        <f t="shared" ref="N30:N36" si="13">$C$4/M30</f>
        <v>0.5</v>
      </c>
      <c r="O30" s="82">
        <v>7.6293949999999998E-6</v>
      </c>
      <c r="P30" s="93">
        <v>3.1678314999999999E-2</v>
      </c>
      <c r="Q30" s="50" t="s">
        <v>14</v>
      </c>
      <c r="R30" t="s">
        <v>93</v>
      </c>
    </row>
    <row r="31" spans="2:18" x14ac:dyDescent="0.3">
      <c r="B31" s="47">
        <v>2</v>
      </c>
      <c r="C31" s="41">
        <v>5</v>
      </c>
      <c r="D31" s="15">
        <f t="shared" ref="D31:D35" si="14">C31-1</f>
        <v>4</v>
      </c>
      <c r="E31" s="32">
        <f t="shared" si="12"/>
        <v>0.25</v>
      </c>
      <c r="F31" s="84">
        <v>5.7220458999999997E-6</v>
      </c>
      <c r="G31" s="85">
        <v>19.843698499999999</v>
      </c>
      <c r="H31" s="51">
        <f>(G31-G30)/G30</f>
        <v>0.2587049245535939</v>
      </c>
      <c r="I31" s="90" t="s">
        <v>81</v>
      </c>
      <c r="J31" s="90"/>
      <c r="K31" s="47">
        <v>2</v>
      </c>
      <c r="L31" s="41">
        <v>5</v>
      </c>
      <c r="M31" s="15">
        <f t="shared" ref="M31:M35" si="15">L31-1</f>
        <v>4</v>
      </c>
      <c r="N31" s="32">
        <f t="shared" si="13"/>
        <v>0.25</v>
      </c>
      <c r="O31" s="84">
        <v>1.9073486E-6</v>
      </c>
      <c r="P31" s="94">
        <v>6.3153140199999999E-2</v>
      </c>
      <c r="Q31" s="51">
        <f>(P31-P30)/P30</f>
        <v>0.99357636919766734</v>
      </c>
      <c r="R31" t="s">
        <v>93</v>
      </c>
    </row>
    <row r="32" spans="2:18" x14ac:dyDescent="0.3">
      <c r="B32" s="47">
        <v>3</v>
      </c>
      <c r="C32" s="41">
        <f>C31+D31</f>
        <v>9</v>
      </c>
      <c r="D32" s="15">
        <f t="shared" si="14"/>
        <v>8</v>
      </c>
      <c r="E32" s="32">
        <f t="shared" si="12"/>
        <v>0.125</v>
      </c>
      <c r="F32" s="84">
        <v>7.2547368300000002E-6</v>
      </c>
      <c r="G32" s="85">
        <v>22.101434699999999</v>
      </c>
      <c r="H32" s="51">
        <f t="shared" ref="H32:H35" si="16">(G32-G31)/G31</f>
        <v>0.11377597779970303</v>
      </c>
      <c r="I32" s="90" t="s">
        <v>81</v>
      </c>
      <c r="J32" s="90"/>
      <c r="K32" s="47">
        <v>3</v>
      </c>
      <c r="L32" s="41">
        <f>L31+M31</f>
        <v>9</v>
      </c>
      <c r="M32" s="15">
        <f t="shared" si="15"/>
        <v>8</v>
      </c>
      <c r="N32" s="32">
        <f t="shared" si="13"/>
        <v>0.125</v>
      </c>
      <c r="O32" s="84">
        <v>1.08991355E-6</v>
      </c>
      <c r="P32" s="85">
        <v>0.124734</v>
      </c>
      <c r="Q32" s="51">
        <f t="shared" ref="Q32:Q36" si="17">(P32-P31)/P31</f>
        <v>0.97510368613467613</v>
      </c>
      <c r="R32" t="s">
        <v>93</v>
      </c>
    </row>
    <row r="33" spans="2:18" ht="28.8" x14ac:dyDescent="0.3">
      <c r="B33" s="47">
        <v>4</v>
      </c>
      <c r="C33" s="41">
        <f>C32+D32</f>
        <v>17</v>
      </c>
      <c r="D33" s="15">
        <f t="shared" si="14"/>
        <v>16</v>
      </c>
      <c r="E33" s="32">
        <f t="shared" si="12"/>
        <v>6.25E-2</v>
      </c>
      <c r="F33" s="84">
        <v>2.3465469999999999E-5</v>
      </c>
      <c r="G33" s="85">
        <v>22.925611499999999</v>
      </c>
      <c r="H33" s="51">
        <f t="shared" si="16"/>
        <v>3.7290647018494237E-2</v>
      </c>
      <c r="I33" s="91" t="s">
        <v>82</v>
      </c>
      <c r="J33" s="91"/>
      <c r="K33" s="47">
        <v>4</v>
      </c>
      <c r="L33" s="41">
        <f>L32+M32</f>
        <v>17</v>
      </c>
      <c r="M33" s="15">
        <f t="shared" si="15"/>
        <v>16</v>
      </c>
      <c r="N33" s="32">
        <f t="shared" si="13"/>
        <v>6.25E-2</v>
      </c>
      <c r="O33" s="84">
        <v>1.3351440000000001E-6</v>
      </c>
      <c r="P33" s="85">
        <v>0.238368</v>
      </c>
      <c r="Q33" s="51">
        <f t="shared" si="17"/>
        <v>0.91101063062196352</v>
      </c>
      <c r="R33" t="s">
        <v>93</v>
      </c>
    </row>
    <row r="34" spans="2:18" x14ac:dyDescent="0.3">
      <c r="B34" s="47">
        <v>5</v>
      </c>
      <c r="C34" s="41">
        <f>C33+D33</f>
        <v>33</v>
      </c>
      <c r="D34" s="15">
        <f t="shared" si="14"/>
        <v>32</v>
      </c>
      <c r="E34" s="32">
        <f t="shared" si="12"/>
        <v>3.125E-2</v>
      </c>
      <c r="F34" s="86">
        <v>2.0592442499999999E-5</v>
      </c>
      <c r="G34" s="87">
        <v>23.160718899999999</v>
      </c>
      <c r="H34" s="52">
        <f t="shared" si="16"/>
        <v>1.0255229178946891E-2</v>
      </c>
      <c r="I34" s="90" t="s">
        <v>83</v>
      </c>
      <c r="J34" s="90"/>
      <c r="K34" s="47">
        <v>5</v>
      </c>
      <c r="L34" s="41">
        <f>L33+M33</f>
        <v>33</v>
      </c>
      <c r="M34" s="15">
        <f t="shared" si="15"/>
        <v>32</v>
      </c>
      <c r="N34" s="32">
        <f t="shared" si="13"/>
        <v>3.125E-2</v>
      </c>
      <c r="O34" s="86">
        <v>5.6912824699999996E-7</v>
      </c>
      <c r="P34" s="87">
        <v>0.41576248399999999</v>
      </c>
      <c r="Q34" s="52">
        <f t="shared" si="17"/>
        <v>0.74420427238555509</v>
      </c>
      <c r="R34" t="s">
        <v>93</v>
      </c>
    </row>
    <row r="35" spans="2:18" ht="29.4" thickBot="1" x14ac:dyDescent="0.35">
      <c r="B35" s="48">
        <v>6</v>
      </c>
      <c r="C35" s="44">
        <f>C34+D34</f>
        <v>65</v>
      </c>
      <c r="D35" s="18">
        <f t="shared" si="14"/>
        <v>64</v>
      </c>
      <c r="E35" s="33">
        <f t="shared" si="12"/>
        <v>1.5625E-2</v>
      </c>
      <c r="F35" s="88">
        <v>5.5411033799999998E-5</v>
      </c>
      <c r="G35" s="4">
        <v>23.2191334</v>
      </c>
      <c r="H35" s="53">
        <f t="shared" si="16"/>
        <v>2.5221367373014216E-3</v>
      </c>
      <c r="I35" s="91" t="s">
        <v>84</v>
      </c>
      <c r="J35" s="91"/>
      <c r="K35" s="48">
        <v>6</v>
      </c>
      <c r="L35" s="44">
        <f>L34+M34</f>
        <v>65</v>
      </c>
      <c r="M35" s="18">
        <f t="shared" si="15"/>
        <v>64</v>
      </c>
      <c r="N35" s="33">
        <f t="shared" si="13"/>
        <v>1.5625E-2</v>
      </c>
      <c r="O35" s="88">
        <v>2.9613100000000002E-7</v>
      </c>
      <c r="P35" s="4">
        <v>0.61594939199999998</v>
      </c>
      <c r="Q35" s="53">
        <f t="shared" si="17"/>
        <v>0.48149343845078624</v>
      </c>
      <c r="R35" t="s">
        <v>93</v>
      </c>
    </row>
    <row r="36" spans="2:18" ht="15" thickBot="1" x14ac:dyDescent="0.35">
      <c r="K36" s="48">
        <v>7</v>
      </c>
      <c r="L36" s="44">
        <v>101</v>
      </c>
      <c r="M36" s="18">
        <f>L36-1</f>
        <v>100</v>
      </c>
      <c r="N36" s="33">
        <f t="shared" si="13"/>
        <v>0.01</v>
      </c>
      <c r="O36" s="88">
        <v>2.7916869999999997E-7</v>
      </c>
      <c r="P36" s="4">
        <v>0.71954399999999996</v>
      </c>
      <c r="Q36" s="53">
        <f t="shared" si="17"/>
        <v>0.1681868824703702</v>
      </c>
      <c r="R36" t="s">
        <v>93</v>
      </c>
    </row>
  </sheetData>
  <mergeCells count="8">
    <mergeCell ref="K12:Q12"/>
    <mergeCell ref="K20:Q20"/>
    <mergeCell ref="K28:Q28"/>
    <mergeCell ref="B11:I11"/>
    <mergeCell ref="K11:R11"/>
    <mergeCell ref="B12:H12"/>
    <mergeCell ref="B20:H20"/>
    <mergeCell ref="B28:H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7"/>
  <sheetViews>
    <sheetView workbookViewId="0">
      <selection activeCell="I18" sqref="I18"/>
    </sheetView>
  </sheetViews>
  <sheetFormatPr defaultRowHeight="14.4" x14ac:dyDescent="0.3"/>
  <cols>
    <col min="1" max="1" width="0.5546875" customWidth="1"/>
    <col min="3" max="3" width="14.5546875" customWidth="1"/>
    <col min="6" max="6" width="15.44140625" customWidth="1"/>
    <col min="7" max="7" width="21.44140625" customWidth="1"/>
    <col min="8" max="8" width="11.5546875" customWidth="1"/>
    <col min="9" max="9" width="42.77734375" customWidth="1"/>
    <col min="10" max="10" width="5.44140625" customWidth="1"/>
    <col min="15" max="15" width="15.44140625" customWidth="1"/>
    <col min="16" max="17" width="21.44140625" customWidth="1"/>
    <col min="18" max="18" width="57.33203125" customWidth="1"/>
  </cols>
  <sheetData>
    <row r="2" spans="2:18" x14ac:dyDescent="0.3">
      <c r="B2" s="27" t="s">
        <v>34</v>
      </c>
    </row>
    <row r="3" spans="2:18" x14ac:dyDescent="0.3">
      <c r="B3" s="27"/>
    </row>
    <row r="4" spans="2:18" x14ac:dyDescent="0.3">
      <c r="B4" s="39" t="s">
        <v>17</v>
      </c>
      <c r="C4">
        <v>1</v>
      </c>
      <c r="D4" t="s">
        <v>19</v>
      </c>
      <c r="F4" t="s">
        <v>67</v>
      </c>
      <c r="G4" t="s">
        <v>65</v>
      </c>
    </row>
    <row r="5" spans="2:18" x14ac:dyDescent="0.3">
      <c r="B5" t="s">
        <v>61</v>
      </c>
      <c r="C5">
        <v>1.2500000000000001E-2</v>
      </c>
      <c r="D5" t="s">
        <v>19</v>
      </c>
      <c r="E5" t="s">
        <v>40</v>
      </c>
      <c r="F5">
        <v>60</v>
      </c>
      <c r="G5">
        <v>0.1</v>
      </c>
      <c r="H5" t="s">
        <v>45</v>
      </c>
    </row>
    <row r="6" spans="2:18" x14ac:dyDescent="0.3">
      <c r="B6" t="s">
        <v>62</v>
      </c>
      <c r="C6">
        <v>400</v>
      </c>
      <c r="D6" t="s">
        <v>63</v>
      </c>
      <c r="E6" t="s">
        <v>66</v>
      </c>
      <c r="F6">
        <v>430</v>
      </c>
      <c r="G6">
        <v>1.3</v>
      </c>
      <c r="H6" t="s">
        <v>43</v>
      </c>
    </row>
    <row r="7" spans="2:18" x14ac:dyDescent="0.3">
      <c r="B7" t="s">
        <v>39</v>
      </c>
      <c r="C7">
        <v>0</v>
      </c>
      <c r="D7" t="s">
        <v>63</v>
      </c>
    </row>
    <row r="8" spans="2:18" x14ac:dyDescent="0.3">
      <c r="B8" t="s">
        <v>64</v>
      </c>
      <c r="C8">
        <v>1</v>
      </c>
    </row>
    <row r="9" spans="2:18" x14ac:dyDescent="0.3">
      <c r="B9" t="s">
        <v>108</v>
      </c>
      <c r="C9">
        <v>0</v>
      </c>
      <c r="D9" t="s">
        <v>63</v>
      </c>
    </row>
    <row r="10" spans="2:18" ht="15" thickBot="1" x14ac:dyDescent="0.35"/>
    <row r="11" spans="2:18" ht="15" thickBot="1" x14ac:dyDescent="0.35">
      <c r="B11" s="115" t="s">
        <v>67</v>
      </c>
      <c r="C11" s="116"/>
      <c r="D11" s="116"/>
      <c r="E11" s="116"/>
      <c r="F11" s="116"/>
      <c r="G11" s="116"/>
      <c r="H11" s="116"/>
      <c r="I11" s="117"/>
      <c r="K11" s="115" t="s">
        <v>65</v>
      </c>
      <c r="L11" s="116"/>
      <c r="M11" s="116"/>
      <c r="N11" s="116"/>
      <c r="O11" s="116"/>
      <c r="P11" s="116"/>
      <c r="Q11" s="116"/>
      <c r="R11" s="117"/>
    </row>
    <row r="12" spans="2:18" ht="15" thickBot="1" x14ac:dyDescent="0.35">
      <c r="B12" s="124" t="s">
        <v>68</v>
      </c>
      <c r="C12" s="125"/>
      <c r="D12" s="125"/>
      <c r="E12" s="125"/>
      <c r="F12" s="125"/>
      <c r="G12" s="125"/>
      <c r="H12" s="126"/>
      <c r="I12" s="92" t="s">
        <v>85</v>
      </c>
      <c r="K12" s="121" t="s">
        <v>68</v>
      </c>
      <c r="L12" s="122"/>
      <c r="M12" s="122"/>
      <c r="N12" s="122"/>
      <c r="O12" s="122"/>
      <c r="P12" s="122"/>
      <c r="Q12" s="123"/>
      <c r="R12" s="92" t="s">
        <v>85</v>
      </c>
    </row>
    <row r="13" spans="2:18" ht="15" thickBot="1" x14ac:dyDescent="0.35">
      <c r="B13" s="77" t="s">
        <v>0</v>
      </c>
      <c r="C13" s="78" t="s">
        <v>1</v>
      </c>
      <c r="D13" s="79" t="s">
        <v>3</v>
      </c>
      <c r="E13" s="80" t="s">
        <v>2</v>
      </c>
      <c r="F13" s="9" t="s">
        <v>16</v>
      </c>
      <c r="G13" s="81" t="s">
        <v>15</v>
      </c>
      <c r="H13" s="77" t="s">
        <v>4</v>
      </c>
      <c r="I13" s="5"/>
      <c r="J13" s="5"/>
      <c r="K13" s="77" t="s">
        <v>0</v>
      </c>
      <c r="L13" s="78" t="s">
        <v>1</v>
      </c>
      <c r="M13" s="79" t="s">
        <v>3</v>
      </c>
      <c r="N13" s="80" t="s">
        <v>2</v>
      </c>
      <c r="O13" s="9" t="s">
        <v>16</v>
      </c>
      <c r="P13" s="81" t="s">
        <v>15</v>
      </c>
      <c r="Q13" s="77" t="s">
        <v>4</v>
      </c>
    </row>
    <row r="14" spans="2:18" x14ac:dyDescent="0.3">
      <c r="B14" s="46">
        <v>1</v>
      </c>
      <c r="C14" s="25">
        <v>3</v>
      </c>
      <c r="D14" s="17">
        <f>C14-1</f>
        <v>2</v>
      </c>
      <c r="E14" s="31">
        <f t="shared" ref="E14:E19" si="0">$C$4/D14</f>
        <v>0.5</v>
      </c>
      <c r="F14" s="82">
        <v>8.3893537499999998E-6</v>
      </c>
      <c r="G14" s="83">
        <v>22.947734799999999</v>
      </c>
      <c r="H14" s="50" t="s">
        <v>14</v>
      </c>
      <c r="I14" s="89" t="s">
        <v>109</v>
      </c>
      <c r="J14" s="89"/>
      <c r="K14" s="46">
        <v>1</v>
      </c>
      <c r="L14" s="25">
        <v>3</v>
      </c>
      <c r="M14" s="17">
        <f>L14-1</f>
        <v>2</v>
      </c>
      <c r="N14" s="31">
        <f t="shared" ref="N14:N19" si="1">$C$4/M14</f>
        <v>0.5</v>
      </c>
      <c r="O14" s="82" t="s">
        <v>87</v>
      </c>
      <c r="P14" s="83" t="s">
        <v>87</v>
      </c>
      <c r="Q14" s="50" t="s">
        <v>14</v>
      </c>
      <c r="R14" t="s">
        <v>86</v>
      </c>
    </row>
    <row r="15" spans="2:18" x14ac:dyDescent="0.3">
      <c r="B15" s="47">
        <v>2</v>
      </c>
      <c r="C15" s="41">
        <v>5</v>
      </c>
      <c r="D15" s="15">
        <f t="shared" ref="D15:D19" si="2">C15-1</f>
        <v>4</v>
      </c>
      <c r="E15" s="32">
        <f t="shared" si="0"/>
        <v>0.25</v>
      </c>
      <c r="F15" s="84">
        <v>8.2799233500000003E-6</v>
      </c>
      <c r="G15" s="85">
        <v>27.795164100000001</v>
      </c>
      <c r="H15" s="51">
        <f>ABS((G15-G14)/G14)</f>
        <v>0.21123781245720175</v>
      </c>
      <c r="I15" s="89" t="s">
        <v>110</v>
      </c>
      <c r="J15" s="89"/>
      <c r="K15" s="47">
        <v>2</v>
      </c>
      <c r="L15" s="41">
        <v>5</v>
      </c>
      <c r="M15" s="15">
        <f t="shared" ref="M15:M19" si="3">L15-1</f>
        <v>4</v>
      </c>
      <c r="N15" s="32">
        <f t="shared" si="1"/>
        <v>0.25</v>
      </c>
      <c r="O15" s="84">
        <v>-3.8147000000000001E-6</v>
      </c>
      <c r="P15" s="85">
        <v>6.0000095399999998</v>
      </c>
      <c r="Q15" s="51" t="e">
        <f>(P15-P14)/P14</f>
        <v>#VALUE!</v>
      </c>
      <c r="R15" t="s">
        <v>86</v>
      </c>
    </row>
    <row r="16" spans="2:18" x14ac:dyDescent="0.3">
      <c r="B16" s="47">
        <v>3</v>
      </c>
      <c r="C16" s="41">
        <f>C15+D15</f>
        <v>9</v>
      </c>
      <c r="D16" s="15">
        <f t="shared" si="2"/>
        <v>8</v>
      </c>
      <c r="E16" s="32">
        <f t="shared" si="0"/>
        <v>0.125</v>
      </c>
      <c r="F16" s="84">
        <v>6.2875124100000003E-6</v>
      </c>
      <c r="G16" s="85">
        <v>30.541406599999998</v>
      </c>
      <c r="H16" s="51">
        <f t="shared" ref="H16:H19" si="4">(G16-G15)/G15</f>
        <v>9.8802888521172555E-2</v>
      </c>
      <c r="I16" s="89" t="s">
        <v>111</v>
      </c>
      <c r="J16" s="90"/>
      <c r="K16" s="47">
        <v>3</v>
      </c>
      <c r="L16" s="41">
        <f>L15+M15</f>
        <v>9</v>
      </c>
      <c r="M16" s="15">
        <f t="shared" si="3"/>
        <v>8</v>
      </c>
      <c r="N16" s="32">
        <f t="shared" si="1"/>
        <v>0.125</v>
      </c>
      <c r="O16" s="84">
        <v>-2.1798299999999998E-6</v>
      </c>
      <c r="P16" s="85">
        <v>6.6666689999999997</v>
      </c>
      <c r="Q16" s="51">
        <f t="shared" ref="Q16:Q19" si="5">(P16-P15)/P15</f>
        <v>0.111109733335524</v>
      </c>
      <c r="R16" t="s">
        <v>86</v>
      </c>
    </row>
    <row r="17" spans="2:18" x14ac:dyDescent="0.3">
      <c r="B17" s="47">
        <v>4</v>
      </c>
      <c r="C17" s="41">
        <f>C16+D16</f>
        <v>17</v>
      </c>
      <c r="D17" s="15">
        <f t="shared" si="2"/>
        <v>16</v>
      </c>
      <c r="E17" s="32">
        <f t="shared" si="0"/>
        <v>6.25E-2</v>
      </c>
      <c r="F17" s="84">
        <v>7.8671418999999996E-6</v>
      </c>
      <c r="G17" s="85">
        <v>31.567201600000001</v>
      </c>
      <c r="H17" s="51">
        <f t="shared" si="4"/>
        <v>3.3587025425345085E-2</v>
      </c>
      <c r="I17" s="89" t="s">
        <v>112</v>
      </c>
      <c r="J17" s="90"/>
      <c r="K17" s="47">
        <v>4</v>
      </c>
      <c r="L17" s="41">
        <f>L16+M16</f>
        <v>17</v>
      </c>
      <c r="M17" s="15">
        <f t="shared" si="3"/>
        <v>16</v>
      </c>
      <c r="N17" s="32">
        <f t="shared" si="1"/>
        <v>6.25E-2</v>
      </c>
      <c r="O17" s="84">
        <v>-7.1207999999999997E-6</v>
      </c>
      <c r="P17" s="85">
        <v>7.0589360000000001</v>
      </c>
      <c r="Q17" s="51">
        <f t="shared" si="5"/>
        <v>5.8840029405989765E-2</v>
      </c>
      <c r="R17" t="s">
        <v>86</v>
      </c>
    </row>
    <row r="18" spans="2:18" x14ac:dyDescent="0.3">
      <c r="B18" s="47">
        <v>5</v>
      </c>
      <c r="C18" s="41">
        <f>C17+D17</f>
        <v>33</v>
      </c>
      <c r="D18" s="15">
        <f t="shared" si="2"/>
        <v>32</v>
      </c>
      <c r="E18" s="32">
        <f t="shared" si="0"/>
        <v>3.125E-2</v>
      </c>
      <c r="F18" s="86">
        <v>1.6859621600000001E-5</v>
      </c>
      <c r="G18" s="87">
        <v>31.863575000000001</v>
      </c>
      <c r="H18" s="52">
        <f t="shared" si="4"/>
        <v>9.3886497686890384E-3</v>
      </c>
      <c r="I18" s="90" t="s">
        <v>113</v>
      </c>
      <c r="J18" s="90"/>
      <c r="K18" s="47">
        <v>5</v>
      </c>
      <c r="L18" s="41">
        <f>L17+M17</f>
        <v>33</v>
      </c>
      <c r="M18" s="15">
        <f t="shared" si="3"/>
        <v>32</v>
      </c>
      <c r="N18" s="32">
        <f t="shared" si="1"/>
        <v>3.125E-2</v>
      </c>
      <c r="O18" s="86">
        <f>--0.000015751</f>
        <v>1.5750999999999999E-5</v>
      </c>
      <c r="P18" s="87">
        <v>7.2731700000000004</v>
      </c>
      <c r="Q18" s="52">
        <f t="shared" si="5"/>
        <v>3.0349333100625965E-2</v>
      </c>
      <c r="R18" t="s">
        <v>86</v>
      </c>
    </row>
    <row r="19" spans="2:18" ht="15" thickBot="1" x14ac:dyDescent="0.35">
      <c r="B19" s="48">
        <v>6</v>
      </c>
      <c r="C19" s="44">
        <f>C18+D18</f>
        <v>65</v>
      </c>
      <c r="D19" s="18">
        <f t="shared" si="2"/>
        <v>64</v>
      </c>
      <c r="E19" s="33">
        <f t="shared" si="0"/>
        <v>1.5625E-2</v>
      </c>
      <c r="F19" s="88">
        <v>2.7094059999999999E-5</v>
      </c>
      <c r="G19" s="4">
        <v>31.938756900000001</v>
      </c>
      <c r="H19" s="53">
        <f t="shared" si="4"/>
        <v>2.3594935596523764E-3</v>
      </c>
      <c r="I19" s="90" t="s">
        <v>114</v>
      </c>
      <c r="J19" s="90"/>
      <c r="K19" s="48">
        <v>6</v>
      </c>
      <c r="L19" s="44">
        <f>L18+M18</f>
        <v>65</v>
      </c>
      <c r="M19" s="18">
        <f t="shared" si="3"/>
        <v>64</v>
      </c>
      <c r="N19" s="33">
        <f t="shared" si="1"/>
        <v>1.5625E-2</v>
      </c>
      <c r="O19" s="88">
        <v>3.1001989999999998E-5</v>
      </c>
      <c r="P19" s="4">
        <v>7.3851760000000004</v>
      </c>
      <c r="Q19" s="53">
        <f t="shared" si="5"/>
        <v>1.5399887531846505E-2</v>
      </c>
      <c r="R19" t="s">
        <v>86</v>
      </c>
    </row>
    <row r="20" spans="2:18" ht="15" thickBot="1" x14ac:dyDescent="0.35">
      <c r="B20" s="124" t="s">
        <v>69</v>
      </c>
      <c r="C20" s="125"/>
      <c r="D20" s="125"/>
      <c r="E20" s="125"/>
      <c r="F20" s="125"/>
      <c r="G20" s="125"/>
      <c r="H20" s="126"/>
      <c r="I20" s="6"/>
      <c r="J20" s="6"/>
      <c r="K20" s="118" t="s">
        <v>69</v>
      </c>
      <c r="L20" s="119"/>
      <c r="M20" s="119"/>
      <c r="N20" s="119"/>
      <c r="O20" s="119"/>
      <c r="P20" s="119"/>
      <c r="Q20" s="120"/>
    </row>
    <row r="21" spans="2:18" ht="15" thickBot="1" x14ac:dyDescent="0.35">
      <c r="B21" s="77" t="s">
        <v>0</v>
      </c>
      <c r="C21" s="78" t="s">
        <v>1</v>
      </c>
      <c r="D21" s="79" t="s">
        <v>3</v>
      </c>
      <c r="E21" s="80" t="s">
        <v>2</v>
      </c>
      <c r="F21" s="9" t="s">
        <v>16</v>
      </c>
      <c r="G21" s="81" t="s">
        <v>15</v>
      </c>
      <c r="H21" s="77" t="s">
        <v>4</v>
      </c>
      <c r="I21" s="5"/>
      <c r="J21" s="5"/>
      <c r="K21" s="77" t="s">
        <v>0</v>
      </c>
      <c r="L21" s="78" t="s">
        <v>1</v>
      </c>
      <c r="M21" s="79" t="s">
        <v>3</v>
      </c>
      <c r="N21" s="80" t="s">
        <v>2</v>
      </c>
      <c r="O21" s="9" t="s">
        <v>16</v>
      </c>
      <c r="P21" s="81" t="s">
        <v>15</v>
      </c>
      <c r="Q21" s="77" t="s">
        <v>4</v>
      </c>
    </row>
    <row r="22" spans="2:18" x14ac:dyDescent="0.3">
      <c r="B22" s="46">
        <v>1</v>
      </c>
      <c r="C22" s="25">
        <v>3</v>
      </c>
      <c r="D22" s="17">
        <f>C22-1</f>
        <v>2</v>
      </c>
      <c r="E22" s="31">
        <f t="shared" ref="E22:E27" si="6">$C$4/D22</f>
        <v>0.5</v>
      </c>
      <c r="F22" s="82">
        <v>7.1525573700000001E-6</v>
      </c>
      <c r="G22" s="83">
        <v>22.947738600000001</v>
      </c>
      <c r="H22" s="50" t="s">
        <v>14</v>
      </c>
      <c r="I22" s="89" t="s">
        <v>115</v>
      </c>
      <c r="J22" s="89"/>
      <c r="K22" s="46">
        <v>1</v>
      </c>
      <c r="L22" s="25">
        <v>3</v>
      </c>
      <c r="M22" s="17">
        <f>L22-1</f>
        <v>2</v>
      </c>
      <c r="N22" s="31">
        <f t="shared" ref="N22:N27" si="7">$C$4/M22</f>
        <v>0.5</v>
      </c>
      <c r="O22" s="82">
        <v>9.9662274100000003E-2</v>
      </c>
      <c r="P22" s="93">
        <v>2.5001404800000002E-2</v>
      </c>
      <c r="Q22" s="50" t="s">
        <v>14</v>
      </c>
      <c r="R22" t="s">
        <v>123</v>
      </c>
    </row>
    <row r="23" spans="2:18" x14ac:dyDescent="0.3">
      <c r="B23" s="47">
        <v>2</v>
      </c>
      <c r="C23" s="41">
        <v>5</v>
      </c>
      <c r="D23" s="15">
        <f t="shared" ref="D23:D27" si="8">C23-1</f>
        <v>4</v>
      </c>
      <c r="E23" s="32">
        <f t="shared" si="6"/>
        <v>0.25</v>
      </c>
      <c r="F23" s="84">
        <v>5.7220458999999997E-6</v>
      </c>
      <c r="G23" s="85">
        <v>27.795164100000001</v>
      </c>
      <c r="H23" s="51">
        <f>(G23-G22)/G22</f>
        <v>0.21123761188390039</v>
      </c>
      <c r="I23" s="89" t="s">
        <v>116</v>
      </c>
      <c r="J23" s="90"/>
      <c r="K23" s="47">
        <v>2</v>
      </c>
      <c r="L23" s="41">
        <v>5</v>
      </c>
      <c r="M23" s="15">
        <f t="shared" ref="M23:M27" si="9">L23-1</f>
        <v>4</v>
      </c>
      <c r="N23" s="32">
        <f t="shared" si="7"/>
        <v>0.25</v>
      </c>
      <c r="O23" s="84">
        <v>6.6124595699999997E-2</v>
      </c>
      <c r="P23" s="94">
        <v>2.5014908999999998E-2</v>
      </c>
      <c r="Q23" s="51">
        <f>(P23-P22)/P22</f>
        <v>5.4013764858511942E-4</v>
      </c>
      <c r="R23" t="s">
        <v>124</v>
      </c>
    </row>
    <row r="24" spans="2:18" x14ac:dyDescent="0.3">
      <c r="B24" s="47">
        <v>3</v>
      </c>
      <c r="C24" s="41">
        <f>C23+D23</f>
        <v>9</v>
      </c>
      <c r="D24" s="15">
        <f t="shared" si="8"/>
        <v>8</v>
      </c>
      <c r="E24" s="32">
        <f t="shared" si="6"/>
        <v>0.125</v>
      </c>
      <c r="F24" s="84">
        <v>7.5612747400000002E-6</v>
      </c>
      <c r="G24" s="85">
        <v>30.541389500000001</v>
      </c>
      <c r="H24" s="51">
        <f t="shared" ref="H24:H27" si="10">(G24-G23)/G23</f>
        <v>9.8802273306240349E-2</v>
      </c>
      <c r="I24" s="90" t="s">
        <v>117</v>
      </c>
      <c r="J24" s="90"/>
      <c r="K24" s="47">
        <v>3</v>
      </c>
      <c r="L24" s="41">
        <f>L23+M23</f>
        <v>9</v>
      </c>
      <c r="M24" s="15">
        <f t="shared" si="9"/>
        <v>8</v>
      </c>
      <c r="N24" s="32">
        <f t="shared" si="7"/>
        <v>0.125</v>
      </c>
      <c r="O24" s="84">
        <v>5.5668354000000003E-2</v>
      </c>
      <c r="P24" s="94">
        <v>2.52731647E-2</v>
      </c>
      <c r="Q24" s="51">
        <f t="shared" ref="Q24:Q27" si="11">(P24-P23)/P23</f>
        <v>1.0324071136936829E-2</v>
      </c>
      <c r="R24" t="s">
        <v>125</v>
      </c>
    </row>
    <row r="25" spans="2:18" x14ac:dyDescent="0.3">
      <c r="B25" s="47">
        <v>4</v>
      </c>
      <c r="C25" s="41">
        <f>C24+D24</f>
        <v>17</v>
      </c>
      <c r="D25" s="15">
        <f t="shared" si="8"/>
        <v>16</v>
      </c>
      <c r="E25" s="32">
        <f t="shared" si="6"/>
        <v>6.25E-2</v>
      </c>
      <c r="F25" s="84">
        <v>9.3460084800000002E-6</v>
      </c>
      <c r="G25" s="85">
        <v>31.567163499999999</v>
      </c>
      <c r="H25" s="51">
        <f t="shared" si="10"/>
        <v>3.3586356639078205E-2</v>
      </c>
      <c r="I25" s="90" t="s">
        <v>118</v>
      </c>
      <c r="J25" s="90"/>
      <c r="K25" s="47">
        <v>4</v>
      </c>
      <c r="L25" s="41">
        <f>L24+M24</f>
        <v>17</v>
      </c>
      <c r="M25" s="15">
        <f t="shared" si="9"/>
        <v>16</v>
      </c>
      <c r="N25" s="32">
        <f t="shared" si="7"/>
        <v>6.25E-2</v>
      </c>
      <c r="O25" s="84">
        <v>4.8688367000000003E-2</v>
      </c>
      <c r="P25" s="94">
        <v>3.0464356800000002E-2</v>
      </c>
      <c r="Q25" s="51">
        <f t="shared" si="11"/>
        <v>0.20540332647774823</v>
      </c>
      <c r="R25" t="s">
        <v>126</v>
      </c>
    </row>
    <row r="26" spans="2:18" x14ac:dyDescent="0.3">
      <c r="B26" s="47">
        <v>5</v>
      </c>
      <c r="C26" s="41">
        <f>C25+D25</f>
        <v>33</v>
      </c>
      <c r="D26" s="15">
        <f t="shared" si="8"/>
        <v>32</v>
      </c>
      <c r="E26" s="32">
        <f t="shared" si="6"/>
        <v>3.125E-2</v>
      </c>
      <c r="F26" s="86">
        <v>1.4197441500000001E-5</v>
      </c>
      <c r="G26" s="87">
        <v>31.8636494</v>
      </c>
      <c r="H26" s="52">
        <f t="shared" si="10"/>
        <v>9.3922249301873588E-3</v>
      </c>
      <c r="I26" s="90" t="s">
        <v>119</v>
      </c>
      <c r="J26" s="90"/>
      <c r="K26" s="47">
        <v>5</v>
      </c>
      <c r="L26" s="41">
        <f>L25+M25</f>
        <v>33</v>
      </c>
      <c r="M26" s="15">
        <f t="shared" si="9"/>
        <v>32</v>
      </c>
      <c r="N26" s="32">
        <f t="shared" si="7"/>
        <v>3.125E-2</v>
      </c>
      <c r="O26" s="86">
        <v>3.6994702999999997E-2</v>
      </c>
      <c r="P26" s="87">
        <v>0.106039681</v>
      </c>
      <c r="Q26" s="52">
        <f t="shared" si="11"/>
        <v>2.4807785930343353</v>
      </c>
      <c r="R26" t="s">
        <v>127</v>
      </c>
    </row>
    <row r="27" spans="2:18" ht="15" thickBot="1" x14ac:dyDescent="0.35">
      <c r="B27" s="48">
        <v>6</v>
      </c>
      <c r="C27" s="44">
        <f>C26+D26</f>
        <v>65</v>
      </c>
      <c r="D27" s="18">
        <f t="shared" si="8"/>
        <v>64</v>
      </c>
      <c r="E27" s="33">
        <f t="shared" si="6"/>
        <v>1.5625E-2</v>
      </c>
      <c r="F27" s="88">
        <v>2.5832463500000001E-5</v>
      </c>
      <c r="G27" s="4">
        <v>31.938901900000001</v>
      </c>
      <c r="H27" s="53">
        <f t="shared" si="10"/>
        <v>2.3617037413172538E-3</v>
      </c>
      <c r="I27" s="90" t="s">
        <v>120</v>
      </c>
      <c r="J27" s="90"/>
      <c r="K27" s="48">
        <v>6</v>
      </c>
      <c r="L27" s="44">
        <f>L26+M26</f>
        <v>65</v>
      </c>
      <c r="M27" s="18">
        <f t="shared" si="9"/>
        <v>64</v>
      </c>
      <c r="N27" s="33">
        <f t="shared" si="7"/>
        <v>1.5625E-2</v>
      </c>
      <c r="O27" s="88">
        <v>1.8193084700000001E-2</v>
      </c>
      <c r="P27" s="4">
        <v>0.40764519599999999</v>
      </c>
      <c r="Q27" s="53">
        <f t="shared" si="11"/>
        <v>2.8442702972673031</v>
      </c>
      <c r="R27" t="s">
        <v>128</v>
      </c>
    </row>
    <row r="28" spans="2:18" ht="15" thickBot="1" x14ac:dyDescent="0.35">
      <c r="B28" s="124" t="s">
        <v>70</v>
      </c>
      <c r="C28" s="125"/>
      <c r="D28" s="125"/>
      <c r="E28" s="125"/>
      <c r="F28" s="125"/>
      <c r="G28" s="125"/>
      <c r="H28" s="126"/>
      <c r="I28" s="6"/>
      <c r="J28" s="6"/>
      <c r="K28" s="118" t="s">
        <v>70</v>
      </c>
      <c r="L28" s="119"/>
      <c r="M28" s="119"/>
      <c r="N28" s="119"/>
      <c r="O28" s="119"/>
      <c r="P28" s="119"/>
      <c r="Q28" s="120"/>
    </row>
    <row r="29" spans="2:18" ht="15" thickBot="1" x14ac:dyDescent="0.35">
      <c r="B29" s="77" t="s">
        <v>0</v>
      </c>
      <c r="C29" s="78" t="s">
        <v>1</v>
      </c>
      <c r="D29" s="79" t="s">
        <v>3</v>
      </c>
      <c r="E29" s="80" t="s">
        <v>2</v>
      </c>
      <c r="F29" s="9" t="s">
        <v>16</v>
      </c>
      <c r="G29" s="81" t="s">
        <v>15</v>
      </c>
      <c r="H29" s="77" t="s">
        <v>4</v>
      </c>
      <c r="I29" s="5"/>
      <c r="J29" s="5"/>
      <c r="K29" s="77" t="s">
        <v>0</v>
      </c>
      <c r="L29" s="78" t="s">
        <v>1</v>
      </c>
      <c r="M29" s="79" t="s">
        <v>3</v>
      </c>
      <c r="N29" s="80" t="s">
        <v>2</v>
      </c>
      <c r="O29" s="9" t="s">
        <v>16</v>
      </c>
      <c r="P29" s="81" t="s">
        <v>15</v>
      </c>
      <c r="Q29" s="77" t="s">
        <v>4</v>
      </c>
    </row>
    <row r="30" spans="2:18" x14ac:dyDescent="0.3">
      <c r="B30" s="46">
        <v>1</v>
      </c>
      <c r="C30" s="25">
        <v>3</v>
      </c>
      <c r="D30" s="17">
        <f>C30-1</f>
        <v>2</v>
      </c>
      <c r="E30" s="31">
        <f t="shared" ref="E30:E35" si="12">$C$4/D30</f>
        <v>0.5</v>
      </c>
      <c r="F30" s="82">
        <v>5.8412551899999997E-6</v>
      </c>
      <c r="G30" s="83">
        <v>22.9477367</v>
      </c>
      <c r="H30" s="50" t="s">
        <v>14</v>
      </c>
      <c r="I30" s="89" t="s">
        <v>80</v>
      </c>
      <c r="J30" s="89"/>
      <c r="K30" s="46">
        <v>1</v>
      </c>
      <c r="L30" s="25">
        <v>3</v>
      </c>
      <c r="M30" s="17">
        <f>L30-1</f>
        <v>2</v>
      </c>
      <c r="N30" s="31">
        <f t="shared" ref="N30:N37" si="13">$C$4/M30</f>
        <v>0.5</v>
      </c>
      <c r="O30" s="82">
        <v>1.10827386E-7</v>
      </c>
      <c r="P30" s="93">
        <v>8.2022756299999999E-2</v>
      </c>
      <c r="Q30" s="50" t="s">
        <v>14</v>
      </c>
      <c r="R30" t="s">
        <v>129</v>
      </c>
    </row>
    <row r="31" spans="2:18" x14ac:dyDescent="0.3">
      <c r="B31" s="47">
        <v>2</v>
      </c>
      <c r="C31" s="41">
        <v>5</v>
      </c>
      <c r="D31" s="15">
        <f t="shared" ref="D31:D35" si="14">C31-1</f>
        <v>4</v>
      </c>
      <c r="E31" s="32">
        <f t="shared" si="12"/>
        <v>0.25</v>
      </c>
      <c r="F31" s="84">
        <v>5.7031088500000002E-6</v>
      </c>
      <c r="G31" s="85">
        <v>27.795173599999998</v>
      </c>
      <c r="H31" s="51">
        <f>(G31-G30)/G30</f>
        <v>0.21123812615472437</v>
      </c>
      <c r="I31" s="90" t="s">
        <v>80</v>
      </c>
      <c r="J31" s="90"/>
      <c r="K31" s="47">
        <v>2</v>
      </c>
      <c r="L31" s="41">
        <v>5</v>
      </c>
      <c r="M31" s="15">
        <f t="shared" ref="M31:M35" si="15">L31-1</f>
        <v>4</v>
      </c>
      <c r="N31" s="32">
        <f t="shared" si="13"/>
        <v>0.25</v>
      </c>
      <c r="O31" s="84">
        <v>5.79776543E-6</v>
      </c>
      <c r="P31" s="94">
        <v>0.15037271399999999</v>
      </c>
      <c r="Q31" s="51">
        <f>(P31-P30)/P30</f>
        <v>0.83330481421532032</v>
      </c>
      <c r="R31" t="s">
        <v>130</v>
      </c>
    </row>
    <row r="32" spans="2:18" x14ac:dyDescent="0.3">
      <c r="B32" s="47">
        <v>3</v>
      </c>
      <c r="C32" s="41">
        <f>C31+D31</f>
        <v>9</v>
      </c>
      <c r="D32" s="15">
        <f t="shared" si="14"/>
        <v>8</v>
      </c>
      <c r="E32" s="32">
        <f t="shared" si="12"/>
        <v>0.125</v>
      </c>
      <c r="F32" s="84">
        <v>8.3142949699999995E-6</v>
      </c>
      <c r="G32" s="85">
        <v>30.541389500000001</v>
      </c>
      <c r="H32" s="51">
        <f t="shared" ref="H32:H35" si="16">(G32-G31)/G31</f>
        <v>9.8801897751054274E-2</v>
      </c>
      <c r="I32" s="90" t="s">
        <v>80</v>
      </c>
      <c r="J32" s="90"/>
      <c r="K32" s="47">
        <v>3</v>
      </c>
      <c r="L32" s="41">
        <f>L31+M31</f>
        <v>9</v>
      </c>
      <c r="M32" s="15">
        <f t="shared" si="15"/>
        <v>8</v>
      </c>
      <c r="N32" s="32">
        <f t="shared" si="13"/>
        <v>0.125</v>
      </c>
      <c r="O32" s="84">
        <v>2.92940581E-6</v>
      </c>
      <c r="P32" s="85">
        <v>0.265174627</v>
      </c>
      <c r="Q32" s="51">
        <f t="shared" ref="Q32:Q37" si="17">(P32-P31)/P31</f>
        <v>0.76344909888372448</v>
      </c>
      <c r="R32" t="s">
        <v>130</v>
      </c>
    </row>
    <row r="33" spans="2:18" x14ac:dyDescent="0.3">
      <c r="B33" s="47">
        <v>4</v>
      </c>
      <c r="C33" s="41">
        <f>C32+D32</f>
        <v>17</v>
      </c>
      <c r="D33" s="15">
        <f t="shared" si="14"/>
        <v>16</v>
      </c>
      <c r="E33" s="32">
        <f t="shared" si="12"/>
        <v>6.25E-2</v>
      </c>
      <c r="F33" s="84">
        <v>8.65610309E-6</v>
      </c>
      <c r="G33" s="85">
        <v>31.567274099999999</v>
      </c>
      <c r="H33" s="51">
        <f t="shared" si="16"/>
        <v>3.3589977954342834E-2</v>
      </c>
      <c r="I33" s="90" t="s">
        <v>80</v>
      </c>
      <c r="J33" s="91"/>
      <c r="K33" s="47">
        <v>4</v>
      </c>
      <c r="L33" s="41">
        <f>L32+M32</f>
        <v>17</v>
      </c>
      <c r="M33" s="15">
        <f t="shared" si="15"/>
        <v>16</v>
      </c>
      <c r="N33" s="32">
        <f t="shared" si="13"/>
        <v>6.25E-2</v>
      </c>
      <c r="O33" s="84">
        <v>1.5796214299999999E-6</v>
      </c>
      <c r="P33" s="85">
        <v>0.44104397299999998</v>
      </c>
      <c r="Q33" s="51">
        <f t="shared" si="17"/>
        <v>0.66322086690443416</v>
      </c>
      <c r="R33" t="s">
        <v>130</v>
      </c>
    </row>
    <row r="34" spans="2:18" x14ac:dyDescent="0.3">
      <c r="B34" s="47">
        <v>5</v>
      </c>
      <c r="C34" s="41">
        <f>C33+D33</f>
        <v>33</v>
      </c>
      <c r="D34" s="15">
        <f t="shared" si="14"/>
        <v>32</v>
      </c>
      <c r="E34" s="32">
        <f t="shared" si="12"/>
        <v>3.125E-2</v>
      </c>
      <c r="F34" s="86">
        <v>1.6039297399999999E-5</v>
      </c>
      <c r="G34" s="87">
        <v>31.8637218</v>
      </c>
      <c r="H34" s="52">
        <f t="shared" si="16"/>
        <v>9.3909819093312731E-3</v>
      </c>
      <c r="I34" s="90" t="s">
        <v>121</v>
      </c>
      <c r="J34" s="90"/>
      <c r="K34" s="47">
        <v>5</v>
      </c>
      <c r="L34" s="41">
        <f>L33+M33</f>
        <v>33</v>
      </c>
      <c r="M34" s="15">
        <f t="shared" si="15"/>
        <v>32</v>
      </c>
      <c r="N34" s="32">
        <f t="shared" si="13"/>
        <v>3.125E-2</v>
      </c>
      <c r="O34" s="86">
        <v>8.2505817999999997E-7</v>
      </c>
      <c r="P34" s="87">
        <v>0.67316448699999998</v>
      </c>
      <c r="Q34" s="52">
        <f t="shared" si="17"/>
        <v>0.52629789365696655</v>
      </c>
      <c r="R34" t="s">
        <v>130</v>
      </c>
    </row>
    <row r="35" spans="2:18" ht="15" thickBot="1" x14ac:dyDescent="0.35">
      <c r="B35" s="48">
        <v>6</v>
      </c>
      <c r="C35" s="44">
        <f>C34+D34</f>
        <v>65</v>
      </c>
      <c r="D35" s="18">
        <f t="shared" si="14"/>
        <v>64</v>
      </c>
      <c r="E35" s="33">
        <f t="shared" si="12"/>
        <v>1.5625E-2</v>
      </c>
      <c r="F35" s="88">
        <v>4.1387545899999997E-5</v>
      </c>
      <c r="G35" s="4">
        <v>31.939048799999998</v>
      </c>
      <c r="H35" s="53">
        <f t="shared" si="16"/>
        <v>2.3640364572853484E-3</v>
      </c>
      <c r="I35" s="91" t="s">
        <v>122</v>
      </c>
      <c r="J35" s="91"/>
      <c r="K35" s="48">
        <v>6</v>
      </c>
      <c r="L35" s="44">
        <f>L34+M34</f>
        <v>65</v>
      </c>
      <c r="M35" s="18">
        <f t="shared" si="15"/>
        <v>64</v>
      </c>
      <c r="N35" s="33">
        <f t="shared" si="13"/>
        <v>1.5625E-2</v>
      </c>
      <c r="O35" s="88">
        <v>4.2961502800000002E-7</v>
      </c>
      <c r="P35" s="4">
        <v>0.91360807399999999</v>
      </c>
      <c r="Q35" s="53">
        <f t="shared" si="17"/>
        <v>0.3571840042714553</v>
      </c>
      <c r="R35" t="s">
        <v>130</v>
      </c>
    </row>
    <row r="36" spans="2:18" ht="15" thickBot="1" x14ac:dyDescent="0.35">
      <c r="K36" s="48">
        <v>7</v>
      </c>
      <c r="L36" s="44">
        <v>101</v>
      </c>
      <c r="M36" s="18">
        <f>L36-1</f>
        <v>100</v>
      </c>
      <c r="N36" s="112">
        <f t="shared" si="13"/>
        <v>0.01</v>
      </c>
      <c r="O36" s="88">
        <v>2.8228799900000002E-7</v>
      </c>
      <c r="P36" s="4">
        <v>1.0366051199999999</v>
      </c>
      <c r="Q36" s="53">
        <f t="shared" si="17"/>
        <v>0.13462780102357103</v>
      </c>
      <c r="R36" t="s">
        <v>130</v>
      </c>
    </row>
    <row r="37" spans="2:18" ht="15" thickBot="1" x14ac:dyDescent="0.35">
      <c r="K37" s="48">
        <v>8</v>
      </c>
      <c r="L37" s="44">
        <v>115</v>
      </c>
      <c r="M37" s="18">
        <f>L37-1</f>
        <v>114</v>
      </c>
      <c r="N37" s="112">
        <f t="shared" si="13"/>
        <v>8.771929824561403E-3</v>
      </c>
      <c r="O37" s="88">
        <v>9.6883677500000004E-6</v>
      </c>
      <c r="P37" s="4">
        <v>1.06513309</v>
      </c>
      <c r="Q37" s="53">
        <f t="shared" si="17"/>
        <v>2.752057601259009E-2</v>
      </c>
      <c r="R37" t="s">
        <v>131</v>
      </c>
    </row>
  </sheetData>
  <mergeCells count="8">
    <mergeCell ref="B28:H28"/>
    <mergeCell ref="K28:Q28"/>
    <mergeCell ref="B11:I11"/>
    <mergeCell ref="K11:R11"/>
    <mergeCell ref="B12:H12"/>
    <mergeCell ref="K12:Q12"/>
    <mergeCell ref="B20:H20"/>
    <mergeCell ref="K20:Q2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problem1</vt:lpstr>
      <vt:lpstr>problem2</vt:lpstr>
      <vt:lpstr>problem3</vt:lpstr>
      <vt:lpstr>problem4_273_inf</vt:lpstr>
      <vt:lpstr>problem4_0_inf</vt:lpstr>
      <vt:lpstr>problem2!output_linearization_1_CV_31_output_1</vt:lpstr>
      <vt:lpstr>problem3!output_linearization_1_CV_32_output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2017-05-16T21:14:51Z</dcterms:modified>
</cp:coreProperties>
</file>