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1\"/>
    </mc:Choice>
  </mc:AlternateContent>
  <bookViews>
    <workbookView xWindow="0" yWindow="0" windowWidth="23040" windowHeight="9084" firstSheet="3" activeTab="4"/>
  </bookViews>
  <sheets>
    <sheet name="problem1" sheetId="5" r:id="rId1"/>
    <sheet name="problem2" sheetId="1" r:id="rId2"/>
    <sheet name="problem3" sheetId="6" r:id="rId3"/>
    <sheet name="problem4_273_inf" sheetId="7" r:id="rId4"/>
    <sheet name="problem4_0_inf" sheetId="9" r:id="rId5"/>
  </sheets>
  <definedNames>
    <definedName name="output_linearization_1_CV_32_output" localSheetId="2">problem3!$C$53:$K$87</definedName>
    <definedName name="output_linearization_3_CV_15_output" localSheetId="1">problem2!$B$75:$I$92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9" l="1"/>
  <c r="X6" i="9"/>
  <c r="G31" i="9"/>
  <c r="G22" i="9"/>
  <c r="E31" i="9"/>
  <c r="E22" i="9"/>
  <c r="F31" i="9"/>
  <c r="F22" i="9"/>
  <c r="AV10" i="6"/>
  <c r="AV9" i="6"/>
  <c r="AV8" i="6"/>
  <c r="AV7" i="6"/>
  <c r="AV6" i="6"/>
  <c r="AV5" i="6"/>
  <c r="AV4" i="6"/>
  <c r="AU10" i="6"/>
  <c r="AU9" i="6"/>
  <c r="AU8" i="6"/>
  <c r="AU7" i="6"/>
  <c r="AU6" i="6"/>
  <c r="AU5" i="6"/>
  <c r="AT10" i="6"/>
  <c r="AT9" i="6"/>
  <c r="AT8" i="6"/>
  <c r="AT7" i="6"/>
  <c r="AT6" i="6"/>
  <c r="AT5" i="6"/>
  <c r="AT4" i="6"/>
  <c r="BA10" i="6"/>
  <c r="BA9" i="6"/>
  <c r="BA8" i="6"/>
  <c r="BA7" i="6"/>
  <c r="BA6" i="6"/>
  <c r="BA5" i="6"/>
  <c r="AX10" i="6"/>
  <c r="AX9" i="6"/>
  <c r="AX8" i="6"/>
  <c r="AX7" i="6"/>
  <c r="AX6" i="6"/>
  <c r="AX5" i="6"/>
  <c r="BB10" i="6"/>
  <c r="BB9" i="6"/>
  <c r="BB8" i="6"/>
  <c r="BB7" i="6"/>
  <c r="BB6" i="6"/>
  <c r="BB5" i="6"/>
  <c r="BB4" i="6"/>
  <c r="AY10" i="6"/>
  <c r="AY9" i="6"/>
  <c r="AY8" i="6"/>
  <c r="AY7" i="6"/>
  <c r="AY6" i="6"/>
  <c r="AY5" i="6"/>
  <c r="AY4" i="6"/>
  <c r="AS10" i="6"/>
  <c r="AR10" i="6"/>
  <c r="AS9" i="6"/>
  <c r="AR9" i="6"/>
  <c r="AS8" i="6"/>
  <c r="AR8" i="6"/>
  <c r="AS7" i="6"/>
  <c r="AR7" i="6"/>
  <c r="AS6" i="6"/>
  <c r="AR6" i="6"/>
  <c r="AS5" i="6"/>
  <c r="AR5" i="6"/>
  <c r="AS4" i="6"/>
  <c r="AR4" i="6"/>
  <c r="AQ10" i="6"/>
  <c r="AQ9" i="6"/>
  <c r="AQ8" i="6"/>
  <c r="AQ7" i="6"/>
  <c r="AQ6" i="6"/>
  <c r="AQ5" i="6"/>
  <c r="AQ4" i="6"/>
  <c r="E26" i="6"/>
  <c r="AO10" i="6"/>
  <c r="AM10" i="6"/>
  <c r="AO9" i="6"/>
  <c r="AM9" i="6"/>
  <c r="AO8" i="6"/>
  <c r="AM8" i="6"/>
  <c r="AO7" i="6"/>
  <c r="AM7" i="6"/>
  <c r="AO6" i="6"/>
  <c r="AM6" i="6"/>
  <c r="AO5" i="6"/>
  <c r="AN5" i="6"/>
  <c r="AM5" i="6"/>
  <c r="AK5" i="6"/>
  <c r="AO4" i="6"/>
  <c r="AN4" i="6"/>
  <c r="AK4" i="6"/>
  <c r="AM4" i="6"/>
  <c r="AL10" i="6"/>
  <c r="AL9" i="6"/>
  <c r="AL8" i="6"/>
  <c r="AL7" i="6"/>
  <c r="AL6" i="6"/>
  <c r="AL5" i="6"/>
  <c r="AL4" i="6"/>
  <c r="AJ10" i="6"/>
  <c r="AJ9" i="6"/>
  <c r="AJ8" i="6"/>
  <c r="AJ7" i="6"/>
  <c r="AJ6" i="6"/>
  <c r="AJ5" i="6"/>
  <c r="AJ4" i="6"/>
  <c r="AI10" i="6"/>
  <c r="AH10" i="6"/>
  <c r="AI9" i="6"/>
  <c r="AH9" i="6"/>
  <c r="AI8" i="6"/>
  <c r="AH8" i="6"/>
  <c r="AI7" i="6"/>
  <c r="AH7" i="6"/>
  <c r="AI6" i="6"/>
  <c r="AH6" i="6"/>
  <c r="AI5" i="6"/>
  <c r="AH5" i="6"/>
  <c r="AI4" i="6"/>
  <c r="AH4" i="6"/>
  <c r="AG10" i="6"/>
  <c r="AG9" i="6"/>
  <c r="AG8" i="6"/>
  <c r="AG7" i="6"/>
  <c r="AG6" i="6"/>
  <c r="AG5" i="6"/>
  <c r="AG4" i="6"/>
  <c r="Z4" i="6"/>
  <c r="E41" i="1"/>
  <c r="E39" i="1"/>
  <c r="B71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42" i="1"/>
  <c r="B41" i="1"/>
  <c r="B40" i="1"/>
  <c r="AB4" i="1"/>
  <c r="Z4" i="1"/>
  <c r="X4" i="1"/>
  <c r="W4" i="1"/>
  <c r="V4" i="1"/>
  <c r="U4" i="1"/>
  <c r="AA5" i="1"/>
  <c r="Y5" i="1"/>
  <c r="I17" i="1"/>
  <c r="I26" i="1"/>
  <c r="H25" i="1"/>
  <c r="B27" i="1"/>
  <c r="B28" i="1" s="1"/>
  <c r="B29" i="1" s="1"/>
  <c r="B30" i="1" s="1"/>
  <c r="B26" i="1"/>
  <c r="F25" i="1"/>
  <c r="D25" i="1"/>
  <c r="E25" i="1" s="1"/>
  <c r="F16" i="1"/>
  <c r="D16" i="1"/>
  <c r="E16" i="1" s="1"/>
  <c r="B17" i="1"/>
  <c r="B18" i="1" s="1"/>
  <c r="B19" i="1" s="1"/>
  <c r="B20" i="1" s="1"/>
  <c r="B21" i="1" s="1"/>
  <c r="AB9" i="1" l="1"/>
  <c r="AB8" i="1"/>
  <c r="AB7" i="1"/>
  <c r="AB6" i="1"/>
  <c r="AB5" i="1"/>
  <c r="Z9" i="1"/>
  <c r="Z8" i="1"/>
  <c r="Z7" i="1"/>
  <c r="Z6" i="1"/>
  <c r="Z5" i="1"/>
  <c r="X9" i="1"/>
  <c r="X8" i="1"/>
  <c r="X7" i="1"/>
  <c r="X6" i="1"/>
  <c r="X5" i="1"/>
  <c r="U9" i="1"/>
  <c r="U8" i="1"/>
  <c r="U7" i="1"/>
  <c r="U6" i="1"/>
  <c r="U5" i="1"/>
  <c r="N12" i="1" l="1"/>
  <c r="N11" i="1"/>
  <c r="N10" i="1"/>
  <c r="N9" i="1"/>
  <c r="N8" i="1"/>
  <c r="N7" i="1"/>
  <c r="N6" i="1"/>
  <c r="N5" i="1"/>
  <c r="N4" i="1"/>
  <c r="AF11" i="5"/>
  <c r="AE11" i="5"/>
  <c r="AF10" i="5"/>
  <c r="AE10" i="5"/>
  <c r="AF9" i="5"/>
  <c r="AE9" i="5"/>
  <c r="AF8" i="5"/>
  <c r="AE8" i="5"/>
  <c r="AF7" i="5"/>
  <c r="AE7" i="5"/>
  <c r="AF6" i="5"/>
  <c r="AE6" i="5"/>
  <c r="AG5" i="5"/>
  <c r="AF5" i="5"/>
  <c r="AE5" i="5"/>
  <c r="AB7" i="5"/>
  <c r="AB6" i="5"/>
  <c r="AB5" i="5"/>
  <c r="D25" i="5"/>
  <c r="D24" i="5"/>
  <c r="D26" i="5" s="1"/>
  <c r="R6" i="5"/>
  <c r="R12" i="5"/>
  <c r="R11" i="5"/>
  <c r="R10" i="5"/>
  <c r="R8" i="5"/>
  <c r="R9" i="5"/>
  <c r="R7" i="5"/>
  <c r="R5" i="5"/>
  <c r="Q39" i="9" l="1"/>
  <c r="M39" i="9"/>
  <c r="N39" i="9" s="1"/>
  <c r="K39" i="9"/>
  <c r="Q40" i="9"/>
  <c r="M40" i="9"/>
  <c r="N40" i="9" s="1"/>
  <c r="H40" i="1" l="1"/>
  <c r="H39" i="1"/>
  <c r="Q41" i="9"/>
  <c r="M41" i="9"/>
  <c r="N41" i="9"/>
  <c r="Q38" i="9"/>
  <c r="Q37" i="9"/>
  <c r="Q36" i="9"/>
  <c r="Q35" i="9"/>
  <c r="Q34" i="9"/>
  <c r="M34" i="9"/>
  <c r="L35" i="9" s="1"/>
  <c r="Q33" i="9"/>
  <c r="M33" i="9"/>
  <c r="N33" i="9" s="1"/>
  <c r="K33" i="9"/>
  <c r="K34" i="9" s="1"/>
  <c r="K35" i="9" s="1"/>
  <c r="K36" i="9" s="1"/>
  <c r="K37" i="9" s="1"/>
  <c r="K38" i="9" s="1"/>
  <c r="M32" i="9"/>
  <c r="N32" i="9" s="1"/>
  <c r="Q29" i="9"/>
  <c r="Q28" i="9"/>
  <c r="Q27" i="9"/>
  <c r="Q26" i="9"/>
  <c r="Q25" i="9"/>
  <c r="M25" i="9"/>
  <c r="N25" i="9" s="1"/>
  <c r="Q24" i="9"/>
  <c r="M24" i="9"/>
  <c r="N24" i="9" s="1"/>
  <c r="K24" i="9"/>
  <c r="K25" i="9" s="1"/>
  <c r="K26" i="9" s="1"/>
  <c r="K27" i="9" s="1"/>
  <c r="K28" i="9" s="1"/>
  <c r="K29" i="9" s="1"/>
  <c r="M23" i="9"/>
  <c r="N23" i="9" s="1"/>
  <c r="M16" i="9"/>
  <c r="N16" i="9" s="1"/>
  <c r="M15" i="9"/>
  <c r="N15" i="9" s="1"/>
  <c r="K15" i="9"/>
  <c r="K16" i="9" s="1"/>
  <c r="K17" i="9" s="1"/>
  <c r="K18" i="9" s="1"/>
  <c r="K19" i="9" s="1"/>
  <c r="K20" i="9" s="1"/>
  <c r="M14" i="9"/>
  <c r="N14" i="9" s="1"/>
  <c r="H38" i="9"/>
  <c r="H37" i="9"/>
  <c r="H36" i="9"/>
  <c r="H35" i="9"/>
  <c r="H34" i="9"/>
  <c r="D34" i="9"/>
  <c r="C35" i="9" s="1"/>
  <c r="H33" i="9"/>
  <c r="D33" i="9"/>
  <c r="E33" i="9" s="1"/>
  <c r="B33" i="9"/>
  <c r="B34" i="9" s="1"/>
  <c r="B35" i="9" s="1"/>
  <c r="B36" i="9" s="1"/>
  <c r="B37" i="9" s="1"/>
  <c r="B38" i="9" s="1"/>
  <c r="D32" i="9"/>
  <c r="E32" i="9" s="1"/>
  <c r="H29" i="9"/>
  <c r="H28" i="9"/>
  <c r="H27" i="9"/>
  <c r="H26" i="9"/>
  <c r="H25" i="9"/>
  <c r="D25" i="9"/>
  <c r="C26" i="9" s="1"/>
  <c r="H24" i="9"/>
  <c r="D24" i="9"/>
  <c r="E24" i="9" s="1"/>
  <c r="B24" i="9"/>
  <c r="B25" i="9" s="1"/>
  <c r="B26" i="9" s="1"/>
  <c r="B27" i="9" s="1"/>
  <c r="B28" i="9" s="1"/>
  <c r="B29" i="9" s="1"/>
  <c r="D23" i="9"/>
  <c r="E23" i="9" s="1"/>
  <c r="H15" i="9"/>
  <c r="D14" i="9"/>
  <c r="E14" i="9" s="1"/>
  <c r="B15" i="9"/>
  <c r="B16" i="9" s="1"/>
  <c r="B17" i="9" s="1"/>
  <c r="B18" i="9" s="1"/>
  <c r="B19" i="9" s="1"/>
  <c r="B20" i="9" s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H31" i="6"/>
  <c r="F3" i="1"/>
  <c r="L26" i="9" l="1"/>
  <c r="M26" i="9" s="1"/>
  <c r="N26" i="9" s="1"/>
  <c r="L17" i="9"/>
  <c r="M35" i="9"/>
  <c r="N35" i="9" s="1"/>
  <c r="M17" i="9"/>
  <c r="N17" i="9" s="1"/>
  <c r="N34" i="9"/>
  <c r="D35" i="9"/>
  <c r="E35" i="9" s="1"/>
  <c r="E34" i="9"/>
  <c r="D26" i="9"/>
  <c r="E26" i="9" s="1"/>
  <c r="E25" i="9"/>
  <c r="E74" i="1"/>
  <c r="F74" i="1" s="1"/>
  <c r="C34" i="1"/>
  <c r="C33" i="1"/>
  <c r="C35" i="1" s="1"/>
  <c r="H38" i="1" s="1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54" i="6"/>
  <c r="E4" i="6"/>
  <c r="F23" i="6" s="1"/>
  <c r="F22" i="6"/>
  <c r="L13" i="6"/>
  <c r="N14" i="6"/>
  <c r="M14" i="6"/>
  <c r="D13" i="6"/>
  <c r="E13" i="6" s="1"/>
  <c r="B14" i="6"/>
  <c r="B15" i="6" s="1"/>
  <c r="B16" i="6" s="1"/>
  <c r="B17" i="6" s="1"/>
  <c r="B18" i="6" s="1"/>
  <c r="B19" i="6" s="1"/>
  <c r="F30" i="1"/>
  <c r="F29" i="1"/>
  <c r="F28" i="1"/>
  <c r="F27" i="1"/>
  <c r="F26" i="1"/>
  <c r="F21" i="1"/>
  <c r="F20" i="1"/>
  <c r="F19" i="1"/>
  <c r="F18" i="1"/>
  <c r="F17" i="1"/>
  <c r="I15" i="5"/>
  <c r="AG6" i="5" s="1"/>
  <c r="B15" i="5"/>
  <c r="B16" i="5" s="1"/>
  <c r="B17" i="5" s="1"/>
  <c r="B18" i="5" s="1"/>
  <c r="B19" i="5" s="1"/>
  <c r="B20" i="5" s="1"/>
  <c r="L36" i="9" l="1"/>
  <c r="M36" i="9" s="1"/>
  <c r="N36" i="9" s="1"/>
  <c r="C27" i="9"/>
  <c r="D27" i="9" s="1"/>
  <c r="E27" i="9" s="1"/>
  <c r="C36" i="9"/>
  <c r="D36" i="9" s="1"/>
  <c r="E36" i="9" s="1"/>
  <c r="L27" i="9"/>
  <c r="L18" i="9"/>
  <c r="M18" i="9" s="1"/>
  <c r="N18" i="9" s="1"/>
  <c r="C24" i="6"/>
  <c r="G24" i="6"/>
  <c r="E24" i="6"/>
  <c r="D14" i="5"/>
  <c r="E14" i="5" l="1"/>
  <c r="AD5" i="5" s="1"/>
  <c r="AC5" i="5"/>
  <c r="M27" i="9"/>
  <c r="N27" i="9" s="1"/>
  <c r="D25" i="6"/>
  <c r="C26" i="6" s="1"/>
  <c r="G26" i="6" s="1"/>
  <c r="H26" i="6" s="1"/>
  <c r="L19" i="9"/>
  <c r="M19" i="9"/>
  <c r="N19" i="9" s="1"/>
  <c r="L37" i="9"/>
  <c r="C37" i="9"/>
  <c r="C28" i="9"/>
  <c r="H20" i="9"/>
  <c r="H19" i="9"/>
  <c r="H18" i="9"/>
  <c r="H17" i="9"/>
  <c r="H16" i="9"/>
  <c r="D16" i="9"/>
  <c r="C17" i="9" s="1"/>
  <c r="D17" i="9" s="1"/>
  <c r="E17" i="9" s="1"/>
  <c r="D15" i="9"/>
  <c r="E15" i="9" s="1"/>
  <c r="C32" i="6"/>
  <c r="F32" i="6" s="1"/>
  <c r="C31" i="6"/>
  <c r="F31" i="6" s="1"/>
  <c r="E16" i="9" l="1"/>
  <c r="L28" i="9"/>
  <c r="L20" i="9"/>
  <c r="M20" i="9" s="1"/>
  <c r="N20" i="9" s="1"/>
  <c r="M37" i="9"/>
  <c r="N37" i="9" s="1"/>
  <c r="D37" i="9"/>
  <c r="E37" i="9" s="1"/>
  <c r="D28" i="9"/>
  <c r="E28" i="9" s="1"/>
  <c r="C27" i="6"/>
  <c r="C18" i="9"/>
  <c r="M36" i="7"/>
  <c r="N36" i="7"/>
  <c r="Q36" i="7"/>
  <c r="H15" i="7"/>
  <c r="L38" i="9" l="1"/>
  <c r="M38" i="9" s="1"/>
  <c r="N38" i="9" s="1"/>
  <c r="M28" i="9"/>
  <c r="N28" i="9" s="1"/>
  <c r="C38" i="9"/>
  <c r="D38" i="9" s="1"/>
  <c r="E38" i="9" s="1"/>
  <c r="C29" i="9"/>
  <c r="D29" i="9" s="1"/>
  <c r="E29" i="9" s="1"/>
  <c r="D49" i="6"/>
  <c r="E49" i="6" s="1"/>
  <c r="D33" i="6"/>
  <c r="E33" i="6" s="1"/>
  <c r="D45" i="6"/>
  <c r="E45" i="6" s="1"/>
  <c r="D37" i="6"/>
  <c r="E37" i="6" s="1"/>
  <c r="D27" i="6"/>
  <c r="D41" i="6"/>
  <c r="E41" i="6" s="1"/>
  <c r="D42" i="6"/>
  <c r="E42" i="6" s="1"/>
  <c r="D50" i="6"/>
  <c r="E50" i="6" s="1"/>
  <c r="D36" i="6"/>
  <c r="E36" i="6" s="1"/>
  <c r="D48" i="6"/>
  <c r="E48" i="6" s="1"/>
  <c r="D46" i="6"/>
  <c r="E46" i="6" s="1"/>
  <c r="D39" i="6"/>
  <c r="E39" i="6" s="1"/>
  <c r="D43" i="6"/>
  <c r="E43" i="6" s="1"/>
  <c r="D51" i="6"/>
  <c r="E51" i="6" s="1"/>
  <c r="D47" i="6"/>
  <c r="E47" i="6" s="1"/>
  <c r="D35" i="6"/>
  <c r="E35" i="6" s="1"/>
  <c r="D40" i="6"/>
  <c r="E40" i="6" s="1"/>
  <c r="D38" i="6"/>
  <c r="E38" i="6" s="1"/>
  <c r="D34" i="6"/>
  <c r="E34" i="6" s="1"/>
  <c r="D44" i="6"/>
  <c r="E44" i="6" s="1"/>
  <c r="D31" i="6"/>
  <c r="E31" i="6" s="1"/>
  <c r="D32" i="6"/>
  <c r="E32" i="6" s="1"/>
  <c r="D18" i="9"/>
  <c r="E18" i="9" s="1"/>
  <c r="Q35" i="7"/>
  <c r="Q34" i="7"/>
  <c r="Q33" i="7"/>
  <c r="Q32" i="7"/>
  <c r="Q31" i="7"/>
  <c r="M31" i="7"/>
  <c r="L32" i="7" s="1"/>
  <c r="M30" i="7"/>
  <c r="N30" i="7" s="1"/>
  <c r="Q27" i="7"/>
  <c r="Q26" i="7"/>
  <c r="Q25" i="7"/>
  <c r="Q24" i="7"/>
  <c r="Q23" i="7"/>
  <c r="M23" i="7"/>
  <c r="N23" i="7" s="1"/>
  <c r="M22" i="7"/>
  <c r="N22" i="7" s="1"/>
  <c r="Q19" i="7"/>
  <c r="Q18" i="7"/>
  <c r="O18" i="7"/>
  <c r="Q17" i="7"/>
  <c r="Q16" i="7"/>
  <c r="Q15" i="7"/>
  <c r="M15" i="7"/>
  <c r="L16" i="7" s="1"/>
  <c r="M14" i="7"/>
  <c r="N14" i="7" s="1"/>
  <c r="H35" i="7"/>
  <c r="H34" i="7"/>
  <c r="H33" i="7"/>
  <c r="H32" i="7"/>
  <c r="H31" i="7"/>
  <c r="D31" i="7"/>
  <c r="E31" i="7" s="1"/>
  <c r="D30" i="7"/>
  <c r="E30" i="7" s="1"/>
  <c r="H27" i="7"/>
  <c r="H26" i="7"/>
  <c r="H25" i="7"/>
  <c r="H24" i="7"/>
  <c r="H23" i="7"/>
  <c r="D23" i="7"/>
  <c r="E23" i="7" s="1"/>
  <c r="E22" i="7"/>
  <c r="D22" i="7"/>
  <c r="L29" i="9" l="1"/>
  <c r="M29" i="9" s="1"/>
  <c r="N29" i="9" s="1"/>
  <c r="H30" i="6"/>
  <c r="C19" i="9"/>
  <c r="C32" i="7"/>
  <c r="D32" i="7" s="1"/>
  <c r="E32" i="7" s="1"/>
  <c r="C24" i="7"/>
  <c r="D24" i="7" s="1"/>
  <c r="E24" i="7" s="1"/>
  <c r="M16" i="7"/>
  <c r="N16" i="7" s="1"/>
  <c r="M32" i="7"/>
  <c r="N32" i="7" s="1"/>
  <c r="N15" i="7"/>
  <c r="L24" i="7"/>
  <c r="N31" i="7"/>
  <c r="N19" i="6"/>
  <c r="AN10" i="6" s="1"/>
  <c r="N18" i="6"/>
  <c r="AN9" i="6" s="1"/>
  <c r="N17" i="6"/>
  <c r="AN8" i="6" s="1"/>
  <c r="N16" i="6"/>
  <c r="AN7" i="6" s="1"/>
  <c r="N15" i="6"/>
  <c r="AN6" i="6" s="1"/>
  <c r="L14" i="6"/>
  <c r="L19" i="6"/>
  <c r="L18" i="6"/>
  <c r="L17" i="6"/>
  <c r="L16" i="6"/>
  <c r="L15" i="6"/>
  <c r="J28" i="1"/>
  <c r="J27" i="1"/>
  <c r="J26" i="1"/>
  <c r="J25" i="1"/>
  <c r="J24" i="1"/>
  <c r="H30" i="1"/>
  <c r="H29" i="1"/>
  <c r="H28" i="1"/>
  <c r="H27" i="1"/>
  <c r="H26" i="1"/>
  <c r="D19" i="9" l="1"/>
  <c r="E19" i="9" s="1"/>
  <c r="C25" i="7"/>
  <c r="C33" i="7"/>
  <c r="M24" i="7"/>
  <c r="N24" i="7" s="1"/>
  <c r="L33" i="7"/>
  <c r="L17" i="7"/>
  <c r="D33" i="7"/>
  <c r="E33" i="7" s="1"/>
  <c r="C34" i="7"/>
  <c r="D25" i="7"/>
  <c r="E25" i="7" s="1"/>
  <c r="I30" i="1"/>
  <c r="AA9" i="1" s="1"/>
  <c r="D30" i="1"/>
  <c r="E30" i="1" s="1"/>
  <c r="I29" i="1"/>
  <c r="AA8" i="1" s="1"/>
  <c r="D29" i="1"/>
  <c r="E29" i="1" s="1"/>
  <c r="I28" i="1"/>
  <c r="AA7" i="1" s="1"/>
  <c r="D28" i="1"/>
  <c r="E28" i="1" s="1"/>
  <c r="I27" i="1"/>
  <c r="AA6" i="1" s="1"/>
  <c r="D27" i="1"/>
  <c r="E27" i="1" s="1"/>
  <c r="D26" i="1"/>
  <c r="E26" i="1" s="1"/>
  <c r="I21" i="1"/>
  <c r="Y9" i="1" s="1"/>
  <c r="I20" i="1"/>
  <c r="Y8" i="1" s="1"/>
  <c r="I19" i="1"/>
  <c r="Y7" i="1" s="1"/>
  <c r="I18" i="1"/>
  <c r="Y6" i="1" s="1"/>
  <c r="D21" i="1"/>
  <c r="D20" i="1"/>
  <c r="D19" i="1"/>
  <c r="D18" i="1"/>
  <c r="D17" i="1"/>
  <c r="E19" i="1" l="1"/>
  <c r="W7" i="1" s="1"/>
  <c r="V7" i="1"/>
  <c r="E20" i="1"/>
  <c r="W8" i="1" s="1"/>
  <c r="V8" i="1"/>
  <c r="E21" i="1"/>
  <c r="W9" i="1" s="1"/>
  <c r="V9" i="1"/>
  <c r="E18" i="1"/>
  <c r="W6" i="1" s="1"/>
  <c r="V6" i="1"/>
  <c r="E17" i="1"/>
  <c r="W5" i="1" s="1"/>
  <c r="V5" i="1"/>
  <c r="C20" i="9"/>
  <c r="D20" i="9" s="1"/>
  <c r="E20" i="9" s="1"/>
  <c r="C26" i="7"/>
  <c r="M33" i="7"/>
  <c r="N33" i="7" s="1"/>
  <c r="M17" i="7"/>
  <c r="N17" i="7" s="1"/>
  <c r="L25" i="7"/>
  <c r="D34" i="7"/>
  <c r="E34" i="7" s="1"/>
  <c r="D26" i="7"/>
  <c r="E26" i="7" s="1"/>
  <c r="H19" i="7"/>
  <c r="H18" i="7"/>
  <c r="H17" i="7"/>
  <c r="H16" i="7"/>
  <c r="D15" i="7"/>
  <c r="C16" i="7" s="1"/>
  <c r="D14" i="7"/>
  <c r="E14" i="7" s="1"/>
  <c r="F19" i="6"/>
  <c r="F18" i="6"/>
  <c r="F17" i="6"/>
  <c r="F16" i="6"/>
  <c r="F15" i="6"/>
  <c r="F14" i="6"/>
  <c r="D40" i="1" l="1"/>
  <c r="B39" i="1"/>
  <c r="D39" i="1" s="1"/>
  <c r="C39" i="1" s="1"/>
  <c r="L34" i="7"/>
  <c r="M34" i="7"/>
  <c r="N34" i="7" s="1"/>
  <c r="M25" i="7"/>
  <c r="N25" i="7" s="1"/>
  <c r="L18" i="7"/>
  <c r="C35" i="7"/>
  <c r="D35" i="7" s="1"/>
  <c r="E35" i="7" s="1"/>
  <c r="C27" i="7"/>
  <c r="D27" i="7" s="1"/>
  <c r="E27" i="7" s="1"/>
  <c r="D16" i="7"/>
  <c r="E16" i="7" s="1"/>
  <c r="E15" i="7"/>
  <c r="I20" i="5"/>
  <c r="AG11" i="5" s="1"/>
  <c r="I19" i="5"/>
  <c r="AG10" i="5" s="1"/>
  <c r="I18" i="5"/>
  <c r="AG9" i="5" s="1"/>
  <c r="I17" i="5"/>
  <c r="AG8" i="5" s="1"/>
  <c r="I16" i="5"/>
  <c r="AG7" i="5" s="1"/>
  <c r="D41" i="1" l="1"/>
  <c r="C41" i="1" s="1"/>
  <c r="C40" i="1"/>
  <c r="L26" i="7"/>
  <c r="L35" i="7"/>
  <c r="M35" i="7" s="1"/>
  <c r="N35" i="7" s="1"/>
  <c r="M18" i="7"/>
  <c r="N18" i="7" s="1"/>
  <c r="L19" i="7"/>
  <c r="M19" i="7" s="1"/>
  <c r="N19" i="7" s="1"/>
  <c r="C17" i="7"/>
  <c r="M18" i="6"/>
  <c r="AK9" i="6" s="1"/>
  <c r="M15" i="6"/>
  <c r="AK6" i="6" s="1"/>
  <c r="M16" i="6"/>
  <c r="AK7" i="6" s="1"/>
  <c r="M17" i="6"/>
  <c r="AK8" i="6" s="1"/>
  <c r="M19" i="6"/>
  <c r="AK10" i="6" s="1"/>
  <c r="D15" i="6"/>
  <c r="E15" i="6" s="1"/>
  <c r="D14" i="6"/>
  <c r="E14" i="6" s="1"/>
  <c r="D42" i="1" l="1"/>
  <c r="C42" i="1" s="1"/>
  <c r="D43" i="1"/>
  <c r="M26" i="7"/>
  <c r="N26" i="7" s="1"/>
  <c r="D17" i="7"/>
  <c r="E17" i="7" s="1"/>
  <c r="C16" i="6"/>
  <c r="D16" i="6" s="1"/>
  <c r="E16" i="6" s="1"/>
  <c r="F16" i="5"/>
  <c r="F17" i="5" s="1"/>
  <c r="F18" i="5" s="1"/>
  <c r="F19" i="5" s="1"/>
  <c r="F20" i="5" s="1"/>
  <c r="F14" i="5" s="1"/>
  <c r="D16" i="5"/>
  <c r="AC7" i="5" s="1"/>
  <c r="D15" i="5"/>
  <c r="E15" i="5" l="1"/>
  <c r="AD6" i="5" s="1"/>
  <c r="AC6" i="5"/>
  <c r="D44" i="1"/>
  <c r="C43" i="1"/>
  <c r="L27" i="7"/>
  <c r="M27" i="7" s="1"/>
  <c r="N27" i="7" s="1"/>
  <c r="C18" i="7"/>
  <c r="D18" i="7" s="1"/>
  <c r="E18" i="7" s="1"/>
  <c r="C17" i="5"/>
  <c r="E16" i="5"/>
  <c r="AD7" i="5" s="1"/>
  <c r="C17" i="6"/>
  <c r="D17" i="6" s="1"/>
  <c r="E17" i="6" s="1"/>
  <c r="D17" i="5" l="1"/>
  <c r="AC8" i="5" s="1"/>
  <c r="AB8" i="5"/>
  <c r="D45" i="1"/>
  <c r="C44" i="1"/>
  <c r="C18" i="5"/>
  <c r="E17" i="5"/>
  <c r="AD8" i="5" s="1"/>
  <c r="C19" i="7"/>
  <c r="D19" i="7" s="1"/>
  <c r="E19" i="7" s="1"/>
  <c r="C18" i="6"/>
  <c r="D18" i="6" s="1"/>
  <c r="E18" i="6" s="1"/>
  <c r="D18" i="5" l="1"/>
  <c r="AC9" i="5" s="1"/>
  <c r="AB9" i="5"/>
  <c r="D46" i="1"/>
  <c r="C45" i="1"/>
  <c r="C19" i="6"/>
  <c r="D19" i="6" s="1"/>
  <c r="E19" i="6" s="1"/>
  <c r="E18" i="5" l="1"/>
  <c r="AD9" i="5" s="1"/>
  <c r="C19" i="5"/>
  <c r="D47" i="1"/>
  <c r="C46" i="1"/>
  <c r="D19" i="5" l="1"/>
  <c r="AB10" i="5"/>
  <c r="D48" i="1"/>
  <c r="C47" i="1"/>
  <c r="AC10" i="5" l="1"/>
  <c r="C20" i="5"/>
  <c r="E19" i="5"/>
  <c r="D49" i="1"/>
  <c r="C48" i="1"/>
  <c r="AD10" i="5" l="1"/>
  <c r="C30" i="5"/>
  <c r="C31" i="5"/>
  <c r="C32" i="5" s="1"/>
  <c r="C33" i="5" s="1"/>
  <c r="C34" i="5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D62" i="5" s="1"/>
  <c r="E62" i="5" s="1"/>
  <c r="D20" i="5"/>
  <c r="AB11" i="5"/>
  <c r="D50" i="1"/>
  <c r="C49" i="1"/>
  <c r="E20" i="5" l="1"/>
  <c r="AD11" i="5" s="1"/>
  <c r="AC11" i="5"/>
  <c r="D44" i="5"/>
  <c r="E44" i="5" s="1"/>
  <c r="D30" i="5"/>
  <c r="E30" i="5" s="1"/>
  <c r="D36" i="5"/>
  <c r="E36" i="5" s="1"/>
  <c r="D42" i="5"/>
  <c r="E42" i="5" s="1"/>
  <c r="D39" i="5"/>
  <c r="E39" i="5" s="1"/>
  <c r="D31" i="5"/>
  <c r="E31" i="5" s="1"/>
  <c r="D34" i="5"/>
  <c r="E34" i="5" s="1"/>
  <c r="D40" i="5"/>
  <c r="E40" i="5" s="1"/>
  <c r="D32" i="5"/>
  <c r="E32" i="5" s="1"/>
  <c r="D33" i="5"/>
  <c r="E33" i="5" s="1"/>
  <c r="D58" i="5"/>
  <c r="E58" i="5" s="1"/>
  <c r="D51" i="5"/>
  <c r="E51" i="5" s="1"/>
  <c r="D37" i="5"/>
  <c r="E37" i="5" s="1"/>
  <c r="D56" i="5"/>
  <c r="E56" i="5" s="1"/>
  <c r="D54" i="5"/>
  <c r="E54" i="5" s="1"/>
  <c r="D41" i="5"/>
  <c r="E41" i="5" s="1"/>
  <c r="D52" i="5"/>
  <c r="E52" i="5" s="1"/>
  <c r="D47" i="5"/>
  <c r="E47" i="5" s="1"/>
  <c r="D49" i="5"/>
  <c r="E49" i="5" s="1"/>
  <c r="D46" i="5"/>
  <c r="E46" i="5" s="1"/>
  <c r="D60" i="5"/>
  <c r="E60" i="5" s="1"/>
  <c r="D45" i="5"/>
  <c r="E45" i="5" s="1"/>
  <c r="D61" i="5"/>
  <c r="E61" i="5" s="1"/>
  <c r="D35" i="5"/>
  <c r="E35" i="5" s="1"/>
  <c r="D55" i="5"/>
  <c r="E55" i="5" s="1"/>
  <c r="D50" i="5"/>
  <c r="E50" i="5" s="1"/>
  <c r="D48" i="5"/>
  <c r="E48" i="5" s="1"/>
  <c r="D43" i="5"/>
  <c r="E43" i="5" s="1"/>
  <c r="D59" i="5"/>
  <c r="E59" i="5" s="1"/>
  <c r="D38" i="5"/>
  <c r="E38" i="5" s="1"/>
  <c r="D57" i="5"/>
  <c r="E57" i="5" s="1"/>
  <c r="D53" i="5"/>
  <c r="E53" i="5" s="1"/>
  <c r="D51" i="1"/>
  <c r="C50" i="1"/>
  <c r="D52" i="1" l="1"/>
  <c r="C51" i="1"/>
  <c r="D53" i="1" l="1"/>
  <c r="C52" i="1"/>
  <c r="D54" i="1" l="1"/>
  <c r="C53" i="1"/>
  <c r="D55" i="1" l="1"/>
  <c r="C54" i="1"/>
  <c r="D56" i="1" l="1"/>
  <c r="C55" i="1"/>
  <c r="D57" i="1" l="1"/>
  <c r="C56" i="1"/>
  <c r="D58" i="1" l="1"/>
  <c r="C57" i="1"/>
  <c r="D59" i="1" l="1"/>
  <c r="C58" i="1"/>
  <c r="D60" i="1" l="1"/>
  <c r="C59" i="1"/>
  <c r="D61" i="1" l="1"/>
  <c r="C60" i="1"/>
  <c r="D62" i="1" l="1"/>
  <c r="C61" i="1"/>
  <c r="D63" i="1" l="1"/>
  <c r="C62" i="1"/>
  <c r="D64" i="1" l="1"/>
  <c r="C63" i="1"/>
  <c r="D65" i="1" l="1"/>
  <c r="C64" i="1"/>
  <c r="D66" i="1" l="1"/>
  <c r="C65" i="1"/>
  <c r="D67" i="1" l="1"/>
  <c r="C66" i="1"/>
  <c r="D68" i="1" l="1"/>
  <c r="C67" i="1"/>
  <c r="D69" i="1" l="1"/>
  <c r="C68" i="1"/>
  <c r="D70" i="1" l="1"/>
  <c r="C69" i="1"/>
  <c r="C70" i="1" l="1"/>
  <c r="D71" i="1" l="1"/>
  <c r="C71" i="1" s="1"/>
  <c r="E37" i="1" s="1"/>
</calcChain>
</file>

<file path=xl/comments1.xml><?xml version="1.0" encoding="utf-8"?>
<comments xmlns="http://schemas.openxmlformats.org/spreadsheetml/2006/main">
  <authors>
    <author>Alex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connections.xml><?xml version="1.0" encoding="utf-8"?>
<connections xmlns="http://schemas.openxmlformats.org/spreadsheetml/2006/main">
  <connection id="1" name="output_linearization_1_CV_32_output" type="6" refreshedVersion="6" background="1" saveData="1">
    <textPr codePage="850" sourceFile="C:\Users\Alex\Documents\GitHub\CFD_course\assignment_1\problem_3\output_linearization_1_CV_32_output.txt" delimited="0">
      <textFields count="8">
        <textField/>
        <textField position="2"/>
        <textField position="7"/>
        <textField position="17"/>
        <textField position="28"/>
        <textField position="39"/>
        <textField position="50"/>
        <textField position="61"/>
      </textFields>
    </textPr>
  </connection>
  <connection id="2" name="output_linearization_3_CV_15_output" type="6" refreshedVersion="6" background="1" saveData="1">
    <textPr codePage="850" sourceFile="C:\Users\Alex\Documents\GitHub\CFD_course\assignment_1\problem_2\output_linearization_3_CV_15_output.txt" delimited="0">
      <textFields count="8">
        <textField/>
        <textField position="2"/>
        <textField position="7"/>
        <textField position="17"/>
        <textField position="29"/>
        <textField position="40"/>
        <textField position="51"/>
        <textField position="61"/>
      </textFields>
    </textPr>
  </connection>
</connections>
</file>

<file path=xl/sharedStrings.xml><?xml version="1.0" encoding="utf-8"?>
<sst xmlns="http://schemas.openxmlformats.org/spreadsheetml/2006/main" count="612" uniqueCount="212">
  <si>
    <t>Trial</t>
  </si>
  <si>
    <t>IE</t>
  </si>
  <si>
    <t>DI (m)</t>
  </si>
  <si>
    <t>CV</t>
  </si>
  <si>
    <t>% Difference</t>
  </si>
  <si>
    <t>See problem_1 directory for plots</t>
  </si>
  <si>
    <t>See problem_2 directory for plots</t>
  </si>
  <si>
    <t>Y &amp; Z</t>
  </si>
  <si>
    <t>See problem_3 directory for plots</t>
  </si>
  <si>
    <t>Tmax</t>
  </si>
  <si>
    <t>% Chg. Tmax</t>
  </si>
  <si>
    <t>Node</t>
  </si>
  <si>
    <t>To C</t>
  </si>
  <si>
    <t>--</t>
  </si>
  <si>
    <t>Base Heat Flux (W/m^2)</t>
  </si>
  <si>
    <t>Average Residual</t>
  </si>
  <si>
    <t>L</t>
  </si>
  <si>
    <t>length of the bar</t>
  </si>
  <si>
    <t>m</t>
  </si>
  <si>
    <t>Avg. Res.</t>
  </si>
  <si>
    <t xml:space="preserve">L </t>
  </si>
  <si>
    <t>See problem_4 directory for plots</t>
  </si>
  <si>
    <t>Density</t>
  </si>
  <si>
    <t>CP</t>
  </si>
  <si>
    <t>H</t>
  </si>
  <si>
    <t>T1</t>
  </si>
  <si>
    <t>T2</t>
  </si>
  <si>
    <t>k</t>
  </si>
  <si>
    <t>C</t>
  </si>
  <si>
    <t>W/m^2K</t>
  </si>
  <si>
    <t>J/kgK</t>
  </si>
  <si>
    <t>kg/m3</t>
  </si>
  <si>
    <t>W/mK</t>
  </si>
  <si>
    <t>TINF</t>
  </si>
  <si>
    <t>HEAT FLUX 1-&gt;2 Node</t>
  </si>
  <si>
    <t>Percent change (2f1)</t>
  </si>
  <si>
    <t>temp grad</t>
  </si>
  <si>
    <t>b</t>
  </si>
  <si>
    <t>h</t>
  </si>
  <si>
    <t>Q</t>
  </si>
  <si>
    <t>W/m^3</t>
  </si>
  <si>
    <t>Residual</t>
  </si>
  <si>
    <t>Robin boundary condition</t>
  </si>
  <si>
    <t xml:space="preserve">Only internal gen on internal nodes, therfore set R(I) = 0 </t>
  </si>
  <si>
    <t>Only occurs on outside faces</t>
  </si>
  <si>
    <t>Heat flux</t>
  </si>
  <si>
    <t>% Chg. HF</t>
  </si>
  <si>
    <t>X Pos</t>
  </si>
  <si>
    <t>Y,Z</t>
  </si>
  <si>
    <t xml:space="preserve">T1 </t>
  </si>
  <si>
    <t>K</t>
  </si>
  <si>
    <t>EMIS</t>
  </si>
  <si>
    <t>Wood</t>
  </si>
  <si>
    <t xml:space="preserve">Cp </t>
  </si>
  <si>
    <t>Steel</t>
  </si>
  <si>
    <t>Linearization 1</t>
  </si>
  <si>
    <t>Linearization 2</t>
  </si>
  <si>
    <t>Linearization 3 - Newton Raphson</t>
  </si>
  <si>
    <t>residuals did not reach crit</t>
  </si>
  <si>
    <t>resid converged, not crit</t>
  </si>
  <si>
    <t>resid did not converge or crit</t>
  </si>
  <si>
    <t>resid converged to 3.91 and 3.05, not crit</t>
  </si>
  <si>
    <t>did not converge, reached crit</t>
  </si>
  <si>
    <t>converged to 1.28 and 1.22 after 50 it., not crit</t>
  </si>
  <si>
    <t>converged to 1.56 and 1.316 after 50 it., not crit</t>
  </si>
  <si>
    <t>converged to 3.488 and 4.1992 after 50 it., not crit</t>
  </si>
  <si>
    <t>converged after 28 it., not crit</t>
  </si>
  <si>
    <t>reached crit after 6 iterations</t>
  </si>
  <si>
    <t>reached crit after 7 iterations</t>
  </si>
  <si>
    <t>did not converge, or reach crit. Between 1.39 and 2.34 every 4 iterations after 16</t>
  </si>
  <si>
    <t>converged after 10 it., not to crit</t>
  </si>
  <si>
    <t>did not converge, or reach crit. Between 4.43 and 5.5411 every 5 iterations after 21</t>
  </si>
  <si>
    <t>Comments</t>
  </si>
  <si>
    <t>Residual went to infinity after 2 iterations, no solution</t>
  </si>
  <si>
    <t>NA</t>
  </si>
  <si>
    <t>residuals did not converge, 9.119e10 to 31.6636 after 4. No solution</t>
  </si>
  <si>
    <t>residuals did not converge, 5.68e9 to 4.566 after 5. No solution</t>
  </si>
  <si>
    <t>residuals did not converge, 1.616e10 to 10.5879 after 5. No solution</t>
  </si>
  <si>
    <t>residuals did not converge, 2.518e9 to 2.157 after 5. No solution</t>
  </si>
  <si>
    <t>residuals did not converge, 5.914e8 to 0.5515 after 5. No solution</t>
  </si>
  <si>
    <t>residuals reached crit after 6 iterations, did not converge</t>
  </si>
  <si>
    <t>residuals didn't reach crit, but converged</t>
  </si>
  <si>
    <t>x</t>
  </si>
  <si>
    <t>Surface 1</t>
  </si>
  <si>
    <t>Surface 2</t>
  </si>
  <si>
    <t>T(x) [C]</t>
  </si>
  <si>
    <t>T(x) [K]</t>
  </si>
  <si>
    <t>Analytic Solution</t>
  </si>
  <si>
    <t>x [m]</t>
  </si>
  <si>
    <t>Ts(x) [C]</t>
  </si>
  <si>
    <t>Ts(x) [K]</t>
  </si>
  <si>
    <t>P</t>
  </si>
  <si>
    <t>Ac</t>
  </si>
  <si>
    <t>YZ</t>
  </si>
  <si>
    <t>Constants</t>
  </si>
  <si>
    <t xml:space="preserve">TINF </t>
  </si>
  <si>
    <t>residuals converged after 1st it. Didn't reach crit</t>
  </si>
  <si>
    <t>reached crit after 1st it</t>
  </si>
  <si>
    <t>#</t>
  </si>
  <si>
    <t>I XP</t>
  </si>
  <si>
    <t>T DE ATW</t>
  </si>
  <si>
    <t>ATP BT</t>
  </si>
  <si>
    <t>TEMP GRAD OVER 1-&gt;2 NODE</t>
  </si>
  <si>
    <t>residuals reached crit</t>
  </si>
  <si>
    <t>qL</t>
  </si>
  <si>
    <t>k/2L</t>
  </si>
  <si>
    <t>Ts2 =</t>
  </si>
  <si>
    <t>+</t>
  </si>
  <si>
    <t>*</t>
  </si>
  <si>
    <t>Ts1</t>
  </si>
  <si>
    <t>Ts1=</t>
  </si>
  <si>
    <t>/</t>
  </si>
  <si>
    <t>=</t>
  </si>
  <si>
    <t>X</t>
  </si>
  <si>
    <t>MAX - Fortran</t>
  </si>
  <si>
    <t>MAX - Analytic</t>
  </si>
  <si>
    <t>XP</t>
  </si>
  <si>
    <t>resid not converged, reached crit at 6 it</t>
  </si>
  <si>
    <t>resid not converged, reached crit at 5 it</t>
  </si>
  <si>
    <t>residuals converged, reached crit at 6</t>
  </si>
  <si>
    <t>reached crit after 4 iterations</t>
  </si>
  <si>
    <t>NAN</t>
  </si>
  <si>
    <t>did not give solution</t>
  </si>
  <si>
    <t>reached crit after 8 iterations</t>
  </si>
  <si>
    <t>sinh(mL)</t>
  </si>
  <si>
    <t>thetaL/thetaB</t>
  </si>
  <si>
    <t>thetaB</t>
  </si>
  <si>
    <t>resid not converged, reached crit at 7 it</t>
  </si>
  <si>
    <t>residuals converged at 7, not crit</t>
  </si>
  <si>
    <t>residuals converged, reached crit at 5</t>
  </si>
  <si>
    <t>residuals converged at 6, did not reach crit</t>
  </si>
  <si>
    <t>reached crit after 5 iterations</t>
  </si>
  <si>
    <t>converged at 8, not crit</t>
  </si>
  <si>
    <t>resid not conv., bounced btw 1.79e-2 0.1744</t>
  </si>
  <si>
    <t>resid not conv, btw 1.847e-2 0.22669</t>
  </si>
  <si>
    <t>reisd not conv, btw 1.705e-2 0.1256</t>
  </si>
  <si>
    <t>resid not conv, btw 1.182 and 4.535 e-2</t>
  </si>
  <si>
    <t>resid not conv, btw 5.057e-3 1.3743e-2</t>
  </si>
  <si>
    <t>resid not conv, btw 2.363 6.279 e-3</t>
  </si>
  <si>
    <t>resid not conv, btw 1.168 3.1099 e-3</t>
  </si>
  <si>
    <t>Report Tables</t>
  </si>
  <si>
    <t>ρ</t>
  </si>
  <si>
    <t>Variable</t>
  </si>
  <si>
    <t>Description</t>
  </si>
  <si>
    <t>Value</t>
  </si>
  <si>
    <t>Properties</t>
  </si>
  <si>
    <t>Length of fin</t>
  </si>
  <si>
    <t>Thermal Conductivity</t>
  </si>
  <si>
    <t>Heat Capacity</t>
  </si>
  <si>
    <t>Convection Coefficient</t>
  </si>
  <si>
    <t>Left temperature</t>
  </si>
  <si>
    <t>Right temperature</t>
  </si>
  <si>
    <t>Fin height and depth</t>
  </si>
  <si>
    <t>Units</t>
  </si>
  <si>
    <t>°C</t>
  </si>
  <si>
    <r>
      <t>kg/m</t>
    </r>
    <r>
      <rPr>
        <vertAlign val="super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</si>
  <si>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p</t>
    </r>
  </si>
  <si>
    <r>
      <t>W/m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K</t>
    </r>
  </si>
  <si>
    <r>
      <t>T</t>
    </r>
    <r>
      <rPr>
        <vertAlign val="subscript"/>
        <sz val="11"/>
        <color theme="1"/>
        <rFont val="Times New Roman"/>
        <family val="1"/>
      </rPr>
      <t>1</t>
    </r>
  </si>
  <si>
    <r>
      <t>T</t>
    </r>
    <r>
      <rPr>
        <vertAlign val="subscript"/>
        <sz val="11"/>
        <color theme="1"/>
        <rFont val="Times New Roman"/>
        <family val="1"/>
      </rPr>
      <t>2</t>
    </r>
  </si>
  <si>
    <t>2Y, 2Z</t>
  </si>
  <si>
    <t>Coefficient</t>
  </si>
  <si>
    <t>Boundary Conditions</t>
  </si>
  <si>
    <t xml:space="preserve">IB - 1 </t>
  </si>
  <si>
    <t xml:space="preserve">IE + 1 </t>
  </si>
  <si>
    <t>Summary of Results</t>
  </si>
  <si>
    <r>
      <t>kg/m</t>
    </r>
    <r>
      <rPr>
        <vertAlign val="superscript"/>
        <sz val="12"/>
        <color theme="1"/>
        <rFont val="Times New Roman"/>
        <family val="1"/>
      </rPr>
      <t>3</t>
    </r>
  </si>
  <si>
    <r>
      <t>C</t>
    </r>
    <r>
      <rPr>
        <vertAlign val="subscript"/>
        <sz val="12"/>
        <color theme="1"/>
        <rFont val="Times New Roman"/>
        <family val="1"/>
      </rPr>
      <t>p</t>
    </r>
  </si>
  <si>
    <r>
      <t>W/m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K</t>
    </r>
  </si>
  <si>
    <r>
      <t>T</t>
    </r>
    <r>
      <rPr>
        <vertAlign val="subscript"/>
        <sz val="12"/>
        <color theme="1"/>
        <rFont val="Times New Roman"/>
        <family val="1"/>
      </rPr>
      <t>1</t>
    </r>
  </si>
  <si>
    <r>
      <t>T</t>
    </r>
    <r>
      <rPr>
        <vertAlign val="subscript"/>
        <sz val="12"/>
        <color theme="1"/>
        <rFont val="Times New Roman"/>
        <family val="1"/>
      </rPr>
      <t>2</t>
    </r>
  </si>
  <si>
    <r>
      <t>T</t>
    </r>
    <r>
      <rPr>
        <vertAlign val="subscript"/>
        <sz val="12"/>
        <color theme="1"/>
        <rFont val="Times New Roman"/>
        <family val="1"/>
      </rPr>
      <t>INF</t>
    </r>
  </si>
  <si>
    <t>Surrounding temperature</t>
  </si>
  <si>
    <t>Base Temp. Grad. [K/m]</t>
  </si>
  <si>
    <t>Base Heat Flux [W/m^2]</t>
  </si>
  <si>
    <r>
      <t>T</t>
    </r>
    <r>
      <rPr>
        <vertAlign val="subscript"/>
        <sz val="11"/>
        <color theme="1"/>
        <rFont val="Times New Roman"/>
        <family val="1"/>
      </rPr>
      <t>INF1</t>
    </r>
  </si>
  <si>
    <r>
      <t>T</t>
    </r>
    <r>
      <rPr>
        <vertAlign val="subscript"/>
        <sz val="11"/>
        <color theme="1"/>
        <rFont val="Times New Roman"/>
        <family val="1"/>
      </rPr>
      <t>INF2</t>
    </r>
  </si>
  <si>
    <r>
      <t>q</t>
    </r>
    <r>
      <rPr>
        <vertAlign val="subscript"/>
        <sz val="11"/>
        <color theme="1"/>
        <rFont val="Times New Roman"/>
        <family val="1"/>
      </rPr>
      <t>gen</t>
    </r>
  </si>
  <si>
    <r>
      <t>W/m</t>
    </r>
    <r>
      <rPr>
        <vertAlign val="super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</si>
  <si>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</si>
  <si>
    <r>
      <t>D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IB-1</t>
    </r>
  </si>
  <si>
    <r>
      <t>hA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IB-1</t>
    </r>
    <r>
      <rPr>
        <sz val="11"/>
        <color theme="1"/>
        <rFont val="Times New Roman"/>
        <family val="1"/>
      </rPr>
      <t xml:space="preserve"> + D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IB-1</t>
    </r>
  </si>
  <si>
    <r>
      <t>hA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IB-1</t>
    </r>
    <r>
      <rPr>
        <sz val="11"/>
        <color theme="1"/>
        <rFont val="Times New Roman"/>
        <family val="1"/>
      </rPr>
      <t>T</t>
    </r>
    <r>
      <rPr>
        <vertAlign val="subscript"/>
        <sz val="11"/>
        <color theme="1"/>
        <rFont val="Times New Roman"/>
        <family val="1"/>
      </rPr>
      <t>INF1</t>
    </r>
  </si>
  <si>
    <r>
      <t>hA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+ D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</si>
  <si>
    <r>
      <t>hA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  <r>
      <rPr>
        <sz val="11"/>
        <color theme="1"/>
        <rFont val="Times New Roman"/>
        <family val="1"/>
      </rPr>
      <t>T</t>
    </r>
    <r>
      <rPr>
        <vertAlign val="subscript"/>
        <sz val="11"/>
        <color theme="1"/>
        <rFont val="Times New Roman"/>
        <family val="1"/>
      </rPr>
      <t>INF2</t>
    </r>
  </si>
  <si>
    <r>
      <t>a</t>
    </r>
    <r>
      <rPr>
        <vertAlign val="subscript"/>
        <sz val="11"/>
        <color theme="1"/>
        <rFont val="Times New Roman"/>
        <family val="1"/>
      </rPr>
      <t>W</t>
    </r>
  </si>
  <si>
    <r>
      <t>a</t>
    </r>
    <r>
      <rPr>
        <vertAlign val="subscript"/>
        <sz val="11"/>
        <color theme="1"/>
        <rFont val="Times New Roman"/>
        <family val="1"/>
      </rPr>
      <t>E</t>
    </r>
  </si>
  <si>
    <r>
      <t>a</t>
    </r>
    <r>
      <rPr>
        <vertAlign val="subscript"/>
        <sz val="11"/>
        <color theme="1"/>
        <rFont val="Times New Roman"/>
        <family val="1"/>
      </rPr>
      <t>P</t>
    </r>
  </si>
  <si>
    <r>
      <t>b</t>
    </r>
    <r>
      <rPr>
        <vertAlign val="subscript"/>
        <sz val="11"/>
        <color theme="1"/>
        <rFont val="Times New Roman"/>
        <family val="1"/>
      </rPr>
      <t>P</t>
    </r>
  </si>
  <si>
    <r>
      <t>a</t>
    </r>
    <r>
      <rPr>
        <vertAlign val="subscript"/>
        <sz val="12"/>
        <color theme="1"/>
        <rFont val="Times New Roman"/>
        <family val="1"/>
      </rPr>
      <t>W</t>
    </r>
  </si>
  <si>
    <r>
      <t>a</t>
    </r>
    <r>
      <rPr>
        <vertAlign val="subscript"/>
        <sz val="12"/>
        <color theme="1"/>
        <rFont val="Times New Roman"/>
        <family val="1"/>
      </rPr>
      <t>E</t>
    </r>
  </si>
  <si>
    <r>
      <t>a</t>
    </r>
    <r>
      <rPr>
        <vertAlign val="subscript"/>
        <sz val="12"/>
        <color theme="1"/>
        <rFont val="Times New Roman"/>
        <family val="1"/>
      </rPr>
      <t>P</t>
    </r>
  </si>
  <si>
    <r>
      <t>b</t>
    </r>
    <r>
      <rPr>
        <vertAlign val="subscript"/>
        <sz val="12"/>
        <color theme="1"/>
        <rFont val="Times New Roman"/>
        <family val="1"/>
      </rPr>
      <t>P</t>
    </r>
  </si>
  <si>
    <t>Avg. Residual</t>
  </si>
  <si>
    <t>X Pos. [m]</t>
  </si>
  <si>
    <t>DI [m]</t>
  </si>
  <si>
    <t>TS1</t>
  </si>
  <si>
    <t>TS2</t>
  </si>
  <si>
    <t>% Difference Analytic</t>
  </si>
  <si>
    <t>TMAX</t>
  </si>
  <si>
    <t>Surface Temperatures and Tmax</t>
  </si>
  <si>
    <t>Y, Z</t>
  </si>
  <si>
    <t>Height and depth of fin</t>
  </si>
  <si>
    <t>Internal Generation</t>
  </si>
  <si>
    <t>Surrounding Temperature</t>
  </si>
  <si>
    <t>ε</t>
  </si>
  <si>
    <t>Emissitivity</t>
  </si>
  <si>
    <t>-</t>
  </si>
  <si>
    <t>Cp</t>
  </si>
  <si>
    <t>Specific Heat</t>
  </si>
  <si>
    <t>Left Temperature</t>
  </si>
  <si>
    <t>Right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</si>
</sst>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0.0000%"/>
    <numFmt numFmtId="165" formatCode="0.00000%"/>
    <numFmt numFmtId="166" formatCode="0.00000"/>
    <numFmt numFmtId="167" formatCode="0.0000000"/>
    <numFmt numFmtId="168" formatCode="_-* #,##0.0000_-;\-* #,##0.0000_-;_-* &quot;-&quot;??_-;_-@_-"/>
    <numFmt numFmtId="169" formatCode="0.0000"/>
    <numFmt numFmtId="170" formatCode="0.0000E+00"/>
    <numFmt numFmtId="171" formatCode="0.000%"/>
    <numFmt numFmtId="172" formatCode="0.000"/>
    <numFmt numFmtId="173" formatCode="0.000E+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5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/>
    <xf numFmtId="0" fontId="0" fillId="0" borderId="3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6" xfId="0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0" xfId="0" applyFont="1"/>
    <xf numFmtId="11" fontId="0" fillId="0" borderId="21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1" fontId="0" fillId="0" borderId="35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1" fontId="0" fillId="0" borderId="36" xfId="0" applyNumberFormat="1" applyBorder="1" applyAlignment="1">
      <alignment horizontal="center"/>
    </xf>
    <xf numFmtId="0" fontId="0" fillId="0" borderId="39" xfId="0" quotePrefix="1" applyBorder="1" applyAlignment="1">
      <alignment horizontal="center"/>
    </xf>
    <xf numFmtId="164" fontId="0" fillId="0" borderId="42" xfId="1" applyNumberFormat="1" applyFont="1" applyBorder="1" applyAlignment="1">
      <alignment horizontal="center"/>
    </xf>
    <xf numFmtId="164" fontId="0" fillId="0" borderId="43" xfId="1" applyNumberFormat="1" applyFont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11" fontId="0" fillId="0" borderId="32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0" fillId="0" borderId="46" xfId="0" applyNumberFormat="1" applyFill="1" applyBorder="1" applyAlignment="1">
      <alignment horizontal="center"/>
    </xf>
    <xf numFmtId="11" fontId="0" fillId="0" borderId="33" xfId="0" applyNumberFormat="1" applyFill="1" applyBorder="1" applyAlignment="1">
      <alignment horizontal="center"/>
    </xf>
    <xf numFmtId="0" fontId="1" fillId="0" borderId="51" xfId="0" applyFont="1" applyBorder="1" applyAlignment="1">
      <alignment horizontal="center"/>
    </xf>
    <xf numFmtId="165" fontId="0" fillId="0" borderId="52" xfId="1" applyNumberFormat="1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5" xfId="0" applyFill="1" applyBorder="1" applyAlignment="1">
      <alignment horizontal="center"/>
    </xf>
    <xf numFmtId="165" fontId="0" fillId="0" borderId="56" xfId="1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1" fontId="0" fillId="0" borderId="55" xfId="0" applyNumberFormat="1" applyBorder="1" applyAlignment="1">
      <alignment horizontal="center"/>
    </xf>
    <xf numFmtId="0" fontId="0" fillId="0" borderId="62" xfId="0" applyFill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63" xfId="0" applyFill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0" fontId="0" fillId="0" borderId="64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quotePrefix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 wrapText="1"/>
    </xf>
    <xf numFmtId="0" fontId="0" fillId="0" borderId="54" xfId="0" applyBorder="1" applyAlignment="1">
      <alignment horizontal="center"/>
    </xf>
    <xf numFmtId="11" fontId="0" fillId="0" borderId="62" xfId="0" applyNumberFormat="1" applyFill="1" applyBorder="1" applyAlignment="1">
      <alignment horizontal="center"/>
    </xf>
    <xf numFmtId="11" fontId="0" fillId="0" borderId="63" xfId="0" applyNumberFormat="1" applyFill="1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0" fillId="0" borderId="6" xfId="0" applyBorder="1"/>
    <xf numFmtId="0" fontId="0" fillId="0" borderId="57" xfId="0" applyBorder="1"/>
    <xf numFmtId="0" fontId="0" fillId="0" borderId="0" xfId="0" applyBorder="1"/>
    <xf numFmtId="0" fontId="0" fillId="0" borderId="27" xfId="0" applyBorder="1"/>
    <xf numFmtId="0" fontId="0" fillId="0" borderId="5" xfId="0" applyBorder="1"/>
    <xf numFmtId="166" fontId="0" fillId="0" borderId="6" xfId="0" applyNumberFormat="1" applyBorder="1"/>
    <xf numFmtId="0" fontId="0" fillId="0" borderId="30" xfId="0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2" xfId="0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64" fontId="0" fillId="0" borderId="39" xfId="1" applyNumberFormat="1" applyFon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33" xfId="0" applyNumberFormat="1" applyFill="1" applyBorder="1" applyAlignment="1">
      <alignment horizontal="center"/>
    </xf>
    <xf numFmtId="0" fontId="0" fillId="0" borderId="10" xfId="0" applyBorder="1"/>
    <xf numFmtId="0" fontId="0" fillId="0" borderId="58" xfId="0" applyBorder="1"/>
    <xf numFmtId="0" fontId="0" fillId="0" borderId="39" xfId="0" applyBorder="1"/>
    <xf numFmtId="0" fontId="0" fillId="0" borderId="40" xfId="0" applyBorder="1"/>
    <xf numFmtId="0" fontId="0" fillId="0" borderId="36" xfId="0" applyFill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8" xfId="0" applyFill="1" applyBorder="1" applyAlignment="1">
      <alignment horizontal="center"/>
    </xf>
    <xf numFmtId="11" fontId="0" fillId="0" borderId="8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1" fontId="0" fillId="0" borderId="1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7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2" xfId="0" applyFill="1" applyBorder="1" applyAlignment="1">
      <alignment horizontal="center"/>
    </xf>
    <xf numFmtId="11" fontId="0" fillId="0" borderId="49" xfId="0" applyNumberFormat="1" applyFont="1" applyBorder="1" applyAlignment="1">
      <alignment horizontal="center"/>
    </xf>
    <xf numFmtId="165" fontId="0" fillId="0" borderId="40" xfId="1" applyNumberFormat="1" applyFont="1" applyFill="1" applyBorder="1" applyAlignment="1">
      <alignment horizontal="center"/>
    </xf>
    <xf numFmtId="165" fontId="0" fillId="0" borderId="63" xfId="1" applyNumberFormat="1" applyFont="1" applyFill="1" applyBorder="1" applyAlignment="1">
      <alignment horizontal="center"/>
    </xf>
    <xf numFmtId="165" fontId="0" fillId="0" borderId="41" xfId="1" applyNumberFormat="1" applyFont="1" applyFill="1" applyBorder="1" applyAlignment="1">
      <alignment horizontal="center"/>
    </xf>
    <xf numFmtId="165" fontId="0" fillId="0" borderId="68" xfId="1" applyNumberFormat="1" applyFont="1" applyFill="1" applyBorder="1" applyAlignment="1">
      <alignment horizontal="center"/>
    </xf>
    <xf numFmtId="0" fontId="0" fillId="0" borderId="69" xfId="0" applyBorder="1"/>
    <xf numFmtId="0" fontId="0" fillId="0" borderId="41" xfId="0" applyFill="1" applyBorder="1"/>
    <xf numFmtId="0" fontId="0" fillId="0" borderId="42" xfId="0" applyBorder="1"/>
    <xf numFmtId="0" fontId="1" fillId="0" borderId="50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55" xfId="0" applyBorder="1"/>
    <xf numFmtId="0" fontId="0" fillId="0" borderId="49" xfId="0" applyBorder="1"/>
    <xf numFmtId="0" fontId="0" fillId="0" borderId="52" xfId="0" applyBorder="1"/>
    <xf numFmtId="0" fontId="1" fillId="0" borderId="65" xfId="0" applyFont="1" applyBorder="1" applyAlignment="1">
      <alignment horizontal="center"/>
    </xf>
    <xf numFmtId="0" fontId="0" fillId="0" borderId="29" xfId="0" applyBorder="1"/>
    <xf numFmtId="0" fontId="0" fillId="0" borderId="0" xfId="0" applyFill="1" applyBorder="1"/>
    <xf numFmtId="0" fontId="0" fillId="0" borderId="35" xfId="0" applyBorder="1"/>
    <xf numFmtId="0" fontId="0" fillId="0" borderId="66" xfId="0" applyBorder="1"/>
    <xf numFmtId="0" fontId="0" fillId="0" borderId="24" xfId="0" applyBorder="1"/>
    <xf numFmtId="0" fontId="0" fillId="0" borderId="25" xfId="0" applyBorder="1"/>
    <xf numFmtId="0" fontId="1" fillId="0" borderId="51" xfId="0" applyFont="1" applyFill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51" xfId="0" applyBorder="1"/>
    <xf numFmtId="0" fontId="0" fillId="0" borderId="31" xfId="0" applyBorder="1"/>
    <xf numFmtId="0" fontId="0" fillId="0" borderId="36" xfId="0" applyBorder="1"/>
    <xf numFmtId="0" fontId="0" fillId="0" borderId="0" xfId="0" applyFont="1" applyBorder="1" applyAlignment="1">
      <alignment horizontal="left"/>
    </xf>
    <xf numFmtId="168" fontId="0" fillId="0" borderId="2" xfId="2" applyNumberFormat="1" applyFont="1" applyBorder="1"/>
    <xf numFmtId="0" fontId="0" fillId="0" borderId="0" xfId="0" applyFont="1" applyFill="1" applyBorder="1" applyAlignment="1">
      <alignment horizontal="center"/>
    </xf>
    <xf numFmtId="0" fontId="0" fillId="0" borderId="61" xfId="0" applyBorder="1"/>
    <xf numFmtId="0" fontId="3" fillId="0" borderId="61" xfId="0" applyFont="1" applyBorder="1"/>
    <xf numFmtId="0" fontId="7" fillId="0" borderId="0" xfId="0" applyFont="1"/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1" xfId="0" applyFont="1" applyBorder="1" applyAlignment="1">
      <alignment horizontal="center"/>
    </xf>
    <xf numFmtId="0" fontId="7" fillId="0" borderId="70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" fillId="0" borderId="61" xfId="0" applyFont="1" applyFill="1" applyBorder="1" applyAlignment="1">
      <alignment horizontal="center"/>
    </xf>
    <xf numFmtId="0" fontId="11" fillId="0" borderId="8" xfId="0" applyFont="1" applyBorder="1"/>
    <xf numFmtId="0" fontId="11" fillId="0" borderId="5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71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1" fillId="0" borderId="71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70" xfId="0" applyFont="1" applyBorder="1"/>
    <xf numFmtId="0" fontId="8" fillId="0" borderId="54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7" fillId="0" borderId="73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74" xfId="0" applyFont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1" fillId="0" borderId="4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71" fontId="11" fillId="0" borderId="8" xfId="0" applyNumberFormat="1" applyFont="1" applyBorder="1" applyAlignment="1">
      <alignment horizontal="center"/>
    </xf>
    <xf numFmtId="171" fontId="11" fillId="0" borderId="15" xfId="0" applyNumberFormat="1" applyFont="1" applyBorder="1" applyAlignment="1">
      <alignment horizontal="center"/>
    </xf>
    <xf numFmtId="172" fontId="11" fillId="0" borderId="49" xfId="0" applyNumberFormat="1" applyFont="1" applyBorder="1" applyAlignment="1">
      <alignment horizontal="center"/>
    </xf>
    <xf numFmtId="172" fontId="11" fillId="0" borderId="8" xfId="0" applyNumberFormat="1" applyFont="1" applyBorder="1" applyAlignment="1">
      <alignment horizontal="center"/>
    </xf>
    <xf numFmtId="172" fontId="11" fillId="0" borderId="15" xfId="0" applyNumberFormat="1" applyFont="1" applyBorder="1" applyAlignment="1">
      <alignment horizontal="center"/>
    </xf>
    <xf numFmtId="172" fontId="11" fillId="0" borderId="21" xfId="0" applyNumberFormat="1" applyFont="1" applyBorder="1" applyAlignment="1">
      <alignment horizontal="center"/>
    </xf>
    <xf numFmtId="172" fontId="11" fillId="0" borderId="35" xfId="0" applyNumberFormat="1" applyFont="1" applyBorder="1" applyAlignment="1">
      <alignment horizontal="center"/>
    </xf>
    <xf numFmtId="172" fontId="11" fillId="0" borderId="36" xfId="0" applyNumberFormat="1" applyFont="1" applyBorder="1" applyAlignment="1">
      <alignment horizontal="center"/>
    </xf>
    <xf numFmtId="173" fontId="11" fillId="0" borderId="52" xfId="0" applyNumberFormat="1" applyFont="1" applyBorder="1" applyAlignment="1">
      <alignment horizontal="center"/>
    </xf>
    <xf numFmtId="173" fontId="11" fillId="0" borderId="4" xfId="0" applyNumberFormat="1" applyFont="1" applyBorder="1" applyAlignment="1">
      <alignment horizontal="center"/>
    </xf>
    <xf numFmtId="173" fontId="11" fillId="0" borderId="6" xfId="0" applyNumberFormat="1" applyFont="1" applyBorder="1" applyAlignment="1">
      <alignment horizontal="center"/>
    </xf>
    <xf numFmtId="0" fontId="11" fillId="0" borderId="55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6" fillId="3" borderId="4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48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/>
    </xf>
    <xf numFmtId="0" fontId="14" fillId="3" borderId="5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1" xfId="0" applyFont="1" applyBorder="1" applyAlignment="1">
      <alignment horizontal="center"/>
    </xf>
    <xf numFmtId="11" fontId="0" fillId="0" borderId="31" xfId="0" applyNumberFormat="1" applyFont="1" applyBorder="1" applyAlignment="1">
      <alignment horizontal="center"/>
    </xf>
    <xf numFmtId="171" fontId="11" fillId="0" borderId="8" xfId="0" quotePrefix="1" applyNumberFormat="1" applyFont="1" applyBorder="1" applyAlignment="1">
      <alignment horizontal="center"/>
    </xf>
    <xf numFmtId="9" fontId="0" fillId="0" borderId="0" xfId="1" applyFont="1" applyBorder="1"/>
    <xf numFmtId="0" fontId="14" fillId="3" borderId="10" xfId="0" applyFont="1" applyFill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3" borderId="30" xfId="0" applyFont="1" applyFill="1" applyBorder="1" applyAlignment="1">
      <alignment horizontal="center"/>
    </xf>
    <xf numFmtId="0" fontId="11" fillId="0" borderId="0" xfId="0" applyFont="1"/>
    <xf numFmtId="0" fontId="15" fillId="0" borderId="54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170" fontId="11" fillId="0" borderId="18" xfId="0" applyNumberFormat="1" applyFont="1" applyBorder="1" applyAlignment="1">
      <alignment horizontal="center"/>
    </xf>
    <xf numFmtId="169" fontId="11" fillId="0" borderId="14" xfId="0" applyNumberFormat="1" applyFont="1" applyBorder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66" fontId="11" fillId="0" borderId="4" xfId="0" applyNumberFormat="1" applyFont="1" applyBorder="1" applyAlignment="1">
      <alignment horizontal="center"/>
    </xf>
    <xf numFmtId="170" fontId="11" fillId="0" borderId="35" xfId="0" applyNumberFormat="1" applyFont="1" applyBorder="1" applyAlignment="1">
      <alignment horizontal="center"/>
    </xf>
    <xf numFmtId="169" fontId="11" fillId="0" borderId="8" xfId="0" applyNumberFormat="1" applyFont="1" applyBorder="1" applyAlignment="1">
      <alignment horizontal="center"/>
    </xf>
    <xf numFmtId="164" fontId="11" fillId="0" borderId="4" xfId="1" applyNumberFormat="1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166" fontId="11" fillId="0" borderId="6" xfId="0" applyNumberFormat="1" applyFont="1" applyBorder="1" applyAlignment="1">
      <alignment horizontal="center"/>
    </xf>
    <xf numFmtId="170" fontId="11" fillId="0" borderId="36" xfId="0" applyNumberFormat="1" applyFont="1" applyBorder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164" fontId="11" fillId="0" borderId="6" xfId="1" applyNumberFormat="1" applyFont="1" applyBorder="1" applyAlignment="1">
      <alignment horizontal="center"/>
    </xf>
    <xf numFmtId="0" fontId="14" fillId="3" borderId="47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16" fillId="3" borderId="30" xfId="0" applyFont="1" applyFill="1" applyBorder="1" applyAlignment="1">
      <alignment horizontal="center"/>
    </xf>
    <xf numFmtId="166" fontId="11" fillId="0" borderId="8" xfId="0" applyNumberFormat="1" applyFont="1" applyBorder="1" applyAlignment="1">
      <alignment horizontal="center"/>
    </xf>
    <xf numFmtId="164" fontId="11" fillId="0" borderId="8" xfId="1" applyNumberFormat="1" applyFont="1" applyBorder="1" applyAlignment="1">
      <alignment horizontal="center"/>
    </xf>
    <xf numFmtId="173" fontId="11" fillId="0" borderId="8" xfId="0" applyNumberFormat="1" applyFont="1" applyBorder="1" applyAlignment="1">
      <alignment horizontal="center"/>
    </xf>
    <xf numFmtId="164" fontId="11" fillId="0" borderId="14" xfId="1" applyNumberFormat="1" applyFont="1" applyBorder="1" applyAlignment="1">
      <alignment horizontal="center"/>
    </xf>
    <xf numFmtId="166" fontId="11" fillId="0" borderId="15" xfId="0" applyNumberFormat="1" applyFont="1" applyBorder="1" applyAlignment="1">
      <alignment horizontal="center"/>
    </xf>
    <xf numFmtId="164" fontId="11" fillId="0" borderId="15" xfId="1" applyNumberFormat="1" applyFont="1" applyBorder="1" applyAlignment="1">
      <alignment horizontal="center"/>
    </xf>
    <xf numFmtId="169" fontId="11" fillId="0" borderId="18" xfId="0" applyNumberFormat="1" applyFont="1" applyBorder="1" applyAlignment="1">
      <alignment horizontal="center"/>
    </xf>
    <xf numFmtId="169" fontId="11" fillId="0" borderId="35" xfId="0" applyNumberFormat="1" applyFont="1" applyBorder="1" applyAlignment="1">
      <alignment horizontal="center"/>
    </xf>
    <xf numFmtId="169" fontId="11" fillId="0" borderId="36" xfId="0" applyNumberFormat="1" applyFont="1" applyBorder="1" applyAlignment="1">
      <alignment horizontal="center"/>
    </xf>
    <xf numFmtId="169" fontId="11" fillId="0" borderId="1" xfId="0" applyNumberFormat="1" applyFont="1" applyBorder="1" applyAlignment="1">
      <alignment horizontal="center"/>
    </xf>
    <xf numFmtId="169" fontId="11" fillId="0" borderId="3" xfId="0" applyNumberFormat="1" applyFont="1" applyBorder="1" applyAlignment="1">
      <alignment horizontal="center"/>
    </xf>
    <xf numFmtId="169" fontId="11" fillId="0" borderId="5" xfId="0" applyNumberFormat="1" applyFont="1" applyBorder="1" applyAlignment="1">
      <alignment horizontal="center"/>
    </xf>
    <xf numFmtId="173" fontId="11" fillId="0" borderId="67" xfId="0" applyNumberFormat="1" applyFont="1" applyBorder="1" applyAlignment="1">
      <alignment horizontal="center"/>
    </xf>
    <xf numFmtId="173" fontId="11" fillId="0" borderId="63" xfId="0" applyNumberFormat="1" applyFont="1" applyBorder="1" applyAlignment="1">
      <alignment horizontal="center"/>
    </xf>
    <xf numFmtId="173" fontId="11" fillId="0" borderId="68" xfId="0" applyNumberFormat="1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65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4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164" fontId="11" fillId="0" borderId="21" xfId="1" applyNumberFormat="1" applyFont="1" applyBorder="1" applyAlignment="1">
      <alignment horizontal="center"/>
    </xf>
    <xf numFmtId="164" fontId="11" fillId="0" borderId="52" xfId="1" applyNumberFormat="1" applyFont="1" applyBorder="1" applyAlignment="1">
      <alignment horizontal="center"/>
    </xf>
    <xf numFmtId="164" fontId="11" fillId="0" borderId="77" xfId="1" applyNumberFormat="1" applyFont="1" applyBorder="1" applyAlignment="1">
      <alignment horizontal="center"/>
    </xf>
    <xf numFmtId="164" fontId="11" fillId="0" borderId="56" xfId="1" applyNumberFormat="1" applyFont="1" applyBorder="1" applyAlignment="1">
      <alignment horizontal="center"/>
    </xf>
    <xf numFmtId="0" fontId="0" fillId="0" borderId="73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60" xfId="0" applyBorder="1" applyAlignment="1">
      <alignment horizontal="center"/>
    </xf>
    <xf numFmtId="11" fontId="0" fillId="0" borderId="60" xfId="0" applyNumberFormat="1" applyBorder="1" applyAlignment="1">
      <alignment horizontal="center"/>
    </xf>
    <xf numFmtId="164" fontId="0" fillId="0" borderId="76" xfId="1" applyNumberFormat="1" applyFont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5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53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4" fillId="4" borderId="47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4" borderId="48" xfId="0" applyFont="1" applyFill="1" applyBorder="1" applyAlignment="1">
      <alignment horizontal="center"/>
    </xf>
    <xf numFmtId="164" fontId="11" fillId="0" borderId="53" xfId="1" applyNumberFormat="1" applyFont="1" applyBorder="1" applyAlignment="1">
      <alignment horizontal="center"/>
    </xf>
    <xf numFmtId="166" fontId="11" fillId="0" borderId="49" xfId="0" applyNumberFormat="1" applyFont="1" applyBorder="1" applyAlignment="1">
      <alignment horizontal="center"/>
    </xf>
    <xf numFmtId="169" fontId="11" fillId="0" borderId="49" xfId="0" applyNumberFormat="1" applyFont="1" applyBorder="1" applyAlignment="1">
      <alignment horizontal="center"/>
    </xf>
    <xf numFmtId="169" fontId="11" fillId="0" borderId="8" xfId="0" applyNumberFormat="1" applyFont="1" applyFill="1" applyBorder="1" applyAlignment="1">
      <alignment horizontal="center"/>
    </xf>
    <xf numFmtId="1" fontId="11" fillId="0" borderId="55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1" fontId="11" fillId="0" borderId="15" xfId="0" applyNumberFormat="1" applyFont="1" applyBorder="1" applyAlignment="1">
      <alignment horizontal="center"/>
    </xf>
    <xf numFmtId="173" fontId="11" fillId="0" borderId="49" xfId="0" applyNumberFormat="1" applyFont="1" applyBorder="1" applyAlignment="1">
      <alignment horizontal="center"/>
    </xf>
    <xf numFmtId="173" fontId="11" fillId="0" borderId="15" xfId="0" applyNumberFormat="1" applyFont="1" applyBorder="1" applyAlignment="1">
      <alignment horizontal="center"/>
    </xf>
    <xf numFmtId="164" fontId="11" fillId="0" borderId="52" xfId="1" quotePrefix="1" applyNumberFormat="1" applyFont="1" applyBorder="1" applyAlignment="1">
      <alignment horizontal="center"/>
    </xf>
    <xf numFmtId="1" fontId="11" fillId="0" borderId="49" xfId="0" applyNumberFormat="1" applyFont="1" applyBorder="1" applyAlignment="1">
      <alignment horizontal="center"/>
    </xf>
    <xf numFmtId="1" fontId="11" fillId="0" borderId="19" xfId="0" applyNumberFormat="1" applyFont="1" applyBorder="1" applyAlignment="1">
      <alignment horizontal="center"/>
    </xf>
    <xf numFmtId="1" fontId="11" fillId="0" borderId="20" xfId="0" applyNumberFormat="1" applyFont="1" applyBorder="1" applyAlignment="1">
      <alignment horizontal="center"/>
    </xf>
    <xf numFmtId="166" fontId="11" fillId="0" borderId="20" xfId="0" applyNumberFormat="1" applyFont="1" applyBorder="1" applyAlignment="1">
      <alignment horizontal="center"/>
    </xf>
    <xf numFmtId="173" fontId="11" fillId="0" borderId="20" xfId="0" applyNumberFormat="1" applyFont="1" applyBorder="1" applyAlignment="1">
      <alignment horizontal="center"/>
    </xf>
    <xf numFmtId="169" fontId="11" fillId="0" borderId="20" xfId="0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problem2!$D$76:$D$108</c:f>
              <c:numCache>
                <c:formatCode>General</c:formatCode>
                <c:ptCount val="33"/>
                <c:pt idx="0">
                  <c:v>0</c:v>
                </c:pt>
                <c:pt idx="1">
                  <c:v>3.3400000000000001E-3</c:v>
                </c:pt>
                <c:pt idx="2">
                  <c:v>1.001E-2</c:v>
                </c:pt>
                <c:pt idx="3">
                  <c:v>1.6670000000000001E-2</c:v>
                </c:pt>
                <c:pt idx="4">
                  <c:v>2.3349999999999999E-2</c:v>
                </c:pt>
                <c:pt idx="5">
                  <c:v>3.0009999999999998E-2</c:v>
                </c:pt>
                <c:pt idx="6">
                  <c:v>3.6679999999999997E-2</c:v>
                </c:pt>
                <c:pt idx="7">
                  <c:v>4.3360000000000003E-2</c:v>
                </c:pt>
                <c:pt idx="8">
                  <c:v>5.0029999999999998E-2</c:v>
                </c:pt>
                <c:pt idx="9">
                  <c:v>5.6689999999999997E-2</c:v>
                </c:pt>
                <c:pt idx="10">
                  <c:v>6.336E-2</c:v>
                </c:pt>
                <c:pt idx="11">
                  <c:v>7.0029999999999995E-2</c:v>
                </c:pt>
                <c:pt idx="12">
                  <c:v>7.671E-2</c:v>
                </c:pt>
                <c:pt idx="13">
                  <c:v>8.337E-2</c:v>
                </c:pt>
                <c:pt idx="14">
                  <c:v>9.0050000000000005E-2</c:v>
                </c:pt>
                <c:pt idx="15">
                  <c:v>9.672E-2</c:v>
                </c:pt>
                <c:pt idx="16">
                  <c:v>0.10005</c:v>
                </c:pt>
              </c:numCache>
            </c:numRef>
          </c:xVal>
          <c:yVal>
            <c:numRef>
              <c:f>problem2!$E$76:$E$108</c:f>
              <c:numCache>
                <c:formatCode>General</c:formatCode>
                <c:ptCount val="33"/>
                <c:pt idx="0">
                  <c:v>373.14999</c:v>
                </c:pt>
                <c:pt idx="1">
                  <c:v>371.38031000000001</c:v>
                </c:pt>
                <c:pt idx="2">
                  <c:v>368.36227000000002</c:v>
                </c:pt>
                <c:pt idx="3">
                  <c:v>365.84402</c:v>
                </c:pt>
                <c:pt idx="4">
                  <c:v>363.80768</c:v>
                </c:pt>
                <c:pt idx="5">
                  <c:v>362.23871000000003</c:v>
                </c:pt>
                <c:pt idx="6">
                  <c:v>361.12594999999999</c:v>
                </c:pt>
                <c:pt idx="7">
                  <c:v>360.46143000000001</c:v>
                </c:pt>
                <c:pt idx="8">
                  <c:v>360.24047999999999</c:v>
                </c:pt>
                <c:pt idx="9">
                  <c:v>360.46145999999999</c:v>
                </c:pt>
                <c:pt idx="10">
                  <c:v>361.12601000000001</c:v>
                </c:pt>
                <c:pt idx="11">
                  <c:v>362.23889000000003</c:v>
                </c:pt>
                <c:pt idx="12">
                  <c:v>363.80795000000001</c:v>
                </c:pt>
                <c:pt idx="13">
                  <c:v>365.84429999999998</c:v>
                </c:pt>
                <c:pt idx="14">
                  <c:v>368.36246</c:v>
                </c:pt>
                <c:pt idx="15">
                  <c:v>371.38037000000003</c:v>
                </c:pt>
                <c:pt idx="16">
                  <c:v>373.14999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2-44E9-BAF5-5DF586FB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81896"/>
        <c:axId val="73910120"/>
      </c:scatterChar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problem2!$B$39:$B$71</c:f>
              <c:numCache>
                <c:formatCode>General</c:formatCode>
                <c:ptCount val="33"/>
                <c:pt idx="0">
                  <c:v>0</c:v>
                </c:pt>
                <c:pt idx="1">
                  <c:v>1.6129032258064516E-3</c:v>
                </c:pt>
                <c:pt idx="2">
                  <c:v>4.8387096774193551E-3</c:v>
                </c:pt>
                <c:pt idx="3">
                  <c:v>8.0645161290322578E-3</c:v>
                </c:pt>
                <c:pt idx="4">
                  <c:v>1.1290322580645161E-2</c:v>
                </c:pt>
                <c:pt idx="5">
                  <c:v>1.4516129032258063E-2</c:v>
                </c:pt>
                <c:pt idx="6">
                  <c:v>1.7741935483870968E-2</c:v>
                </c:pt>
                <c:pt idx="7">
                  <c:v>2.0967741935483872E-2</c:v>
                </c:pt>
                <c:pt idx="8">
                  <c:v>2.4193548387096777E-2</c:v>
                </c:pt>
                <c:pt idx="9">
                  <c:v>2.7419354838709682E-2</c:v>
                </c:pt>
                <c:pt idx="10">
                  <c:v>3.0645161290322586E-2</c:v>
                </c:pt>
                <c:pt idx="11">
                  <c:v>3.3870967741935487E-2</c:v>
                </c:pt>
                <c:pt idx="12">
                  <c:v>3.7096774193548392E-2</c:v>
                </c:pt>
                <c:pt idx="13">
                  <c:v>4.0322580645161296E-2</c:v>
                </c:pt>
                <c:pt idx="14">
                  <c:v>4.3548387096774201E-2</c:v>
                </c:pt>
                <c:pt idx="15">
                  <c:v>4.6774193548387105E-2</c:v>
                </c:pt>
                <c:pt idx="16">
                  <c:v>5.000000000000001E-2</c:v>
                </c:pt>
                <c:pt idx="17">
                  <c:v>5.3225806451612914E-2</c:v>
                </c:pt>
                <c:pt idx="18">
                  <c:v>5.6451612903225819E-2</c:v>
                </c:pt>
                <c:pt idx="19">
                  <c:v>5.9677419354838723E-2</c:v>
                </c:pt>
                <c:pt idx="20">
                  <c:v>6.2903225806451621E-2</c:v>
                </c:pt>
                <c:pt idx="21">
                  <c:v>6.6129032258064518E-2</c:v>
                </c:pt>
                <c:pt idx="22">
                  <c:v>6.9354838709677416E-2</c:v>
                </c:pt>
                <c:pt idx="23">
                  <c:v>7.2580645161290314E-2</c:v>
                </c:pt>
                <c:pt idx="24">
                  <c:v>7.5806451612903211E-2</c:v>
                </c:pt>
                <c:pt idx="25">
                  <c:v>7.9032258064516109E-2</c:v>
                </c:pt>
                <c:pt idx="26">
                  <c:v>8.2258064516129006E-2</c:v>
                </c:pt>
                <c:pt idx="27">
                  <c:v>8.5483870967741904E-2</c:v>
                </c:pt>
                <c:pt idx="28">
                  <c:v>8.8709677419354802E-2</c:v>
                </c:pt>
                <c:pt idx="29">
                  <c:v>9.1935483870967699E-2</c:v>
                </c:pt>
                <c:pt idx="30">
                  <c:v>9.5161290322580597E-2</c:v>
                </c:pt>
                <c:pt idx="31">
                  <c:v>9.8387096774193494E-2</c:v>
                </c:pt>
                <c:pt idx="32">
                  <c:v>9.9999999999999881E-2</c:v>
                </c:pt>
              </c:numCache>
            </c:numRef>
          </c:xVal>
          <c:yVal>
            <c:numRef>
              <c:f>problem2!$C$39:$C$71</c:f>
              <c:numCache>
                <c:formatCode>General</c:formatCode>
                <c:ptCount val="33"/>
                <c:pt idx="0">
                  <c:v>373.15</c:v>
                </c:pt>
                <c:pt idx="1">
                  <c:v>372.30907135692451</c:v>
                </c:pt>
                <c:pt idx="2">
                  <c:v>370.71948247569833</c:v>
                </c:pt>
                <c:pt idx="3">
                  <c:v>369.25073363882791</c:v>
                </c:pt>
                <c:pt idx="4">
                  <c:v>367.90037913954302</c:v>
                </c:pt>
                <c:pt idx="5">
                  <c:v>366.66617041698839</c:v>
                </c:pt>
                <c:pt idx="6">
                  <c:v>365.54605231200219</c:v>
                </c:pt>
                <c:pt idx="7">
                  <c:v>364.53815964494038</c:v>
                </c:pt>
                <c:pt idx="8">
                  <c:v>363.64081410984795</c:v>
                </c:pt>
                <c:pt idx="9">
                  <c:v>362.8525214798052</c:v>
                </c:pt>
                <c:pt idx="10">
                  <c:v>362.17196911879586</c:v>
                </c:pt>
                <c:pt idx="11">
                  <c:v>361.59802379595362</c:v>
                </c:pt>
                <c:pt idx="12">
                  <c:v>361.12972979854777</c:v>
                </c:pt>
                <c:pt idx="13">
                  <c:v>360.76630734056505</c:v>
                </c:pt>
                <c:pt idx="14">
                  <c:v>360.50715126423881</c:v>
                </c:pt>
                <c:pt idx="15">
                  <c:v>360.35183003236239</c:v>
                </c:pt>
                <c:pt idx="16">
                  <c:v>360.30008500970905</c:v>
                </c:pt>
                <c:pt idx="17">
                  <c:v>360.35183003236239</c:v>
                </c:pt>
                <c:pt idx="18">
                  <c:v>360.50715126423881</c:v>
                </c:pt>
                <c:pt idx="19">
                  <c:v>360.76630734056505</c:v>
                </c:pt>
                <c:pt idx="20">
                  <c:v>361.12972979854777</c:v>
                </c:pt>
                <c:pt idx="21">
                  <c:v>361.59802379595362</c:v>
                </c:pt>
                <c:pt idx="22">
                  <c:v>362.17196911879586</c:v>
                </c:pt>
                <c:pt idx="23">
                  <c:v>362.8525214798052</c:v>
                </c:pt>
                <c:pt idx="24">
                  <c:v>363.64081410984795</c:v>
                </c:pt>
                <c:pt idx="25">
                  <c:v>364.53815964494038</c:v>
                </c:pt>
                <c:pt idx="26">
                  <c:v>365.54605231200219</c:v>
                </c:pt>
                <c:pt idx="27">
                  <c:v>366.66617041698839</c:v>
                </c:pt>
                <c:pt idx="28">
                  <c:v>367.90037913954302</c:v>
                </c:pt>
                <c:pt idx="29">
                  <c:v>369.25073363882785</c:v>
                </c:pt>
                <c:pt idx="30">
                  <c:v>370.71948247569833</c:v>
                </c:pt>
                <c:pt idx="31">
                  <c:v>372.30907135692451</c:v>
                </c:pt>
                <c:pt idx="32">
                  <c:v>373.14999999999986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6-4949-9803-5D7A6686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81896"/>
        <c:axId val="73910120"/>
      </c:scatterChart>
      <c:valAx>
        <c:axId val="4540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120"/>
        <c:crosses val="autoZero"/>
        <c:crossBetween val="midCat"/>
      </c:valAx>
      <c:valAx>
        <c:axId val="73910120"/>
        <c:scaling>
          <c:orientation val="minMax"/>
          <c:min val="3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8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problem3!$E$54:$E$87</c:f>
              <c:numCache>
                <c:formatCode>General</c:formatCode>
                <c:ptCount val="34"/>
                <c:pt idx="0">
                  <c:v>0</c:v>
                </c:pt>
                <c:pt idx="1">
                  <c:v>1.57E-3</c:v>
                </c:pt>
                <c:pt idx="2">
                  <c:v>4.7000000000000002E-3</c:v>
                </c:pt>
                <c:pt idx="3">
                  <c:v>7.8300000000000002E-3</c:v>
                </c:pt>
                <c:pt idx="4">
                  <c:v>1.0959999999999999E-2</c:v>
                </c:pt>
                <c:pt idx="5">
                  <c:v>1.409E-2</c:v>
                </c:pt>
                <c:pt idx="6">
                  <c:v>1.7219999999999999E-2</c:v>
                </c:pt>
                <c:pt idx="7">
                  <c:v>2.035E-2</c:v>
                </c:pt>
                <c:pt idx="8">
                  <c:v>2.3480000000000001E-2</c:v>
                </c:pt>
                <c:pt idx="9">
                  <c:v>2.6610000000000002E-2</c:v>
                </c:pt>
                <c:pt idx="10">
                  <c:v>2.9739999999999999E-2</c:v>
                </c:pt>
                <c:pt idx="11">
                  <c:v>3.2870000000000003E-2</c:v>
                </c:pt>
                <c:pt idx="12">
                  <c:v>3.5990000000000001E-2</c:v>
                </c:pt>
                <c:pt idx="13">
                  <c:v>3.9129999999999998E-2</c:v>
                </c:pt>
                <c:pt idx="14">
                  <c:v>4.2250000000000003E-2</c:v>
                </c:pt>
                <c:pt idx="15">
                  <c:v>4.539E-2</c:v>
                </c:pt>
                <c:pt idx="16">
                  <c:v>4.8509999999999998E-2</c:v>
                </c:pt>
                <c:pt idx="17">
                  <c:v>5.1650000000000001E-2</c:v>
                </c:pt>
                <c:pt idx="18">
                  <c:v>5.4769999999999999E-2</c:v>
                </c:pt>
                <c:pt idx="19">
                  <c:v>5.7910000000000003E-2</c:v>
                </c:pt>
                <c:pt idx="20">
                  <c:v>6.1030000000000001E-2</c:v>
                </c:pt>
                <c:pt idx="21">
                  <c:v>6.4170000000000005E-2</c:v>
                </c:pt>
                <c:pt idx="22">
                  <c:v>6.7290000000000003E-2</c:v>
                </c:pt>
                <c:pt idx="23">
                  <c:v>7.0430000000000006E-2</c:v>
                </c:pt>
                <c:pt idx="24">
                  <c:v>7.356E-2</c:v>
                </c:pt>
                <c:pt idx="25">
                  <c:v>7.6689999999999994E-2</c:v>
                </c:pt>
                <c:pt idx="26">
                  <c:v>7.9820000000000002E-2</c:v>
                </c:pt>
                <c:pt idx="27">
                  <c:v>8.2949999999999996E-2</c:v>
                </c:pt>
                <c:pt idx="28">
                  <c:v>8.6080000000000004E-2</c:v>
                </c:pt>
                <c:pt idx="29">
                  <c:v>8.9209999999999998E-2</c:v>
                </c:pt>
                <c:pt idx="30">
                  <c:v>9.2340000000000005E-2</c:v>
                </c:pt>
                <c:pt idx="31">
                  <c:v>9.5469999999999999E-2</c:v>
                </c:pt>
                <c:pt idx="32">
                  <c:v>9.8599999999999993E-2</c:v>
                </c:pt>
                <c:pt idx="33">
                  <c:v>0.10016</c:v>
                </c:pt>
              </c:numCache>
            </c:numRef>
          </c:xVal>
          <c:yVal>
            <c:numRef>
              <c:f>problem3!$G$54:$G$87</c:f>
              <c:numCache>
                <c:formatCode>General</c:formatCode>
                <c:ptCount val="34"/>
                <c:pt idx="0">
                  <c:v>328.84325999999999</c:v>
                </c:pt>
                <c:pt idx="1">
                  <c:v>328.93923999999998</c:v>
                </c:pt>
                <c:pt idx="2">
                  <c:v>329.11237</c:v>
                </c:pt>
                <c:pt idx="3">
                  <c:v>329.26668999999998</c:v>
                </c:pt>
                <c:pt idx="4">
                  <c:v>329.40215999999998</c:v>
                </c:pt>
                <c:pt idx="5">
                  <c:v>329.51882999999998</c:v>
                </c:pt>
                <c:pt idx="6">
                  <c:v>329.61664000000002</c:v>
                </c:pt>
                <c:pt idx="7">
                  <c:v>329.69562000000002</c:v>
                </c:pt>
                <c:pt idx="8">
                  <c:v>329.75574</c:v>
                </c:pt>
                <c:pt idx="9">
                  <c:v>329.79700000000003</c:v>
                </c:pt>
                <c:pt idx="10">
                  <c:v>329.81945999999999</c:v>
                </c:pt>
                <c:pt idx="11">
                  <c:v>329.82306</c:v>
                </c:pt>
                <c:pt idx="12">
                  <c:v>329.80779999999999</c:v>
                </c:pt>
                <c:pt idx="13">
                  <c:v>329.77370999999999</c:v>
                </c:pt>
                <c:pt idx="14">
                  <c:v>329.72075999999998</c:v>
                </c:pt>
                <c:pt idx="15">
                  <c:v>329.64899000000003</c:v>
                </c:pt>
                <c:pt idx="16">
                  <c:v>329.55835000000002</c:v>
                </c:pt>
                <c:pt idx="17">
                  <c:v>329.44884999999999</c:v>
                </c:pt>
                <c:pt idx="18">
                  <c:v>329.32053000000002</c:v>
                </c:pt>
                <c:pt idx="19">
                  <c:v>329.17336999999998</c:v>
                </c:pt>
                <c:pt idx="20">
                  <c:v>329.00742000000002</c:v>
                </c:pt>
                <c:pt idx="21">
                  <c:v>328.82256999999998</c:v>
                </c:pt>
                <c:pt idx="22">
                  <c:v>328.6189</c:v>
                </c:pt>
                <c:pt idx="23">
                  <c:v>328.39639</c:v>
                </c:pt>
                <c:pt idx="24">
                  <c:v>328.15503000000001</c:v>
                </c:pt>
                <c:pt idx="25">
                  <c:v>327.89483999999999</c:v>
                </c:pt>
                <c:pt idx="26">
                  <c:v>327.61581000000001</c:v>
                </c:pt>
                <c:pt idx="27">
                  <c:v>327.31792999999999</c:v>
                </c:pt>
                <c:pt idx="28">
                  <c:v>327.00121999999999</c:v>
                </c:pt>
                <c:pt idx="29">
                  <c:v>326.66568000000001</c:v>
                </c:pt>
                <c:pt idx="30">
                  <c:v>326.31128000000001</c:v>
                </c:pt>
                <c:pt idx="31">
                  <c:v>325.93801999999999</c:v>
                </c:pt>
                <c:pt idx="32">
                  <c:v>325.54593</c:v>
                </c:pt>
                <c:pt idx="33">
                  <c:v>325.34044999999998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E-4191-BF78-BB8196A4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3936"/>
        <c:axId val="227643280"/>
      </c:scatterChart>
      <c:scatterChart>
        <c:scatterStyle val="smoothMarker"/>
        <c:varyColors val="0"/>
        <c:ser>
          <c:idx val="0"/>
          <c:order val="0"/>
          <c:tx>
            <c:strRef>
              <c:f>problem3!$E$30</c:f>
              <c:strCache>
                <c:ptCount val="1"/>
                <c:pt idx="0">
                  <c:v>T(x) [K]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problem3!$F$31:$F$51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0.05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problem3!$E$31:$E$51</c:f>
              <c:numCache>
                <c:formatCode>General</c:formatCode>
                <c:ptCount val="21"/>
                <c:pt idx="0">
                  <c:v>328.82857142857142</c:v>
                </c:pt>
                <c:pt idx="1">
                  <c:v>329.11030219780218</c:v>
                </c:pt>
                <c:pt idx="2">
                  <c:v>329.34395604395604</c:v>
                </c:pt>
                <c:pt idx="3">
                  <c:v>329.52953296703294</c:v>
                </c:pt>
                <c:pt idx="4">
                  <c:v>329.66703296703292</c:v>
                </c:pt>
                <c:pt idx="5">
                  <c:v>329.75645604395601</c:v>
                </c:pt>
                <c:pt idx="6">
                  <c:v>329.79780219780218</c:v>
                </c:pt>
                <c:pt idx="7">
                  <c:v>329.7910714285714</c:v>
                </c:pt>
                <c:pt idx="8">
                  <c:v>329.73626373626371</c:v>
                </c:pt>
                <c:pt idx="9">
                  <c:v>329.63337912087911</c:v>
                </c:pt>
                <c:pt idx="10">
                  <c:v>329.48241758241755</c:v>
                </c:pt>
                <c:pt idx="11">
                  <c:v>329.28337912087909</c:v>
                </c:pt>
                <c:pt idx="12">
                  <c:v>329.03626373626372</c:v>
                </c:pt>
                <c:pt idx="13">
                  <c:v>328.74107142857139</c:v>
                </c:pt>
                <c:pt idx="14">
                  <c:v>328.39780219780215</c:v>
                </c:pt>
                <c:pt idx="15">
                  <c:v>328.00645604395601</c:v>
                </c:pt>
                <c:pt idx="16">
                  <c:v>327.56703296703296</c:v>
                </c:pt>
                <c:pt idx="17">
                  <c:v>327.07953296703295</c:v>
                </c:pt>
                <c:pt idx="18">
                  <c:v>326.54395604395603</c:v>
                </c:pt>
                <c:pt idx="19">
                  <c:v>325.96030219780215</c:v>
                </c:pt>
                <c:pt idx="20">
                  <c:v>325.32857142857142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D-459B-B4E8-2640829A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3936"/>
        <c:axId val="227643280"/>
      </c:scatterChart>
      <c:valAx>
        <c:axId val="2276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280"/>
        <c:crosses val="autoZero"/>
        <c:crossBetween val="midCat"/>
      </c:valAx>
      <c:valAx>
        <c:axId val="227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29</xdr:row>
      <xdr:rowOff>45720</xdr:rowOff>
    </xdr:from>
    <xdr:to>
      <xdr:col>12</xdr:col>
      <xdr:colOff>121920</xdr:colOff>
      <xdr:row>30</xdr:row>
      <xdr:rowOff>121920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2F414D8-7773-48B7-B5FB-C4F7A08087ED}"/>
            </a:ext>
          </a:extLst>
        </xdr:cNvPr>
        <xdr:cNvSpPr txBox="1"/>
      </xdr:nvSpPr>
      <xdr:spPr>
        <a:xfrm>
          <a:off x="8397240" y="5593080"/>
          <a:ext cx="22098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L</a:t>
          </a:r>
        </a:p>
      </xdr:txBody>
    </xdr:sp>
    <xdr:clientData/>
  </xdr:twoCellAnchor>
  <xdr:twoCellAnchor>
    <xdr:from>
      <xdr:col>8</xdr:col>
      <xdr:colOff>350520</xdr:colOff>
      <xdr:row>29</xdr:row>
      <xdr:rowOff>7620</xdr:rowOff>
    </xdr:from>
    <xdr:to>
      <xdr:col>15</xdr:col>
      <xdr:colOff>449580</xdr:colOff>
      <xdr:row>32</xdr:row>
      <xdr:rowOff>15240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3143D288-856D-4205-9F65-1D8696B4AFDF}"/>
            </a:ext>
          </a:extLst>
        </xdr:cNvPr>
        <xdr:cNvGrpSpPr/>
      </xdr:nvGrpSpPr>
      <xdr:grpSpPr>
        <a:xfrm>
          <a:off x="6225540" y="5745480"/>
          <a:ext cx="4549140" cy="556260"/>
          <a:chOff x="6225540" y="5554980"/>
          <a:chExt cx="4549140" cy="556260"/>
        </a:xfrm>
      </xdr:grpSpPr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8447E71-DCE1-4735-BE97-CC223C1EA974}"/>
              </a:ext>
            </a:extLst>
          </xdr:cNvPr>
          <xdr:cNvSpPr/>
        </xdr:nvSpPr>
        <xdr:spPr>
          <a:xfrm>
            <a:off x="6667500" y="5554980"/>
            <a:ext cx="3726180" cy="5562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5995E58-A4B8-44E0-9DA4-055CF6CF52DF}"/>
              </a:ext>
            </a:extLst>
          </xdr:cNvPr>
          <xdr:cNvSpPr txBox="1"/>
        </xdr:nvSpPr>
        <xdr:spPr>
          <a:xfrm>
            <a:off x="6225540" y="5707380"/>
            <a:ext cx="327660" cy="274320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T1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560F6369-7004-4B49-B4DF-EDF8FF33A4E3}"/>
              </a:ext>
            </a:extLst>
          </xdr:cNvPr>
          <xdr:cNvSpPr txBox="1"/>
        </xdr:nvSpPr>
        <xdr:spPr>
          <a:xfrm>
            <a:off x="10447020" y="5699760"/>
            <a:ext cx="327660" cy="274320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T2</a:t>
            </a:r>
          </a:p>
        </xdr:txBody>
      </xdr: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536B61E1-F4EF-4B2A-A203-57D011501A72}"/>
              </a:ext>
            </a:extLst>
          </xdr:cNvPr>
          <xdr:cNvCxnSpPr>
            <a:stCxn id="44" idx="1"/>
            <a:endCxn id="44" idx="3"/>
          </xdr:cNvCxnSpPr>
        </xdr:nvCxnSpPr>
        <xdr:spPr>
          <a:xfrm>
            <a:off x="6667500" y="5833110"/>
            <a:ext cx="372618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82C6442C-64FD-4195-BCF2-DF8795168DA1}"/>
              </a:ext>
            </a:extLst>
          </xdr:cNvPr>
          <xdr:cNvCxnSpPr/>
        </xdr:nvCxnSpPr>
        <xdr:spPr>
          <a:xfrm>
            <a:off x="6907530" y="5554980"/>
            <a:ext cx="0" cy="55626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E4217E29-9113-4E11-BDFE-43C4825F8569}"/>
              </a:ext>
            </a:extLst>
          </xdr:cNvPr>
          <xdr:cNvSpPr txBox="1"/>
        </xdr:nvSpPr>
        <xdr:spPr>
          <a:xfrm>
            <a:off x="6941820" y="5570220"/>
            <a:ext cx="33528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2Y</a:t>
            </a:r>
          </a:p>
        </xdr:txBody>
      </xdr:sp>
    </xdr:grpSp>
    <xdr:clientData/>
  </xdr:twoCellAnchor>
  <xdr:twoCellAnchor>
    <xdr:from>
      <xdr:col>15</xdr:col>
      <xdr:colOff>0</xdr:colOff>
      <xdr:row>15</xdr:row>
      <xdr:rowOff>0</xdr:rowOff>
    </xdr:from>
    <xdr:to>
      <xdr:col>19</xdr:col>
      <xdr:colOff>243840</xdr:colOff>
      <xdr:row>22</xdr:row>
      <xdr:rowOff>45720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FC4A4276-20CD-4299-8D09-8780BAB9403D}"/>
            </a:ext>
          </a:extLst>
        </xdr:cNvPr>
        <xdr:cNvGrpSpPr/>
      </xdr:nvGrpSpPr>
      <xdr:grpSpPr>
        <a:xfrm>
          <a:off x="10325100" y="3131820"/>
          <a:ext cx="3604260" cy="1333500"/>
          <a:chOff x="20413980" y="1432560"/>
          <a:chExt cx="3604260" cy="1333500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246BA69A-D078-4996-AC26-E1D777D8CE64}"/>
              </a:ext>
            </a:extLst>
          </xdr:cNvPr>
          <xdr:cNvGrpSpPr/>
        </xdr:nvGrpSpPr>
        <xdr:grpSpPr>
          <a:xfrm>
            <a:off x="20413980" y="1485900"/>
            <a:ext cx="3604260" cy="1280160"/>
            <a:chOff x="20413980" y="1485900"/>
            <a:chExt cx="3604260" cy="1280160"/>
          </a:xfrm>
        </xdr:grpSpPr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F8BDAB9E-C089-4119-9879-0CCF6135374E}"/>
                </a:ext>
              </a:extLst>
            </xdr:cNvPr>
            <xdr:cNvGrpSpPr/>
          </xdr:nvGrpSpPr>
          <xdr:grpSpPr>
            <a:xfrm>
              <a:off x="20413980" y="1752600"/>
              <a:ext cx="3604260" cy="1013460"/>
              <a:chOff x="20413980" y="1752600"/>
              <a:chExt cx="3604260" cy="1013460"/>
            </a:xfrm>
          </xdr:grpSpPr>
          <xdr:sp macro="" textlink="">
            <xdr:nvSpPr>
              <xdr:cNvPr id="77" name="Rectangle 76">
                <a:extLst>
                  <a:ext uri="{FF2B5EF4-FFF2-40B4-BE49-F238E27FC236}">
                    <a16:creationId xmlns:a16="http://schemas.microsoft.com/office/drawing/2014/main" id="{B693E494-9F99-4634-9B7E-B496C81475E1}"/>
                  </a:ext>
                </a:extLst>
              </xdr:cNvPr>
              <xdr:cNvSpPr/>
            </xdr:nvSpPr>
            <xdr:spPr>
              <a:xfrm>
                <a:off x="20413980" y="1752600"/>
                <a:ext cx="1203960" cy="1013460"/>
              </a:xfrm>
              <a:prstGeom prst="rec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  <xdr:sp macro="" textlink="">
            <xdr:nvSpPr>
              <xdr:cNvPr id="78" name="Rectangle 77">
                <a:extLst>
                  <a:ext uri="{FF2B5EF4-FFF2-40B4-BE49-F238E27FC236}">
                    <a16:creationId xmlns:a16="http://schemas.microsoft.com/office/drawing/2014/main" id="{1DA732E2-4CB4-4422-91C7-D66C2C314271}"/>
                  </a:ext>
                </a:extLst>
              </xdr:cNvPr>
              <xdr:cNvSpPr/>
            </xdr:nvSpPr>
            <xdr:spPr>
              <a:xfrm>
                <a:off x="22814280" y="1752600"/>
                <a:ext cx="1203960" cy="1013460"/>
              </a:xfrm>
              <a:prstGeom prst="rec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  <xdr:sp macro="" textlink="">
            <xdr:nvSpPr>
              <xdr:cNvPr id="79" name="Rectangle 78">
                <a:extLst>
                  <a:ext uri="{FF2B5EF4-FFF2-40B4-BE49-F238E27FC236}">
                    <a16:creationId xmlns:a16="http://schemas.microsoft.com/office/drawing/2014/main" id="{01862385-907A-4EDD-BB8C-FAC9E08F29C1}"/>
                  </a:ext>
                </a:extLst>
              </xdr:cNvPr>
              <xdr:cNvSpPr/>
            </xdr:nvSpPr>
            <xdr:spPr>
              <a:xfrm>
                <a:off x="21617940" y="1752600"/>
                <a:ext cx="1203960" cy="1013460"/>
              </a:xfrm>
              <a:prstGeom prst="rec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CA" sz="1100"/>
              </a:p>
            </xdr:txBody>
          </xdr:sp>
        </xdr:grpSp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4CC82AA8-7167-49A7-BE26-34978191A278}"/>
                </a:ext>
              </a:extLst>
            </xdr:cNvPr>
            <xdr:cNvSpPr/>
          </xdr:nvSpPr>
          <xdr:spPr>
            <a:xfrm>
              <a:off x="21008340" y="2240280"/>
              <a:ext cx="45719" cy="4571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66" name="Oval 65">
              <a:extLst>
                <a:ext uri="{FF2B5EF4-FFF2-40B4-BE49-F238E27FC236}">
                  <a16:creationId xmlns:a16="http://schemas.microsoft.com/office/drawing/2014/main" id="{194074F6-D6F3-468E-8488-F499DB82DF8E}"/>
                </a:ext>
              </a:extLst>
            </xdr:cNvPr>
            <xdr:cNvSpPr/>
          </xdr:nvSpPr>
          <xdr:spPr>
            <a:xfrm>
              <a:off x="23439120" y="2247900"/>
              <a:ext cx="45719" cy="4571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67" name="Oval 66">
              <a:extLst>
                <a:ext uri="{FF2B5EF4-FFF2-40B4-BE49-F238E27FC236}">
                  <a16:creationId xmlns:a16="http://schemas.microsoft.com/office/drawing/2014/main" id="{8D82D8A6-B15F-4BE7-B866-5CBCAC5C0B43}"/>
                </a:ext>
              </a:extLst>
            </xdr:cNvPr>
            <xdr:cNvSpPr/>
          </xdr:nvSpPr>
          <xdr:spPr>
            <a:xfrm>
              <a:off x="22212300" y="2255520"/>
              <a:ext cx="45719" cy="4571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grpSp>
          <xdr:nvGrpSpPr>
            <xdr:cNvPr id="68" name="Group 67">
              <a:extLst>
                <a:ext uri="{FF2B5EF4-FFF2-40B4-BE49-F238E27FC236}">
                  <a16:creationId xmlns:a16="http://schemas.microsoft.com/office/drawing/2014/main" id="{74E41A5A-1994-4DFF-A771-DB20920FB1F3}"/>
                </a:ext>
              </a:extLst>
            </xdr:cNvPr>
            <xdr:cNvGrpSpPr/>
          </xdr:nvGrpSpPr>
          <xdr:grpSpPr>
            <a:xfrm>
              <a:off x="22783800" y="2225040"/>
              <a:ext cx="99060" cy="99060"/>
              <a:chOff x="19118580" y="2286000"/>
              <a:chExt cx="99060" cy="99060"/>
            </a:xfrm>
          </xdr:grpSpPr>
          <xdr:cxnSp macro="">
            <xdr:nvCxnSpPr>
              <xdr:cNvPr id="75" name="Straight Connector 74">
                <a:extLst>
                  <a:ext uri="{FF2B5EF4-FFF2-40B4-BE49-F238E27FC236}">
                    <a16:creationId xmlns:a16="http://schemas.microsoft.com/office/drawing/2014/main" id="{04F11820-084C-4ADE-8ACB-8D56A589733C}"/>
                  </a:ext>
                </a:extLst>
              </xdr:cNvPr>
              <xdr:cNvCxnSpPr/>
            </xdr:nvCxnSpPr>
            <xdr:spPr>
              <a:xfrm>
                <a:off x="19118580" y="2286000"/>
                <a:ext cx="99060" cy="99060"/>
              </a:xfrm>
              <a:prstGeom prst="line">
                <a:avLst/>
              </a:prstGeom>
              <a:ln/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Straight Connector 75">
                <a:extLst>
                  <a:ext uri="{FF2B5EF4-FFF2-40B4-BE49-F238E27FC236}">
                    <a16:creationId xmlns:a16="http://schemas.microsoft.com/office/drawing/2014/main" id="{1E4BCA25-008F-4753-8137-C6167B8B2320}"/>
                  </a:ext>
                </a:extLst>
              </xdr:cNvPr>
              <xdr:cNvCxnSpPr/>
            </xdr:nvCxnSpPr>
            <xdr:spPr>
              <a:xfrm flipV="1">
                <a:off x="19118580" y="2286000"/>
                <a:ext cx="83820" cy="91440"/>
              </a:xfrm>
              <a:prstGeom prst="line">
                <a:avLst/>
              </a:prstGeom>
              <a:ln/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69" name="Group 68">
              <a:extLst>
                <a:ext uri="{FF2B5EF4-FFF2-40B4-BE49-F238E27FC236}">
                  <a16:creationId xmlns:a16="http://schemas.microsoft.com/office/drawing/2014/main" id="{AAA94013-AEDF-4737-B635-F5C0355A03B7}"/>
                </a:ext>
              </a:extLst>
            </xdr:cNvPr>
            <xdr:cNvGrpSpPr/>
          </xdr:nvGrpSpPr>
          <xdr:grpSpPr>
            <a:xfrm>
              <a:off x="21572220" y="2225040"/>
              <a:ext cx="99060" cy="99060"/>
              <a:chOff x="19118580" y="2286000"/>
              <a:chExt cx="99060" cy="99060"/>
            </a:xfrm>
          </xdr:grpSpPr>
          <xdr:cxnSp macro="">
            <xdr:nvCxnSpPr>
              <xdr:cNvPr id="73" name="Straight Connector 72">
                <a:extLst>
                  <a:ext uri="{FF2B5EF4-FFF2-40B4-BE49-F238E27FC236}">
                    <a16:creationId xmlns:a16="http://schemas.microsoft.com/office/drawing/2014/main" id="{4C633C91-961C-4560-A840-45B5230666AE}"/>
                  </a:ext>
                </a:extLst>
              </xdr:cNvPr>
              <xdr:cNvCxnSpPr/>
            </xdr:nvCxnSpPr>
            <xdr:spPr>
              <a:xfrm>
                <a:off x="19118580" y="2286000"/>
                <a:ext cx="99060" cy="99060"/>
              </a:xfrm>
              <a:prstGeom prst="line">
                <a:avLst/>
              </a:prstGeom>
              <a:ln/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Straight Connector 73">
                <a:extLst>
                  <a:ext uri="{FF2B5EF4-FFF2-40B4-BE49-F238E27FC236}">
                    <a16:creationId xmlns:a16="http://schemas.microsoft.com/office/drawing/2014/main" id="{06F27917-DABB-46CE-9888-78FC959B19F9}"/>
                  </a:ext>
                </a:extLst>
              </xdr:cNvPr>
              <xdr:cNvCxnSpPr/>
            </xdr:nvCxnSpPr>
            <xdr:spPr>
              <a:xfrm flipV="1">
                <a:off x="19118580" y="2286000"/>
                <a:ext cx="83820" cy="91440"/>
              </a:xfrm>
              <a:prstGeom prst="line">
                <a:avLst/>
              </a:prstGeom>
              <a:ln/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70" name="Straight Arrow Connector 69">
              <a:extLst>
                <a:ext uri="{FF2B5EF4-FFF2-40B4-BE49-F238E27FC236}">
                  <a16:creationId xmlns:a16="http://schemas.microsoft.com/office/drawing/2014/main" id="{3BD43FB6-A2D0-4FF1-9BF6-EA594D9C1982}"/>
                </a:ext>
              </a:extLst>
            </xdr:cNvPr>
            <xdr:cNvCxnSpPr/>
          </xdr:nvCxnSpPr>
          <xdr:spPr>
            <a:xfrm flipV="1">
              <a:off x="22242780" y="1485900"/>
              <a:ext cx="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Straight Arrow Connector 70">
              <a:extLst>
                <a:ext uri="{FF2B5EF4-FFF2-40B4-BE49-F238E27FC236}">
                  <a16:creationId xmlns:a16="http://schemas.microsoft.com/office/drawing/2014/main" id="{CE72658D-4358-48F9-A689-1BB85F9D60FD}"/>
                </a:ext>
              </a:extLst>
            </xdr:cNvPr>
            <xdr:cNvCxnSpPr/>
          </xdr:nvCxnSpPr>
          <xdr:spPr>
            <a:xfrm>
              <a:off x="21374100" y="2141220"/>
              <a:ext cx="5257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Straight Arrow Connector 71">
              <a:extLst>
                <a:ext uri="{FF2B5EF4-FFF2-40B4-BE49-F238E27FC236}">
                  <a16:creationId xmlns:a16="http://schemas.microsoft.com/office/drawing/2014/main" id="{17003772-2DAF-49BD-8813-D96DA8494D98}"/>
                </a:ext>
              </a:extLst>
            </xdr:cNvPr>
            <xdr:cNvCxnSpPr/>
          </xdr:nvCxnSpPr>
          <xdr:spPr>
            <a:xfrm>
              <a:off x="22570440" y="2141220"/>
              <a:ext cx="5257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5660FC37-C95A-4492-90B4-86C0B6BD9B9E}"/>
              </a:ext>
            </a:extLst>
          </xdr:cNvPr>
          <xdr:cNvGrpSpPr/>
        </xdr:nvGrpSpPr>
        <xdr:grpSpPr>
          <a:xfrm>
            <a:off x="20886420" y="1432560"/>
            <a:ext cx="2697480" cy="1242060"/>
            <a:chOff x="20886420" y="1432560"/>
            <a:chExt cx="2697480" cy="1242060"/>
          </a:xfrm>
        </xdr:grpSpPr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A779462-1C12-49BD-892B-9CF5BF72EAC5}"/>
                </a:ext>
              </a:extLst>
            </xdr:cNvPr>
            <xdr:cNvSpPr txBox="1"/>
          </xdr:nvSpPr>
          <xdr:spPr>
            <a:xfrm>
              <a:off x="22303740" y="1432560"/>
              <a:ext cx="342900" cy="2514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qo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3799393C-C3A3-4B83-9E12-1834DFBF0D7A}"/>
                </a:ext>
              </a:extLst>
            </xdr:cNvPr>
            <xdr:cNvSpPr txBox="1"/>
          </xdr:nvSpPr>
          <xdr:spPr>
            <a:xfrm>
              <a:off x="21488400" y="2369820"/>
              <a:ext cx="251460" cy="28194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w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D46D448-539E-4BB0-A159-D598748EAB49}"/>
                </a:ext>
              </a:extLst>
            </xdr:cNvPr>
            <xdr:cNvSpPr txBox="1"/>
          </xdr:nvSpPr>
          <xdr:spPr>
            <a:xfrm>
              <a:off x="22128480" y="2400300"/>
              <a:ext cx="236220" cy="25146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P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824E20F1-CACD-44E3-A0C7-37C2891C74A9}"/>
                </a:ext>
              </a:extLst>
            </xdr:cNvPr>
            <xdr:cNvSpPr txBox="1"/>
          </xdr:nvSpPr>
          <xdr:spPr>
            <a:xfrm>
              <a:off x="20886420" y="2392680"/>
              <a:ext cx="304800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W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CA4A5E57-BD86-4845-8DED-9228DABC4834}"/>
                </a:ext>
              </a:extLst>
            </xdr:cNvPr>
            <xdr:cNvSpPr txBox="1"/>
          </xdr:nvSpPr>
          <xdr:spPr>
            <a:xfrm>
              <a:off x="23340060" y="2385060"/>
              <a:ext cx="243840" cy="28956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E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D4A273C2-9229-4F16-B622-48DD25212C28}"/>
                </a:ext>
              </a:extLst>
            </xdr:cNvPr>
            <xdr:cNvSpPr txBox="1"/>
          </xdr:nvSpPr>
          <xdr:spPr>
            <a:xfrm>
              <a:off x="22646640" y="1836420"/>
              <a:ext cx="350520" cy="2362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qe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76D4C60-E501-40DF-998F-E631770F382F}"/>
                </a:ext>
              </a:extLst>
            </xdr:cNvPr>
            <xdr:cNvSpPr txBox="1"/>
          </xdr:nvSpPr>
          <xdr:spPr>
            <a:xfrm>
              <a:off x="21450300" y="1805940"/>
              <a:ext cx="358140" cy="266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qw</a:t>
              </a:r>
            </a:p>
          </xdr:txBody>
        </xdr:sp>
      </xdr:grpSp>
    </xdr:grpSp>
    <xdr:clientData/>
  </xdr:twoCellAnchor>
  <xdr:twoCellAnchor>
    <xdr:from>
      <xdr:col>17</xdr:col>
      <xdr:colOff>228600</xdr:colOff>
      <xdr:row>20</xdr:row>
      <xdr:rowOff>15240</xdr:rowOff>
    </xdr:from>
    <xdr:to>
      <xdr:col>17</xdr:col>
      <xdr:colOff>457200</xdr:colOff>
      <xdr:row>21</xdr:row>
      <xdr:rowOff>83820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3475BC66-911E-4D45-8C12-C703D49209EB}"/>
            </a:ext>
          </a:extLst>
        </xdr:cNvPr>
        <xdr:cNvSpPr txBox="1"/>
      </xdr:nvSpPr>
      <xdr:spPr>
        <a:xfrm>
          <a:off x="12611100" y="3878580"/>
          <a:ext cx="22860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1008529</xdr:colOff>
      <xdr:row>36</xdr:row>
      <xdr:rowOff>115049</xdr:rowOff>
    </xdr:from>
    <xdr:to>
      <xdr:col>13</xdr:col>
      <xdr:colOff>276412</xdr:colOff>
      <xdr:row>56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4A180-FDF9-415A-983A-39940689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640080</xdr:colOff>
      <xdr:row>19</xdr:row>
      <xdr:rowOff>182880</xdr:rowOff>
    </xdr:from>
    <xdr:to>
      <xdr:col>19</xdr:col>
      <xdr:colOff>556260</xdr:colOff>
      <xdr:row>42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A2540-2E54-4E7B-8939-641D3A63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434340</xdr:colOff>
      <xdr:row>12</xdr:row>
      <xdr:rowOff>0</xdr:rowOff>
    </xdr:from>
    <xdr:to>
      <xdr:col>26</xdr:col>
      <xdr:colOff>91440</xdr:colOff>
      <xdr:row>19</xdr:row>
      <xdr:rowOff>7620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7A84814-4885-48D8-98EC-D176253F4A19}"/>
            </a:ext>
          </a:extLst>
        </xdr:cNvPr>
        <xdr:cNvGrpSpPr/>
      </xdr:nvGrpSpPr>
      <xdr:grpSpPr>
        <a:xfrm>
          <a:off x="15095220" y="2545080"/>
          <a:ext cx="2796540" cy="1295400"/>
          <a:chOff x="15095220" y="2392680"/>
          <a:chExt cx="2796540" cy="129540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B63AC297-5393-4DA3-9DBB-9DFA918742AE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4" name="Straight Connector 3">
              <a:extLst>
                <a:ext uri="{FF2B5EF4-FFF2-40B4-BE49-F238E27FC236}">
                  <a16:creationId xmlns:a16="http://schemas.microsoft.com/office/drawing/2014/main" id="{EB67FC7C-7791-4CAD-AD3B-C25FBCE86D4E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>
              <a:extLst>
                <a:ext uri="{FF2B5EF4-FFF2-40B4-BE49-F238E27FC236}">
                  <a16:creationId xmlns:a16="http://schemas.microsoft.com/office/drawing/2014/main" id="{7BE836B4-E1C3-48CE-89AA-A1FAB9E4B78C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7E260462-2CB8-4909-9427-8E2A785FA0D6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91C79AAE-FC99-493E-8950-FB12011A0B49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D0C4C2B7-54C2-4957-B93C-EE06A1F217EC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2D3F7D96-E2E5-4077-AC87-0539DB70C885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 2, h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CE968D2A-4F98-49FB-BAF0-3156312427C9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 1, h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1DE00B42-43BA-4D7A-B24B-88AE28B3AC56}"/>
              </a:ext>
            </a:extLst>
          </xdr:cNvPr>
          <xdr:cNvSpPr txBox="1"/>
        </xdr:nvSpPr>
        <xdr:spPr>
          <a:xfrm>
            <a:off x="16344900" y="2758440"/>
            <a:ext cx="243840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L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37CDD31F-0834-461D-9AFE-EBC1935F7493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923A372-7C92-4DE6-B478-B23E95153588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name="output_linearization_3_CV_15_outpu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_linearization_1_CV_32_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7"/>
  <sheetViews>
    <sheetView topLeftCell="Q1" workbookViewId="0">
      <selection activeCell="AF7" sqref="AF7"/>
    </sheetView>
  </sheetViews>
  <sheetFormatPr defaultRowHeight="14.4" x14ac:dyDescent="0.3"/>
  <cols>
    <col min="1" max="1" width="1.5546875" customWidth="1"/>
    <col min="3" max="3" width="14.5546875" bestFit="1" customWidth="1"/>
    <col min="4" max="5" width="9" bestFit="1" customWidth="1"/>
    <col min="6" max="6" width="5.77734375" customWidth="1"/>
    <col min="7" max="7" width="15.44140625" bestFit="1" customWidth="1"/>
    <col min="8" max="8" width="21.44140625" bestFit="1" customWidth="1"/>
    <col min="9" max="9" width="11.5546875" customWidth="1"/>
    <col min="16" max="16" width="10.109375" customWidth="1"/>
    <col min="17" max="17" width="19.88671875" bestFit="1" customWidth="1"/>
    <col min="18" max="18" width="10.109375" customWidth="1"/>
    <col min="22" max="22" width="9" customWidth="1"/>
    <col min="23" max="23" width="19.109375" customWidth="1"/>
    <col min="24" max="24" width="11.44140625" bestFit="1" customWidth="1"/>
    <col min="25" max="26" width="10.44140625" customWidth="1"/>
    <col min="31" max="31" width="17.77734375" bestFit="1" customWidth="1"/>
    <col min="32" max="32" width="24.6640625" bestFit="1" customWidth="1"/>
    <col min="33" max="33" width="13.6640625" bestFit="1" customWidth="1"/>
  </cols>
  <sheetData>
    <row r="1" spans="2:33" x14ac:dyDescent="0.3">
      <c r="O1" s="152"/>
    </row>
    <row r="2" spans="2:33" ht="15" thickBot="1" x14ac:dyDescent="0.35">
      <c r="B2" s="20" t="s">
        <v>5</v>
      </c>
      <c r="O2" s="153" t="s">
        <v>140</v>
      </c>
    </row>
    <row r="3" spans="2:33" ht="16.2" thickBot="1" x14ac:dyDescent="0.35">
      <c r="B3" s="20"/>
      <c r="O3" s="152"/>
      <c r="P3" s="231" t="s">
        <v>145</v>
      </c>
      <c r="Q3" s="232"/>
      <c r="R3" s="232"/>
      <c r="S3" s="233"/>
      <c r="T3" s="154"/>
      <c r="U3" s="180"/>
      <c r="V3" s="180"/>
      <c r="W3" s="180"/>
      <c r="X3" s="260" t="s">
        <v>162</v>
      </c>
      <c r="Y3" s="261"/>
      <c r="Z3" s="262"/>
      <c r="AA3" s="263"/>
      <c r="AB3" s="260" t="s">
        <v>165</v>
      </c>
      <c r="AC3" s="261"/>
      <c r="AD3" s="261"/>
      <c r="AE3" s="261"/>
      <c r="AF3" s="261"/>
      <c r="AG3" s="262"/>
    </row>
    <row r="4" spans="2:33" ht="16.2" thickBot="1" x14ac:dyDescent="0.35">
      <c r="B4" s="29" t="s">
        <v>16</v>
      </c>
      <c r="C4" t="s">
        <v>17</v>
      </c>
      <c r="D4">
        <v>0.1</v>
      </c>
      <c r="E4" t="s">
        <v>18</v>
      </c>
      <c r="O4" s="152"/>
      <c r="P4" s="155" t="s">
        <v>142</v>
      </c>
      <c r="Q4" s="156" t="s">
        <v>143</v>
      </c>
      <c r="R4" s="156" t="s">
        <v>144</v>
      </c>
      <c r="S4" s="157" t="s">
        <v>153</v>
      </c>
      <c r="T4" s="154"/>
      <c r="U4" s="181"/>
      <c r="V4" s="181"/>
      <c r="X4" s="264" t="s">
        <v>161</v>
      </c>
      <c r="Y4" s="265" t="s">
        <v>163</v>
      </c>
      <c r="Z4" s="266" t="s">
        <v>164</v>
      </c>
      <c r="AA4" s="263"/>
      <c r="AB4" s="267" t="s">
        <v>1</v>
      </c>
      <c r="AC4" s="268" t="s">
        <v>3</v>
      </c>
      <c r="AD4" s="266" t="s">
        <v>2</v>
      </c>
      <c r="AE4" s="265" t="s">
        <v>15</v>
      </c>
      <c r="AF4" s="268" t="s">
        <v>14</v>
      </c>
      <c r="AG4" s="266" t="s">
        <v>4</v>
      </c>
    </row>
    <row r="5" spans="2:33" ht="18" x14ac:dyDescent="0.4">
      <c r="B5" t="s">
        <v>22</v>
      </c>
      <c r="D5">
        <v>7800</v>
      </c>
      <c r="E5" t="s">
        <v>31</v>
      </c>
      <c r="O5" s="152"/>
      <c r="P5" s="159" t="s">
        <v>16</v>
      </c>
      <c r="Q5" s="160" t="s">
        <v>146</v>
      </c>
      <c r="R5" s="161">
        <f>D4</f>
        <v>0.1</v>
      </c>
      <c r="S5" s="162" t="s">
        <v>18</v>
      </c>
      <c r="T5" s="154"/>
      <c r="U5" s="182"/>
      <c r="V5" s="183"/>
      <c r="X5" s="269" t="s">
        <v>189</v>
      </c>
      <c r="Y5" s="189">
        <v>0</v>
      </c>
      <c r="Z5" s="191">
        <v>0</v>
      </c>
      <c r="AA5" s="263"/>
      <c r="AB5" s="189">
        <f>C14</f>
        <v>2</v>
      </c>
      <c r="AC5" s="270">
        <f t="shared" ref="AC5:AD11" si="0">D14</f>
        <v>1</v>
      </c>
      <c r="AD5" s="271">
        <f t="shared" si="0"/>
        <v>0.1</v>
      </c>
      <c r="AE5" s="272">
        <f t="shared" ref="AE5:AG11" si="1">G14</f>
        <v>0</v>
      </c>
      <c r="AF5" s="273">
        <f t="shared" si="1"/>
        <v>1.5</v>
      </c>
      <c r="AG5" s="274">
        <f t="shared" si="1"/>
        <v>0</v>
      </c>
    </row>
    <row r="6" spans="2:33" ht="18.600000000000001" thickBot="1" x14ac:dyDescent="0.45">
      <c r="B6" t="s">
        <v>27</v>
      </c>
      <c r="D6">
        <v>60</v>
      </c>
      <c r="E6" t="s">
        <v>32</v>
      </c>
      <c r="O6" s="152"/>
      <c r="P6" s="163" t="s">
        <v>160</v>
      </c>
      <c r="Q6" s="164" t="s">
        <v>152</v>
      </c>
      <c r="R6" s="165">
        <f>D11</f>
        <v>5.0000000000000001E-3</v>
      </c>
      <c r="S6" s="166" t="s">
        <v>18</v>
      </c>
      <c r="T6" s="154"/>
      <c r="U6" s="178"/>
      <c r="V6" s="179"/>
      <c r="X6" s="275" t="s">
        <v>190</v>
      </c>
      <c r="Y6" s="192">
        <v>0</v>
      </c>
      <c r="Z6" s="194">
        <v>0</v>
      </c>
      <c r="AA6" s="263"/>
      <c r="AB6" s="192">
        <f t="shared" ref="AB6:AB11" si="2">C15</f>
        <v>3</v>
      </c>
      <c r="AC6" s="214">
        <f t="shared" si="0"/>
        <v>2</v>
      </c>
      <c r="AD6" s="276">
        <f t="shared" si="0"/>
        <v>0.05</v>
      </c>
      <c r="AE6" s="277">
        <f t="shared" si="1"/>
        <v>0</v>
      </c>
      <c r="AF6" s="278">
        <f t="shared" si="1"/>
        <v>1.5</v>
      </c>
      <c r="AG6" s="279">
        <f t="shared" si="1"/>
        <v>0</v>
      </c>
    </row>
    <row r="7" spans="2:33" ht="18.600000000000001" x14ac:dyDescent="0.4">
      <c r="B7" t="s">
        <v>23</v>
      </c>
      <c r="D7">
        <v>430</v>
      </c>
      <c r="E7" t="s">
        <v>30</v>
      </c>
      <c r="O7" s="152"/>
      <c r="P7" s="159" t="s">
        <v>141</v>
      </c>
      <c r="Q7" s="160" t="s">
        <v>22</v>
      </c>
      <c r="R7" s="161">
        <f t="shared" ref="R7" si="3">D5</f>
        <v>7800</v>
      </c>
      <c r="S7" s="162" t="s">
        <v>155</v>
      </c>
      <c r="T7" s="154"/>
      <c r="U7" s="178"/>
      <c r="V7" s="179"/>
      <c r="X7" s="275" t="s">
        <v>191</v>
      </c>
      <c r="Y7" s="192">
        <v>1</v>
      </c>
      <c r="Z7" s="194">
        <v>1</v>
      </c>
      <c r="AA7" s="263"/>
      <c r="AB7" s="192">
        <f t="shared" si="2"/>
        <v>5</v>
      </c>
      <c r="AC7" s="214">
        <f t="shared" si="0"/>
        <v>4</v>
      </c>
      <c r="AD7" s="276">
        <f t="shared" si="0"/>
        <v>2.5000000000000001E-2</v>
      </c>
      <c r="AE7" s="277">
        <f t="shared" si="1"/>
        <v>2.3841857899999999E-6</v>
      </c>
      <c r="AF7" s="278">
        <f t="shared" si="1"/>
        <v>1.4999963000000001</v>
      </c>
      <c r="AG7" s="279">
        <f t="shared" si="1"/>
        <v>-2.4666666666265749E-6</v>
      </c>
    </row>
    <row r="8" spans="2:33" ht="18.600000000000001" thickBot="1" x14ac:dyDescent="0.45">
      <c r="B8" t="s">
        <v>24</v>
      </c>
      <c r="D8">
        <v>0</v>
      </c>
      <c r="E8" t="s">
        <v>29</v>
      </c>
      <c r="O8" s="152"/>
      <c r="P8" s="167" t="s">
        <v>156</v>
      </c>
      <c r="Q8" s="168" t="s">
        <v>148</v>
      </c>
      <c r="R8" s="169">
        <f>D7</f>
        <v>430</v>
      </c>
      <c r="S8" s="170" t="s">
        <v>30</v>
      </c>
      <c r="T8" s="154"/>
      <c r="U8" s="178"/>
      <c r="V8" s="179"/>
      <c r="X8" s="280" t="s">
        <v>192</v>
      </c>
      <c r="Y8" s="186">
        <v>100</v>
      </c>
      <c r="Z8" s="188">
        <v>0</v>
      </c>
      <c r="AA8" s="263"/>
      <c r="AB8" s="192">
        <f t="shared" si="2"/>
        <v>9</v>
      </c>
      <c r="AC8" s="214">
        <f t="shared" si="0"/>
        <v>8</v>
      </c>
      <c r="AD8" s="276">
        <f t="shared" si="0"/>
        <v>1.2500000000000001E-2</v>
      </c>
      <c r="AE8" s="277">
        <f t="shared" si="1"/>
        <v>3.8146972699999997E-6</v>
      </c>
      <c r="AF8" s="278">
        <f t="shared" si="1"/>
        <v>1.4999926100000001</v>
      </c>
      <c r="AG8" s="279">
        <f t="shared" si="1"/>
        <v>-2.4600060680153924E-6</v>
      </c>
    </row>
    <row r="9" spans="2:33" ht="16.2" thickBot="1" x14ac:dyDescent="0.35">
      <c r="B9" t="s">
        <v>25</v>
      </c>
      <c r="D9">
        <v>100</v>
      </c>
      <c r="E9" t="s">
        <v>28</v>
      </c>
      <c r="O9" s="152"/>
      <c r="P9" s="171" t="s">
        <v>27</v>
      </c>
      <c r="Q9" s="172" t="s">
        <v>147</v>
      </c>
      <c r="R9" s="165">
        <f>D6</f>
        <v>60</v>
      </c>
      <c r="S9" s="173" t="s">
        <v>32</v>
      </c>
      <c r="T9" s="154"/>
      <c r="U9" s="178"/>
      <c r="V9" s="179"/>
      <c r="W9" s="179"/>
      <c r="X9" s="263"/>
      <c r="Y9" s="263"/>
      <c r="Z9" s="263"/>
      <c r="AA9" s="263"/>
      <c r="AB9" s="192">
        <f t="shared" si="2"/>
        <v>17</v>
      </c>
      <c r="AC9" s="214">
        <f t="shared" si="0"/>
        <v>16</v>
      </c>
      <c r="AD9" s="276">
        <f t="shared" si="0"/>
        <v>6.2500000000000003E-3</v>
      </c>
      <c r="AE9" s="277">
        <f t="shared" si="1"/>
        <v>5.2452087400000001E-6</v>
      </c>
      <c r="AF9" s="278">
        <f t="shared" si="1"/>
        <v>1.4998533999999999</v>
      </c>
      <c r="AG9" s="279">
        <f t="shared" si="1"/>
        <v>-9.2807123896541892E-5</v>
      </c>
    </row>
    <row r="10" spans="2:33" ht="17.399999999999999" x14ac:dyDescent="0.3">
      <c r="B10" t="s">
        <v>26</v>
      </c>
      <c r="D10">
        <v>0</v>
      </c>
      <c r="E10" t="s">
        <v>28</v>
      </c>
      <c r="O10" s="152"/>
      <c r="P10" s="174" t="s">
        <v>38</v>
      </c>
      <c r="Q10" s="175" t="s">
        <v>149</v>
      </c>
      <c r="R10" s="176">
        <f>D8</f>
        <v>0</v>
      </c>
      <c r="S10" s="177" t="s">
        <v>157</v>
      </c>
      <c r="T10" s="154"/>
      <c r="U10" s="178"/>
      <c r="V10" s="179"/>
      <c r="W10" s="138"/>
      <c r="X10" s="263"/>
      <c r="Y10" s="263"/>
      <c r="Z10" s="263"/>
      <c r="AA10" s="263"/>
      <c r="AB10" s="192">
        <f t="shared" si="2"/>
        <v>33</v>
      </c>
      <c r="AC10" s="214">
        <f t="shared" si="0"/>
        <v>32</v>
      </c>
      <c r="AD10" s="276">
        <f t="shared" si="0"/>
        <v>3.1250000000000002E-3</v>
      </c>
      <c r="AE10" s="277">
        <f t="shared" si="1"/>
        <v>1.4305114699999999E-5</v>
      </c>
      <c r="AF10" s="278">
        <f t="shared" si="1"/>
        <v>1.49757457</v>
      </c>
      <c r="AG10" s="279">
        <f t="shared" si="1"/>
        <v>-1.5193684929472727E-3</v>
      </c>
    </row>
    <row r="11" spans="2:33" ht="16.8" thickBot="1" x14ac:dyDescent="0.4">
      <c r="B11" t="s">
        <v>93</v>
      </c>
      <c r="D11">
        <v>5.0000000000000001E-3</v>
      </c>
      <c r="E11" t="s">
        <v>18</v>
      </c>
      <c r="O11" s="152"/>
      <c r="P11" s="167" t="s">
        <v>158</v>
      </c>
      <c r="Q11" s="168" t="s">
        <v>150</v>
      </c>
      <c r="R11" s="176">
        <f>D9</f>
        <v>100</v>
      </c>
      <c r="S11" s="170" t="s">
        <v>154</v>
      </c>
      <c r="T11" s="154"/>
      <c r="U11" s="178"/>
      <c r="V11" s="179"/>
      <c r="W11" s="179"/>
      <c r="X11" s="263"/>
      <c r="Y11" s="263"/>
      <c r="Z11" s="263"/>
      <c r="AA11" s="263"/>
      <c r="AB11" s="186">
        <f t="shared" si="2"/>
        <v>65</v>
      </c>
      <c r="AC11" s="215">
        <f t="shared" si="0"/>
        <v>64</v>
      </c>
      <c r="AD11" s="281">
        <f t="shared" si="0"/>
        <v>1.5625000000000001E-3</v>
      </c>
      <c r="AE11" s="282">
        <f t="shared" si="1"/>
        <v>2.05039978E-5</v>
      </c>
      <c r="AF11" s="283">
        <f t="shared" si="1"/>
        <v>1.5026387000000001</v>
      </c>
      <c r="AG11" s="284">
        <f t="shared" si="1"/>
        <v>3.381554482458964E-3</v>
      </c>
    </row>
    <row r="12" spans="2:33" ht="16.8" thickBot="1" x14ac:dyDescent="0.4">
      <c r="O12" s="152"/>
      <c r="P12" s="163" t="s">
        <v>159</v>
      </c>
      <c r="Q12" s="164" t="s">
        <v>151</v>
      </c>
      <c r="R12" s="165">
        <f>D10</f>
        <v>0</v>
      </c>
      <c r="S12" s="166" t="s">
        <v>154</v>
      </c>
      <c r="T12" s="154"/>
      <c r="U12" s="154"/>
      <c r="V12" s="154"/>
      <c r="W12" s="154"/>
    </row>
    <row r="13" spans="2:33" ht="15" thickBot="1" x14ac:dyDescent="0.35">
      <c r="B13" s="35" t="s">
        <v>0</v>
      </c>
      <c r="C13" s="22" t="s">
        <v>1</v>
      </c>
      <c r="D13" s="12" t="s">
        <v>3</v>
      </c>
      <c r="E13" s="12" t="s">
        <v>2</v>
      </c>
      <c r="F13" s="28" t="s">
        <v>12</v>
      </c>
      <c r="G13" s="11" t="s">
        <v>15</v>
      </c>
      <c r="H13" s="26" t="s">
        <v>14</v>
      </c>
      <c r="I13" s="35" t="s">
        <v>4</v>
      </c>
      <c r="O13" s="152"/>
    </row>
    <row r="14" spans="2:33" x14ac:dyDescent="0.3">
      <c r="B14" s="36">
        <v>1</v>
      </c>
      <c r="C14" s="14">
        <v>2</v>
      </c>
      <c r="D14" s="15">
        <f t="shared" ref="D14" si="4">C14-1</f>
        <v>1</v>
      </c>
      <c r="E14" s="15">
        <f t="shared" ref="E14" si="5">$D$4/D14</f>
        <v>0.1</v>
      </c>
      <c r="F14" s="18">
        <f>F20</f>
        <v>100</v>
      </c>
      <c r="G14" s="97">
        <v>0</v>
      </c>
      <c r="H14" s="99">
        <v>1.5</v>
      </c>
      <c r="I14" s="98"/>
      <c r="J14" s="9"/>
      <c r="O14" s="152"/>
    </row>
    <row r="15" spans="2:33" x14ac:dyDescent="0.3">
      <c r="B15" s="37">
        <f>B14+1</f>
        <v>2</v>
      </c>
      <c r="C15" s="95">
        <v>3</v>
      </c>
      <c r="D15" s="51">
        <f>C15-1</f>
        <v>2</v>
      </c>
      <c r="E15" s="51">
        <f>$D$4/D15</f>
        <v>0.05</v>
      </c>
      <c r="F15" s="96">
        <v>100</v>
      </c>
      <c r="G15" s="30">
        <v>0</v>
      </c>
      <c r="H15" s="100">
        <v>1.5</v>
      </c>
      <c r="I15" s="41">
        <f>(H15-H14)/H14</f>
        <v>0</v>
      </c>
      <c r="O15" s="152"/>
    </row>
    <row r="16" spans="2:33" x14ac:dyDescent="0.3">
      <c r="B16" s="37">
        <f t="shared" ref="B16:B20" si="6">B15+1</f>
        <v>3</v>
      </c>
      <c r="C16" s="31">
        <v>5</v>
      </c>
      <c r="D16" s="13">
        <f t="shared" ref="D16:D19" si="7">C16-1</f>
        <v>4</v>
      </c>
      <c r="E16" s="13">
        <f t="shared" ref="E16:E20" si="8">$D$4/D16</f>
        <v>2.5000000000000001E-2</v>
      </c>
      <c r="F16" s="2">
        <f>F15</f>
        <v>100</v>
      </c>
      <c r="G16" s="32">
        <v>2.3841857899999999E-6</v>
      </c>
      <c r="H16" s="100">
        <v>1.4999963000000001</v>
      </c>
      <c r="I16" s="41">
        <f>(H16-H15)/H15</f>
        <v>-2.4666666666265749E-6</v>
      </c>
      <c r="O16" s="152"/>
    </row>
    <row r="17" spans="2:15" x14ac:dyDescent="0.3">
      <c r="B17" s="37">
        <f t="shared" si="6"/>
        <v>4</v>
      </c>
      <c r="C17" s="31">
        <f>C16+D16</f>
        <v>9</v>
      </c>
      <c r="D17" s="13">
        <f t="shared" si="7"/>
        <v>8</v>
      </c>
      <c r="E17" s="13">
        <f t="shared" si="8"/>
        <v>1.2500000000000001E-2</v>
      </c>
      <c r="F17" s="2">
        <f t="shared" ref="F17:F20" si="9">F16</f>
        <v>100</v>
      </c>
      <c r="G17" s="32">
        <v>3.8146972699999997E-6</v>
      </c>
      <c r="H17" s="100">
        <v>1.4999926100000001</v>
      </c>
      <c r="I17" s="41">
        <f t="shared" ref="I17:I20" si="10">(H17-H16)/H16</f>
        <v>-2.4600060680153924E-6</v>
      </c>
      <c r="J17" t="s">
        <v>96</v>
      </c>
      <c r="O17" s="152"/>
    </row>
    <row r="18" spans="2:15" x14ac:dyDescent="0.3">
      <c r="B18" s="37">
        <f t="shared" si="6"/>
        <v>5</v>
      </c>
      <c r="C18" s="31">
        <f>C17+D17</f>
        <v>17</v>
      </c>
      <c r="D18" s="13">
        <f t="shared" si="7"/>
        <v>16</v>
      </c>
      <c r="E18" s="13">
        <f t="shared" si="8"/>
        <v>6.2500000000000003E-3</v>
      </c>
      <c r="F18" s="2">
        <f t="shared" si="9"/>
        <v>100</v>
      </c>
      <c r="G18" s="32">
        <v>5.2452087400000001E-6</v>
      </c>
      <c r="H18" s="100">
        <v>1.4998533999999999</v>
      </c>
      <c r="I18" s="41">
        <f t="shared" si="10"/>
        <v>-9.2807123896541892E-5</v>
      </c>
      <c r="J18" t="s">
        <v>96</v>
      </c>
      <c r="O18" s="152"/>
    </row>
    <row r="19" spans="2:15" x14ac:dyDescent="0.3">
      <c r="B19" s="37">
        <f t="shared" si="6"/>
        <v>6</v>
      </c>
      <c r="C19" s="31">
        <f>C18+D18</f>
        <v>33</v>
      </c>
      <c r="D19" s="13">
        <f t="shared" si="7"/>
        <v>32</v>
      </c>
      <c r="E19" s="13">
        <f t="shared" si="8"/>
        <v>3.1250000000000002E-3</v>
      </c>
      <c r="F19" s="2">
        <f t="shared" si="9"/>
        <v>100</v>
      </c>
      <c r="G19" s="33">
        <v>1.4305114699999999E-5</v>
      </c>
      <c r="H19" s="100">
        <v>1.49757457</v>
      </c>
      <c r="I19" s="42">
        <f t="shared" si="10"/>
        <v>-1.5193684929472727E-3</v>
      </c>
      <c r="J19" t="s">
        <v>96</v>
      </c>
      <c r="O19" s="152"/>
    </row>
    <row r="20" spans="2:15" ht="15" thickBot="1" x14ac:dyDescent="0.35">
      <c r="B20" s="38">
        <f t="shared" si="6"/>
        <v>7</v>
      </c>
      <c r="C20" s="34">
        <f>C19+D19</f>
        <v>65</v>
      </c>
      <c r="D20" s="16">
        <f t="shared" ref="D20" si="11">C20-1</f>
        <v>64</v>
      </c>
      <c r="E20" s="16">
        <f t="shared" si="8"/>
        <v>1.5625000000000001E-3</v>
      </c>
      <c r="F20" s="4">
        <f t="shared" si="9"/>
        <v>100</v>
      </c>
      <c r="G20" s="39">
        <v>2.05039978E-5</v>
      </c>
      <c r="H20" s="25">
        <v>1.5026387000000001</v>
      </c>
      <c r="I20" s="43">
        <f t="shared" si="10"/>
        <v>3.381554482458964E-3</v>
      </c>
      <c r="J20" t="s">
        <v>96</v>
      </c>
      <c r="O20" s="152"/>
    </row>
    <row r="21" spans="2:15" x14ac:dyDescent="0.3">
      <c r="O21" s="152"/>
    </row>
    <row r="22" spans="2:15" x14ac:dyDescent="0.3">
      <c r="B22" s="6"/>
      <c r="C22" s="55"/>
      <c r="D22" s="6"/>
      <c r="E22" s="7"/>
      <c r="F22" s="7"/>
      <c r="G22" s="7"/>
      <c r="H22" s="7"/>
      <c r="I22" s="7"/>
      <c r="O22" s="152"/>
    </row>
    <row r="23" spans="2:15" ht="15" thickBot="1" x14ac:dyDescent="0.35">
      <c r="B23" s="6"/>
      <c r="C23" s="6"/>
      <c r="D23" s="6"/>
      <c r="E23" s="7"/>
      <c r="F23" s="7"/>
      <c r="G23" s="7"/>
      <c r="H23" s="7"/>
      <c r="I23" s="7"/>
      <c r="O23" s="152"/>
    </row>
    <row r="24" spans="2:15" x14ac:dyDescent="0.3">
      <c r="C24" s="77" t="s">
        <v>91</v>
      </c>
      <c r="D24" s="150">
        <f>2*D11+2*D11</f>
        <v>0.02</v>
      </c>
      <c r="E24" s="89"/>
      <c r="F24" s="7"/>
      <c r="G24" s="7"/>
      <c r="H24" s="7"/>
      <c r="I24" s="7"/>
      <c r="O24" s="152"/>
    </row>
    <row r="25" spans="2:15" x14ac:dyDescent="0.3">
      <c r="C25" s="80" t="s">
        <v>92</v>
      </c>
      <c r="D25" s="81">
        <f>D11*D11</f>
        <v>2.5000000000000001E-5</v>
      </c>
      <c r="E25" s="86"/>
      <c r="F25" s="7"/>
      <c r="G25" s="7"/>
      <c r="H25" s="7"/>
      <c r="I25" s="7"/>
    </row>
    <row r="26" spans="2:15" ht="15" thickBot="1" x14ac:dyDescent="0.35">
      <c r="C26" s="87" t="s">
        <v>18</v>
      </c>
      <c r="D26" s="88">
        <f>SQRT(D8*D24/(D6*D25))</f>
        <v>0</v>
      </c>
      <c r="E26" s="86"/>
    </row>
    <row r="27" spans="2:15" ht="15" thickBot="1" x14ac:dyDescent="0.35">
      <c r="C27" s="84"/>
      <c r="D27" s="85"/>
      <c r="E27" s="86"/>
    </row>
    <row r="28" spans="2:15" ht="15" thickBot="1" x14ac:dyDescent="0.35">
      <c r="B28" s="85"/>
      <c r="C28" s="234" t="s">
        <v>87</v>
      </c>
      <c r="D28" s="235"/>
      <c r="E28" s="236"/>
    </row>
    <row r="29" spans="2:15" ht="15" thickBot="1" x14ac:dyDescent="0.35">
      <c r="B29" s="84"/>
      <c r="C29" s="8" t="s">
        <v>82</v>
      </c>
      <c r="D29" s="130" t="s">
        <v>89</v>
      </c>
      <c r="E29" s="49" t="s">
        <v>90</v>
      </c>
    </row>
    <row r="30" spans="2:15" x14ac:dyDescent="0.3">
      <c r="B30" s="103">
        <v>0</v>
      </c>
      <c r="C30" s="109">
        <f>B30*$E$19</f>
        <v>0</v>
      </c>
      <c r="D30" s="51" t="e">
        <f>$D$10+$H$38*($H$37*SINH($C$33*C30)+SINH($C$33*($D$3-C30)))/$H$36</f>
        <v>#DIV/0!</v>
      </c>
      <c r="E30" s="96" t="e">
        <f>D30+273.15</f>
        <v>#DIV/0!</v>
      </c>
    </row>
    <row r="31" spans="2:15" x14ac:dyDescent="0.3">
      <c r="B31" s="129">
        <v>0.5</v>
      </c>
      <c r="C31" s="109">
        <f>B31*$E$19</f>
        <v>1.5625000000000001E-3</v>
      </c>
      <c r="D31" s="51" t="e">
        <f t="shared" ref="D31:D62" si="12">$D$10+$H$38*($H$37*SINH($C$33*C31)+SINH($C$33*($D$3-C31)))/$H$36</f>
        <v>#DIV/0!</v>
      </c>
      <c r="E31" s="96" t="e">
        <f t="shared" ref="E31:E62" si="13">D31+273.15</f>
        <v>#DIV/0!</v>
      </c>
    </row>
    <row r="32" spans="2:15" x14ac:dyDescent="0.3">
      <c r="B32" s="104">
        <v>1</v>
      </c>
      <c r="C32" s="1">
        <f>C31+B32*$E$19</f>
        <v>4.6875000000000007E-3</v>
      </c>
      <c r="D32" s="51" t="e">
        <f t="shared" si="12"/>
        <v>#DIV/0!</v>
      </c>
      <c r="E32" s="2" t="e">
        <f t="shared" si="13"/>
        <v>#DIV/0!</v>
      </c>
    </row>
    <row r="33" spans="2:5" x14ac:dyDescent="0.3">
      <c r="B33" s="104">
        <v>2</v>
      </c>
      <c r="C33" s="1">
        <f>$E$19+C32</f>
        <v>7.8125E-3</v>
      </c>
      <c r="D33" s="51" t="e">
        <f t="shared" si="12"/>
        <v>#DIV/0!</v>
      </c>
      <c r="E33" s="2" t="e">
        <f t="shared" si="13"/>
        <v>#DIV/0!</v>
      </c>
    </row>
    <row r="34" spans="2:5" x14ac:dyDescent="0.3">
      <c r="B34" s="104">
        <v>3</v>
      </c>
      <c r="C34" s="1">
        <f t="shared" ref="C34:C61" si="14">$E$19+C33</f>
        <v>1.0937499999999999E-2</v>
      </c>
      <c r="D34" s="51" t="e">
        <f t="shared" si="12"/>
        <v>#DIV/0!</v>
      </c>
      <c r="E34" s="2" t="e">
        <f t="shared" si="13"/>
        <v>#DIV/0!</v>
      </c>
    </row>
    <row r="35" spans="2:5" x14ac:dyDescent="0.3">
      <c r="B35" s="104">
        <v>4</v>
      </c>
      <c r="C35" s="1">
        <f t="shared" si="14"/>
        <v>1.4062499999999999E-2</v>
      </c>
      <c r="D35" s="51" t="e">
        <f t="shared" si="12"/>
        <v>#DIV/0!</v>
      </c>
      <c r="E35" s="2" t="e">
        <f t="shared" si="13"/>
        <v>#DIV/0!</v>
      </c>
    </row>
    <row r="36" spans="2:5" x14ac:dyDescent="0.3">
      <c r="B36" s="104">
        <v>5</v>
      </c>
      <c r="C36" s="1">
        <f t="shared" si="14"/>
        <v>1.7187499999999998E-2</v>
      </c>
      <c r="D36" s="51" t="e">
        <f t="shared" si="12"/>
        <v>#DIV/0!</v>
      </c>
      <c r="E36" s="2" t="e">
        <f t="shared" si="13"/>
        <v>#DIV/0!</v>
      </c>
    </row>
    <row r="37" spans="2:5" x14ac:dyDescent="0.3">
      <c r="B37" s="104">
        <v>6</v>
      </c>
      <c r="C37" s="1">
        <f t="shared" si="14"/>
        <v>2.0312499999999997E-2</v>
      </c>
      <c r="D37" s="51" t="e">
        <f t="shared" si="12"/>
        <v>#DIV/0!</v>
      </c>
      <c r="E37" s="2" t="e">
        <f t="shared" si="13"/>
        <v>#DIV/0!</v>
      </c>
    </row>
    <row r="38" spans="2:5" x14ac:dyDescent="0.3">
      <c r="B38" s="104">
        <v>7</v>
      </c>
      <c r="C38" s="1">
        <f t="shared" si="14"/>
        <v>2.3437499999999997E-2</v>
      </c>
      <c r="D38" s="51" t="e">
        <f t="shared" si="12"/>
        <v>#DIV/0!</v>
      </c>
      <c r="E38" s="2" t="e">
        <f t="shared" si="13"/>
        <v>#DIV/0!</v>
      </c>
    </row>
    <row r="39" spans="2:5" x14ac:dyDescent="0.3">
      <c r="B39" s="104">
        <v>8</v>
      </c>
      <c r="C39" s="1">
        <f t="shared" si="14"/>
        <v>2.6562499999999996E-2</v>
      </c>
      <c r="D39" s="51" t="e">
        <f t="shared" si="12"/>
        <v>#DIV/0!</v>
      </c>
      <c r="E39" s="2" t="e">
        <f t="shared" si="13"/>
        <v>#DIV/0!</v>
      </c>
    </row>
    <row r="40" spans="2:5" x14ac:dyDescent="0.3">
      <c r="B40" s="104">
        <v>9</v>
      </c>
      <c r="C40" s="1">
        <f t="shared" si="14"/>
        <v>2.9687499999999995E-2</v>
      </c>
      <c r="D40" s="51" t="e">
        <f t="shared" si="12"/>
        <v>#DIV/0!</v>
      </c>
      <c r="E40" s="2" t="e">
        <f t="shared" si="13"/>
        <v>#DIV/0!</v>
      </c>
    </row>
    <row r="41" spans="2:5" x14ac:dyDescent="0.3">
      <c r="B41" s="104">
        <v>10</v>
      </c>
      <c r="C41" s="1">
        <f t="shared" si="14"/>
        <v>3.2812499999999994E-2</v>
      </c>
      <c r="D41" s="51" t="e">
        <f t="shared" si="12"/>
        <v>#DIV/0!</v>
      </c>
      <c r="E41" s="2" t="e">
        <f t="shared" si="13"/>
        <v>#DIV/0!</v>
      </c>
    </row>
    <row r="42" spans="2:5" x14ac:dyDescent="0.3">
      <c r="B42" s="104">
        <v>11</v>
      </c>
      <c r="C42" s="1">
        <f t="shared" si="14"/>
        <v>3.5937499999999997E-2</v>
      </c>
      <c r="D42" s="51" t="e">
        <f t="shared" si="12"/>
        <v>#DIV/0!</v>
      </c>
      <c r="E42" s="2" t="e">
        <f t="shared" si="13"/>
        <v>#DIV/0!</v>
      </c>
    </row>
    <row r="43" spans="2:5" x14ac:dyDescent="0.3">
      <c r="B43" s="104">
        <v>12</v>
      </c>
      <c r="C43" s="1">
        <f t="shared" si="14"/>
        <v>3.90625E-2</v>
      </c>
      <c r="D43" s="51" t="e">
        <f t="shared" si="12"/>
        <v>#DIV/0!</v>
      </c>
      <c r="E43" s="2" t="e">
        <f t="shared" si="13"/>
        <v>#DIV/0!</v>
      </c>
    </row>
    <row r="44" spans="2:5" x14ac:dyDescent="0.3">
      <c r="B44" s="104">
        <v>13</v>
      </c>
      <c r="C44" s="1">
        <f t="shared" si="14"/>
        <v>4.2187500000000003E-2</v>
      </c>
      <c r="D44" s="51" t="e">
        <f t="shared" si="12"/>
        <v>#DIV/0!</v>
      </c>
      <c r="E44" s="2" t="e">
        <f t="shared" si="13"/>
        <v>#DIV/0!</v>
      </c>
    </row>
    <row r="45" spans="2:5" x14ac:dyDescent="0.3">
      <c r="B45" s="104">
        <v>14</v>
      </c>
      <c r="C45" s="1">
        <f t="shared" si="14"/>
        <v>4.5312500000000006E-2</v>
      </c>
      <c r="D45" s="51" t="e">
        <f t="shared" si="12"/>
        <v>#DIV/0!</v>
      </c>
      <c r="E45" s="2" t="e">
        <f t="shared" si="13"/>
        <v>#DIV/0!</v>
      </c>
    </row>
    <row r="46" spans="2:5" x14ac:dyDescent="0.3">
      <c r="B46" s="104">
        <v>15</v>
      </c>
      <c r="C46" s="1">
        <f t="shared" si="14"/>
        <v>4.8437500000000008E-2</v>
      </c>
      <c r="D46" s="51" t="e">
        <f t="shared" si="12"/>
        <v>#DIV/0!</v>
      </c>
      <c r="E46" s="2" t="e">
        <f t="shared" si="13"/>
        <v>#DIV/0!</v>
      </c>
    </row>
    <row r="47" spans="2:5" x14ac:dyDescent="0.3">
      <c r="B47" s="104">
        <v>16</v>
      </c>
      <c r="C47" s="1">
        <f t="shared" si="14"/>
        <v>5.1562500000000011E-2</v>
      </c>
      <c r="D47" s="51" t="e">
        <f t="shared" si="12"/>
        <v>#DIV/0!</v>
      </c>
      <c r="E47" s="2" t="e">
        <f t="shared" si="13"/>
        <v>#DIV/0!</v>
      </c>
    </row>
    <row r="48" spans="2:5" x14ac:dyDescent="0.3">
      <c r="B48" s="104">
        <v>17</v>
      </c>
      <c r="C48" s="1">
        <f t="shared" si="14"/>
        <v>5.4687500000000014E-2</v>
      </c>
      <c r="D48" s="51" t="e">
        <f t="shared" si="12"/>
        <v>#DIV/0!</v>
      </c>
      <c r="E48" s="2" t="e">
        <f t="shared" si="13"/>
        <v>#DIV/0!</v>
      </c>
    </row>
    <row r="49" spans="2:5" x14ac:dyDescent="0.3">
      <c r="B49" s="104">
        <v>18</v>
      </c>
      <c r="C49" s="1">
        <f t="shared" si="14"/>
        <v>5.7812500000000017E-2</v>
      </c>
      <c r="D49" s="51" t="e">
        <f t="shared" si="12"/>
        <v>#DIV/0!</v>
      </c>
      <c r="E49" s="2" t="e">
        <f t="shared" si="13"/>
        <v>#DIV/0!</v>
      </c>
    </row>
    <row r="50" spans="2:5" x14ac:dyDescent="0.3">
      <c r="B50" s="104">
        <v>19</v>
      </c>
      <c r="C50" s="1">
        <f t="shared" si="14"/>
        <v>6.0937500000000019E-2</v>
      </c>
      <c r="D50" s="51" t="e">
        <f t="shared" si="12"/>
        <v>#DIV/0!</v>
      </c>
      <c r="E50" s="2" t="e">
        <f t="shared" si="13"/>
        <v>#DIV/0!</v>
      </c>
    </row>
    <row r="51" spans="2:5" x14ac:dyDescent="0.3">
      <c r="B51" s="104">
        <v>20</v>
      </c>
      <c r="C51" s="1">
        <f t="shared" si="14"/>
        <v>6.4062500000000022E-2</v>
      </c>
      <c r="D51" s="51" t="e">
        <f t="shared" si="12"/>
        <v>#DIV/0!</v>
      </c>
      <c r="E51" s="2" t="e">
        <f t="shared" si="13"/>
        <v>#DIV/0!</v>
      </c>
    </row>
    <row r="52" spans="2:5" x14ac:dyDescent="0.3">
      <c r="B52" s="104">
        <v>21</v>
      </c>
      <c r="C52" s="1">
        <f t="shared" si="14"/>
        <v>6.7187500000000025E-2</v>
      </c>
      <c r="D52" s="51" t="e">
        <f t="shared" si="12"/>
        <v>#DIV/0!</v>
      </c>
      <c r="E52" s="2" t="e">
        <f t="shared" si="13"/>
        <v>#DIV/0!</v>
      </c>
    </row>
    <row r="53" spans="2:5" x14ac:dyDescent="0.3">
      <c r="B53" s="104">
        <v>22</v>
      </c>
      <c r="C53" s="1">
        <f t="shared" si="14"/>
        <v>7.0312500000000028E-2</v>
      </c>
      <c r="D53" s="51" t="e">
        <f t="shared" si="12"/>
        <v>#DIV/0!</v>
      </c>
      <c r="E53" s="2" t="e">
        <f t="shared" si="13"/>
        <v>#DIV/0!</v>
      </c>
    </row>
    <row r="54" spans="2:5" x14ac:dyDescent="0.3">
      <c r="B54" s="104">
        <v>23</v>
      </c>
      <c r="C54" s="1">
        <f t="shared" si="14"/>
        <v>7.3437500000000031E-2</v>
      </c>
      <c r="D54" s="51" t="e">
        <f t="shared" si="12"/>
        <v>#DIV/0!</v>
      </c>
      <c r="E54" s="2" t="e">
        <f t="shared" si="13"/>
        <v>#DIV/0!</v>
      </c>
    </row>
    <row r="55" spans="2:5" x14ac:dyDescent="0.3">
      <c r="B55" s="104">
        <v>24</v>
      </c>
      <c r="C55" s="1">
        <f t="shared" si="14"/>
        <v>7.6562500000000033E-2</v>
      </c>
      <c r="D55" s="51" t="e">
        <f t="shared" si="12"/>
        <v>#DIV/0!</v>
      </c>
      <c r="E55" s="2" t="e">
        <f t="shared" si="13"/>
        <v>#DIV/0!</v>
      </c>
    </row>
    <row r="56" spans="2:5" x14ac:dyDescent="0.3">
      <c r="B56" s="104">
        <v>25</v>
      </c>
      <c r="C56" s="1">
        <f t="shared" si="14"/>
        <v>7.9687500000000036E-2</v>
      </c>
      <c r="D56" s="51" t="e">
        <f t="shared" si="12"/>
        <v>#DIV/0!</v>
      </c>
      <c r="E56" s="2" t="e">
        <f t="shared" si="13"/>
        <v>#DIV/0!</v>
      </c>
    </row>
    <row r="57" spans="2:5" x14ac:dyDescent="0.3">
      <c r="B57" s="104">
        <v>26</v>
      </c>
      <c r="C57" s="1">
        <f t="shared" si="14"/>
        <v>8.2812500000000039E-2</v>
      </c>
      <c r="D57" s="51" t="e">
        <f t="shared" si="12"/>
        <v>#DIV/0!</v>
      </c>
      <c r="E57" s="2" t="e">
        <f t="shared" si="13"/>
        <v>#DIV/0!</v>
      </c>
    </row>
    <row r="58" spans="2:5" x14ac:dyDescent="0.3">
      <c r="B58" s="104">
        <v>27</v>
      </c>
      <c r="C58" s="1">
        <f t="shared" si="14"/>
        <v>8.5937500000000042E-2</v>
      </c>
      <c r="D58" s="51" t="e">
        <f t="shared" si="12"/>
        <v>#DIV/0!</v>
      </c>
      <c r="E58" s="2" t="e">
        <f t="shared" si="13"/>
        <v>#DIV/0!</v>
      </c>
    </row>
    <row r="59" spans="2:5" x14ac:dyDescent="0.3">
      <c r="B59" s="104">
        <v>28</v>
      </c>
      <c r="C59" s="1">
        <f t="shared" si="14"/>
        <v>8.9062500000000044E-2</v>
      </c>
      <c r="D59" s="51" t="e">
        <f t="shared" si="12"/>
        <v>#DIV/0!</v>
      </c>
      <c r="E59" s="2" t="e">
        <f t="shared" si="13"/>
        <v>#DIV/0!</v>
      </c>
    </row>
    <row r="60" spans="2:5" x14ac:dyDescent="0.3">
      <c r="B60" s="104">
        <v>29</v>
      </c>
      <c r="C60" s="1">
        <f t="shared" si="14"/>
        <v>9.2187500000000047E-2</v>
      </c>
      <c r="D60" s="51" t="e">
        <f t="shared" si="12"/>
        <v>#DIV/0!</v>
      </c>
      <c r="E60" s="2" t="e">
        <f t="shared" si="13"/>
        <v>#DIV/0!</v>
      </c>
    </row>
    <row r="61" spans="2:5" x14ac:dyDescent="0.3">
      <c r="B61" s="127">
        <v>30</v>
      </c>
      <c r="C61" s="1">
        <f t="shared" si="14"/>
        <v>9.531250000000005E-2</v>
      </c>
      <c r="D61" s="51" t="e">
        <f t="shared" si="12"/>
        <v>#DIV/0!</v>
      </c>
      <c r="E61" s="53" t="e">
        <f t="shared" si="13"/>
        <v>#DIV/0!</v>
      </c>
    </row>
    <row r="62" spans="2:5" ht="15" thickBot="1" x14ac:dyDescent="0.35">
      <c r="B62" s="128">
        <v>30.5</v>
      </c>
      <c r="C62" s="3">
        <f>$E$19/2+C61</f>
        <v>9.6875000000000044E-2</v>
      </c>
      <c r="D62" s="51" t="e">
        <f t="shared" si="12"/>
        <v>#DIV/0!</v>
      </c>
      <c r="E62" s="117" t="e">
        <f t="shared" si="13"/>
        <v>#DIV/0!</v>
      </c>
    </row>
    <row r="63" spans="2:5" x14ac:dyDescent="0.3">
      <c r="B63" s="6"/>
      <c r="C63" s="6"/>
      <c r="D63" s="6"/>
    </row>
    <row r="64" spans="2:5" x14ac:dyDescent="0.3">
      <c r="B64" s="6"/>
      <c r="C64" s="6"/>
      <c r="D64" s="6"/>
    </row>
    <row r="65" spans="2:4" x14ac:dyDescent="0.3">
      <c r="B65" s="6"/>
      <c r="C65" s="6"/>
      <c r="D65" s="6"/>
    </row>
    <row r="66" spans="2:4" x14ac:dyDescent="0.3">
      <c r="B66" s="6"/>
      <c r="C66" s="6"/>
      <c r="D66" s="6"/>
    </row>
    <row r="67" spans="2:4" x14ac:dyDescent="0.3">
      <c r="B67" s="6"/>
      <c r="C67" s="6"/>
      <c r="D67" s="6"/>
    </row>
  </sheetData>
  <mergeCells count="4">
    <mergeCell ref="AB3:AG3"/>
    <mergeCell ref="P3:S3"/>
    <mergeCell ref="C28:E28"/>
    <mergeCell ref="X3:Z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topLeftCell="M1" zoomScale="102" workbookViewId="0">
      <selection activeCell="Q2" sqref="Q2:S7"/>
    </sheetView>
  </sheetViews>
  <sheetFormatPr defaultRowHeight="14.4" x14ac:dyDescent="0.3"/>
  <cols>
    <col min="1" max="1" width="5.33203125" bestFit="1" customWidth="1"/>
    <col min="2" max="2" width="13" bestFit="1" customWidth="1"/>
    <col min="3" max="3" width="14.88671875" bestFit="1" customWidth="1"/>
    <col min="4" max="5" width="13" bestFit="1" customWidth="1"/>
    <col min="6" max="8" width="8.5546875" customWidth="1"/>
    <col min="9" max="9" width="10.77734375" customWidth="1"/>
    <col min="10" max="10" width="44.88671875" bestFit="1" customWidth="1"/>
    <col min="11" max="11" width="4.21875" style="152" customWidth="1"/>
    <col min="12" max="12" width="9.109375" bestFit="1" customWidth="1"/>
    <col min="13" max="13" width="22.88671875" bestFit="1" customWidth="1"/>
    <col min="17" max="17" width="10.6640625" bestFit="1" customWidth="1"/>
    <col min="21" max="23" width="9" bestFit="1" customWidth="1"/>
    <col min="24" max="24" width="24.6640625" bestFit="1" customWidth="1"/>
    <col min="25" max="25" width="13.6640625" bestFit="1" customWidth="1"/>
    <col min="26" max="26" width="24.33203125" bestFit="1" customWidth="1"/>
    <col min="27" max="27" width="13.6640625" bestFit="1" customWidth="1"/>
    <col min="28" max="28" width="10.33203125" bestFit="1" customWidth="1"/>
  </cols>
  <sheetData>
    <row r="1" spans="2:28" ht="15" thickBot="1" x14ac:dyDescent="0.35"/>
    <row r="2" spans="2:28" ht="16.2" thickBot="1" x14ac:dyDescent="0.35">
      <c r="B2" s="243" t="s">
        <v>94</v>
      </c>
      <c r="C2" s="244"/>
      <c r="D2" s="244"/>
      <c r="E2" s="245"/>
      <c r="G2" s="20" t="s">
        <v>6</v>
      </c>
      <c r="L2" s="231" t="s">
        <v>145</v>
      </c>
      <c r="M2" s="232"/>
      <c r="N2" s="232"/>
      <c r="O2" s="233"/>
      <c r="Q2" s="240" t="s">
        <v>162</v>
      </c>
      <c r="R2" s="241"/>
      <c r="S2" s="242"/>
      <c r="U2" s="237" t="s">
        <v>165</v>
      </c>
      <c r="V2" s="238"/>
      <c r="W2" s="238"/>
      <c r="X2" s="238"/>
      <c r="Y2" s="238"/>
      <c r="Z2" s="238"/>
      <c r="AA2" s="238"/>
      <c r="AB2" s="239"/>
    </row>
    <row r="3" spans="2:28" ht="16.2" thickBot="1" x14ac:dyDescent="0.35">
      <c r="B3" s="90" t="s">
        <v>16</v>
      </c>
      <c r="C3" s="78" t="s">
        <v>17</v>
      </c>
      <c r="D3" s="78">
        <v>0.1</v>
      </c>
      <c r="E3" s="79" t="s">
        <v>18</v>
      </c>
      <c r="F3">
        <f>D3/2</f>
        <v>0.05</v>
      </c>
      <c r="L3" s="155" t="s">
        <v>142</v>
      </c>
      <c r="M3" s="156" t="s">
        <v>143</v>
      </c>
      <c r="N3" s="156" t="s">
        <v>144</v>
      </c>
      <c r="O3" s="157" t="s">
        <v>153</v>
      </c>
      <c r="Q3" s="203" t="s">
        <v>161</v>
      </c>
      <c r="R3" s="204" t="s">
        <v>163</v>
      </c>
      <c r="S3" s="158" t="s">
        <v>164</v>
      </c>
      <c r="U3" s="208" t="s">
        <v>1</v>
      </c>
      <c r="V3" s="209" t="s">
        <v>3</v>
      </c>
      <c r="W3" s="210" t="s">
        <v>2</v>
      </c>
      <c r="X3" s="211" t="s">
        <v>174</v>
      </c>
      <c r="Y3" s="209" t="s">
        <v>4</v>
      </c>
      <c r="Z3" s="212" t="s">
        <v>173</v>
      </c>
      <c r="AA3" s="209" t="s">
        <v>4</v>
      </c>
      <c r="AB3" s="210" t="s">
        <v>19</v>
      </c>
    </row>
    <row r="4" spans="2:28" ht="16.2" x14ac:dyDescent="0.35">
      <c r="B4" s="80" t="s">
        <v>22</v>
      </c>
      <c r="C4" s="76"/>
      <c r="D4" s="76">
        <v>7800</v>
      </c>
      <c r="E4" s="81" t="s">
        <v>31</v>
      </c>
      <c r="L4" s="189" t="s">
        <v>16</v>
      </c>
      <c r="M4" s="190" t="s">
        <v>146</v>
      </c>
      <c r="N4" s="198">
        <f>D3</f>
        <v>0.1</v>
      </c>
      <c r="O4" s="191" t="s">
        <v>18</v>
      </c>
      <c r="Q4" s="205" t="s">
        <v>185</v>
      </c>
      <c r="R4" s="159">
        <v>0</v>
      </c>
      <c r="S4" s="162">
        <v>0</v>
      </c>
      <c r="U4" s="227">
        <f>C16</f>
        <v>2</v>
      </c>
      <c r="V4" s="213">
        <f>D16</f>
        <v>1</v>
      </c>
      <c r="W4" s="228">
        <f>E16</f>
        <v>0.1</v>
      </c>
      <c r="X4" s="221">
        <f>G16</f>
        <v>0.64285671700000002</v>
      </c>
      <c r="Y4" s="258" t="s">
        <v>13</v>
      </c>
      <c r="Z4" s="218">
        <f>G25</f>
        <v>-428.571167</v>
      </c>
      <c r="AA4" s="258" t="s">
        <v>13</v>
      </c>
      <c r="AB4" s="224">
        <f>H16</f>
        <v>4.7683715799999999E-7</v>
      </c>
    </row>
    <row r="5" spans="2:28" ht="16.8" thickBot="1" x14ac:dyDescent="0.4">
      <c r="B5" s="80" t="s">
        <v>27</v>
      </c>
      <c r="C5" s="76"/>
      <c r="D5" s="76">
        <v>60</v>
      </c>
      <c r="E5" s="81" t="s">
        <v>32</v>
      </c>
      <c r="L5" s="186" t="s">
        <v>160</v>
      </c>
      <c r="M5" s="187" t="s">
        <v>152</v>
      </c>
      <c r="N5" s="199">
        <f>D11</f>
        <v>5.0000000000000001E-3</v>
      </c>
      <c r="O5" s="188" t="s">
        <v>18</v>
      </c>
      <c r="Q5" s="206" t="s">
        <v>186</v>
      </c>
      <c r="R5" s="167">
        <v>0</v>
      </c>
      <c r="S5" s="170">
        <v>0</v>
      </c>
      <c r="U5" s="227">
        <f>C17</f>
        <v>4</v>
      </c>
      <c r="V5" s="213">
        <f>D17</f>
        <v>3</v>
      </c>
      <c r="W5" s="228">
        <f>E17</f>
        <v>3.3333333333333333E-2</v>
      </c>
      <c r="X5" s="221">
        <f>G17</f>
        <v>0.77492946399999996</v>
      </c>
      <c r="Y5" s="216">
        <f>I17</f>
        <v>0.20544663143031286</v>
      </c>
      <c r="Z5" s="218">
        <f>G26</f>
        <v>-516.61962900000003</v>
      </c>
      <c r="AA5" s="216">
        <f>I26</f>
        <v>0.20544653672420299</v>
      </c>
      <c r="AB5" s="224">
        <f>H17</f>
        <v>1.1126200000000001E-6</v>
      </c>
    </row>
    <row r="6" spans="2:28" ht="19.2" x14ac:dyDescent="0.35">
      <c r="B6" s="80" t="s">
        <v>23</v>
      </c>
      <c r="C6" s="76"/>
      <c r="D6" s="76">
        <v>430</v>
      </c>
      <c r="E6" s="81" t="s">
        <v>30</v>
      </c>
      <c r="L6" s="189" t="s">
        <v>141</v>
      </c>
      <c r="M6" s="190" t="s">
        <v>22</v>
      </c>
      <c r="N6" s="198">
        <f>D4</f>
        <v>7800</v>
      </c>
      <c r="O6" s="191" t="s">
        <v>166</v>
      </c>
      <c r="Q6" s="206" t="s">
        <v>187</v>
      </c>
      <c r="R6" s="167">
        <v>1</v>
      </c>
      <c r="S6" s="170">
        <v>1</v>
      </c>
      <c r="U6" s="192">
        <f>C18</f>
        <v>8</v>
      </c>
      <c r="V6" s="214">
        <f>D18</f>
        <v>7</v>
      </c>
      <c r="W6" s="194">
        <f>E18</f>
        <v>1.4285714285714287E-2</v>
      </c>
      <c r="X6" s="222">
        <f>G18</f>
        <v>0.792632699</v>
      </c>
      <c r="Y6" s="216">
        <f>I18</f>
        <v>2.2844963086859786E-2</v>
      </c>
      <c r="Z6" s="219">
        <f>G27</f>
        <v>-528.42181400000004</v>
      </c>
      <c r="AA6" s="216">
        <f>I27</f>
        <v>2.2845018534903574E-2</v>
      </c>
      <c r="AB6" s="225">
        <f>H18</f>
        <v>4.0531158400000001E-6</v>
      </c>
    </row>
    <row r="7" spans="2:28" ht="18.600000000000001" thickBot="1" x14ac:dyDescent="0.45">
      <c r="B7" s="80" t="s">
        <v>24</v>
      </c>
      <c r="C7" s="76"/>
      <c r="D7" s="76">
        <v>12</v>
      </c>
      <c r="E7" s="81" t="s">
        <v>29</v>
      </c>
      <c r="L7" s="192" t="s">
        <v>167</v>
      </c>
      <c r="M7" s="193" t="s">
        <v>148</v>
      </c>
      <c r="N7" s="185">
        <f>D6</f>
        <v>430</v>
      </c>
      <c r="O7" s="194" t="s">
        <v>30</v>
      </c>
      <c r="Q7" s="207" t="s">
        <v>188</v>
      </c>
      <c r="R7" s="163">
        <v>100</v>
      </c>
      <c r="S7" s="166">
        <v>100</v>
      </c>
      <c r="U7" s="192">
        <f>C19</f>
        <v>16</v>
      </c>
      <c r="V7" s="214">
        <f>D19</f>
        <v>15</v>
      </c>
      <c r="W7" s="194">
        <f>E19</f>
        <v>6.6666666666666671E-3</v>
      </c>
      <c r="X7" s="222">
        <f>G19</f>
        <v>0.79595971099999996</v>
      </c>
      <c r="Y7" s="216">
        <f>I19</f>
        <v>4.1974195667140429E-3</v>
      </c>
      <c r="Z7" s="219">
        <f>G28</f>
        <v>-530.63983199999996</v>
      </c>
      <c r="AA7" s="216">
        <f>I28</f>
        <v>4.197438374487536E-3</v>
      </c>
      <c r="AB7" s="225">
        <f>H19</f>
        <v>6.6498914700000002E-6</v>
      </c>
    </row>
    <row r="8" spans="2:28" ht="16.2" thickBot="1" x14ac:dyDescent="0.35">
      <c r="B8" s="80" t="s">
        <v>25</v>
      </c>
      <c r="C8" s="76"/>
      <c r="D8" s="76">
        <v>100</v>
      </c>
      <c r="E8" s="81" t="s">
        <v>28</v>
      </c>
      <c r="L8" s="195" t="s">
        <v>27</v>
      </c>
      <c r="M8" s="196" t="s">
        <v>147</v>
      </c>
      <c r="N8" s="199">
        <f>D5</f>
        <v>60</v>
      </c>
      <c r="O8" s="197" t="s">
        <v>32</v>
      </c>
      <c r="U8" s="192">
        <f>C20</f>
        <v>32</v>
      </c>
      <c r="V8" s="214">
        <f>D20</f>
        <v>31</v>
      </c>
      <c r="W8" s="194">
        <f>E20</f>
        <v>3.2258064516129032E-3</v>
      </c>
      <c r="X8" s="222">
        <f>G20</f>
        <v>0.79724574100000001</v>
      </c>
      <c r="Y8" s="216">
        <f>I20</f>
        <v>1.6156973553150722E-3</v>
      </c>
      <c r="Z8" s="219">
        <f>G29</f>
        <v>-531.49719200000004</v>
      </c>
      <c r="AA8" s="216">
        <f>I29</f>
        <v>1.6157098436592398E-3</v>
      </c>
      <c r="AB8" s="225">
        <f>H20</f>
        <v>1.30971594E-5</v>
      </c>
    </row>
    <row r="9" spans="2:28" ht="19.2" thickBot="1" x14ac:dyDescent="0.35">
      <c r="B9" s="80" t="s">
        <v>26</v>
      </c>
      <c r="C9" s="76"/>
      <c r="D9" s="76">
        <v>100</v>
      </c>
      <c r="E9" s="81" t="s">
        <v>28</v>
      </c>
      <c r="L9" s="189" t="s">
        <v>38</v>
      </c>
      <c r="M9" s="190" t="s">
        <v>149</v>
      </c>
      <c r="N9" s="198">
        <f>D7</f>
        <v>12</v>
      </c>
      <c r="O9" s="191" t="s">
        <v>168</v>
      </c>
      <c r="U9" s="186">
        <f>C21</f>
        <v>64</v>
      </c>
      <c r="V9" s="215">
        <f>D21</f>
        <v>63</v>
      </c>
      <c r="W9" s="188">
        <f>E21</f>
        <v>1.5873015873015873E-3</v>
      </c>
      <c r="X9" s="223">
        <f>G21</f>
        <v>0.79777556699999996</v>
      </c>
      <c r="Y9" s="217">
        <f>I21</f>
        <v>6.6457049909778758E-4</v>
      </c>
      <c r="Z9" s="220">
        <f>G30</f>
        <v>-532.10231399999998</v>
      </c>
      <c r="AA9" s="217">
        <f>I30</f>
        <v>1.1385234185770402E-3</v>
      </c>
      <c r="AB9" s="226">
        <f>H21</f>
        <v>2.62306567E-5</v>
      </c>
    </row>
    <row r="10" spans="2:28" ht="18" x14ac:dyDescent="0.4">
      <c r="B10" s="91" t="s">
        <v>33</v>
      </c>
      <c r="C10" s="76"/>
      <c r="D10" s="76">
        <v>25</v>
      </c>
      <c r="E10" s="81" t="s">
        <v>28</v>
      </c>
      <c r="L10" s="192" t="s">
        <v>169</v>
      </c>
      <c r="M10" s="193" t="s">
        <v>150</v>
      </c>
      <c r="N10" s="185">
        <f>D8</f>
        <v>100</v>
      </c>
      <c r="O10" s="194" t="s">
        <v>154</v>
      </c>
    </row>
    <row r="11" spans="2:28" ht="18.600000000000001" thickBot="1" x14ac:dyDescent="0.45">
      <c r="B11" s="92" t="s">
        <v>93</v>
      </c>
      <c r="C11" s="82"/>
      <c r="D11" s="82">
        <v>5.0000000000000001E-3</v>
      </c>
      <c r="E11" s="83" t="s">
        <v>18</v>
      </c>
      <c r="L11" s="192" t="s">
        <v>170</v>
      </c>
      <c r="M11" s="193" t="s">
        <v>151</v>
      </c>
      <c r="N11" s="185">
        <f>D9</f>
        <v>100</v>
      </c>
      <c r="O11" s="194" t="s">
        <v>154</v>
      </c>
    </row>
    <row r="12" spans="2:28" ht="18.600000000000001" thickBot="1" x14ac:dyDescent="0.45">
      <c r="B12" s="29"/>
      <c r="L12" s="200" t="s">
        <v>171</v>
      </c>
      <c r="M12" s="201" t="s">
        <v>172</v>
      </c>
      <c r="N12" s="202">
        <f>D10</f>
        <v>25</v>
      </c>
      <c r="O12" s="197" t="s">
        <v>154</v>
      </c>
    </row>
    <row r="13" spans="2:28" ht="15" thickBot="1" x14ac:dyDescent="0.35"/>
    <row r="14" spans="2:28" ht="15" thickBot="1" x14ac:dyDescent="0.35">
      <c r="B14" s="29"/>
      <c r="G14" s="243" t="s">
        <v>34</v>
      </c>
      <c r="H14" s="244"/>
      <c r="I14" s="245"/>
      <c r="J14" s="6"/>
      <c r="K14" s="184"/>
    </row>
    <row r="15" spans="2:28" ht="15" thickBot="1" x14ac:dyDescent="0.35">
      <c r="B15" s="10" t="s">
        <v>0</v>
      </c>
      <c r="C15" s="11" t="s">
        <v>1</v>
      </c>
      <c r="D15" s="12" t="s">
        <v>3</v>
      </c>
      <c r="E15" s="12" t="s">
        <v>2</v>
      </c>
      <c r="F15" s="22" t="s">
        <v>7</v>
      </c>
      <c r="G15" s="8" t="s">
        <v>34</v>
      </c>
      <c r="H15" s="93" t="s">
        <v>19</v>
      </c>
      <c r="I15" s="49" t="s">
        <v>35</v>
      </c>
      <c r="L15" s="5"/>
      <c r="M15" s="5"/>
      <c r="N15" s="5"/>
      <c r="O15" s="5"/>
    </row>
    <row r="16" spans="2:28" x14ac:dyDescent="0.3">
      <c r="B16" s="107">
        <v>1</v>
      </c>
      <c r="C16" s="108">
        <v>2</v>
      </c>
      <c r="D16" s="15">
        <f>C16-1</f>
        <v>1</v>
      </c>
      <c r="E16" s="15">
        <f>$D$3/D16</f>
        <v>0.1</v>
      </c>
      <c r="F16" s="18">
        <f>$D$11</f>
        <v>5.0000000000000001E-3</v>
      </c>
      <c r="G16" s="108">
        <v>0.64285671700000002</v>
      </c>
      <c r="H16" s="257">
        <v>4.7683715799999999E-7</v>
      </c>
      <c r="I16" s="253"/>
      <c r="J16" t="s">
        <v>97</v>
      </c>
    </row>
    <row r="17" spans="2:10" x14ac:dyDescent="0.3">
      <c r="B17" s="17">
        <f>B16+1</f>
        <v>2</v>
      </c>
      <c r="C17" s="109">
        <v>4</v>
      </c>
      <c r="D17" s="51">
        <f>C17-1</f>
        <v>3</v>
      </c>
      <c r="E17" s="51">
        <f>$D$3/D17</f>
        <v>3.3333333333333333E-2</v>
      </c>
      <c r="F17" s="96">
        <f>$D$11</f>
        <v>5.0000000000000001E-3</v>
      </c>
      <c r="G17" s="252">
        <v>0.77492946399999996</v>
      </c>
      <c r="H17" s="48">
        <v>1.1126200000000001E-6</v>
      </c>
      <c r="I17" s="50">
        <f>(G17-G16)/G16</f>
        <v>0.20544663143031286</v>
      </c>
      <c r="J17" t="s">
        <v>81</v>
      </c>
    </row>
    <row r="18" spans="2:10" x14ac:dyDescent="0.3">
      <c r="B18" s="17">
        <f t="shared" ref="B18:B21" si="0">B17+1</f>
        <v>3</v>
      </c>
      <c r="C18" s="1">
        <v>8</v>
      </c>
      <c r="D18" s="13">
        <f t="shared" ref="D18:D21" si="1">C18-1</f>
        <v>7</v>
      </c>
      <c r="E18" s="13">
        <f t="shared" ref="E18:E21" si="2">$D$3/D18</f>
        <v>1.4285714285714287E-2</v>
      </c>
      <c r="F18" s="2">
        <f t="shared" ref="F18:F21" si="3">$D$11</f>
        <v>5.0000000000000001E-3</v>
      </c>
      <c r="G18" s="52">
        <v>0.792632699</v>
      </c>
      <c r="H18" s="44">
        <v>4.0531158400000001E-6</v>
      </c>
      <c r="I18" s="50">
        <f>(G18-G17)/G17</f>
        <v>2.2844963086859786E-2</v>
      </c>
      <c r="J18" t="s">
        <v>81</v>
      </c>
    </row>
    <row r="19" spans="2:10" x14ac:dyDescent="0.3">
      <c r="B19" s="17">
        <f t="shared" si="0"/>
        <v>4</v>
      </c>
      <c r="C19" s="1">
        <v>16</v>
      </c>
      <c r="D19" s="13">
        <f t="shared" si="1"/>
        <v>15</v>
      </c>
      <c r="E19" s="13">
        <f t="shared" si="2"/>
        <v>6.6666666666666671E-3</v>
      </c>
      <c r="F19" s="2">
        <f t="shared" si="3"/>
        <v>5.0000000000000001E-3</v>
      </c>
      <c r="G19" s="52">
        <v>0.79595971099999996</v>
      </c>
      <c r="H19" s="44">
        <v>6.6498914700000002E-6</v>
      </c>
      <c r="I19" s="50">
        <f t="shared" ref="I19:I21" si="4">(G19-G18)/G18</f>
        <v>4.1974195667140429E-3</v>
      </c>
      <c r="J19" t="s">
        <v>81</v>
      </c>
    </row>
    <row r="20" spans="2:10" x14ac:dyDescent="0.3">
      <c r="B20" s="17">
        <f t="shared" si="0"/>
        <v>5</v>
      </c>
      <c r="C20" s="1">
        <v>32</v>
      </c>
      <c r="D20" s="13">
        <f t="shared" si="1"/>
        <v>31</v>
      </c>
      <c r="E20" s="13">
        <f t="shared" si="2"/>
        <v>3.2258064516129032E-3</v>
      </c>
      <c r="F20" s="2">
        <f t="shared" si="3"/>
        <v>5.0000000000000001E-3</v>
      </c>
      <c r="G20" s="52">
        <v>0.79724574100000001</v>
      </c>
      <c r="H20" s="44">
        <v>1.30971594E-5</v>
      </c>
      <c r="I20" s="50">
        <f t="shared" si="4"/>
        <v>1.6156973553150722E-3</v>
      </c>
      <c r="J20" t="s">
        <v>81</v>
      </c>
    </row>
    <row r="21" spans="2:10" ht="15" thickBot="1" x14ac:dyDescent="0.35">
      <c r="B21" s="45">
        <f t="shared" si="0"/>
        <v>6</v>
      </c>
      <c r="C21" s="3">
        <v>64</v>
      </c>
      <c r="D21" s="16">
        <f t="shared" si="1"/>
        <v>63</v>
      </c>
      <c r="E21" s="16">
        <f t="shared" si="2"/>
        <v>1.5873015873015873E-3</v>
      </c>
      <c r="F21" s="4">
        <f t="shared" si="3"/>
        <v>5.0000000000000001E-3</v>
      </c>
      <c r="G21" s="105">
        <v>0.79777556699999996</v>
      </c>
      <c r="H21" s="47">
        <v>2.62306567E-5</v>
      </c>
      <c r="I21" s="57">
        <f t="shared" si="4"/>
        <v>6.6457049909778758E-4</v>
      </c>
    </row>
    <row r="22" spans="2:10" ht="15" thickBot="1" x14ac:dyDescent="0.35">
      <c r="B22" s="6"/>
      <c r="C22" s="6"/>
      <c r="D22" s="6"/>
      <c r="E22" s="6"/>
      <c r="F22" s="6"/>
      <c r="G22" s="6"/>
      <c r="H22" s="6"/>
      <c r="I22" s="27"/>
    </row>
    <row r="23" spans="2:10" ht="15" thickBot="1" x14ac:dyDescent="0.35">
      <c r="B23" s="29"/>
      <c r="G23" s="243" t="s">
        <v>102</v>
      </c>
      <c r="H23" s="244"/>
      <c r="I23" s="245"/>
    </row>
    <row r="24" spans="2:10" ht="15" thickBot="1" x14ac:dyDescent="0.35">
      <c r="B24" s="35" t="s">
        <v>0</v>
      </c>
      <c r="C24" s="11" t="s">
        <v>1</v>
      </c>
      <c r="D24" s="12" t="s">
        <v>3</v>
      </c>
      <c r="E24" s="12" t="s">
        <v>2</v>
      </c>
      <c r="F24" s="22" t="s">
        <v>7</v>
      </c>
      <c r="G24" s="8" t="s">
        <v>36</v>
      </c>
      <c r="H24" s="93" t="s">
        <v>19</v>
      </c>
      <c r="I24" s="49" t="s">
        <v>35</v>
      </c>
      <c r="J24" t="str">
        <f>J16</f>
        <v>reached crit after 1st it</v>
      </c>
    </row>
    <row r="25" spans="2:10" x14ac:dyDescent="0.3">
      <c r="B25" s="106">
        <v>1</v>
      </c>
      <c r="C25" s="108">
        <v>2</v>
      </c>
      <c r="D25" s="15">
        <f>C25-1</f>
        <v>1</v>
      </c>
      <c r="E25" s="15">
        <f>$D$3/D25</f>
        <v>0.1</v>
      </c>
      <c r="F25" s="18">
        <f>$D$11</f>
        <v>5.0000000000000001E-3</v>
      </c>
      <c r="G25" s="108">
        <v>-428.571167</v>
      </c>
      <c r="H25" s="256">
        <f>H16</f>
        <v>4.7683715799999999E-7</v>
      </c>
      <c r="I25" s="253"/>
      <c r="J25" t="str">
        <f>J17</f>
        <v>residuals didn't reach crit, but converged</v>
      </c>
    </row>
    <row r="26" spans="2:10" x14ac:dyDescent="0.3">
      <c r="B26" s="254">
        <f>B25+1</f>
        <v>2</v>
      </c>
      <c r="C26" s="109">
        <v>4</v>
      </c>
      <c r="D26" s="51">
        <f>C26-1</f>
        <v>3</v>
      </c>
      <c r="E26" s="51">
        <f>$D$3/D26</f>
        <v>3.3333333333333333E-2</v>
      </c>
      <c r="F26" s="96">
        <f>$D$11</f>
        <v>5.0000000000000001E-3</v>
      </c>
      <c r="G26" s="56">
        <v>-516.61962900000003</v>
      </c>
      <c r="H26" s="48">
        <f>H17</f>
        <v>1.1126200000000001E-6</v>
      </c>
      <c r="I26" s="50">
        <f>(G26-G25)/G25</f>
        <v>0.20544653672420299</v>
      </c>
      <c r="J26" t="str">
        <f t="shared" ref="J26:J28" si="5">J18</f>
        <v>residuals didn't reach crit, but converged</v>
      </c>
    </row>
    <row r="27" spans="2:10" x14ac:dyDescent="0.3">
      <c r="B27" s="254">
        <f t="shared" ref="B27:B30" si="6">B26+1</f>
        <v>3</v>
      </c>
      <c r="C27" s="1">
        <v>8</v>
      </c>
      <c r="D27" s="13">
        <f t="shared" ref="D27:D30" si="7">C27-1</f>
        <v>7</v>
      </c>
      <c r="E27" s="13">
        <f t="shared" ref="E27:E30" si="8">$D$3/D27</f>
        <v>1.4285714285714287E-2</v>
      </c>
      <c r="F27" s="2">
        <f t="shared" ref="F27:F30" si="9">$D$11</f>
        <v>5.0000000000000001E-3</v>
      </c>
      <c r="G27" s="21">
        <v>-528.42181400000004</v>
      </c>
      <c r="H27" s="44">
        <f>H18</f>
        <v>4.0531158400000001E-6</v>
      </c>
      <c r="I27" s="50">
        <f>(G27-G26)/G26</f>
        <v>2.2845018534903574E-2</v>
      </c>
      <c r="J27" t="str">
        <f t="shared" si="5"/>
        <v>residuals didn't reach crit, but converged</v>
      </c>
    </row>
    <row r="28" spans="2:10" x14ac:dyDescent="0.3">
      <c r="B28" s="254">
        <f t="shared" si="6"/>
        <v>4</v>
      </c>
      <c r="C28" s="1">
        <v>16</v>
      </c>
      <c r="D28" s="13">
        <f t="shared" si="7"/>
        <v>15</v>
      </c>
      <c r="E28" s="13">
        <f t="shared" si="8"/>
        <v>6.6666666666666671E-3</v>
      </c>
      <c r="F28" s="2">
        <f t="shared" si="9"/>
        <v>5.0000000000000001E-3</v>
      </c>
      <c r="G28" s="21">
        <v>-530.63983199999996</v>
      </c>
      <c r="H28" s="44">
        <f>H19</f>
        <v>6.6498914700000002E-6</v>
      </c>
      <c r="I28" s="50">
        <f t="shared" ref="I28:I30" si="10">(G28-G27)/G27</f>
        <v>4.197438374487536E-3</v>
      </c>
      <c r="J28" t="str">
        <f t="shared" si="5"/>
        <v>residuals didn't reach crit, but converged</v>
      </c>
    </row>
    <row r="29" spans="2:10" x14ac:dyDescent="0.3">
      <c r="B29" s="254">
        <f t="shared" si="6"/>
        <v>5</v>
      </c>
      <c r="C29" s="1">
        <v>32</v>
      </c>
      <c r="D29" s="13">
        <f t="shared" si="7"/>
        <v>31</v>
      </c>
      <c r="E29" s="13">
        <f t="shared" si="8"/>
        <v>3.2258064516129032E-3</v>
      </c>
      <c r="F29" s="2">
        <f t="shared" si="9"/>
        <v>5.0000000000000001E-3</v>
      </c>
      <c r="G29" s="21">
        <v>-531.49719200000004</v>
      </c>
      <c r="H29" s="44">
        <f>H20</f>
        <v>1.30971594E-5</v>
      </c>
      <c r="I29" s="50">
        <f t="shared" si="10"/>
        <v>1.6157098436592398E-3</v>
      </c>
    </row>
    <row r="30" spans="2:10" ht="15" thickBot="1" x14ac:dyDescent="0.35">
      <c r="B30" s="255">
        <f t="shared" si="6"/>
        <v>6</v>
      </c>
      <c r="C30" s="3">
        <v>64</v>
      </c>
      <c r="D30" s="16">
        <f t="shared" si="7"/>
        <v>63</v>
      </c>
      <c r="E30" s="16">
        <f t="shared" si="8"/>
        <v>1.5873015873015873E-3</v>
      </c>
      <c r="F30" s="4">
        <f t="shared" si="9"/>
        <v>5.0000000000000001E-3</v>
      </c>
      <c r="G30" s="46">
        <v>-532.10231399999998</v>
      </c>
      <c r="H30" s="47">
        <f>H21</f>
        <v>2.62306567E-5</v>
      </c>
      <c r="I30" s="57">
        <f t="shared" si="10"/>
        <v>1.1385234185770402E-3</v>
      </c>
    </row>
    <row r="31" spans="2:10" x14ac:dyDescent="0.3">
      <c r="B31" s="6"/>
      <c r="C31" s="6"/>
      <c r="D31" s="6"/>
      <c r="E31" s="6"/>
      <c r="F31" s="6"/>
      <c r="G31" s="6"/>
      <c r="H31" s="6"/>
      <c r="I31" s="27"/>
    </row>
    <row r="32" spans="2:10" ht="15" thickBot="1" x14ac:dyDescent="0.35"/>
    <row r="33" spans="1:8" x14ac:dyDescent="0.3">
      <c r="B33" s="77" t="s">
        <v>91</v>
      </c>
      <c r="C33" s="150">
        <f>2*D11+2*D11</f>
        <v>0.02</v>
      </c>
      <c r="D33" s="89"/>
    </row>
    <row r="34" spans="1:8" x14ac:dyDescent="0.3">
      <c r="B34" s="80" t="s">
        <v>92</v>
      </c>
      <c r="C34" s="81">
        <f>D11*D11</f>
        <v>2.5000000000000001E-5</v>
      </c>
      <c r="D34" s="86"/>
    </row>
    <row r="35" spans="1:8" ht="15" thickBot="1" x14ac:dyDescent="0.35">
      <c r="A35" s="85"/>
      <c r="B35" s="87" t="s">
        <v>18</v>
      </c>
      <c r="C35" s="88">
        <f>SQRT(D7*C33/(D5*C34))</f>
        <v>12.649110640673518</v>
      </c>
      <c r="D35" s="86"/>
    </row>
    <row r="36" spans="1:8" ht="15" thickBot="1" x14ac:dyDescent="0.35">
      <c r="A36" s="84"/>
      <c r="B36" s="84"/>
      <c r="C36" s="85"/>
      <c r="D36" s="86"/>
    </row>
    <row r="37" spans="1:8" ht="15" thickBot="1" x14ac:dyDescent="0.35">
      <c r="B37" s="234" t="s">
        <v>87</v>
      </c>
      <c r="C37" s="235"/>
      <c r="D37" s="236"/>
      <c r="E37">
        <f>MIN(D39:D72)</f>
        <v>87.150085009709102</v>
      </c>
    </row>
    <row r="38" spans="1:8" ht="15" thickBot="1" x14ac:dyDescent="0.35">
      <c r="B38" s="8" t="s">
        <v>82</v>
      </c>
      <c r="C38" s="49" t="s">
        <v>90</v>
      </c>
      <c r="D38" s="130" t="s">
        <v>89</v>
      </c>
      <c r="G38" s="151" t="s">
        <v>124</v>
      </c>
      <c r="H38">
        <f>SINH(C35*D3)</f>
        <v>1.6302566216960286</v>
      </c>
    </row>
    <row r="39" spans="1:8" x14ac:dyDescent="0.3">
      <c r="A39" s="103">
        <v>0</v>
      </c>
      <c r="B39" s="109">
        <f>A39*$E$20</f>
        <v>0</v>
      </c>
      <c r="C39" s="96">
        <f>D39+273.15</f>
        <v>373.15</v>
      </c>
      <c r="D39" s="36">
        <f>$D$10+$H$40*($H$39*SINH($C$35*B39)+SINH($C$35*($D$3-B39)))/$H$38</f>
        <v>100</v>
      </c>
      <c r="E39" s="85">
        <f>MIN(C39:C71)</f>
        <v>360.30008500970905</v>
      </c>
      <c r="F39" s="6"/>
      <c r="G39" t="s">
        <v>125</v>
      </c>
      <c r="H39">
        <f>(D9-D10)/(D8-D10)</f>
        <v>1</v>
      </c>
    </row>
    <row r="40" spans="1:8" x14ac:dyDescent="0.3">
      <c r="A40" s="129">
        <v>0.5</v>
      </c>
      <c r="B40" s="109">
        <f>A40*$E$20</f>
        <v>1.6129032258064516E-3</v>
      </c>
      <c r="C40" s="96">
        <f>D40+273.15</f>
        <v>372.30907135692451</v>
      </c>
      <c r="D40" s="254">
        <f>$D$10+$H$40*($H$39*SINH($C$35*B40)+SINH($C$35*($D$3-B40)))/$H$38</f>
        <v>99.159071356924542</v>
      </c>
      <c r="E40" s="85">
        <v>360.24047999999999</v>
      </c>
      <c r="F40" s="6"/>
      <c r="G40" t="s">
        <v>126</v>
      </c>
      <c r="H40">
        <f>D8-D10</f>
        <v>75</v>
      </c>
    </row>
    <row r="41" spans="1:8" x14ac:dyDescent="0.3">
      <c r="A41" s="104">
        <v>1</v>
      </c>
      <c r="B41" s="1">
        <f>B40+A41*$E$20</f>
        <v>4.8387096774193551E-3</v>
      </c>
      <c r="C41" s="2">
        <f>D41+273.15</f>
        <v>370.71948247569833</v>
      </c>
      <c r="D41" s="254">
        <f>$D$10+$H$40*($H$39*SINH($C$35*B41)+SINH($C$35*($D$3-B41)))/$H$38</f>
        <v>97.569482475698365</v>
      </c>
      <c r="E41" s="259">
        <f>(E39-E40)/E39</f>
        <v>1.6543157270543942E-4</v>
      </c>
      <c r="F41" s="6"/>
    </row>
    <row r="42" spans="1:8" x14ac:dyDescent="0.3">
      <c r="A42" s="104">
        <v>2</v>
      </c>
      <c r="B42" s="1">
        <f>$E$20+B41</f>
        <v>8.0645161290322578E-3</v>
      </c>
      <c r="C42" s="2">
        <f>D42+273.15</f>
        <v>369.25073363882791</v>
      </c>
      <c r="D42" s="254">
        <f>$D$10+$H$40*($H$39*SINH($C$35*B42)+SINH($C$35*($D$3-B42)))/$H$38</f>
        <v>96.100733638827919</v>
      </c>
      <c r="E42" s="85"/>
      <c r="F42" s="6"/>
    </row>
    <row r="43" spans="1:8" x14ac:dyDescent="0.3">
      <c r="A43" s="104">
        <v>3</v>
      </c>
      <c r="B43" s="1">
        <f t="shared" ref="B43:B71" si="11">$E$20+B42</f>
        <v>1.1290322580645161E-2</v>
      </c>
      <c r="C43" s="2">
        <f>D43+273.15</f>
        <v>367.90037913954302</v>
      </c>
      <c r="D43" s="254">
        <f>$D$10+$H$40*($H$39*SINH($C$35*B43)+SINH($C$35*($D$3-B43)))/$H$38</f>
        <v>94.750379139543028</v>
      </c>
      <c r="E43" s="85"/>
      <c r="F43" s="6"/>
    </row>
    <row r="44" spans="1:8" x14ac:dyDescent="0.3">
      <c r="A44" s="104">
        <v>4</v>
      </c>
      <c r="B44" s="1">
        <f t="shared" si="11"/>
        <v>1.4516129032258063E-2</v>
      </c>
      <c r="C44" s="2">
        <f>D44+273.15</f>
        <v>366.66617041698839</v>
      </c>
      <c r="D44" s="254">
        <f>$D$10+$H$40*($H$39*SINH($C$35*B44)+SINH($C$35*($D$3-B44)))/$H$38</f>
        <v>93.516170416988416</v>
      </c>
      <c r="E44" s="85"/>
      <c r="F44" s="6"/>
    </row>
    <row r="45" spans="1:8" x14ac:dyDescent="0.3">
      <c r="A45" s="104">
        <v>5</v>
      </c>
      <c r="B45" s="1">
        <f t="shared" si="11"/>
        <v>1.7741935483870968E-2</v>
      </c>
      <c r="C45" s="2">
        <f>D45+273.15</f>
        <v>365.54605231200219</v>
      </c>
      <c r="D45" s="254">
        <f>$D$10+$H$40*($H$39*SINH($C$35*B45)+SINH($C$35*($D$3-B45)))/$H$38</f>
        <v>92.396052312002197</v>
      </c>
      <c r="E45" s="85"/>
      <c r="F45" s="6"/>
    </row>
    <row r="46" spans="1:8" x14ac:dyDescent="0.3">
      <c r="A46" s="104">
        <v>6</v>
      </c>
      <c r="B46" s="1">
        <f t="shared" si="11"/>
        <v>2.0967741935483872E-2</v>
      </c>
      <c r="C46" s="2">
        <f>D46+273.15</f>
        <v>364.53815964494038</v>
      </c>
      <c r="D46" s="254">
        <f>$D$10+$H$40*($H$39*SINH($C$35*B46)+SINH($C$35*($D$3-B46)))/$H$38</f>
        <v>91.388159644940416</v>
      </c>
      <c r="E46" s="85"/>
      <c r="F46" s="6"/>
    </row>
    <row r="47" spans="1:8" x14ac:dyDescent="0.3">
      <c r="A47" s="104">
        <v>7</v>
      </c>
      <c r="B47" s="1">
        <f t="shared" si="11"/>
        <v>2.4193548387096777E-2</v>
      </c>
      <c r="C47" s="2">
        <f>D47+273.15</f>
        <v>363.64081410984795</v>
      </c>
      <c r="D47" s="254">
        <f>$D$10+$H$40*($H$39*SINH($C$35*B47)+SINH($C$35*($D$3-B47)))/$H$38</f>
        <v>90.490814109847975</v>
      </c>
      <c r="E47" s="85"/>
      <c r="F47" s="6"/>
    </row>
    <row r="48" spans="1:8" x14ac:dyDescent="0.3">
      <c r="A48" s="104">
        <v>8</v>
      </c>
      <c r="B48" s="1">
        <f t="shared" si="11"/>
        <v>2.7419354838709682E-2</v>
      </c>
      <c r="C48" s="2">
        <f>D48+273.15</f>
        <v>362.8525214798052</v>
      </c>
      <c r="D48" s="254">
        <f>$D$10+$H$40*($H$39*SINH($C$35*B48)+SINH($C$35*($D$3-B48)))/$H$38</f>
        <v>89.702521479805242</v>
      </c>
      <c r="E48" s="85"/>
      <c r="F48" s="6"/>
    </row>
    <row r="49" spans="1:6" x14ac:dyDescent="0.3">
      <c r="A49" s="104">
        <v>9</v>
      </c>
      <c r="B49" s="1">
        <f t="shared" si="11"/>
        <v>3.0645161290322586E-2</v>
      </c>
      <c r="C49" s="2">
        <f>D49+273.15</f>
        <v>362.17196911879586</v>
      </c>
      <c r="D49" s="254">
        <f>$D$10+$H$40*($H$39*SINH($C$35*B49)+SINH($C$35*($D$3-B49)))/$H$38</f>
        <v>89.021969118795866</v>
      </c>
      <c r="E49" s="85"/>
      <c r="F49" s="6"/>
    </row>
    <row r="50" spans="1:6" x14ac:dyDescent="0.3">
      <c r="A50" s="104">
        <v>10</v>
      </c>
      <c r="B50" s="1">
        <f t="shared" si="11"/>
        <v>3.3870967741935487E-2</v>
      </c>
      <c r="C50" s="2">
        <f>D50+273.15</f>
        <v>361.59802379595362</v>
      </c>
      <c r="D50" s="254">
        <f>$D$10+$H$40*($H$39*SINH($C$35*B50)+SINH($C$35*($D$3-B50)))/$H$38</f>
        <v>88.448023795953659</v>
      </c>
      <c r="E50" s="85"/>
      <c r="F50" s="6"/>
    </row>
    <row r="51" spans="1:6" x14ac:dyDescent="0.3">
      <c r="A51" s="104">
        <v>11</v>
      </c>
      <c r="B51" s="1">
        <f t="shared" si="11"/>
        <v>3.7096774193548392E-2</v>
      </c>
      <c r="C51" s="2">
        <f>D51+273.15</f>
        <v>361.12972979854777</v>
      </c>
      <c r="D51" s="254">
        <f>$D$10+$H$40*($H$39*SINH($C$35*B51)+SINH($C$35*($D$3-B51)))/$H$38</f>
        <v>87.97972979854778</v>
      </c>
      <c r="E51" s="85"/>
      <c r="F51" s="6"/>
    </row>
    <row r="52" spans="1:6" x14ac:dyDescent="0.3">
      <c r="A52" s="104">
        <v>12</v>
      </c>
      <c r="B52" s="1">
        <f t="shared" si="11"/>
        <v>4.0322580645161296E-2</v>
      </c>
      <c r="C52" s="2">
        <f>D52+273.15</f>
        <v>360.76630734056505</v>
      </c>
      <c r="D52" s="254">
        <f>$D$10+$H$40*($H$39*SINH($C$35*B52)+SINH($C$35*($D$3-B52)))/$H$38</f>
        <v>87.616307340565044</v>
      </c>
      <c r="E52" s="85"/>
      <c r="F52" s="6"/>
    </row>
    <row r="53" spans="1:6" x14ac:dyDescent="0.3">
      <c r="A53" s="104">
        <v>13</v>
      </c>
      <c r="B53" s="1">
        <f t="shared" si="11"/>
        <v>4.3548387096774201E-2</v>
      </c>
      <c r="C53" s="2">
        <f>D53+273.15</f>
        <v>360.50715126423881</v>
      </c>
      <c r="D53" s="254">
        <f>$D$10+$H$40*($H$39*SINH($C$35*B53)+SINH($C$35*($D$3-B53)))/$H$38</f>
        <v>87.357151264238809</v>
      </c>
      <c r="E53" s="85"/>
      <c r="F53" s="6"/>
    </row>
    <row r="54" spans="1:6" x14ac:dyDescent="0.3">
      <c r="A54" s="104">
        <v>14</v>
      </c>
      <c r="B54" s="1">
        <f t="shared" si="11"/>
        <v>4.6774193548387105E-2</v>
      </c>
      <c r="C54" s="2">
        <f>D54+273.15</f>
        <v>360.35183003236239</v>
      </c>
      <c r="D54" s="254">
        <f>$D$10+$H$40*($H$39*SINH($C$35*B54)+SINH($C$35*($D$3-B54)))/$H$38</f>
        <v>87.201830032362381</v>
      </c>
      <c r="E54" s="85"/>
      <c r="F54" s="6"/>
    </row>
    <row r="55" spans="1:6" x14ac:dyDescent="0.3">
      <c r="A55" s="104">
        <v>15</v>
      </c>
      <c r="B55" s="1">
        <f t="shared" si="11"/>
        <v>5.000000000000001E-2</v>
      </c>
      <c r="C55" s="2">
        <f>D55+273.15</f>
        <v>360.30008500970905</v>
      </c>
      <c r="D55" s="254">
        <f>$D$10+$H$40*($H$39*SINH($C$35*B55)+SINH($C$35*($D$3-B55)))/$H$38</f>
        <v>87.150085009709102</v>
      </c>
      <c r="E55" s="85"/>
      <c r="F55" s="6"/>
    </row>
    <row r="56" spans="1:6" x14ac:dyDescent="0.3">
      <c r="A56" s="104">
        <v>16</v>
      </c>
      <c r="B56" s="1">
        <f t="shared" si="11"/>
        <v>5.3225806451612914E-2</v>
      </c>
      <c r="C56" s="2">
        <f>D56+273.15</f>
        <v>360.35183003236239</v>
      </c>
      <c r="D56" s="254">
        <f>$D$10+$H$40*($H$39*SINH($C$35*B56)+SINH($C$35*($D$3-B56)))/$H$38</f>
        <v>87.201830032362381</v>
      </c>
      <c r="E56" s="85"/>
      <c r="F56" s="6"/>
    </row>
    <row r="57" spans="1:6" x14ac:dyDescent="0.3">
      <c r="A57" s="104">
        <v>17</v>
      </c>
      <c r="B57" s="1">
        <f t="shared" si="11"/>
        <v>5.6451612903225819E-2</v>
      </c>
      <c r="C57" s="2">
        <f>D57+273.15</f>
        <v>360.50715126423881</v>
      </c>
      <c r="D57" s="254">
        <f>$D$10+$H$40*($H$39*SINH($C$35*B57)+SINH($C$35*($D$3-B57)))/$H$38</f>
        <v>87.357151264238809</v>
      </c>
      <c r="E57" s="85"/>
      <c r="F57" s="6"/>
    </row>
    <row r="58" spans="1:6" x14ac:dyDescent="0.3">
      <c r="A58" s="104">
        <v>18</v>
      </c>
      <c r="B58" s="1">
        <f t="shared" si="11"/>
        <v>5.9677419354838723E-2</v>
      </c>
      <c r="C58" s="2">
        <f>D58+273.15</f>
        <v>360.76630734056505</v>
      </c>
      <c r="D58" s="254">
        <f>$D$10+$H$40*($H$39*SINH($C$35*B58)+SINH($C$35*($D$3-B58)))/$H$38</f>
        <v>87.616307340565058</v>
      </c>
      <c r="E58" s="85"/>
      <c r="F58" s="6"/>
    </row>
    <row r="59" spans="1:6" x14ac:dyDescent="0.3">
      <c r="A59" s="104">
        <v>19</v>
      </c>
      <c r="B59" s="1">
        <f t="shared" si="11"/>
        <v>6.2903225806451621E-2</v>
      </c>
      <c r="C59" s="2">
        <f>D59+273.15</f>
        <v>361.12972979854777</v>
      </c>
      <c r="D59" s="254">
        <f>$D$10+$H$40*($H$39*SINH($C$35*B59)+SINH($C$35*($D$3-B59)))/$H$38</f>
        <v>87.97972979854778</v>
      </c>
      <c r="E59" s="85"/>
      <c r="F59" s="6"/>
    </row>
    <row r="60" spans="1:6" x14ac:dyDescent="0.3">
      <c r="A60" s="104">
        <v>20</v>
      </c>
      <c r="B60" s="1">
        <f t="shared" si="11"/>
        <v>6.6129032258064518E-2</v>
      </c>
      <c r="C60" s="2">
        <f>D60+273.15</f>
        <v>361.59802379595362</v>
      </c>
      <c r="D60" s="254">
        <f>$D$10+$H$40*($H$39*SINH($C$35*B60)+SINH($C$35*($D$3-B60)))/$H$38</f>
        <v>88.448023795953659</v>
      </c>
      <c r="E60" s="85"/>
      <c r="F60" s="6"/>
    </row>
    <row r="61" spans="1:6" x14ac:dyDescent="0.3">
      <c r="A61" s="104">
        <v>21</v>
      </c>
      <c r="B61" s="1">
        <f t="shared" si="11"/>
        <v>6.9354838709677416E-2</v>
      </c>
      <c r="C61" s="2">
        <f>D61+273.15</f>
        <v>362.17196911879586</v>
      </c>
      <c r="D61" s="254">
        <f>$D$10+$H$40*($H$39*SINH($C$35*B61)+SINH($C$35*($D$3-B61)))/$H$38</f>
        <v>89.021969118795866</v>
      </c>
      <c r="E61" s="85"/>
      <c r="F61" s="6"/>
    </row>
    <row r="62" spans="1:6" x14ac:dyDescent="0.3">
      <c r="A62" s="104">
        <v>22</v>
      </c>
      <c r="B62" s="1">
        <f t="shared" si="11"/>
        <v>7.2580645161290314E-2</v>
      </c>
      <c r="C62" s="2">
        <f>D62+273.15</f>
        <v>362.8525214798052</v>
      </c>
      <c r="D62" s="254">
        <f>$D$10+$H$40*($H$39*SINH($C$35*B62)+SINH($C$35*($D$3-B62)))/$H$38</f>
        <v>89.702521479805213</v>
      </c>
      <c r="E62" s="85"/>
      <c r="F62" s="6"/>
    </row>
    <row r="63" spans="1:6" x14ac:dyDescent="0.3">
      <c r="A63" s="104">
        <v>23</v>
      </c>
      <c r="B63" s="1">
        <f t="shared" si="11"/>
        <v>7.5806451612903211E-2</v>
      </c>
      <c r="C63" s="2">
        <f>D63+273.15</f>
        <v>363.64081410984795</v>
      </c>
      <c r="D63" s="254">
        <f>$D$10+$H$40*($H$39*SINH($C$35*B63)+SINH($C$35*($D$3-B63)))/$H$38</f>
        <v>90.490814109847975</v>
      </c>
      <c r="E63" s="85"/>
      <c r="F63" s="6"/>
    </row>
    <row r="64" spans="1:6" x14ac:dyDescent="0.3">
      <c r="A64" s="104">
        <v>24</v>
      </c>
      <c r="B64" s="1">
        <f t="shared" si="11"/>
        <v>7.9032258064516109E-2</v>
      </c>
      <c r="C64" s="2">
        <f>D64+273.15</f>
        <v>364.53815964494038</v>
      </c>
      <c r="D64" s="254">
        <f>$D$10+$H$40*($H$39*SINH($C$35*B64)+SINH($C$35*($D$3-B64)))/$H$38</f>
        <v>91.388159644940416</v>
      </c>
      <c r="E64" s="85"/>
      <c r="F64" s="6"/>
    </row>
    <row r="65" spans="1:9" x14ac:dyDescent="0.3">
      <c r="A65" s="104">
        <v>25</v>
      </c>
      <c r="B65" s="1">
        <f t="shared" si="11"/>
        <v>8.2258064516129006E-2</v>
      </c>
      <c r="C65" s="2">
        <f>D65+273.15</f>
        <v>365.54605231200219</v>
      </c>
      <c r="D65" s="254">
        <f>$D$10+$H$40*($H$39*SINH($C$35*B65)+SINH($C$35*($D$3-B65)))/$H$38</f>
        <v>92.396052312002197</v>
      </c>
      <c r="E65" s="85"/>
      <c r="F65" s="6"/>
    </row>
    <row r="66" spans="1:9" x14ac:dyDescent="0.3">
      <c r="A66" s="104">
        <v>26</v>
      </c>
      <c r="B66" s="1">
        <f t="shared" si="11"/>
        <v>8.5483870967741904E-2</v>
      </c>
      <c r="C66" s="2">
        <f>D66+273.15</f>
        <v>366.66617041698839</v>
      </c>
      <c r="D66" s="254">
        <f>$D$10+$H$40*($H$39*SINH($C$35*B66)+SINH($C$35*($D$3-B66)))/$H$38</f>
        <v>93.516170416988402</v>
      </c>
      <c r="E66" s="85"/>
      <c r="F66" s="6"/>
    </row>
    <row r="67" spans="1:9" x14ac:dyDescent="0.3">
      <c r="A67" s="104">
        <v>27</v>
      </c>
      <c r="B67" s="1">
        <f t="shared" si="11"/>
        <v>8.8709677419354802E-2</v>
      </c>
      <c r="C67" s="2">
        <f>D67+273.15</f>
        <v>367.90037913954302</v>
      </c>
      <c r="D67" s="254">
        <f>$D$10+$H$40*($H$39*SINH($C$35*B67)+SINH($C$35*($D$3-B67)))/$H$38</f>
        <v>94.750379139543014</v>
      </c>
      <c r="E67" s="85"/>
      <c r="F67" s="6"/>
    </row>
    <row r="68" spans="1:9" x14ac:dyDescent="0.3">
      <c r="A68" s="104">
        <v>28</v>
      </c>
      <c r="B68" s="1">
        <f t="shared" si="11"/>
        <v>9.1935483870967699E-2</v>
      </c>
      <c r="C68" s="2">
        <f>D68+273.15</f>
        <v>369.25073363882785</v>
      </c>
      <c r="D68" s="254">
        <f>$D$10+$H$40*($H$39*SINH($C$35*B68)+SINH($C$35*($D$3-B68)))/$H$38</f>
        <v>96.100733638827876</v>
      </c>
      <c r="E68" s="85"/>
      <c r="F68" s="6"/>
    </row>
    <row r="69" spans="1:9" x14ac:dyDescent="0.3">
      <c r="A69" s="104">
        <v>29</v>
      </c>
      <c r="B69" s="1">
        <f t="shared" si="11"/>
        <v>9.5161290322580597E-2</v>
      </c>
      <c r="C69" s="2">
        <f>D69+273.15</f>
        <v>370.71948247569833</v>
      </c>
      <c r="D69" s="254">
        <f>$D$10+$H$40*($H$39*SINH($C$35*B69)+SINH($C$35*($D$3-B69)))/$H$38</f>
        <v>97.569482475698337</v>
      </c>
      <c r="E69" s="85"/>
      <c r="F69" s="6"/>
    </row>
    <row r="70" spans="1:9" x14ac:dyDescent="0.3">
      <c r="A70" s="127">
        <v>30</v>
      </c>
      <c r="B70" s="1">
        <f t="shared" si="11"/>
        <v>9.8387096774193494E-2</v>
      </c>
      <c r="C70" s="53">
        <f>D70+273.15</f>
        <v>372.30907135692451</v>
      </c>
      <c r="D70" s="254">
        <f>$D$10+$H$40*($H$39*SINH($C$35*B70)+SINH($C$35*($D$3-B70)))/$H$38</f>
        <v>99.159071356924528</v>
      </c>
      <c r="E70" s="85"/>
      <c r="F70" s="6"/>
    </row>
    <row r="71" spans="1:9" ht="15" thickBot="1" x14ac:dyDescent="0.35">
      <c r="A71" s="128">
        <v>30.5</v>
      </c>
      <c r="B71" s="1">
        <f>$E$20+B70-(0.1-B70)</f>
        <v>9.9999999999999881E-2</v>
      </c>
      <c r="C71" s="117">
        <f>D71+273.15</f>
        <v>373.14999999999986</v>
      </c>
      <c r="D71" s="255">
        <f>$D$10+$H$40*($H$39*SINH($C$35*B71)+SINH($C$35*($D$3-B71)))/$H$38</f>
        <v>99.999999999999915</v>
      </c>
      <c r="E71" s="85"/>
      <c r="F71" s="6"/>
    </row>
    <row r="72" spans="1:9" x14ac:dyDescent="0.3">
      <c r="A72" s="85"/>
      <c r="B72" s="6"/>
      <c r="C72" s="6"/>
      <c r="D72" s="6"/>
    </row>
    <row r="73" spans="1:9" x14ac:dyDescent="0.3">
      <c r="A73" s="85"/>
      <c r="B73" s="6"/>
      <c r="C73" s="6"/>
      <c r="D73" s="6"/>
    </row>
    <row r="74" spans="1:9" x14ac:dyDescent="0.3">
      <c r="A74" s="85"/>
      <c r="B74" s="6"/>
      <c r="C74" s="6"/>
      <c r="D74" s="6"/>
      <c r="E74">
        <f>MIN(E76:E108)</f>
        <v>360.24047999999999</v>
      </c>
      <c r="F74">
        <f>E74-273.15</f>
        <v>87.090480000000014</v>
      </c>
    </row>
    <row r="75" spans="1:9" x14ac:dyDescent="0.3">
      <c r="A75" s="85"/>
      <c r="B75" s="6" t="s">
        <v>98</v>
      </c>
      <c r="C75" s="6" t="s">
        <v>99</v>
      </c>
      <c r="D75" s="6" t="s">
        <v>100</v>
      </c>
      <c r="E75" t="s">
        <v>101</v>
      </c>
    </row>
    <row r="76" spans="1:9" x14ac:dyDescent="0.3">
      <c r="A76" s="85"/>
      <c r="B76" s="6"/>
      <c r="C76" s="6">
        <v>1</v>
      </c>
      <c r="D76" s="6">
        <v>0</v>
      </c>
      <c r="E76">
        <v>373.14999</v>
      </c>
      <c r="F76">
        <v>0.44978000000000001</v>
      </c>
      <c r="G76">
        <v>0</v>
      </c>
      <c r="H76">
        <v>1</v>
      </c>
      <c r="I76">
        <v>373.14999</v>
      </c>
    </row>
    <row r="77" spans="1:9" x14ac:dyDescent="0.3">
      <c r="A77" s="85"/>
      <c r="B77" s="6"/>
      <c r="C77" s="6">
        <v>2</v>
      </c>
      <c r="D77" s="6">
        <v>3.3400000000000001E-3</v>
      </c>
      <c r="E77">
        <v>371.38031000000001</v>
      </c>
      <c r="F77">
        <v>0.22489000000000001</v>
      </c>
      <c r="G77">
        <v>0.44978000000000001</v>
      </c>
      <c r="H77">
        <v>0.67625999999999997</v>
      </c>
      <c r="I77">
        <v>0.47727999999999998</v>
      </c>
    </row>
    <row r="78" spans="1:9" x14ac:dyDescent="0.3">
      <c r="A78" s="85"/>
      <c r="B78" s="6"/>
      <c r="C78" s="6">
        <v>3</v>
      </c>
      <c r="D78" s="6">
        <v>1.001E-2</v>
      </c>
      <c r="E78">
        <v>368.36227000000002</v>
      </c>
      <c r="F78">
        <v>0.22489000000000001</v>
      </c>
      <c r="G78">
        <v>0.22489000000000001</v>
      </c>
      <c r="H78">
        <v>0.45138</v>
      </c>
      <c r="I78">
        <v>0.47727999999999998</v>
      </c>
    </row>
    <row r="79" spans="1:9" x14ac:dyDescent="0.3">
      <c r="A79" s="85"/>
      <c r="B79" s="6"/>
      <c r="C79" s="6">
        <v>4</v>
      </c>
      <c r="D79" s="6">
        <v>1.6670000000000001E-2</v>
      </c>
      <c r="E79">
        <v>365.84402</v>
      </c>
      <c r="F79">
        <v>0.22489000000000001</v>
      </c>
      <c r="G79">
        <v>0.22489000000000001</v>
      </c>
      <c r="H79">
        <v>0.45138</v>
      </c>
      <c r="I79">
        <v>0.47727999999999998</v>
      </c>
    </row>
    <row r="80" spans="1:9" x14ac:dyDescent="0.3">
      <c r="A80" s="85"/>
      <c r="B80" s="6"/>
      <c r="C80" s="6">
        <v>5</v>
      </c>
      <c r="D80" s="6">
        <v>2.3349999999999999E-2</v>
      </c>
      <c r="E80">
        <v>363.80768</v>
      </c>
      <c r="F80">
        <v>0.22489000000000001</v>
      </c>
      <c r="G80">
        <v>0.22489000000000001</v>
      </c>
      <c r="H80">
        <v>0.45138</v>
      </c>
      <c r="I80">
        <v>0.47727999999999998</v>
      </c>
    </row>
    <row r="81" spans="1:9" x14ac:dyDescent="0.3">
      <c r="A81" s="85"/>
      <c r="B81" s="6"/>
      <c r="C81" s="6">
        <v>6</v>
      </c>
      <c r="D81" s="6">
        <v>3.0009999999999998E-2</v>
      </c>
      <c r="E81">
        <v>362.23871000000003</v>
      </c>
      <c r="F81">
        <v>0.22489000000000001</v>
      </c>
      <c r="G81">
        <v>0.22489000000000001</v>
      </c>
      <c r="H81">
        <v>0.45138</v>
      </c>
      <c r="I81">
        <v>0.47727999999999998</v>
      </c>
    </row>
    <row r="82" spans="1:9" x14ac:dyDescent="0.3">
      <c r="A82" s="85"/>
      <c r="B82" s="6"/>
      <c r="C82" s="6">
        <v>7</v>
      </c>
      <c r="D82" s="6">
        <v>3.6679999999999997E-2</v>
      </c>
      <c r="E82">
        <v>361.12594999999999</v>
      </c>
      <c r="F82">
        <v>0.22489000000000001</v>
      </c>
      <c r="G82">
        <v>0.22489000000000001</v>
      </c>
      <c r="H82">
        <v>0.45138</v>
      </c>
      <c r="I82">
        <v>0.47727999999999998</v>
      </c>
    </row>
    <row r="83" spans="1:9" x14ac:dyDescent="0.3">
      <c r="A83" s="85"/>
      <c r="B83" s="6"/>
      <c r="C83" s="6">
        <v>8</v>
      </c>
      <c r="D83" s="6">
        <v>4.3360000000000003E-2</v>
      </c>
      <c r="E83">
        <v>360.46143000000001</v>
      </c>
      <c r="F83">
        <v>0.22489000000000001</v>
      </c>
      <c r="G83">
        <v>0.22489000000000001</v>
      </c>
      <c r="H83">
        <v>0.45138</v>
      </c>
      <c r="I83">
        <v>0.47727999999999998</v>
      </c>
    </row>
    <row r="84" spans="1:9" x14ac:dyDescent="0.3">
      <c r="A84" s="85"/>
      <c r="B84" s="6"/>
      <c r="C84" s="6">
        <v>9</v>
      </c>
      <c r="D84" s="6">
        <v>5.0029999999999998E-2</v>
      </c>
      <c r="E84">
        <v>360.24047999999999</v>
      </c>
      <c r="F84">
        <v>0.22489000000000001</v>
      </c>
      <c r="G84">
        <v>0.22489000000000001</v>
      </c>
      <c r="H84">
        <v>0.45138</v>
      </c>
      <c r="I84">
        <v>0.47727999999999998</v>
      </c>
    </row>
    <row r="85" spans="1:9" x14ac:dyDescent="0.3">
      <c r="A85" s="85"/>
      <c r="B85" s="6"/>
      <c r="C85" s="6">
        <v>10</v>
      </c>
      <c r="D85" s="6">
        <v>5.6689999999999997E-2</v>
      </c>
      <c r="E85">
        <v>360.46145999999999</v>
      </c>
      <c r="F85">
        <v>0.22489000000000001</v>
      </c>
      <c r="G85">
        <v>0.22489000000000001</v>
      </c>
      <c r="H85">
        <v>0.45138</v>
      </c>
      <c r="I85">
        <v>0.47727999999999998</v>
      </c>
    </row>
    <row r="86" spans="1:9" x14ac:dyDescent="0.3">
      <c r="A86" s="85"/>
      <c r="B86" s="6"/>
      <c r="C86" s="6">
        <v>11</v>
      </c>
      <c r="D86" s="6">
        <v>6.336E-2</v>
      </c>
      <c r="E86">
        <v>361.12601000000001</v>
      </c>
      <c r="F86">
        <v>0.22489000000000001</v>
      </c>
      <c r="G86">
        <v>0.22489000000000001</v>
      </c>
      <c r="H86">
        <v>0.45138</v>
      </c>
      <c r="I86">
        <v>0.47727999999999998</v>
      </c>
    </row>
    <row r="87" spans="1:9" x14ac:dyDescent="0.3">
      <c r="A87" s="85"/>
      <c r="B87" s="6"/>
      <c r="C87" s="6">
        <v>12</v>
      </c>
      <c r="D87" s="6">
        <v>7.0029999999999995E-2</v>
      </c>
      <c r="E87">
        <v>362.23889000000003</v>
      </c>
      <c r="F87">
        <v>0.22489000000000001</v>
      </c>
      <c r="G87">
        <v>0.22489000000000001</v>
      </c>
      <c r="H87">
        <v>0.45138</v>
      </c>
      <c r="I87">
        <v>0.47727999999999998</v>
      </c>
    </row>
    <row r="88" spans="1:9" x14ac:dyDescent="0.3">
      <c r="A88" s="85"/>
      <c r="B88" s="6"/>
      <c r="C88" s="6">
        <v>13</v>
      </c>
      <c r="D88" s="6">
        <v>7.671E-2</v>
      </c>
      <c r="E88">
        <v>363.80795000000001</v>
      </c>
      <c r="F88">
        <v>0.22489000000000001</v>
      </c>
      <c r="G88">
        <v>0.22489000000000001</v>
      </c>
      <c r="H88">
        <v>0.45138</v>
      </c>
      <c r="I88">
        <v>0.47727999999999998</v>
      </c>
    </row>
    <row r="89" spans="1:9" x14ac:dyDescent="0.3">
      <c r="A89" s="85"/>
      <c r="B89" s="6"/>
      <c r="C89" s="6">
        <v>14</v>
      </c>
      <c r="D89" s="6">
        <v>8.337E-2</v>
      </c>
      <c r="E89">
        <v>365.84429999999998</v>
      </c>
      <c r="F89">
        <v>0.22489000000000001</v>
      </c>
      <c r="G89">
        <v>0.22489000000000001</v>
      </c>
      <c r="H89">
        <v>0.45138</v>
      </c>
      <c r="I89">
        <v>0.47727999999999998</v>
      </c>
    </row>
    <row r="90" spans="1:9" x14ac:dyDescent="0.3">
      <c r="A90" s="85"/>
      <c r="B90" s="6"/>
      <c r="C90" s="6">
        <v>15</v>
      </c>
      <c r="D90" s="6">
        <v>9.0050000000000005E-2</v>
      </c>
      <c r="E90">
        <v>368.36246</v>
      </c>
      <c r="F90">
        <v>0.22489000000000001</v>
      </c>
      <c r="G90">
        <v>0.22489000000000001</v>
      </c>
      <c r="H90">
        <v>0.45138</v>
      </c>
      <c r="I90">
        <v>0.47727999999999998</v>
      </c>
    </row>
    <row r="91" spans="1:9" x14ac:dyDescent="0.3">
      <c r="A91" s="85"/>
      <c r="B91" s="6"/>
      <c r="C91" s="6">
        <v>16</v>
      </c>
      <c r="D91" s="6">
        <v>9.672E-2</v>
      </c>
      <c r="E91">
        <v>371.38037000000003</v>
      </c>
      <c r="F91">
        <v>0.44978000000000001</v>
      </c>
      <c r="G91">
        <v>0.22489000000000001</v>
      </c>
      <c r="H91">
        <v>0.67625999999999997</v>
      </c>
      <c r="I91">
        <v>0.47727999999999998</v>
      </c>
    </row>
    <row r="92" spans="1:9" x14ac:dyDescent="0.3">
      <c r="A92" s="85"/>
      <c r="B92" s="6"/>
      <c r="C92" s="6">
        <v>17</v>
      </c>
      <c r="D92" s="6">
        <v>0.10005</v>
      </c>
      <c r="E92">
        <v>373.14999</v>
      </c>
      <c r="F92">
        <v>0</v>
      </c>
      <c r="G92">
        <v>0</v>
      </c>
      <c r="H92">
        <v>1</v>
      </c>
      <c r="I92">
        <v>373.14999</v>
      </c>
    </row>
    <row r="93" spans="1:9" x14ac:dyDescent="0.3">
      <c r="A93" s="85"/>
      <c r="B93" s="6"/>
      <c r="C93" s="6"/>
      <c r="D93" s="6"/>
    </row>
    <row r="94" spans="1:9" x14ac:dyDescent="0.3">
      <c r="A94" s="85"/>
      <c r="B94" s="6"/>
      <c r="C94" s="6"/>
      <c r="D94" s="6"/>
    </row>
    <row r="95" spans="1:9" x14ac:dyDescent="0.3">
      <c r="A95" s="85"/>
      <c r="B95" s="6"/>
      <c r="C95" s="6"/>
      <c r="D95" s="6"/>
    </row>
    <row r="96" spans="1:9" x14ac:dyDescent="0.3">
      <c r="A96" s="85"/>
      <c r="B96" s="6"/>
      <c r="C96" s="6"/>
      <c r="D96" s="6"/>
    </row>
    <row r="97" spans="1:4" x14ac:dyDescent="0.3">
      <c r="A97" s="85"/>
      <c r="B97" s="6"/>
      <c r="C97" s="6"/>
      <c r="D97" s="6"/>
    </row>
    <row r="98" spans="1:4" x14ac:dyDescent="0.3">
      <c r="A98" s="85"/>
      <c r="B98" s="6"/>
      <c r="C98" s="6"/>
      <c r="D98" s="6"/>
    </row>
    <row r="99" spans="1:4" x14ac:dyDescent="0.3">
      <c r="A99" s="85"/>
      <c r="B99" s="6"/>
      <c r="C99" s="6"/>
      <c r="D99" s="6"/>
    </row>
    <row r="100" spans="1:4" x14ac:dyDescent="0.3">
      <c r="A100" s="85"/>
      <c r="B100" s="6"/>
      <c r="C100" s="6"/>
      <c r="D100" s="6"/>
    </row>
    <row r="101" spans="1:4" x14ac:dyDescent="0.3">
      <c r="A101" s="85"/>
      <c r="B101" s="6"/>
      <c r="C101" s="6"/>
      <c r="D101" s="6"/>
    </row>
    <row r="102" spans="1:4" x14ac:dyDescent="0.3">
      <c r="A102" s="85"/>
      <c r="B102" s="6"/>
      <c r="C102" s="6"/>
      <c r="D102" s="6"/>
    </row>
    <row r="103" spans="1:4" x14ac:dyDescent="0.3">
      <c r="A103" s="85"/>
      <c r="B103" s="6"/>
      <c r="C103" s="6"/>
      <c r="D103" s="6"/>
    </row>
    <row r="104" spans="1:4" x14ac:dyDescent="0.3">
      <c r="A104" s="85"/>
      <c r="B104" s="6"/>
      <c r="C104" s="6"/>
      <c r="D104" s="6"/>
    </row>
    <row r="105" spans="1:4" x14ac:dyDescent="0.3">
      <c r="A105" s="85"/>
      <c r="B105" s="6"/>
      <c r="C105" s="6"/>
      <c r="D105" s="6"/>
    </row>
    <row r="106" spans="1:4" x14ac:dyDescent="0.3">
      <c r="A106" s="85"/>
      <c r="B106" s="6"/>
      <c r="C106" s="6"/>
      <c r="D106" s="6"/>
    </row>
    <row r="107" spans="1:4" x14ac:dyDescent="0.3">
      <c r="A107" s="85"/>
      <c r="B107" s="6"/>
      <c r="C107" s="6"/>
      <c r="D107" s="6"/>
    </row>
    <row r="108" spans="1:4" x14ac:dyDescent="0.3">
      <c r="A108" s="85"/>
      <c r="B108" s="6"/>
      <c r="C108" s="6"/>
      <c r="D108" s="6"/>
    </row>
    <row r="109" spans="1:4" x14ac:dyDescent="0.3">
      <c r="A109" s="85"/>
      <c r="B109" s="6"/>
      <c r="C109" s="6"/>
      <c r="D109" s="6"/>
    </row>
    <row r="110" spans="1:4" x14ac:dyDescent="0.3">
      <c r="A110" s="85"/>
      <c r="B110" s="6"/>
      <c r="C110" s="6"/>
      <c r="D110" s="6"/>
    </row>
    <row r="111" spans="1:4" x14ac:dyDescent="0.3">
      <c r="A111" s="85"/>
      <c r="B111" s="6"/>
      <c r="C111" s="6"/>
      <c r="D111" s="6"/>
    </row>
    <row r="112" spans="1:4" x14ac:dyDescent="0.3">
      <c r="A112" s="85"/>
      <c r="B112" s="6"/>
      <c r="C112" s="6"/>
      <c r="D112" s="6"/>
    </row>
    <row r="113" spans="1:4" x14ac:dyDescent="0.3">
      <c r="A113" s="85"/>
      <c r="B113" s="6"/>
      <c r="C113" s="6"/>
      <c r="D113" s="6"/>
    </row>
    <row r="114" spans="1:4" x14ac:dyDescent="0.3">
      <c r="A114" s="85"/>
      <c r="B114" s="6"/>
      <c r="C114" s="6"/>
      <c r="D114" s="6"/>
    </row>
    <row r="115" spans="1:4" x14ac:dyDescent="0.3">
      <c r="A115" s="85"/>
      <c r="B115" s="6"/>
      <c r="C115" s="6"/>
      <c r="D115" s="6"/>
    </row>
    <row r="116" spans="1:4" x14ac:dyDescent="0.3">
      <c r="A116" s="85"/>
      <c r="B116" s="6"/>
      <c r="C116" s="6"/>
      <c r="D116" s="6"/>
    </row>
    <row r="117" spans="1:4" x14ac:dyDescent="0.3">
      <c r="A117" s="85"/>
      <c r="B117" s="6"/>
      <c r="C117" s="6"/>
      <c r="D117" s="6"/>
    </row>
    <row r="118" spans="1:4" x14ac:dyDescent="0.3">
      <c r="A118" s="85"/>
      <c r="B118" s="6"/>
      <c r="C118" s="6"/>
      <c r="D118" s="6"/>
    </row>
    <row r="119" spans="1:4" x14ac:dyDescent="0.3">
      <c r="A119" s="85"/>
      <c r="B119" s="6"/>
      <c r="C119" s="6"/>
      <c r="D119" s="6"/>
    </row>
    <row r="120" spans="1:4" x14ac:dyDescent="0.3">
      <c r="A120" s="85"/>
      <c r="B120" s="6"/>
      <c r="C120" s="6"/>
      <c r="D120" s="6"/>
    </row>
    <row r="121" spans="1:4" x14ac:dyDescent="0.3">
      <c r="A121" s="85"/>
      <c r="B121" s="6"/>
      <c r="C121" s="6"/>
      <c r="D121" s="6"/>
    </row>
    <row r="122" spans="1:4" x14ac:dyDescent="0.3">
      <c r="A122" s="85"/>
      <c r="B122" s="6"/>
      <c r="C122" s="6"/>
      <c r="D122" s="6"/>
    </row>
    <row r="123" spans="1:4" x14ac:dyDescent="0.3">
      <c r="A123" s="85"/>
      <c r="B123" s="6"/>
      <c r="C123" s="6"/>
      <c r="D123" s="6"/>
    </row>
    <row r="124" spans="1:4" x14ac:dyDescent="0.3">
      <c r="A124" s="85"/>
      <c r="B124" s="6"/>
      <c r="C124" s="6"/>
      <c r="D124" s="6"/>
    </row>
    <row r="125" spans="1:4" x14ac:dyDescent="0.3">
      <c r="A125" s="85"/>
      <c r="B125" s="6"/>
      <c r="C125" s="6"/>
      <c r="D125" s="6"/>
    </row>
    <row r="126" spans="1:4" x14ac:dyDescent="0.3">
      <c r="A126" s="85"/>
      <c r="B126" s="6"/>
      <c r="C126" s="6"/>
      <c r="D126" s="6"/>
    </row>
    <row r="127" spans="1:4" x14ac:dyDescent="0.3">
      <c r="A127" s="85"/>
      <c r="B127" s="6"/>
      <c r="C127" s="6"/>
      <c r="D127" s="6"/>
    </row>
    <row r="128" spans="1:4" x14ac:dyDescent="0.3">
      <c r="A128" s="85"/>
      <c r="B128" s="6"/>
      <c r="C128" s="6"/>
      <c r="D128" s="6"/>
    </row>
    <row r="129" spans="1:4" x14ac:dyDescent="0.3">
      <c r="A129" s="85"/>
      <c r="B129" s="6"/>
      <c r="C129" s="6"/>
      <c r="D129" s="6"/>
    </row>
    <row r="130" spans="1:4" x14ac:dyDescent="0.3">
      <c r="A130" s="85"/>
      <c r="B130" s="6"/>
      <c r="C130" s="6"/>
      <c r="D130" s="6"/>
    </row>
    <row r="131" spans="1:4" x14ac:dyDescent="0.3">
      <c r="A131" s="85"/>
      <c r="B131" s="6"/>
      <c r="C131" s="6"/>
      <c r="D131" s="6"/>
    </row>
    <row r="132" spans="1:4" x14ac:dyDescent="0.3">
      <c r="A132" s="85"/>
      <c r="B132" s="6"/>
      <c r="C132" s="6"/>
      <c r="D132" s="6"/>
    </row>
    <row r="133" spans="1:4" x14ac:dyDescent="0.3">
      <c r="A133" s="85"/>
      <c r="B133" s="6"/>
      <c r="C133" s="6"/>
      <c r="D133" s="6"/>
    </row>
    <row r="134" spans="1:4" x14ac:dyDescent="0.3">
      <c r="A134" s="85"/>
      <c r="B134" s="6"/>
      <c r="C134" s="6"/>
      <c r="D134" s="6"/>
    </row>
    <row r="135" spans="1:4" x14ac:dyDescent="0.3">
      <c r="A135" s="85"/>
      <c r="B135" s="6"/>
      <c r="C135" s="6"/>
      <c r="D135" s="6"/>
    </row>
    <row r="136" spans="1:4" x14ac:dyDescent="0.3">
      <c r="A136" s="85"/>
      <c r="B136" s="6"/>
      <c r="C136" s="6"/>
      <c r="D136" s="6"/>
    </row>
    <row r="137" spans="1:4" x14ac:dyDescent="0.3">
      <c r="A137" s="85"/>
      <c r="B137" s="6"/>
      <c r="C137" s="6"/>
      <c r="D137" s="6"/>
    </row>
    <row r="138" spans="1:4" x14ac:dyDescent="0.3">
      <c r="B138" s="6"/>
      <c r="C138" s="6"/>
      <c r="D138" s="6"/>
    </row>
    <row r="139" spans="1:4" x14ac:dyDescent="0.3">
      <c r="B139" s="6"/>
      <c r="C139" s="6"/>
      <c r="D139" s="6"/>
    </row>
  </sheetData>
  <mergeCells count="7">
    <mergeCell ref="B37:D37"/>
    <mergeCell ref="U2:AB2"/>
    <mergeCell ref="L2:O2"/>
    <mergeCell ref="Q2:S2"/>
    <mergeCell ref="B2:E2"/>
    <mergeCell ref="G23:I23"/>
    <mergeCell ref="G14:I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87"/>
  <sheetViews>
    <sheetView topLeftCell="R1" workbookViewId="0">
      <selection activeCell="AJ5" sqref="AJ5"/>
    </sheetView>
  </sheetViews>
  <sheetFormatPr defaultRowHeight="14.4" x14ac:dyDescent="0.3"/>
  <cols>
    <col min="1" max="1" width="1.6640625" customWidth="1"/>
    <col min="3" max="4" width="12" bestFit="1" customWidth="1"/>
    <col min="5" max="5" width="14.33203125" customWidth="1"/>
    <col min="6" max="6" width="10" bestFit="1" customWidth="1"/>
    <col min="7" max="7" width="13.5546875" bestFit="1" customWidth="1"/>
    <col min="8" max="10" width="10" bestFit="1" customWidth="1"/>
    <col min="13" max="13" width="11.77734375" bestFit="1" customWidth="1"/>
    <col min="14" max="14" width="10.6640625" bestFit="1" customWidth="1"/>
    <col min="23" max="23" width="8.88671875" style="152"/>
    <col min="24" max="24" width="8.33203125" bestFit="1" customWidth="1"/>
    <col min="25" max="25" width="19.6640625" bestFit="1" customWidth="1"/>
    <col min="29" max="29" width="10.44140625" bestFit="1" customWidth="1"/>
    <col min="30" max="30" width="16.21875" bestFit="1" customWidth="1"/>
    <col min="31" max="31" width="12.5546875" bestFit="1" customWidth="1"/>
    <col min="36" max="36" width="9.5546875" bestFit="1" customWidth="1"/>
    <col min="37" max="37" width="13.77734375" bestFit="1" customWidth="1"/>
    <col min="38" max="38" width="10.6640625" bestFit="1" customWidth="1"/>
    <col min="39" max="39" width="24.6640625" bestFit="1" customWidth="1"/>
    <col min="40" max="40" width="13.6640625" bestFit="1" customWidth="1"/>
    <col min="41" max="41" width="14" bestFit="1" customWidth="1"/>
    <col min="43" max="45" width="9" bestFit="1" customWidth="1"/>
    <col min="46" max="46" width="11.109375" customWidth="1"/>
    <col min="47" max="47" width="13.77734375" bestFit="1" customWidth="1"/>
    <col min="48" max="48" width="22.33203125" bestFit="1" customWidth="1"/>
    <col min="49" max="49" width="10.6640625" customWidth="1"/>
    <col min="50" max="50" width="13.77734375" bestFit="1" customWidth="1"/>
    <col min="51" max="51" width="22.33203125" bestFit="1" customWidth="1"/>
    <col min="52" max="52" width="11.5546875" bestFit="1" customWidth="1"/>
    <col min="53" max="53" width="13.77734375" bestFit="1" customWidth="1"/>
    <col min="54" max="54" width="22.33203125" bestFit="1" customWidth="1"/>
  </cols>
  <sheetData>
    <row r="1" spans="2:57" ht="15" thickBot="1" x14ac:dyDescent="0.35"/>
    <row r="2" spans="2:57" ht="16.2" thickBot="1" x14ac:dyDescent="0.35">
      <c r="B2" s="20" t="s">
        <v>8</v>
      </c>
      <c r="X2" s="231" t="s">
        <v>145</v>
      </c>
      <c r="Y2" s="232"/>
      <c r="Z2" s="232"/>
      <c r="AA2" s="233"/>
      <c r="AC2" s="240" t="s">
        <v>162</v>
      </c>
      <c r="AD2" s="241"/>
      <c r="AE2" s="242"/>
      <c r="AG2" s="260" t="s">
        <v>165</v>
      </c>
      <c r="AH2" s="286"/>
      <c r="AI2" s="286"/>
      <c r="AJ2" s="286"/>
      <c r="AK2" s="286"/>
      <c r="AL2" s="286"/>
      <c r="AM2" s="286"/>
      <c r="AN2" s="286"/>
      <c r="AO2" s="287"/>
      <c r="AQ2" s="285" t="s">
        <v>200</v>
      </c>
      <c r="AR2" s="309"/>
      <c r="AS2" s="309"/>
      <c r="AT2" s="309"/>
      <c r="AU2" s="309"/>
      <c r="AV2" s="309"/>
      <c r="AW2" s="309"/>
      <c r="AX2" s="309"/>
      <c r="AY2" s="309"/>
      <c r="AZ2" s="309"/>
      <c r="BA2" s="309"/>
      <c r="BB2" s="310"/>
    </row>
    <row r="3" spans="2:57" ht="16.2" thickBot="1" x14ac:dyDescent="0.35">
      <c r="X3" s="155" t="s">
        <v>142</v>
      </c>
      <c r="Y3" s="156" t="s">
        <v>143</v>
      </c>
      <c r="Z3" s="156" t="s">
        <v>144</v>
      </c>
      <c r="AA3" s="157" t="s">
        <v>153</v>
      </c>
      <c r="AC3" s="203" t="s">
        <v>161</v>
      </c>
      <c r="AD3" s="204" t="s">
        <v>163</v>
      </c>
      <c r="AE3" s="158" t="s">
        <v>164</v>
      </c>
      <c r="AG3" s="267" t="s">
        <v>1</v>
      </c>
      <c r="AH3" s="268" t="s">
        <v>3</v>
      </c>
      <c r="AI3" s="303" t="s">
        <v>195</v>
      </c>
      <c r="AJ3" s="208" t="s">
        <v>9</v>
      </c>
      <c r="AK3" s="209" t="s">
        <v>4</v>
      </c>
      <c r="AL3" s="210" t="s">
        <v>194</v>
      </c>
      <c r="AM3" s="208" t="s">
        <v>174</v>
      </c>
      <c r="AN3" s="210" t="s">
        <v>4</v>
      </c>
      <c r="AO3" s="304" t="s">
        <v>193</v>
      </c>
      <c r="AQ3" s="208" t="s">
        <v>1</v>
      </c>
      <c r="AR3" s="209" t="s">
        <v>3</v>
      </c>
      <c r="AS3" s="305" t="s">
        <v>195</v>
      </c>
      <c r="AT3" s="306" t="s">
        <v>199</v>
      </c>
      <c r="AU3" s="308" t="s">
        <v>4</v>
      </c>
      <c r="AV3" s="307" t="s">
        <v>198</v>
      </c>
      <c r="AW3" s="306" t="s">
        <v>196</v>
      </c>
      <c r="AX3" s="308" t="s">
        <v>4</v>
      </c>
      <c r="AY3" s="307" t="s">
        <v>198</v>
      </c>
      <c r="AZ3" s="211" t="s">
        <v>197</v>
      </c>
      <c r="BA3" s="307" t="s">
        <v>4</v>
      </c>
      <c r="BB3" s="307" t="s">
        <v>198</v>
      </c>
    </row>
    <row r="4" spans="2:57" ht="18.600000000000001" thickBot="1" x14ac:dyDescent="0.4">
      <c r="B4" s="77" t="s">
        <v>20</v>
      </c>
      <c r="C4" s="78">
        <v>0.1</v>
      </c>
      <c r="D4" s="79" t="s">
        <v>18</v>
      </c>
      <c r="E4">
        <f>C4/2</f>
        <v>0.05</v>
      </c>
      <c r="N4" s="5"/>
      <c r="X4" s="159" t="s">
        <v>16</v>
      </c>
      <c r="Y4" s="160" t="s">
        <v>146</v>
      </c>
      <c r="Z4" s="161">
        <f>C4</f>
        <v>0.1</v>
      </c>
      <c r="AA4" s="162" t="s">
        <v>18</v>
      </c>
      <c r="AC4" s="205" t="s">
        <v>185</v>
      </c>
      <c r="AD4" s="159">
        <v>0</v>
      </c>
      <c r="AE4" s="162" t="s">
        <v>179</v>
      </c>
      <c r="AG4" s="189">
        <f>C13</f>
        <v>2</v>
      </c>
      <c r="AH4" s="270">
        <f t="shared" ref="AH4:AI10" si="0">D13</f>
        <v>1</v>
      </c>
      <c r="AI4" s="271">
        <f t="shared" si="0"/>
        <v>0.1</v>
      </c>
      <c r="AJ4" s="297">
        <f>G13</f>
        <v>331.88623000000001</v>
      </c>
      <c r="AK4" s="291">
        <f>M13</f>
        <v>0</v>
      </c>
      <c r="AL4" s="271">
        <f>J13</f>
        <v>0.05</v>
      </c>
      <c r="AM4" s="297">
        <f>H13</f>
        <v>-15.89992262</v>
      </c>
      <c r="AN4" s="274">
        <f>N13</f>
        <v>0</v>
      </c>
      <c r="AO4" s="300">
        <f>I13</f>
        <v>3.8146972000000001E-6</v>
      </c>
      <c r="AQ4" s="189">
        <f>AG4</f>
        <v>2</v>
      </c>
      <c r="AR4" s="270">
        <f t="shared" ref="AR4:AS10" si="1">AH4</f>
        <v>1</v>
      </c>
      <c r="AS4" s="190">
        <f t="shared" si="1"/>
        <v>0.1</v>
      </c>
      <c r="AT4" s="297">
        <f>AJ4</f>
        <v>331.88623000000001</v>
      </c>
      <c r="AU4" s="311"/>
      <c r="AV4" s="274">
        <f>(AT4-$BE$6)/$BE$6</f>
        <v>6.3226915624877552E-3</v>
      </c>
      <c r="AW4" s="297">
        <v>331.88623000000001</v>
      </c>
      <c r="AX4" s="311"/>
      <c r="AY4" s="274">
        <f>(AW4-$BE$4)/$BE$4</f>
        <v>9.2973247493378132E-3</v>
      </c>
      <c r="AZ4" s="294">
        <v>331.88619999999997</v>
      </c>
      <c r="BA4" s="190"/>
      <c r="BB4" s="274">
        <f>(AZ4-$BE$5)/$BE$5</f>
        <v>2.015559633478714E-2</v>
      </c>
      <c r="BD4" t="s">
        <v>196</v>
      </c>
      <c r="BE4">
        <v>328.82900000000001</v>
      </c>
    </row>
    <row r="5" spans="2:57" ht="18" x14ac:dyDescent="0.35">
      <c r="B5" s="80" t="s">
        <v>37</v>
      </c>
      <c r="C5" s="76">
        <v>5.0000000000000001E-3</v>
      </c>
      <c r="D5" s="81" t="s">
        <v>18</v>
      </c>
      <c r="N5" s="27"/>
      <c r="X5" s="159" t="s">
        <v>177</v>
      </c>
      <c r="Y5" s="160" t="s">
        <v>203</v>
      </c>
      <c r="Z5" s="161">
        <v>50000</v>
      </c>
      <c r="AA5" s="162" t="s">
        <v>178</v>
      </c>
      <c r="AC5" s="206" t="s">
        <v>186</v>
      </c>
      <c r="AD5" s="167" t="s">
        <v>180</v>
      </c>
      <c r="AE5" s="170">
        <v>0</v>
      </c>
      <c r="AG5" s="192">
        <f t="shared" ref="AG5:AG10" si="2">C14</f>
        <v>3</v>
      </c>
      <c r="AH5" s="214">
        <f t="shared" si="0"/>
        <v>2</v>
      </c>
      <c r="AI5" s="276">
        <f t="shared" si="0"/>
        <v>0.05</v>
      </c>
      <c r="AJ5" s="298">
        <f t="shared" ref="AJ5:AJ10" si="3">G14</f>
        <v>330.35736000000003</v>
      </c>
      <c r="AK5" s="289">
        <f t="shared" ref="AK5:AK10" si="4">M14</f>
        <v>-4.6066087164869226E-3</v>
      </c>
      <c r="AL5" s="276">
        <f>J14</f>
        <v>2.5000000000000001E-2</v>
      </c>
      <c r="AM5" s="298">
        <f t="shared" ref="AM5:AM10" si="5">H14</f>
        <v>-15.9002438</v>
      </c>
      <c r="AN5" s="279">
        <f t="shared" ref="AN5:AN10" si="6">N14</f>
        <v>2.0200098307161073E-5</v>
      </c>
      <c r="AO5" s="301">
        <f t="shared" ref="AO5:AO10" si="7">I14</f>
        <v>1.83105469E-4</v>
      </c>
      <c r="AQ5" s="192">
        <f t="shared" ref="AQ5:AQ10" si="8">AG5</f>
        <v>3</v>
      </c>
      <c r="AR5" s="214">
        <f t="shared" si="1"/>
        <v>2</v>
      </c>
      <c r="AS5" s="193">
        <f t="shared" si="1"/>
        <v>0.05</v>
      </c>
      <c r="AT5" s="298">
        <f t="shared" ref="AT5:AT10" si="9">AJ5</f>
        <v>330.35736000000003</v>
      </c>
      <c r="AU5" s="312">
        <f t="shared" ref="AU5:AU10" si="10">AK5</f>
        <v>-4.6066087164869226E-3</v>
      </c>
      <c r="AV5" s="313">
        <f t="shared" ref="AV5:AV10" si="11">(AT5-$BE$6)/$BE$6</f>
        <v>1.6869566799374187E-3</v>
      </c>
      <c r="AW5" s="298">
        <v>330.35736000000003</v>
      </c>
      <c r="AX5" s="312">
        <f>(AW5-AW4)/AW4</f>
        <v>-4.6066087164869226E-3</v>
      </c>
      <c r="AY5" s="313">
        <f t="shared" ref="AY5:AY10" si="12">(AW5-$BE$4)/$BE$4</f>
        <v>4.6478868956205824E-3</v>
      </c>
      <c r="AZ5" s="295">
        <v>328.60732999999999</v>
      </c>
      <c r="BA5" s="312">
        <f>(AZ5-AZ4)/AZ4</f>
        <v>-9.8795008650555041E-3</v>
      </c>
      <c r="BB5" s="313">
        <f t="shared" ref="BB5:BB10" si="13">(AZ5-$BE$5)/$BE$5</f>
        <v>1.0076968238306399E-2</v>
      </c>
      <c r="BD5" t="s">
        <v>197</v>
      </c>
      <c r="BE5">
        <v>325.32900000000001</v>
      </c>
    </row>
    <row r="6" spans="2:57" ht="18.600000000000001" thickBot="1" x14ac:dyDescent="0.4">
      <c r="B6" s="80" t="s">
        <v>27</v>
      </c>
      <c r="C6" s="76">
        <v>26</v>
      </c>
      <c r="D6" s="81" t="s">
        <v>32</v>
      </c>
      <c r="N6" s="27"/>
      <c r="X6" s="171" t="s">
        <v>27</v>
      </c>
      <c r="Y6" s="172" t="s">
        <v>147</v>
      </c>
      <c r="Z6" s="165">
        <v>26</v>
      </c>
      <c r="AA6" s="173" t="s">
        <v>32</v>
      </c>
      <c r="AC6" s="206" t="s">
        <v>187</v>
      </c>
      <c r="AD6" s="167" t="s">
        <v>181</v>
      </c>
      <c r="AE6" s="170" t="s">
        <v>183</v>
      </c>
      <c r="AG6" s="192">
        <f t="shared" si="2"/>
        <v>5</v>
      </c>
      <c r="AH6" s="214">
        <f t="shared" si="0"/>
        <v>4</v>
      </c>
      <c r="AI6" s="276">
        <f t="shared" si="0"/>
        <v>2.5000000000000001E-2</v>
      </c>
      <c r="AJ6" s="298">
        <f t="shared" si="3"/>
        <v>329.92003999999997</v>
      </c>
      <c r="AK6" s="289">
        <f t="shared" si="4"/>
        <v>-1.3237785893435415E-3</v>
      </c>
      <c r="AL6" s="276">
        <f>J15</f>
        <v>3.7499999999999999E-2</v>
      </c>
      <c r="AM6" s="298">
        <f t="shared" si="5"/>
        <v>-15.9002438</v>
      </c>
      <c r="AN6" s="279">
        <f t="shared" si="6"/>
        <v>0</v>
      </c>
      <c r="AO6" s="301">
        <f t="shared" si="7"/>
        <v>2.4461746199999998E-4</v>
      </c>
      <c r="AQ6" s="192">
        <f t="shared" si="8"/>
        <v>5</v>
      </c>
      <c r="AR6" s="214">
        <f t="shared" si="1"/>
        <v>4</v>
      </c>
      <c r="AS6" s="193">
        <f t="shared" si="1"/>
        <v>2.5000000000000001E-2</v>
      </c>
      <c r="AT6" s="298">
        <f t="shared" si="9"/>
        <v>329.92003999999997</v>
      </c>
      <c r="AU6" s="312">
        <f t="shared" si="10"/>
        <v>-1.3237785893435415E-3</v>
      </c>
      <c r="AV6" s="313">
        <f t="shared" si="11"/>
        <v>3.6094493345982591E-4</v>
      </c>
      <c r="AW6" s="298">
        <v>329.59311000000002</v>
      </c>
      <c r="AX6" s="312">
        <f t="shared" ref="AX6:AX10" si="14">(AW6-AW5)/AW5</f>
        <v>-2.3134038848112966E-3</v>
      </c>
      <c r="AY6" s="313">
        <f t="shared" si="12"/>
        <v>2.3237305712087938E-3</v>
      </c>
      <c r="AZ6" s="295">
        <v>326.96807999999999</v>
      </c>
      <c r="BA6" s="312">
        <f t="shared" ref="BA6:BA10" si="15">(AZ6-AZ5)/AZ5</f>
        <v>-4.9884766721424141E-3</v>
      </c>
      <c r="BB6" s="313">
        <f t="shared" si="13"/>
        <v>5.0382228451812732E-3</v>
      </c>
      <c r="BD6" t="s">
        <v>9</v>
      </c>
      <c r="BE6">
        <v>329.80099999999999</v>
      </c>
    </row>
    <row r="7" spans="2:57" ht="18.600000000000001" thickBot="1" x14ac:dyDescent="0.4">
      <c r="B7" s="80" t="s">
        <v>38</v>
      </c>
      <c r="C7" s="76">
        <v>280</v>
      </c>
      <c r="D7" s="81" t="s">
        <v>29</v>
      </c>
      <c r="E7" t="s">
        <v>44</v>
      </c>
      <c r="N7" s="27"/>
      <c r="X7" s="159" t="s">
        <v>38</v>
      </c>
      <c r="Y7" s="160" t="s">
        <v>149</v>
      </c>
      <c r="Z7" s="161">
        <v>280</v>
      </c>
      <c r="AA7" s="162" t="s">
        <v>157</v>
      </c>
      <c r="AC7" s="207" t="s">
        <v>188</v>
      </c>
      <c r="AD7" s="163" t="s">
        <v>182</v>
      </c>
      <c r="AE7" s="166" t="s">
        <v>184</v>
      </c>
      <c r="AG7" s="192">
        <f t="shared" si="2"/>
        <v>9</v>
      </c>
      <c r="AH7" s="214">
        <f t="shared" si="0"/>
        <v>8</v>
      </c>
      <c r="AI7" s="276">
        <f t="shared" si="0"/>
        <v>1.2500000000000001E-2</v>
      </c>
      <c r="AJ7" s="298">
        <f t="shared" si="3"/>
        <v>329.83816999999999</v>
      </c>
      <c r="AK7" s="289">
        <f t="shared" si="4"/>
        <v>-2.4815103683904983E-4</v>
      </c>
      <c r="AL7" s="276">
        <f>J16</f>
        <v>3.125E-2</v>
      </c>
      <c r="AM7" s="298">
        <f t="shared" si="5"/>
        <v>-15.900878000000001</v>
      </c>
      <c r="AN7" s="279">
        <f t="shared" si="6"/>
        <v>3.9886180864746381E-5</v>
      </c>
      <c r="AO7" s="301">
        <f t="shared" si="7"/>
        <v>6.1011314399999998E-4</v>
      </c>
      <c r="AQ7" s="192">
        <f t="shared" si="8"/>
        <v>9</v>
      </c>
      <c r="AR7" s="214">
        <f t="shared" si="1"/>
        <v>8</v>
      </c>
      <c r="AS7" s="193">
        <f t="shared" si="1"/>
        <v>1.2500000000000001E-2</v>
      </c>
      <c r="AT7" s="298">
        <f t="shared" si="9"/>
        <v>329.83816999999999</v>
      </c>
      <c r="AU7" s="312">
        <f t="shared" si="10"/>
        <v>-2.4815103683904983E-4</v>
      </c>
      <c r="AV7" s="313">
        <f t="shared" si="11"/>
        <v>1.1270432776129622E-4</v>
      </c>
      <c r="AW7" s="298">
        <v>329.21163999999999</v>
      </c>
      <c r="AX7" s="312">
        <f t="shared" si="14"/>
        <v>-1.1573967671837427E-3</v>
      </c>
      <c r="AY7" s="313">
        <f t="shared" si="12"/>
        <v>1.1636443257741281E-3</v>
      </c>
      <c r="AZ7" s="295">
        <v>326.14938000000001</v>
      </c>
      <c r="BA7" s="312">
        <f t="shared" si="15"/>
        <v>-2.5039141435456895E-3</v>
      </c>
      <c r="BB7" s="313">
        <f t="shared" si="13"/>
        <v>2.5216934241951996E-3</v>
      </c>
    </row>
    <row r="8" spans="2:57" ht="16.2" x14ac:dyDescent="0.35">
      <c r="B8" s="80" t="s">
        <v>39</v>
      </c>
      <c r="C8" s="76">
        <v>50000</v>
      </c>
      <c r="D8" s="81" t="s">
        <v>40</v>
      </c>
      <c r="E8" t="s">
        <v>43</v>
      </c>
      <c r="N8" s="27"/>
      <c r="X8" s="167" t="s">
        <v>175</v>
      </c>
      <c r="Y8" s="168" t="s">
        <v>150</v>
      </c>
      <c r="Z8" s="176">
        <v>50</v>
      </c>
      <c r="AA8" s="170" t="s">
        <v>154</v>
      </c>
      <c r="AG8" s="192">
        <f t="shared" si="2"/>
        <v>17</v>
      </c>
      <c r="AH8" s="214">
        <f t="shared" si="0"/>
        <v>16</v>
      </c>
      <c r="AI8" s="276">
        <f t="shared" si="0"/>
        <v>6.2500000000000003E-3</v>
      </c>
      <c r="AJ8" s="298">
        <f t="shared" si="3"/>
        <v>329.80450000000002</v>
      </c>
      <c r="AK8" s="289">
        <f t="shared" si="4"/>
        <v>-1.0208036262137985E-4</v>
      </c>
      <c r="AL8" s="276">
        <f>J17</f>
        <v>3.4380000000000001E-2</v>
      </c>
      <c r="AM8" s="298">
        <f t="shared" si="5"/>
        <v>-15.902148199999999</v>
      </c>
      <c r="AN8" s="279">
        <f t="shared" si="6"/>
        <v>7.9882381337600784E-5</v>
      </c>
      <c r="AO8" s="301">
        <f t="shared" si="7"/>
        <v>7.3271989800000005E-4</v>
      </c>
      <c r="AQ8" s="192">
        <f t="shared" si="8"/>
        <v>17</v>
      </c>
      <c r="AR8" s="214">
        <f t="shared" si="1"/>
        <v>16</v>
      </c>
      <c r="AS8" s="193">
        <f t="shared" si="1"/>
        <v>6.2500000000000003E-3</v>
      </c>
      <c r="AT8" s="298">
        <f t="shared" si="9"/>
        <v>329.80450000000002</v>
      </c>
      <c r="AU8" s="312">
        <f t="shared" si="10"/>
        <v>-1.0208036262137985E-4</v>
      </c>
      <c r="AV8" s="313">
        <f t="shared" si="11"/>
        <v>1.0612460241269501E-5</v>
      </c>
      <c r="AW8" s="298">
        <v>329.02023000000003</v>
      </c>
      <c r="AX8" s="312">
        <f t="shared" si="14"/>
        <v>-5.8141929610982807E-4</v>
      </c>
      <c r="AY8" s="313">
        <f t="shared" si="12"/>
        <v>5.8154846439948619E-4</v>
      </c>
      <c r="AZ8" s="295">
        <v>325.73809999999997</v>
      </c>
      <c r="BA8" s="312">
        <f t="shared" si="15"/>
        <v>-1.261017267609196E-3</v>
      </c>
      <c r="BB8" s="313">
        <f t="shared" si="13"/>
        <v>1.2574962576344768E-3</v>
      </c>
    </row>
    <row r="9" spans="2:57" ht="16.8" thickBot="1" x14ac:dyDescent="0.4">
      <c r="B9" s="80" t="s">
        <v>25</v>
      </c>
      <c r="C9" s="76">
        <v>50</v>
      </c>
      <c r="D9" s="81" t="s">
        <v>28</v>
      </c>
      <c r="E9" t="s">
        <v>42</v>
      </c>
      <c r="N9" s="27"/>
      <c r="X9" s="163" t="s">
        <v>176</v>
      </c>
      <c r="Y9" s="164" t="s">
        <v>151</v>
      </c>
      <c r="Z9" s="165">
        <v>40</v>
      </c>
      <c r="AA9" s="166" t="s">
        <v>154</v>
      </c>
      <c r="AG9" s="192">
        <f t="shared" si="2"/>
        <v>33</v>
      </c>
      <c r="AH9" s="214">
        <f t="shared" si="0"/>
        <v>32</v>
      </c>
      <c r="AI9" s="276">
        <f t="shared" si="0"/>
        <v>3.1250000000000002E-3</v>
      </c>
      <c r="AJ9" s="298">
        <f t="shared" si="3"/>
        <v>329.82306</v>
      </c>
      <c r="AK9" s="289">
        <f t="shared" si="4"/>
        <v>5.6275763368842699E-5</v>
      </c>
      <c r="AL9" s="276">
        <f>J18</f>
        <v>3.2870000000000003E-2</v>
      </c>
      <c r="AM9" s="298">
        <f t="shared" si="5"/>
        <v>-15.9451895</v>
      </c>
      <c r="AN9" s="279">
        <f t="shared" si="6"/>
        <v>2.7066343149789352E-3</v>
      </c>
      <c r="AO9" s="301">
        <f t="shared" si="7"/>
        <v>1.90651417E-3</v>
      </c>
      <c r="AQ9" s="192">
        <f t="shared" si="8"/>
        <v>33</v>
      </c>
      <c r="AR9" s="214">
        <f t="shared" si="1"/>
        <v>32</v>
      </c>
      <c r="AS9" s="193">
        <f t="shared" si="1"/>
        <v>3.1250000000000002E-3</v>
      </c>
      <c r="AT9" s="298">
        <f t="shared" si="9"/>
        <v>329.82306</v>
      </c>
      <c r="AU9" s="312">
        <f t="shared" si="10"/>
        <v>5.6275763368842699E-5</v>
      </c>
      <c r="AV9" s="313">
        <f t="shared" si="11"/>
        <v>6.6888820834413502E-5</v>
      </c>
      <c r="AW9" s="298">
        <v>328.93923999999998</v>
      </c>
      <c r="AX9" s="312">
        <f t="shared" si="14"/>
        <v>-2.4615507684753161E-4</v>
      </c>
      <c r="AY9" s="313">
        <f t="shared" si="12"/>
        <v>3.3525023644500983E-4</v>
      </c>
      <c r="AZ9" s="295">
        <v>325.54593</v>
      </c>
      <c r="BA9" s="312">
        <f t="shared" si="15"/>
        <v>-5.8995248022867446E-4</v>
      </c>
      <c r="BB9" s="313">
        <f t="shared" si="13"/>
        <v>6.6680191436973256E-4</v>
      </c>
    </row>
    <row r="10" spans="2:57" ht="16.2" thickBot="1" x14ac:dyDescent="0.35">
      <c r="B10" s="87" t="s">
        <v>26</v>
      </c>
      <c r="C10" s="82">
        <v>40</v>
      </c>
      <c r="D10" s="83" t="s">
        <v>28</v>
      </c>
      <c r="N10" s="27"/>
      <c r="AG10" s="186">
        <f t="shared" si="2"/>
        <v>65</v>
      </c>
      <c r="AH10" s="215">
        <f t="shared" si="0"/>
        <v>64</v>
      </c>
      <c r="AI10" s="281">
        <f t="shared" si="0"/>
        <v>1.5625000000000001E-3</v>
      </c>
      <c r="AJ10" s="299">
        <f t="shared" si="3"/>
        <v>329.77990999999997</v>
      </c>
      <c r="AK10" s="293">
        <f t="shared" si="4"/>
        <v>-1.308277232041494E-4</v>
      </c>
      <c r="AL10" s="281">
        <f>J19</f>
        <v>3.1980000000000001E-2</v>
      </c>
      <c r="AM10" s="299">
        <f t="shared" si="5"/>
        <v>-15.8487949</v>
      </c>
      <c r="AN10" s="284">
        <f t="shared" si="6"/>
        <v>-6.0453718659160497E-3</v>
      </c>
      <c r="AO10" s="302">
        <f t="shared" si="7"/>
        <v>3.53008881E-3</v>
      </c>
      <c r="AQ10" s="186">
        <f t="shared" si="8"/>
        <v>65</v>
      </c>
      <c r="AR10" s="215">
        <f t="shared" si="1"/>
        <v>64</v>
      </c>
      <c r="AS10" s="187">
        <f t="shared" si="1"/>
        <v>1.5625000000000001E-3</v>
      </c>
      <c r="AT10" s="299">
        <f t="shared" si="9"/>
        <v>329.77990999999997</v>
      </c>
      <c r="AU10" s="314">
        <f t="shared" si="10"/>
        <v>-1.308277232041494E-4</v>
      </c>
      <c r="AV10" s="315">
        <f t="shared" si="11"/>
        <v>-6.3947653281873479E-5</v>
      </c>
      <c r="AW10" s="299">
        <v>328.85919000000001</v>
      </c>
      <c r="AX10" s="314">
        <f t="shared" si="14"/>
        <v>-2.4335801347376962E-4</v>
      </c>
      <c r="AY10" s="315">
        <f t="shared" si="12"/>
        <v>9.1810637139682326E-5</v>
      </c>
      <c r="AZ10" s="296">
        <v>325.42266999999998</v>
      </c>
      <c r="BA10" s="314">
        <f t="shared" si="15"/>
        <v>-3.7862552912277581E-4</v>
      </c>
      <c r="BB10" s="315">
        <f t="shared" si="13"/>
        <v>2.8792391701930846E-4</v>
      </c>
    </row>
    <row r="11" spans="2:57" ht="15" thickBot="1" x14ac:dyDescent="0.35">
      <c r="N11" s="27"/>
    </row>
    <row r="12" spans="2:57" ht="15" thickBot="1" x14ac:dyDescent="0.35">
      <c r="B12" s="10" t="s">
        <v>0</v>
      </c>
      <c r="C12" s="11" t="s">
        <v>1</v>
      </c>
      <c r="D12" s="12" t="s">
        <v>3</v>
      </c>
      <c r="E12" s="12" t="s">
        <v>2</v>
      </c>
      <c r="F12" s="26" t="s">
        <v>7</v>
      </c>
      <c r="G12" s="8" t="s">
        <v>9</v>
      </c>
      <c r="H12" s="93" t="s">
        <v>45</v>
      </c>
      <c r="I12" s="93" t="s">
        <v>41</v>
      </c>
      <c r="J12" s="93" t="s">
        <v>47</v>
      </c>
      <c r="K12" s="93" t="s">
        <v>11</v>
      </c>
      <c r="L12" s="94" t="s">
        <v>3</v>
      </c>
      <c r="M12" s="94" t="s">
        <v>10</v>
      </c>
      <c r="N12" s="49" t="s">
        <v>46</v>
      </c>
    </row>
    <row r="13" spans="2:57" x14ac:dyDescent="0.3">
      <c r="B13" s="107">
        <v>1</v>
      </c>
      <c r="C13" s="108">
        <v>2</v>
      </c>
      <c r="D13" s="15">
        <f>C13-1</f>
        <v>1</v>
      </c>
      <c r="E13" s="15">
        <f t="shared" ref="E13:E19" si="16">$C$4/D13</f>
        <v>0.1</v>
      </c>
      <c r="F13" s="110"/>
      <c r="G13" s="119">
        <v>331.88623000000001</v>
      </c>
      <c r="H13" s="120">
        <v>-15.89992262</v>
      </c>
      <c r="I13" s="122">
        <v>3.8146972000000001E-6</v>
      </c>
      <c r="J13" s="120">
        <v>0.05</v>
      </c>
      <c r="K13" s="120">
        <v>2</v>
      </c>
      <c r="L13" s="121">
        <f>K13-1</f>
        <v>1</v>
      </c>
      <c r="M13" s="106"/>
      <c r="N13" s="118"/>
      <c r="O13" t="s">
        <v>103</v>
      </c>
    </row>
    <row r="14" spans="2:57" x14ac:dyDescent="0.3">
      <c r="B14" s="17">
        <f>B13+1</f>
        <v>2</v>
      </c>
      <c r="C14" s="109">
        <v>3</v>
      </c>
      <c r="D14" s="51">
        <f>C14-1</f>
        <v>2</v>
      </c>
      <c r="E14" s="51">
        <f t="shared" si="16"/>
        <v>0.05</v>
      </c>
      <c r="F14" s="111">
        <f t="shared" ref="F14:F19" si="17">$C$5</f>
        <v>5.0000000000000001E-3</v>
      </c>
      <c r="G14" s="21">
        <v>330.35736000000003</v>
      </c>
      <c r="H14" s="112">
        <v>-15.9002438</v>
      </c>
      <c r="I14" s="113">
        <v>1.83105469E-4</v>
      </c>
      <c r="J14" s="112">
        <v>2.5000000000000001E-2</v>
      </c>
      <c r="K14" s="112">
        <v>2</v>
      </c>
      <c r="L14" s="114">
        <f>K14-1</f>
        <v>1</v>
      </c>
      <c r="M14" s="123">
        <f t="shared" ref="M14" si="18">(G14-G13)/G13</f>
        <v>-4.6066087164869226E-3</v>
      </c>
      <c r="N14" s="124">
        <f t="shared" ref="N14" si="19">(H14-H13)/H13</f>
        <v>2.0200098307161073E-5</v>
      </c>
    </row>
    <row r="15" spans="2:57" x14ac:dyDescent="0.3">
      <c r="B15" s="17">
        <f t="shared" ref="B15:B19" si="20">B14+1</f>
        <v>3</v>
      </c>
      <c r="C15" s="1">
        <v>5</v>
      </c>
      <c r="D15" s="13">
        <f t="shared" ref="D15:D19" si="21">C15-1</f>
        <v>4</v>
      </c>
      <c r="E15" s="13">
        <f t="shared" si="16"/>
        <v>2.5000000000000001E-2</v>
      </c>
      <c r="F15" s="24">
        <f t="shared" si="17"/>
        <v>5.0000000000000001E-3</v>
      </c>
      <c r="G15" s="21">
        <v>329.92003999999997</v>
      </c>
      <c r="H15" s="112">
        <v>-15.9002438</v>
      </c>
      <c r="I15" s="113">
        <v>2.4461746199999998E-4</v>
      </c>
      <c r="J15" s="112">
        <v>3.7499999999999999E-2</v>
      </c>
      <c r="K15" s="112">
        <v>3</v>
      </c>
      <c r="L15" s="114">
        <f>K15-1</f>
        <v>2</v>
      </c>
      <c r="M15" s="123">
        <f t="shared" ref="M15:N19" si="22">(G15-G14)/G14</f>
        <v>-1.3237785893435415E-3</v>
      </c>
      <c r="N15" s="124">
        <f t="shared" si="22"/>
        <v>0</v>
      </c>
    </row>
    <row r="16" spans="2:57" x14ac:dyDescent="0.3">
      <c r="B16" s="17">
        <f t="shared" si="20"/>
        <v>4</v>
      </c>
      <c r="C16" s="1">
        <f>C15+D15</f>
        <v>9</v>
      </c>
      <c r="D16" s="13">
        <f t="shared" si="21"/>
        <v>8</v>
      </c>
      <c r="E16" s="13">
        <f t="shared" si="16"/>
        <v>1.2500000000000001E-2</v>
      </c>
      <c r="F16" s="24">
        <f t="shared" si="17"/>
        <v>5.0000000000000001E-3</v>
      </c>
      <c r="G16" s="21">
        <v>329.83816999999999</v>
      </c>
      <c r="H16" s="112">
        <v>-15.900878000000001</v>
      </c>
      <c r="I16" s="113">
        <v>6.1011314399999998E-4</v>
      </c>
      <c r="J16" s="112">
        <v>3.125E-2</v>
      </c>
      <c r="K16" s="112">
        <v>4</v>
      </c>
      <c r="L16" s="114">
        <f t="shared" ref="L16:L19" si="23">K16-1</f>
        <v>3</v>
      </c>
      <c r="M16" s="123">
        <f t="shared" si="22"/>
        <v>-2.4815103683904983E-4</v>
      </c>
      <c r="N16" s="124">
        <f t="shared" si="22"/>
        <v>3.9886180864746381E-5</v>
      </c>
    </row>
    <row r="17" spans="2:15" x14ac:dyDescent="0.3">
      <c r="B17" s="17">
        <f t="shared" si="20"/>
        <v>5</v>
      </c>
      <c r="C17" s="1">
        <f>C16+D16</f>
        <v>17</v>
      </c>
      <c r="D17" s="13">
        <f t="shared" si="21"/>
        <v>16</v>
      </c>
      <c r="E17" s="13">
        <f t="shared" si="16"/>
        <v>6.2500000000000003E-3</v>
      </c>
      <c r="F17" s="24">
        <f t="shared" si="17"/>
        <v>5.0000000000000001E-3</v>
      </c>
      <c r="G17" s="21">
        <v>329.80450000000002</v>
      </c>
      <c r="H17" s="112">
        <v>-15.902148199999999</v>
      </c>
      <c r="I17" s="113">
        <v>7.3271989800000005E-4</v>
      </c>
      <c r="J17" s="112">
        <v>3.4380000000000001E-2</v>
      </c>
      <c r="K17" s="112">
        <v>7</v>
      </c>
      <c r="L17" s="114">
        <f t="shared" si="23"/>
        <v>6</v>
      </c>
      <c r="M17" s="123">
        <f t="shared" si="22"/>
        <v>-1.0208036262137985E-4</v>
      </c>
      <c r="N17" s="124">
        <f t="shared" si="22"/>
        <v>7.9882381337600784E-5</v>
      </c>
      <c r="O17" t="s">
        <v>58</v>
      </c>
    </row>
    <row r="18" spans="2:15" x14ac:dyDescent="0.3">
      <c r="B18" s="17">
        <f t="shared" si="20"/>
        <v>6</v>
      </c>
      <c r="C18" s="1">
        <f>C17+D17</f>
        <v>33</v>
      </c>
      <c r="D18" s="13">
        <f t="shared" si="21"/>
        <v>32</v>
      </c>
      <c r="E18" s="13">
        <f t="shared" si="16"/>
        <v>3.1250000000000002E-3</v>
      </c>
      <c r="F18" s="24">
        <f t="shared" si="17"/>
        <v>5.0000000000000001E-3</v>
      </c>
      <c r="G18" s="21">
        <v>329.82306</v>
      </c>
      <c r="H18" s="112">
        <v>-15.9451895</v>
      </c>
      <c r="I18" s="113">
        <v>1.90651417E-3</v>
      </c>
      <c r="J18" s="112">
        <v>3.2870000000000003E-2</v>
      </c>
      <c r="K18" s="112"/>
      <c r="L18" s="114">
        <f t="shared" si="23"/>
        <v>-1</v>
      </c>
      <c r="M18" s="123">
        <f t="shared" si="22"/>
        <v>5.6275763368842699E-5</v>
      </c>
      <c r="N18" s="124">
        <f t="shared" si="22"/>
        <v>2.7066343149789352E-3</v>
      </c>
      <c r="O18" t="s">
        <v>58</v>
      </c>
    </row>
    <row r="19" spans="2:15" ht="15" thickBot="1" x14ac:dyDescent="0.35">
      <c r="B19" s="45">
        <f t="shared" si="20"/>
        <v>7</v>
      </c>
      <c r="C19" s="3">
        <f t="shared" ref="C19" si="24">C18+D18</f>
        <v>65</v>
      </c>
      <c r="D19" s="16">
        <f t="shared" si="21"/>
        <v>64</v>
      </c>
      <c r="E19" s="16">
        <f t="shared" si="16"/>
        <v>1.5625000000000001E-3</v>
      </c>
      <c r="F19" s="25">
        <f t="shared" si="17"/>
        <v>5.0000000000000001E-3</v>
      </c>
      <c r="G19" s="46">
        <v>329.77990999999997</v>
      </c>
      <c r="H19" s="115">
        <v>-15.8487949</v>
      </c>
      <c r="I19" s="116">
        <v>3.53008881E-3</v>
      </c>
      <c r="J19" s="115">
        <v>3.1980000000000001E-2</v>
      </c>
      <c r="K19" s="115"/>
      <c r="L19" s="117">
        <f t="shared" si="23"/>
        <v>-1</v>
      </c>
      <c r="M19" s="125">
        <f t="shared" si="22"/>
        <v>-1.308277232041494E-4</v>
      </c>
      <c r="N19" s="126">
        <f t="shared" si="22"/>
        <v>-6.0453718659160497E-3</v>
      </c>
    </row>
    <row r="20" spans="2:15" ht="15" thickBot="1" x14ac:dyDescent="0.35"/>
    <row r="21" spans="2:15" ht="15" thickBot="1" x14ac:dyDescent="0.35">
      <c r="B21" s="234" t="s">
        <v>87</v>
      </c>
      <c r="C21" s="235"/>
      <c r="D21" s="235"/>
      <c r="E21" s="235"/>
      <c r="F21" s="236"/>
    </row>
    <row r="22" spans="2:15" x14ac:dyDescent="0.3">
      <c r="B22" t="s">
        <v>104</v>
      </c>
      <c r="F22">
        <f>C8*C4/2</f>
        <v>2500</v>
      </c>
    </row>
    <row r="23" spans="2:15" x14ac:dyDescent="0.3">
      <c r="B23" t="s">
        <v>105</v>
      </c>
      <c r="F23">
        <f>C6/2/E4</f>
        <v>260</v>
      </c>
    </row>
    <row r="24" spans="2:15" x14ac:dyDescent="0.3">
      <c r="B24" t="s">
        <v>106</v>
      </c>
      <c r="C24">
        <f>F22/(C7+F23)</f>
        <v>4.6296296296296298</v>
      </c>
      <c r="D24" t="s">
        <v>107</v>
      </c>
      <c r="E24">
        <f>C7*C10/(C7+F23)</f>
        <v>20.74074074074074</v>
      </c>
      <c r="F24" t="s">
        <v>107</v>
      </c>
      <c r="G24">
        <f>F23/(C7+F23)</f>
        <v>0.48148148148148145</v>
      </c>
      <c r="H24" t="s">
        <v>108</v>
      </c>
      <c r="I24" t="s">
        <v>109</v>
      </c>
    </row>
    <row r="25" spans="2:15" x14ac:dyDescent="0.3">
      <c r="D25">
        <f>SUM(C24,E24)</f>
        <v>25.37037037037037</v>
      </c>
    </row>
    <row r="26" spans="2:15" x14ac:dyDescent="0.3">
      <c r="B26" t="s">
        <v>110</v>
      </c>
      <c r="C26">
        <f>C8*C4/2+F23*D25+C9*C7</f>
        <v>23096.296296296296</v>
      </c>
      <c r="D26" t="s">
        <v>111</v>
      </c>
      <c r="E26">
        <f>C7+F23-F23*G24</f>
        <v>414.81481481481484</v>
      </c>
      <c r="F26" t="s">
        <v>112</v>
      </c>
      <c r="G26" s="131">
        <f>C26/E26</f>
        <v>55.678571428571423</v>
      </c>
      <c r="H26">
        <f>G26+273.15</f>
        <v>328.82857142857142</v>
      </c>
    </row>
    <row r="27" spans="2:15" x14ac:dyDescent="0.3">
      <c r="B27" t="s">
        <v>106</v>
      </c>
      <c r="C27" s="131">
        <f>D25+G24*G26</f>
        <v>52.178571428571423</v>
      </c>
      <c r="D27" s="132">
        <f>C27+273.15</f>
        <v>325.32857142857142</v>
      </c>
    </row>
    <row r="28" spans="2:15" ht="15" thickBot="1" x14ac:dyDescent="0.35"/>
    <row r="29" spans="2:15" ht="15" thickBot="1" x14ac:dyDescent="0.35">
      <c r="C29" s="234" t="s">
        <v>87</v>
      </c>
      <c r="D29" s="235"/>
      <c r="E29" s="235"/>
      <c r="F29" s="236"/>
    </row>
    <row r="30" spans="2:15" ht="15" thickBot="1" x14ac:dyDescent="0.35">
      <c r="C30" s="8" t="s">
        <v>88</v>
      </c>
      <c r="D30" s="136" t="s">
        <v>85</v>
      </c>
      <c r="E30" s="8" t="s">
        <v>86</v>
      </c>
      <c r="F30" s="143" t="s">
        <v>116</v>
      </c>
      <c r="G30" s="54" t="s">
        <v>115</v>
      </c>
      <c r="H30">
        <f>MAX(E31:E51)</f>
        <v>329.79780219780218</v>
      </c>
    </row>
    <row r="31" spans="2:15" x14ac:dyDescent="0.3">
      <c r="B31" t="s">
        <v>83</v>
      </c>
      <c r="C31" s="133">
        <f>-0.05</f>
        <v>-0.05</v>
      </c>
      <c r="D31" s="140">
        <f t="shared" ref="D31:D51" si="25">$C$8*$E$4^2*(1-C31^2/$E$4^2)/2/$C$6+($C$27-$G$26)/2*C31/$E$4+($G$26+$C$27)/2</f>
        <v>55.678571428571423</v>
      </c>
      <c r="E31" s="133">
        <f t="shared" ref="E31:E51" si="26">D31+273.15</f>
        <v>328.82857142857142</v>
      </c>
      <c r="F31" s="135">
        <f>C31+0.05</f>
        <v>0</v>
      </c>
      <c r="G31" s="54" t="s">
        <v>114</v>
      </c>
      <c r="H31">
        <f>MAX(G54:G87)</f>
        <v>329.82306</v>
      </c>
    </row>
    <row r="32" spans="2:15" x14ac:dyDescent="0.3">
      <c r="C32" s="80">
        <f>-0.045</f>
        <v>-4.4999999999999998E-2</v>
      </c>
      <c r="D32" s="141">
        <f t="shared" si="25"/>
        <v>55.960302197802193</v>
      </c>
      <c r="E32" s="80">
        <f t="shared" si="26"/>
        <v>329.11030219780218</v>
      </c>
      <c r="F32" s="81">
        <f t="shared" ref="F32:F51" si="27">C32+0.05</f>
        <v>5.0000000000000044E-3</v>
      </c>
    </row>
    <row r="33" spans="3:6" x14ac:dyDescent="0.3">
      <c r="C33" s="80">
        <v>-0.04</v>
      </c>
      <c r="D33" s="141">
        <f t="shared" si="25"/>
        <v>56.193956043956042</v>
      </c>
      <c r="E33" s="80">
        <f t="shared" si="26"/>
        <v>329.34395604395604</v>
      </c>
      <c r="F33" s="81">
        <f t="shared" si="27"/>
        <v>1.0000000000000002E-2</v>
      </c>
    </row>
    <row r="34" spans="3:6" x14ac:dyDescent="0.3">
      <c r="C34" s="80">
        <v>-3.5000000000000003E-2</v>
      </c>
      <c r="D34" s="141">
        <f t="shared" si="25"/>
        <v>56.379532967032965</v>
      </c>
      <c r="E34" s="80">
        <f t="shared" si="26"/>
        <v>329.52953296703294</v>
      </c>
      <c r="F34" s="81">
        <f t="shared" si="27"/>
        <v>1.4999999999999999E-2</v>
      </c>
    </row>
    <row r="35" spans="3:6" x14ac:dyDescent="0.3">
      <c r="C35" s="80">
        <v>-0.03</v>
      </c>
      <c r="D35" s="141">
        <f t="shared" si="25"/>
        <v>56.517032967032961</v>
      </c>
      <c r="E35" s="80">
        <f t="shared" si="26"/>
        <v>329.66703296703292</v>
      </c>
      <c r="F35" s="81">
        <f t="shared" si="27"/>
        <v>2.0000000000000004E-2</v>
      </c>
    </row>
    <row r="36" spans="3:6" x14ac:dyDescent="0.3">
      <c r="C36" s="80">
        <v>-2.5000000000000001E-2</v>
      </c>
      <c r="D36" s="141">
        <f t="shared" si="25"/>
        <v>56.606456043956037</v>
      </c>
      <c r="E36" s="80">
        <f t="shared" si="26"/>
        <v>329.75645604395601</v>
      </c>
      <c r="F36" s="81">
        <f t="shared" si="27"/>
        <v>2.5000000000000001E-2</v>
      </c>
    </row>
    <row r="37" spans="3:6" x14ac:dyDescent="0.3">
      <c r="C37" s="80">
        <v>-0.02</v>
      </c>
      <c r="D37" s="141">
        <f t="shared" si="25"/>
        <v>56.647802197802193</v>
      </c>
      <c r="E37" s="80">
        <f t="shared" si="26"/>
        <v>329.79780219780218</v>
      </c>
      <c r="F37" s="81">
        <f t="shared" si="27"/>
        <v>3.0000000000000002E-2</v>
      </c>
    </row>
    <row r="38" spans="3:6" x14ac:dyDescent="0.3">
      <c r="C38" s="80">
        <v>-1.4999999999999999E-2</v>
      </c>
      <c r="D38" s="141">
        <f t="shared" si="25"/>
        <v>56.641071428571422</v>
      </c>
      <c r="E38" s="80">
        <f t="shared" si="26"/>
        <v>329.7910714285714</v>
      </c>
      <c r="F38" s="81">
        <f t="shared" si="27"/>
        <v>3.5000000000000003E-2</v>
      </c>
    </row>
    <row r="39" spans="3:6" x14ac:dyDescent="0.3">
      <c r="C39" s="80">
        <v>-0.01</v>
      </c>
      <c r="D39" s="141">
        <f t="shared" si="25"/>
        <v>56.586263736263732</v>
      </c>
      <c r="E39" s="80">
        <f t="shared" si="26"/>
        <v>329.73626373626371</v>
      </c>
      <c r="F39" s="81">
        <f t="shared" si="27"/>
        <v>0.04</v>
      </c>
    </row>
    <row r="40" spans="3:6" x14ac:dyDescent="0.3">
      <c r="C40" s="80">
        <v>-5.0000000000000001E-3</v>
      </c>
      <c r="D40" s="141">
        <f t="shared" si="25"/>
        <v>56.483379120879114</v>
      </c>
      <c r="E40" s="80">
        <f t="shared" si="26"/>
        <v>329.63337912087911</v>
      </c>
      <c r="F40" s="81">
        <f t="shared" si="27"/>
        <v>4.5000000000000005E-2</v>
      </c>
    </row>
    <row r="41" spans="3:6" x14ac:dyDescent="0.3">
      <c r="C41" s="1">
        <v>0</v>
      </c>
      <c r="D41" s="141">
        <f t="shared" si="25"/>
        <v>56.332417582417577</v>
      </c>
      <c r="E41" s="80">
        <f t="shared" si="26"/>
        <v>329.48241758241755</v>
      </c>
      <c r="F41" s="81">
        <f t="shared" si="27"/>
        <v>0.05</v>
      </c>
    </row>
    <row r="42" spans="3:6" x14ac:dyDescent="0.3">
      <c r="C42" s="1">
        <v>5.0000000000000001E-3</v>
      </c>
      <c r="D42" s="141">
        <f t="shared" si="25"/>
        <v>56.13337912087912</v>
      </c>
      <c r="E42" s="80">
        <f t="shared" si="26"/>
        <v>329.28337912087909</v>
      </c>
      <c r="F42" s="81">
        <f t="shared" si="27"/>
        <v>5.5E-2</v>
      </c>
    </row>
    <row r="43" spans="3:6" x14ac:dyDescent="0.3">
      <c r="C43" s="1">
        <v>0.01</v>
      </c>
      <c r="D43" s="141">
        <f t="shared" si="25"/>
        <v>55.886263736263729</v>
      </c>
      <c r="E43" s="80">
        <f t="shared" si="26"/>
        <v>329.03626373626372</v>
      </c>
      <c r="F43" s="81">
        <f t="shared" si="27"/>
        <v>6.0000000000000005E-2</v>
      </c>
    </row>
    <row r="44" spans="3:6" x14ac:dyDescent="0.3">
      <c r="C44" s="1">
        <v>1.4999999999999999E-2</v>
      </c>
      <c r="D44" s="141">
        <f t="shared" si="25"/>
        <v>55.591071428571425</v>
      </c>
      <c r="E44" s="80">
        <f t="shared" si="26"/>
        <v>328.74107142857139</v>
      </c>
      <c r="F44" s="81">
        <f t="shared" si="27"/>
        <v>6.5000000000000002E-2</v>
      </c>
    </row>
    <row r="45" spans="3:6" x14ac:dyDescent="0.3">
      <c r="C45" s="1">
        <v>0.02</v>
      </c>
      <c r="D45" s="141">
        <f t="shared" si="25"/>
        <v>55.247802197802194</v>
      </c>
      <c r="E45" s="80">
        <f t="shared" si="26"/>
        <v>328.39780219780215</v>
      </c>
      <c r="F45" s="81">
        <f t="shared" si="27"/>
        <v>7.0000000000000007E-2</v>
      </c>
    </row>
    <row r="46" spans="3:6" x14ac:dyDescent="0.3">
      <c r="C46" s="1">
        <v>2.5000000000000001E-2</v>
      </c>
      <c r="D46" s="141">
        <f t="shared" si="25"/>
        <v>54.856456043956037</v>
      </c>
      <c r="E46" s="80">
        <f t="shared" si="26"/>
        <v>328.00645604395601</v>
      </c>
      <c r="F46" s="81">
        <f t="shared" si="27"/>
        <v>7.5000000000000011E-2</v>
      </c>
    </row>
    <row r="47" spans="3:6" x14ac:dyDescent="0.3">
      <c r="C47" s="1">
        <v>0.03</v>
      </c>
      <c r="D47" s="141">
        <f t="shared" si="25"/>
        <v>54.417032967032959</v>
      </c>
      <c r="E47" s="80">
        <f t="shared" si="26"/>
        <v>327.56703296703296</v>
      </c>
      <c r="F47" s="81">
        <f t="shared" si="27"/>
        <v>0.08</v>
      </c>
    </row>
    <row r="48" spans="3:6" x14ac:dyDescent="0.3">
      <c r="C48" s="1">
        <v>3.5000000000000003E-2</v>
      </c>
      <c r="D48" s="141">
        <f t="shared" si="25"/>
        <v>53.929532967032962</v>
      </c>
      <c r="E48" s="80">
        <f t="shared" si="26"/>
        <v>327.07953296703295</v>
      </c>
      <c r="F48" s="81">
        <f t="shared" si="27"/>
        <v>8.5000000000000006E-2</v>
      </c>
    </row>
    <row r="49" spans="2:11" x14ac:dyDescent="0.3">
      <c r="C49" s="1">
        <v>0.04</v>
      </c>
      <c r="D49" s="141">
        <f t="shared" si="25"/>
        <v>53.393956043956038</v>
      </c>
      <c r="E49" s="80">
        <f t="shared" si="26"/>
        <v>326.54395604395603</v>
      </c>
      <c r="F49" s="81">
        <f t="shared" si="27"/>
        <v>0.09</v>
      </c>
    </row>
    <row r="50" spans="2:11" x14ac:dyDescent="0.3">
      <c r="C50" s="1">
        <v>4.4999999999999998E-2</v>
      </c>
      <c r="D50" s="141">
        <f t="shared" si="25"/>
        <v>52.810302197802194</v>
      </c>
      <c r="E50" s="80">
        <f t="shared" si="26"/>
        <v>325.96030219780215</v>
      </c>
      <c r="F50" s="81">
        <f t="shared" si="27"/>
        <v>9.5000000000000001E-2</v>
      </c>
    </row>
    <row r="51" spans="2:11" ht="15" thickBot="1" x14ac:dyDescent="0.35">
      <c r="B51" t="s">
        <v>84</v>
      </c>
      <c r="C51" s="3">
        <v>0.05</v>
      </c>
      <c r="D51" s="142">
        <f t="shared" si="25"/>
        <v>52.178571428571423</v>
      </c>
      <c r="E51" s="87">
        <f t="shared" si="26"/>
        <v>325.32857142857142</v>
      </c>
      <c r="F51" s="83">
        <f t="shared" si="27"/>
        <v>0.1</v>
      </c>
    </row>
    <row r="52" spans="2:11" ht="15" thickBot="1" x14ac:dyDescent="0.35"/>
    <row r="53" spans="2:11" x14ac:dyDescent="0.3">
      <c r="C53" t="s">
        <v>98</v>
      </c>
      <c r="D53" t="s">
        <v>99</v>
      </c>
      <c r="E53" t="s">
        <v>100</v>
      </c>
      <c r="F53" s="101" t="s">
        <v>113</v>
      </c>
      <c r="G53" s="89" t="s">
        <v>101</v>
      </c>
    </row>
    <row r="54" spans="2:11" x14ac:dyDescent="0.3">
      <c r="D54">
        <v>1</v>
      </c>
      <c r="E54">
        <v>0</v>
      </c>
      <c r="F54" s="84">
        <f>E54-0.05</f>
        <v>-0.05</v>
      </c>
      <c r="G54" s="86">
        <v>328.84325999999999</v>
      </c>
      <c r="H54">
        <v>166.13417000000001</v>
      </c>
      <c r="I54">
        <v>0</v>
      </c>
      <c r="J54">
        <v>168.93416999999999</v>
      </c>
      <c r="K54">
        <v>904.81994999999995</v>
      </c>
    </row>
    <row r="55" spans="2:11" x14ac:dyDescent="0.3">
      <c r="D55">
        <v>2</v>
      </c>
      <c r="E55">
        <v>1.57E-3</v>
      </c>
      <c r="F55" s="84">
        <f t="shared" ref="F55:F87" si="28">E55-0.05</f>
        <v>-4.8430000000000001E-2</v>
      </c>
      <c r="G55" s="86">
        <v>328.93923999999998</v>
      </c>
      <c r="H55">
        <v>83.067089999999993</v>
      </c>
      <c r="I55">
        <v>166.13417000000001</v>
      </c>
      <c r="J55">
        <v>249.20125999999999</v>
      </c>
      <c r="K55">
        <v>1.5649999999999999</v>
      </c>
    </row>
    <row r="56" spans="2:11" x14ac:dyDescent="0.3">
      <c r="D56">
        <v>3</v>
      </c>
      <c r="E56">
        <v>4.7000000000000002E-3</v>
      </c>
      <c r="F56" s="84">
        <f t="shared" si="28"/>
        <v>-4.53E-2</v>
      </c>
      <c r="G56" s="86">
        <v>329.11237</v>
      </c>
      <c r="H56">
        <v>83.067089999999993</v>
      </c>
      <c r="I56">
        <v>83.067089999999993</v>
      </c>
      <c r="J56">
        <v>166.13417000000001</v>
      </c>
      <c r="K56">
        <v>1.5649999999999999</v>
      </c>
    </row>
    <row r="57" spans="2:11" x14ac:dyDescent="0.3">
      <c r="D57">
        <v>4</v>
      </c>
      <c r="E57">
        <v>7.8300000000000002E-3</v>
      </c>
      <c r="F57" s="84">
        <f t="shared" si="28"/>
        <v>-4.2169999999999999E-2</v>
      </c>
      <c r="G57" s="86">
        <v>329.26668999999998</v>
      </c>
      <c r="H57">
        <v>83.067089999999993</v>
      </c>
      <c r="I57">
        <v>83.067089999999993</v>
      </c>
      <c r="J57">
        <v>166.13417000000001</v>
      </c>
      <c r="K57">
        <v>1.5649999999999999</v>
      </c>
    </row>
    <row r="58" spans="2:11" x14ac:dyDescent="0.3">
      <c r="D58">
        <v>5</v>
      </c>
      <c r="E58">
        <v>1.0959999999999999E-2</v>
      </c>
      <c r="F58" s="84">
        <f t="shared" si="28"/>
        <v>-3.9040000000000005E-2</v>
      </c>
      <c r="G58" s="86">
        <v>329.40215999999998</v>
      </c>
      <c r="H58">
        <v>83.067089999999993</v>
      </c>
      <c r="I58">
        <v>83.067089999999993</v>
      </c>
      <c r="J58">
        <v>166.13417000000001</v>
      </c>
      <c r="K58">
        <v>1.5649999999999999</v>
      </c>
    </row>
    <row r="59" spans="2:11" x14ac:dyDescent="0.3">
      <c r="D59">
        <v>6</v>
      </c>
      <c r="E59">
        <v>1.409E-2</v>
      </c>
      <c r="F59" s="84">
        <f t="shared" si="28"/>
        <v>-3.5910000000000004E-2</v>
      </c>
      <c r="G59" s="86">
        <v>329.51882999999998</v>
      </c>
      <c r="H59">
        <v>83.067089999999993</v>
      </c>
      <c r="I59">
        <v>83.067089999999993</v>
      </c>
      <c r="J59">
        <v>166.13417000000001</v>
      </c>
      <c r="K59">
        <v>1.5649999999999999</v>
      </c>
    </row>
    <row r="60" spans="2:11" x14ac:dyDescent="0.3">
      <c r="D60">
        <v>7</v>
      </c>
      <c r="E60">
        <v>1.7219999999999999E-2</v>
      </c>
      <c r="F60" s="84">
        <f t="shared" si="28"/>
        <v>-3.2780000000000004E-2</v>
      </c>
      <c r="G60" s="86">
        <v>329.61664000000002</v>
      </c>
      <c r="H60">
        <v>83.067089999999993</v>
      </c>
      <c r="I60">
        <v>83.067089999999993</v>
      </c>
      <c r="J60">
        <v>166.13417000000001</v>
      </c>
      <c r="K60">
        <v>1.5649999999999999</v>
      </c>
    </row>
    <row r="61" spans="2:11" x14ac:dyDescent="0.3">
      <c r="D61">
        <v>8</v>
      </c>
      <c r="E61">
        <v>2.035E-2</v>
      </c>
      <c r="F61" s="84">
        <f t="shared" si="28"/>
        <v>-2.9650000000000003E-2</v>
      </c>
      <c r="G61" s="86">
        <v>329.69562000000002</v>
      </c>
      <c r="H61">
        <v>83.067089999999993</v>
      </c>
      <c r="I61">
        <v>83.067089999999993</v>
      </c>
      <c r="J61">
        <v>166.13417000000001</v>
      </c>
      <c r="K61">
        <v>1.5649999999999999</v>
      </c>
    </row>
    <row r="62" spans="2:11" x14ac:dyDescent="0.3">
      <c r="D62">
        <v>9</v>
      </c>
      <c r="E62">
        <v>2.3480000000000001E-2</v>
      </c>
      <c r="F62" s="84">
        <f t="shared" si="28"/>
        <v>-2.6520000000000002E-2</v>
      </c>
      <c r="G62" s="86">
        <v>329.75574</v>
      </c>
      <c r="H62">
        <v>83.067089999999993</v>
      </c>
      <c r="I62">
        <v>83.067089999999993</v>
      </c>
      <c r="J62">
        <v>166.13417000000001</v>
      </c>
      <c r="K62">
        <v>1.5649999999999999</v>
      </c>
    </row>
    <row r="63" spans="2:11" x14ac:dyDescent="0.3">
      <c r="D63">
        <v>10</v>
      </c>
      <c r="E63">
        <v>2.6610000000000002E-2</v>
      </c>
      <c r="F63" s="84">
        <f t="shared" si="28"/>
        <v>-2.3390000000000001E-2</v>
      </c>
      <c r="G63" s="86">
        <v>329.79700000000003</v>
      </c>
      <c r="H63">
        <v>83.067089999999993</v>
      </c>
      <c r="I63">
        <v>83.067089999999993</v>
      </c>
      <c r="J63">
        <v>166.13417000000001</v>
      </c>
      <c r="K63">
        <v>1.5649999999999999</v>
      </c>
    </row>
    <row r="64" spans="2:11" x14ac:dyDescent="0.3">
      <c r="D64">
        <v>11</v>
      </c>
      <c r="E64">
        <v>2.9739999999999999E-2</v>
      </c>
      <c r="F64" s="84">
        <f t="shared" si="28"/>
        <v>-2.0260000000000004E-2</v>
      </c>
      <c r="G64" s="86">
        <v>329.81945999999999</v>
      </c>
      <c r="H64">
        <v>83.067040000000006</v>
      </c>
      <c r="I64">
        <v>83.067089999999993</v>
      </c>
      <c r="J64">
        <v>166.13412</v>
      </c>
      <c r="K64">
        <v>1.5649999999999999</v>
      </c>
    </row>
    <row r="65" spans="4:11" x14ac:dyDescent="0.3">
      <c r="D65">
        <v>12</v>
      </c>
      <c r="E65">
        <v>3.2870000000000003E-2</v>
      </c>
      <c r="F65" s="84">
        <f t="shared" si="28"/>
        <v>-1.7129999999999999E-2</v>
      </c>
      <c r="G65" s="86">
        <v>329.82306</v>
      </c>
      <c r="H65">
        <v>83.067179999999993</v>
      </c>
      <c r="I65">
        <v>83.067040000000006</v>
      </c>
      <c r="J65">
        <v>166.13422</v>
      </c>
      <c r="K65">
        <v>1.5649999999999999</v>
      </c>
    </row>
    <row r="66" spans="4:11" x14ac:dyDescent="0.3">
      <c r="D66">
        <v>13</v>
      </c>
      <c r="E66">
        <v>3.5990000000000001E-2</v>
      </c>
      <c r="F66" s="84">
        <f t="shared" si="28"/>
        <v>-1.4010000000000002E-2</v>
      </c>
      <c r="G66" s="86">
        <v>329.80779999999999</v>
      </c>
      <c r="H66">
        <v>83.066990000000004</v>
      </c>
      <c r="I66">
        <v>83.067179999999993</v>
      </c>
      <c r="J66">
        <v>166.13417000000001</v>
      </c>
      <c r="K66">
        <v>1.5649999999999999</v>
      </c>
    </row>
    <row r="67" spans="4:11" x14ac:dyDescent="0.3">
      <c r="D67">
        <v>14</v>
      </c>
      <c r="E67">
        <v>3.9129999999999998E-2</v>
      </c>
      <c r="F67" s="84">
        <f t="shared" si="28"/>
        <v>-1.0870000000000005E-2</v>
      </c>
      <c r="G67" s="86">
        <v>329.77370999999999</v>
      </c>
      <c r="H67">
        <v>83.067179999999993</v>
      </c>
      <c r="I67">
        <v>83.066990000000004</v>
      </c>
      <c r="J67">
        <v>166.13417000000001</v>
      </c>
      <c r="K67">
        <v>1.5649999999999999</v>
      </c>
    </row>
    <row r="68" spans="4:11" x14ac:dyDescent="0.3">
      <c r="D68">
        <v>15</v>
      </c>
      <c r="E68">
        <v>4.2250000000000003E-2</v>
      </c>
      <c r="F68" s="84">
        <f t="shared" si="28"/>
        <v>-7.7499999999999999E-3</v>
      </c>
      <c r="G68" s="86">
        <v>329.72075999999998</v>
      </c>
      <c r="H68">
        <v>83.066990000000004</v>
      </c>
      <c r="I68">
        <v>83.067179999999993</v>
      </c>
      <c r="J68">
        <v>166.13417000000001</v>
      </c>
      <c r="K68">
        <v>1.5649999999999999</v>
      </c>
    </row>
    <row r="69" spans="4:11" x14ac:dyDescent="0.3">
      <c r="D69">
        <v>16</v>
      </c>
      <c r="E69">
        <v>4.539E-2</v>
      </c>
      <c r="F69" s="84">
        <f t="shared" si="28"/>
        <v>-4.610000000000003E-3</v>
      </c>
      <c r="G69" s="86">
        <v>329.64899000000003</v>
      </c>
      <c r="H69">
        <v>83.067179999999993</v>
      </c>
      <c r="I69">
        <v>83.066990000000004</v>
      </c>
      <c r="J69">
        <v>166.13417000000001</v>
      </c>
      <c r="K69">
        <v>1.5649999999999999</v>
      </c>
    </row>
    <row r="70" spans="4:11" x14ac:dyDescent="0.3">
      <c r="D70">
        <v>17</v>
      </c>
      <c r="E70">
        <v>4.8509999999999998E-2</v>
      </c>
      <c r="F70" s="84">
        <f t="shared" si="28"/>
        <v>-1.4900000000000052E-3</v>
      </c>
      <c r="G70" s="86">
        <v>329.55835000000002</v>
      </c>
      <c r="H70">
        <v>83.066990000000004</v>
      </c>
      <c r="I70">
        <v>83.067179999999993</v>
      </c>
      <c r="J70">
        <v>166.13417000000001</v>
      </c>
      <c r="K70">
        <v>1.5649999999999999</v>
      </c>
    </row>
    <row r="71" spans="4:11" x14ac:dyDescent="0.3">
      <c r="D71">
        <v>18</v>
      </c>
      <c r="E71">
        <v>5.1650000000000001E-2</v>
      </c>
      <c r="F71" s="84">
        <f t="shared" si="28"/>
        <v>1.6499999999999987E-3</v>
      </c>
      <c r="G71" s="86">
        <v>329.44884999999999</v>
      </c>
      <c r="H71">
        <v>83.067179999999993</v>
      </c>
      <c r="I71">
        <v>83.066990000000004</v>
      </c>
      <c r="J71">
        <v>166.13417000000001</v>
      </c>
      <c r="K71">
        <v>1.5649999999999999</v>
      </c>
    </row>
    <row r="72" spans="4:11" x14ac:dyDescent="0.3">
      <c r="D72">
        <v>19</v>
      </c>
      <c r="E72">
        <v>5.4769999999999999E-2</v>
      </c>
      <c r="F72" s="84">
        <f t="shared" si="28"/>
        <v>4.7699999999999965E-3</v>
      </c>
      <c r="G72" s="86">
        <v>329.32053000000002</v>
      </c>
      <c r="H72">
        <v>83.066990000000004</v>
      </c>
      <c r="I72">
        <v>83.067179999999993</v>
      </c>
      <c r="J72">
        <v>166.13417000000001</v>
      </c>
      <c r="K72">
        <v>1.5649999999999999</v>
      </c>
    </row>
    <row r="73" spans="4:11" x14ac:dyDescent="0.3">
      <c r="D73">
        <v>20</v>
      </c>
      <c r="E73">
        <v>5.7910000000000003E-2</v>
      </c>
      <c r="F73" s="84">
        <f t="shared" si="28"/>
        <v>7.9100000000000004E-3</v>
      </c>
      <c r="G73" s="86">
        <v>329.17336999999998</v>
      </c>
      <c r="H73">
        <v>83.067179999999993</v>
      </c>
      <c r="I73">
        <v>83.066990000000004</v>
      </c>
      <c r="J73">
        <v>166.13417000000001</v>
      </c>
      <c r="K73">
        <v>1.5649999999999999</v>
      </c>
    </row>
    <row r="74" spans="4:11" x14ac:dyDescent="0.3">
      <c r="D74">
        <v>21</v>
      </c>
      <c r="E74">
        <v>6.1030000000000001E-2</v>
      </c>
      <c r="F74" s="84">
        <f t="shared" si="28"/>
        <v>1.1029999999999998E-2</v>
      </c>
      <c r="G74" s="86">
        <v>329.00742000000002</v>
      </c>
      <c r="H74">
        <v>83.066990000000004</v>
      </c>
      <c r="I74">
        <v>83.067179999999993</v>
      </c>
      <c r="J74">
        <v>166.13417000000001</v>
      </c>
      <c r="K74">
        <v>1.5649999999999999</v>
      </c>
    </row>
    <row r="75" spans="4:11" x14ac:dyDescent="0.3">
      <c r="D75">
        <v>22</v>
      </c>
      <c r="E75">
        <v>6.4170000000000005E-2</v>
      </c>
      <c r="F75" s="84">
        <f t="shared" si="28"/>
        <v>1.4170000000000002E-2</v>
      </c>
      <c r="G75" s="86">
        <v>328.82256999999998</v>
      </c>
      <c r="H75">
        <v>83.067179999999993</v>
      </c>
      <c r="I75">
        <v>83.066990000000004</v>
      </c>
      <c r="J75">
        <v>166.13417000000001</v>
      </c>
      <c r="K75">
        <v>1.5649999999999999</v>
      </c>
    </row>
    <row r="76" spans="4:11" x14ac:dyDescent="0.3">
      <c r="D76">
        <v>23</v>
      </c>
      <c r="E76">
        <v>6.7290000000000003E-2</v>
      </c>
      <c r="F76" s="84">
        <f t="shared" si="28"/>
        <v>1.729E-2</v>
      </c>
      <c r="G76" s="86">
        <v>328.6189</v>
      </c>
      <c r="H76">
        <v>83.066990000000004</v>
      </c>
      <c r="I76">
        <v>83.067179999999993</v>
      </c>
      <c r="J76">
        <v>166.13417000000001</v>
      </c>
      <c r="K76">
        <v>1.5649999999999999</v>
      </c>
    </row>
    <row r="77" spans="4:11" x14ac:dyDescent="0.3">
      <c r="D77">
        <v>24</v>
      </c>
      <c r="E77">
        <v>7.0430000000000006E-2</v>
      </c>
      <c r="F77" s="84">
        <f t="shared" si="28"/>
        <v>2.0430000000000004E-2</v>
      </c>
      <c r="G77" s="86">
        <v>328.39639</v>
      </c>
      <c r="H77">
        <v>83.067179999999993</v>
      </c>
      <c r="I77">
        <v>83.066990000000004</v>
      </c>
      <c r="J77">
        <v>166.13417000000001</v>
      </c>
      <c r="K77">
        <v>1.5649999999999999</v>
      </c>
    </row>
    <row r="78" spans="4:11" x14ac:dyDescent="0.3">
      <c r="D78">
        <v>25</v>
      </c>
      <c r="E78">
        <v>7.356E-2</v>
      </c>
      <c r="F78" s="84">
        <f t="shared" si="28"/>
        <v>2.3559999999999998E-2</v>
      </c>
      <c r="G78" s="86">
        <v>328.15503000000001</v>
      </c>
      <c r="H78">
        <v>83.066990000000004</v>
      </c>
      <c r="I78">
        <v>83.067179999999993</v>
      </c>
      <c r="J78">
        <v>166.13417000000001</v>
      </c>
      <c r="K78">
        <v>1.5649999999999999</v>
      </c>
    </row>
    <row r="79" spans="4:11" x14ac:dyDescent="0.3">
      <c r="D79">
        <v>26</v>
      </c>
      <c r="E79">
        <v>7.6689999999999994E-2</v>
      </c>
      <c r="F79" s="84">
        <f t="shared" si="28"/>
        <v>2.6689999999999992E-2</v>
      </c>
      <c r="G79" s="86">
        <v>327.89483999999999</v>
      </c>
      <c r="H79">
        <v>83.067179999999993</v>
      </c>
      <c r="I79">
        <v>83.066990000000004</v>
      </c>
      <c r="J79">
        <v>166.13417000000001</v>
      </c>
      <c r="K79">
        <v>1.5649999999999999</v>
      </c>
    </row>
    <row r="80" spans="4:11" x14ac:dyDescent="0.3">
      <c r="D80">
        <v>27</v>
      </c>
      <c r="E80">
        <v>7.9820000000000002E-2</v>
      </c>
      <c r="F80" s="84">
        <f t="shared" si="28"/>
        <v>2.9819999999999999E-2</v>
      </c>
      <c r="G80" s="86">
        <v>327.61581000000001</v>
      </c>
      <c r="H80">
        <v>83.066990000000004</v>
      </c>
      <c r="I80">
        <v>83.067179999999993</v>
      </c>
      <c r="J80">
        <v>166.13417000000001</v>
      </c>
      <c r="K80">
        <v>1.5649999999999999</v>
      </c>
    </row>
    <row r="81" spans="4:11" x14ac:dyDescent="0.3">
      <c r="D81">
        <v>28</v>
      </c>
      <c r="E81">
        <v>8.2949999999999996E-2</v>
      </c>
      <c r="F81" s="84">
        <f t="shared" si="28"/>
        <v>3.2949999999999993E-2</v>
      </c>
      <c r="G81" s="86">
        <v>327.31792999999999</v>
      </c>
      <c r="H81">
        <v>83.067179999999993</v>
      </c>
      <c r="I81">
        <v>83.066990000000004</v>
      </c>
      <c r="J81">
        <v>166.13417000000001</v>
      </c>
      <c r="K81">
        <v>1.5649999999999999</v>
      </c>
    </row>
    <row r="82" spans="4:11" x14ac:dyDescent="0.3">
      <c r="D82">
        <v>29</v>
      </c>
      <c r="E82">
        <v>8.6080000000000004E-2</v>
      </c>
      <c r="F82" s="84">
        <f t="shared" si="28"/>
        <v>3.6080000000000001E-2</v>
      </c>
      <c r="G82" s="86">
        <v>327.00121999999999</v>
      </c>
      <c r="H82">
        <v>83.066990000000004</v>
      </c>
      <c r="I82">
        <v>83.067179999999993</v>
      </c>
      <c r="J82">
        <v>166.13417000000001</v>
      </c>
      <c r="K82">
        <v>1.5649999999999999</v>
      </c>
    </row>
    <row r="83" spans="4:11" x14ac:dyDescent="0.3">
      <c r="D83">
        <v>30</v>
      </c>
      <c r="E83">
        <v>8.9209999999999998E-2</v>
      </c>
      <c r="F83" s="84">
        <f t="shared" si="28"/>
        <v>3.9209999999999995E-2</v>
      </c>
      <c r="G83" s="86">
        <v>326.66568000000001</v>
      </c>
      <c r="H83">
        <v>83.067179999999993</v>
      </c>
      <c r="I83">
        <v>83.066990000000004</v>
      </c>
      <c r="J83">
        <v>166.13417000000001</v>
      </c>
      <c r="K83">
        <v>1.5649999999999999</v>
      </c>
    </row>
    <row r="84" spans="4:11" x14ac:dyDescent="0.3">
      <c r="D84">
        <v>31</v>
      </c>
      <c r="E84">
        <v>9.2340000000000005E-2</v>
      </c>
      <c r="F84" s="84">
        <f t="shared" si="28"/>
        <v>4.2340000000000003E-2</v>
      </c>
      <c r="G84" s="86">
        <v>326.31128000000001</v>
      </c>
      <c r="H84">
        <v>83.066990000000004</v>
      </c>
      <c r="I84">
        <v>83.067179999999993</v>
      </c>
      <c r="J84">
        <v>166.13417000000001</v>
      </c>
      <c r="K84">
        <v>1.5649999999999999</v>
      </c>
    </row>
    <row r="85" spans="4:11" x14ac:dyDescent="0.3">
      <c r="D85">
        <v>32</v>
      </c>
      <c r="E85">
        <v>9.5469999999999999E-2</v>
      </c>
      <c r="F85" s="84">
        <f t="shared" si="28"/>
        <v>4.5469999999999997E-2</v>
      </c>
      <c r="G85" s="86">
        <v>325.93801999999999</v>
      </c>
      <c r="H85">
        <v>83.067179999999993</v>
      </c>
      <c r="I85">
        <v>83.066990000000004</v>
      </c>
      <c r="J85">
        <v>166.13417000000001</v>
      </c>
      <c r="K85">
        <v>1.5649999999999999</v>
      </c>
    </row>
    <row r="86" spans="4:11" x14ac:dyDescent="0.3">
      <c r="D86">
        <v>33</v>
      </c>
      <c r="E86">
        <v>9.8599999999999993E-2</v>
      </c>
      <c r="F86" s="84">
        <f t="shared" si="28"/>
        <v>4.859999999999999E-2</v>
      </c>
      <c r="G86" s="86">
        <v>325.54593</v>
      </c>
      <c r="H86">
        <v>166.13397000000001</v>
      </c>
      <c r="I86">
        <v>83.067179999999993</v>
      </c>
      <c r="J86">
        <v>249.20115999999999</v>
      </c>
      <c r="K86">
        <v>1.5649999999999999</v>
      </c>
    </row>
    <row r="87" spans="4:11" ht="15" thickBot="1" x14ac:dyDescent="0.35">
      <c r="D87">
        <v>34</v>
      </c>
      <c r="E87">
        <v>0.10016</v>
      </c>
      <c r="F87" s="102">
        <f t="shared" si="28"/>
        <v>5.0159999999999996E-2</v>
      </c>
      <c r="G87" s="137">
        <v>325.34044999999998</v>
      </c>
      <c r="H87">
        <v>0</v>
      </c>
      <c r="I87">
        <v>166.13397000000001</v>
      </c>
      <c r="J87">
        <v>168.93397999999999</v>
      </c>
      <c r="K87">
        <v>876.81994999999995</v>
      </c>
    </row>
  </sheetData>
  <mergeCells count="6">
    <mergeCell ref="AQ2:BB2"/>
    <mergeCell ref="B21:F21"/>
    <mergeCell ref="C29:F29"/>
    <mergeCell ref="X2:AA2"/>
    <mergeCell ref="AC2:AE2"/>
    <mergeCell ref="AG2:AO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6"/>
  <sheetViews>
    <sheetView workbookViewId="0">
      <selection activeCell="D55" sqref="D55"/>
    </sheetView>
  </sheetViews>
  <sheetFormatPr defaultRowHeight="14.4" x14ac:dyDescent="0.3"/>
  <cols>
    <col min="1" max="1" width="0.5546875" customWidth="1"/>
    <col min="3" max="3" width="14.5546875" bestFit="1" customWidth="1"/>
    <col min="6" max="6" width="15.44140625" bestFit="1" customWidth="1"/>
    <col min="7" max="7" width="21.44140625" bestFit="1" customWidth="1"/>
    <col min="8" max="8" width="11.5546875" bestFit="1" customWidth="1"/>
    <col min="9" max="9" width="42.77734375" bestFit="1" customWidth="1"/>
    <col min="10" max="10" width="5.44140625" customWidth="1"/>
    <col min="15" max="15" width="15.44140625" bestFit="1" customWidth="1"/>
    <col min="16" max="17" width="21.44140625" bestFit="1" customWidth="1"/>
    <col min="18" max="18" width="57.33203125" bestFit="1" customWidth="1"/>
  </cols>
  <sheetData>
    <row r="2" spans="2:18" x14ac:dyDescent="0.3">
      <c r="B2" s="20" t="s">
        <v>21</v>
      </c>
    </row>
    <row r="3" spans="2:18" x14ac:dyDescent="0.3">
      <c r="B3" s="20"/>
    </row>
    <row r="4" spans="2:18" x14ac:dyDescent="0.3">
      <c r="B4" s="29" t="s">
        <v>16</v>
      </c>
      <c r="C4">
        <v>1</v>
      </c>
      <c r="D4" t="s">
        <v>18</v>
      </c>
      <c r="F4" t="s">
        <v>54</v>
      </c>
      <c r="G4" t="s">
        <v>52</v>
      </c>
    </row>
    <row r="5" spans="2:18" x14ac:dyDescent="0.3">
      <c r="B5" t="s">
        <v>48</v>
      </c>
      <c r="C5">
        <v>1.2500000000000001E-2</v>
      </c>
      <c r="D5" t="s">
        <v>18</v>
      </c>
      <c r="E5" t="s">
        <v>27</v>
      </c>
      <c r="F5">
        <v>60</v>
      </c>
      <c r="G5">
        <v>0.1</v>
      </c>
      <c r="H5" t="s">
        <v>32</v>
      </c>
    </row>
    <row r="6" spans="2:18" x14ac:dyDescent="0.3">
      <c r="B6" t="s">
        <v>49</v>
      </c>
      <c r="C6">
        <v>400</v>
      </c>
      <c r="D6" t="s">
        <v>50</v>
      </c>
      <c r="E6" t="s">
        <v>53</v>
      </c>
      <c r="F6">
        <v>430</v>
      </c>
      <c r="G6">
        <v>1.3</v>
      </c>
      <c r="H6" t="s">
        <v>30</v>
      </c>
    </row>
    <row r="7" spans="2:18" x14ac:dyDescent="0.3">
      <c r="B7" t="s">
        <v>26</v>
      </c>
      <c r="C7">
        <v>0</v>
      </c>
      <c r="D7" t="s">
        <v>50</v>
      </c>
    </row>
    <row r="8" spans="2:18" x14ac:dyDescent="0.3">
      <c r="B8" t="s">
        <v>51</v>
      </c>
      <c r="C8">
        <v>1</v>
      </c>
    </row>
    <row r="9" spans="2:18" x14ac:dyDescent="0.3">
      <c r="B9" t="s">
        <v>95</v>
      </c>
      <c r="C9">
        <v>273</v>
      </c>
      <c r="D9" t="s">
        <v>50</v>
      </c>
    </row>
    <row r="10" spans="2:18" ht="15" thickBot="1" x14ac:dyDescent="0.35"/>
    <row r="11" spans="2:18" ht="15" thickBot="1" x14ac:dyDescent="0.35">
      <c r="B11" s="234" t="s">
        <v>54</v>
      </c>
      <c r="C11" s="235"/>
      <c r="D11" s="235"/>
      <c r="E11" s="235"/>
      <c r="F11" s="235"/>
      <c r="G11" s="235"/>
      <c r="H11" s="235"/>
      <c r="I11" s="236"/>
      <c r="K11" s="234" t="s">
        <v>52</v>
      </c>
      <c r="L11" s="235"/>
      <c r="M11" s="235"/>
      <c r="N11" s="235"/>
      <c r="O11" s="235"/>
      <c r="P11" s="235"/>
      <c r="Q11" s="235"/>
      <c r="R11" s="236"/>
    </row>
    <row r="12" spans="2:18" ht="15" thickBot="1" x14ac:dyDescent="0.35">
      <c r="B12" s="249" t="s">
        <v>55</v>
      </c>
      <c r="C12" s="250"/>
      <c r="D12" s="250"/>
      <c r="E12" s="250"/>
      <c r="F12" s="250"/>
      <c r="G12" s="250"/>
      <c r="H12" s="251"/>
      <c r="I12" s="73" t="s">
        <v>72</v>
      </c>
      <c r="K12" s="246" t="s">
        <v>55</v>
      </c>
      <c r="L12" s="247"/>
      <c r="M12" s="247"/>
      <c r="N12" s="247"/>
      <c r="O12" s="247"/>
      <c r="P12" s="247"/>
      <c r="Q12" s="248"/>
      <c r="R12" s="73" t="s">
        <v>72</v>
      </c>
    </row>
    <row r="13" spans="2:18" ht="15" thickBot="1" x14ac:dyDescent="0.35">
      <c r="B13" s="58" t="s">
        <v>0</v>
      </c>
      <c r="C13" s="59" t="s">
        <v>1</v>
      </c>
      <c r="D13" s="60" t="s">
        <v>3</v>
      </c>
      <c r="E13" s="61" t="s">
        <v>2</v>
      </c>
      <c r="F13" s="8" t="s">
        <v>15</v>
      </c>
      <c r="G13" s="62" t="s">
        <v>14</v>
      </c>
      <c r="H13" s="58" t="s">
        <v>4</v>
      </c>
      <c r="I13" s="5"/>
      <c r="J13" s="5"/>
      <c r="K13" s="58" t="s">
        <v>0</v>
      </c>
      <c r="L13" s="59" t="s">
        <v>1</v>
      </c>
      <c r="M13" s="60" t="s">
        <v>3</v>
      </c>
      <c r="N13" s="61" t="s">
        <v>2</v>
      </c>
      <c r="O13" s="8" t="s">
        <v>15</v>
      </c>
      <c r="P13" s="62" t="s">
        <v>14</v>
      </c>
      <c r="Q13" s="58" t="s">
        <v>4</v>
      </c>
    </row>
    <row r="14" spans="2:18" x14ac:dyDescent="0.3">
      <c r="B14" s="36">
        <v>1</v>
      </c>
      <c r="C14" s="19">
        <v>3</v>
      </c>
      <c r="D14" s="15">
        <f>C14-1</f>
        <v>2</v>
      </c>
      <c r="E14" s="23">
        <f t="shared" ref="E14:E19" si="0">$C$4/D14</f>
        <v>0.5</v>
      </c>
      <c r="F14" s="63">
        <v>81.400024400000007</v>
      </c>
      <c r="G14" s="64">
        <v>-0.77624362999999996</v>
      </c>
      <c r="H14" s="40" t="s">
        <v>13</v>
      </c>
      <c r="I14" s="70" t="s">
        <v>59</v>
      </c>
      <c r="J14" s="70"/>
      <c r="K14" s="36">
        <v>1</v>
      </c>
      <c r="L14" s="19">
        <v>3</v>
      </c>
      <c r="M14" s="15">
        <f>L14-1</f>
        <v>2</v>
      </c>
      <c r="N14" s="23">
        <f t="shared" ref="N14:N19" si="1">$C$4/M14</f>
        <v>0.5</v>
      </c>
      <c r="O14" s="63" t="s">
        <v>74</v>
      </c>
      <c r="P14" s="64" t="s">
        <v>74</v>
      </c>
      <c r="Q14" s="40" t="s">
        <v>13</v>
      </c>
      <c r="R14" t="s">
        <v>73</v>
      </c>
    </row>
    <row r="15" spans="2:18" x14ac:dyDescent="0.3">
      <c r="B15" s="37">
        <v>2</v>
      </c>
      <c r="C15" s="31">
        <v>5</v>
      </c>
      <c r="D15" s="13">
        <f t="shared" ref="D15:D19" si="2">C15-1</f>
        <v>4</v>
      </c>
      <c r="E15" s="24">
        <f t="shared" si="0"/>
        <v>0.25</v>
      </c>
      <c r="F15" s="65">
        <v>10.8807764</v>
      </c>
      <c r="G15" s="66">
        <v>9.4412660600000002</v>
      </c>
      <c r="H15" s="41">
        <f>ABS((G15-G14)/G14)</f>
        <v>13.162761400051682</v>
      </c>
      <c r="I15" s="70" t="s">
        <v>59</v>
      </c>
      <c r="J15" s="70"/>
      <c r="K15" s="37">
        <v>2</v>
      </c>
      <c r="L15" s="31">
        <v>5</v>
      </c>
      <c r="M15" s="13">
        <f t="shared" ref="M15:M19" si="3">L15-1</f>
        <v>4</v>
      </c>
      <c r="N15" s="24">
        <f t="shared" si="1"/>
        <v>0.25</v>
      </c>
      <c r="O15" s="65">
        <v>-3.8147000000000001E-6</v>
      </c>
      <c r="P15" s="66">
        <v>6.0000095399999998</v>
      </c>
      <c r="Q15" s="41" t="e">
        <f>(P15-P14)/P14</f>
        <v>#VALUE!</v>
      </c>
      <c r="R15" t="s">
        <v>73</v>
      </c>
    </row>
    <row r="16" spans="2:18" x14ac:dyDescent="0.3">
      <c r="B16" s="37">
        <v>3</v>
      </c>
      <c r="C16" s="31">
        <f>C15+D15</f>
        <v>9</v>
      </c>
      <c r="D16" s="13">
        <f t="shared" si="2"/>
        <v>8</v>
      </c>
      <c r="E16" s="24">
        <f t="shared" si="0"/>
        <v>0.125</v>
      </c>
      <c r="F16" s="65">
        <v>0.20726420000000001</v>
      </c>
      <c r="G16" s="66">
        <v>21.601612100000001</v>
      </c>
      <c r="H16" s="41">
        <f t="shared" ref="H16:H19" si="4">(G16-G15)/G15</f>
        <v>1.2879995079812421</v>
      </c>
      <c r="I16" s="71" t="s">
        <v>60</v>
      </c>
      <c r="J16" s="71"/>
      <c r="K16" s="37">
        <v>3</v>
      </c>
      <c r="L16" s="31">
        <f>L15+M15</f>
        <v>9</v>
      </c>
      <c r="M16" s="13">
        <f t="shared" si="3"/>
        <v>8</v>
      </c>
      <c r="N16" s="24">
        <f t="shared" si="1"/>
        <v>0.125</v>
      </c>
      <c r="O16" s="65">
        <v>-2.1798299999999998E-6</v>
      </c>
      <c r="P16" s="66">
        <v>6.6666689999999997</v>
      </c>
      <c r="Q16" s="41">
        <f t="shared" ref="Q16:Q19" si="5">(P16-P15)/P15</f>
        <v>0.111109733335524</v>
      </c>
      <c r="R16" t="s">
        <v>73</v>
      </c>
    </row>
    <row r="17" spans="2:18" x14ac:dyDescent="0.3">
      <c r="B17" s="37">
        <v>4</v>
      </c>
      <c r="C17" s="31">
        <f>C16+D16</f>
        <v>17</v>
      </c>
      <c r="D17" s="13">
        <f t="shared" si="2"/>
        <v>16</v>
      </c>
      <c r="E17" s="24">
        <f t="shared" si="0"/>
        <v>6.25E-2</v>
      </c>
      <c r="F17" s="65">
        <v>3.0620316000000002E-2</v>
      </c>
      <c r="G17" s="66">
        <v>22.768726300000001</v>
      </c>
      <c r="H17" s="41">
        <f t="shared" si="4"/>
        <v>5.4029032398003309E-2</v>
      </c>
      <c r="I17" s="71" t="s">
        <v>60</v>
      </c>
      <c r="J17" s="71"/>
      <c r="K17" s="37">
        <v>4</v>
      </c>
      <c r="L17" s="31">
        <f>L16+M16</f>
        <v>17</v>
      </c>
      <c r="M17" s="13">
        <f t="shared" si="3"/>
        <v>16</v>
      </c>
      <c r="N17" s="24">
        <f t="shared" si="1"/>
        <v>6.25E-2</v>
      </c>
      <c r="O17" s="65">
        <v>-7.1207999999999997E-6</v>
      </c>
      <c r="P17" s="66">
        <v>7.0589360000000001</v>
      </c>
      <c r="Q17" s="41">
        <f t="shared" si="5"/>
        <v>5.8840029405989765E-2</v>
      </c>
      <c r="R17" t="s">
        <v>73</v>
      </c>
    </row>
    <row r="18" spans="2:18" x14ac:dyDescent="0.3">
      <c r="B18" s="37">
        <v>5</v>
      </c>
      <c r="C18" s="31">
        <f>C17+D17</f>
        <v>33</v>
      </c>
      <c r="D18" s="13">
        <f t="shared" si="2"/>
        <v>32</v>
      </c>
      <c r="E18" s="24">
        <f t="shared" si="0"/>
        <v>3.125E-2</v>
      </c>
      <c r="F18" s="67">
        <v>1.1448655300000001E-2</v>
      </c>
      <c r="G18" s="68">
        <v>23.039722399999999</v>
      </c>
      <c r="H18" s="42">
        <f t="shared" si="4"/>
        <v>1.190211944354559E-2</v>
      </c>
      <c r="I18" s="71" t="s">
        <v>60</v>
      </c>
      <c r="J18" s="71"/>
      <c r="K18" s="37">
        <v>5</v>
      </c>
      <c r="L18" s="31">
        <f>L17+M17</f>
        <v>33</v>
      </c>
      <c r="M18" s="13">
        <f t="shared" si="3"/>
        <v>32</v>
      </c>
      <c r="N18" s="24">
        <f t="shared" si="1"/>
        <v>3.125E-2</v>
      </c>
      <c r="O18" s="67">
        <f>--0.000015751</f>
        <v>1.5750999999999999E-5</v>
      </c>
      <c r="P18" s="68">
        <v>7.2731700000000004</v>
      </c>
      <c r="Q18" s="42">
        <f t="shared" si="5"/>
        <v>3.0349333100625965E-2</v>
      </c>
      <c r="R18" t="s">
        <v>73</v>
      </c>
    </row>
    <row r="19" spans="2:18" ht="15" thickBot="1" x14ac:dyDescent="0.35">
      <c r="B19" s="38">
        <v>6</v>
      </c>
      <c r="C19" s="34">
        <f>C18+D18</f>
        <v>65</v>
      </c>
      <c r="D19" s="16">
        <f t="shared" si="2"/>
        <v>64</v>
      </c>
      <c r="E19" s="25">
        <f t="shared" si="0"/>
        <v>1.5625E-2</v>
      </c>
      <c r="F19" s="69">
        <v>5.6391218700000004E-3</v>
      </c>
      <c r="G19" s="4">
        <v>23.097883199999998</v>
      </c>
      <c r="H19" s="43">
        <f t="shared" si="4"/>
        <v>2.5243706929385388E-3</v>
      </c>
      <c r="I19" s="71" t="s">
        <v>60</v>
      </c>
      <c r="J19" s="71"/>
      <c r="K19" s="38">
        <v>6</v>
      </c>
      <c r="L19" s="34">
        <f>L18+M18</f>
        <v>65</v>
      </c>
      <c r="M19" s="16">
        <f t="shared" si="3"/>
        <v>64</v>
      </c>
      <c r="N19" s="25">
        <f t="shared" si="1"/>
        <v>1.5625E-2</v>
      </c>
      <c r="O19" s="69">
        <v>3.1001989999999998E-5</v>
      </c>
      <c r="P19" s="4">
        <v>7.3851760000000004</v>
      </c>
      <c r="Q19" s="43">
        <f t="shared" si="5"/>
        <v>1.5399887531846505E-2</v>
      </c>
      <c r="R19" t="s">
        <v>73</v>
      </c>
    </row>
    <row r="20" spans="2:18" ht="15" thickBot="1" x14ac:dyDescent="0.35">
      <c r="B20" s="249" t="s">
        <v>56</v>
      </c>
      <c r="C20" s="250"/>
      <c r="D20" s="250"/>
      <c r="E20" s="250"/>
      <c r="F20" s="250"/>
      <c r="G20" s="250"/>
      <c r="H20" s="251"/>
      <c r="I20" s="6"/>
      <c r="J20" s="6"/>
      <c r="K20" s="243" t="s">
        <v>56</v>
      </c>
      <c r="L20" s="244"/>
      <c r="M20" s="244"/>
      <c r="N20" s="244"/>
      <c r="O20" s="244"/>
      <c r="P20" s="244"/>
      <c r="Q20" s="245"/>
    </row>
    <row r="21" spans="2:18" ht="15" thickBot="1" x14ac:dyDescent="0.35">
      <c r="B21" s="58" t="s">
        <v>0</v>
      </c>
      <c r="C21" s="59" t="s">
        <v>1</v>
      </c>
      <c r="D21" s="60" t="s">
        <v>3</v>
      </c>
      <c r="E21" s="61" t="s">
        <v>2</v>
      </c>
      <c r="F21" s="8" t="s">
        <v>15</v>
      </c>
      <c r="G21" s="62" t="s">
        <v>14</v>
      </c>
      <c r="H21" s="58" t="s">
        <v>4</v>
      </c>
      <c r="I21" s="5"/>
      <c r="J21" s="5"/>
      <c r="K21" s="58" t="s">
        <v>0</v>
      </c>
      <c r="L21" s="59" t="s">
        <v>1</v>
      </c>
      <c r="M21" s="60" t="s">
        <v>3</v>
      </c>
      <c r="N21" s="61" t="s">
        <v>2</v>
      </c>
      <c r="O21" s="8" t="s">
        <v>15</v>
      </c>
      <c r="P21" s="62" t="s">
        <v>14</v>
      </c>
      <c r="Q21" s="58" t="s">
        <v>4</v>
      </c>
    </row>
    <row r="22" spans="2:18" x14ac:dyDescent="0.3">
      <c r="B22" s="36">
        <v>1</v>
      </c>
      <c r="C22" s="19">
        <v>3</v>
      </c>
      <c r="D22" s="15">
        <f>C22-1</f>
        <v>2</v>
      </c>
      <c r="E22" s="23">
        <f t="shared" ref="E22:E27" si="6">$C$4/D22</f>
        <v>0.5</v>
      </c>
      <c r="F22" s="63">
        <v>3.0517578099999999E-5</v>
      </c>
      <c r="G22" s="64">
        <v>15.7651615</v>
      </c>
      <c r="H22" s="40" t="s">
        <v>13</v>
      </c>
      <c r="I22" s="70" t="s">
        <v>61</v>
      </c>
      <c r="J22" s="70"/>
      <c r="K22" s="36">
        <v>1</v>
      </c>
      <c r="L22" s="19">
        <v>3</v>
      </c>
      <c r="M22" s="15">
        <f>L22-1</f>
        <v>2</v>
      </c>
      <c r="N22" s="23">
        <f t="shared" ref="N22:N27" si="7">$C$4/M22</f>
        <v>0.5</v>
      </c>
      <c r="O22" s="63">
        <v>31.663698199999999</v>
      </c>
      <c r="P22" s="64">
        <v>-15.756850200000001</v>
      </c>
      <c r="Q22" s="40" t="s">
        <v>13</v>
      </c>
      <c r="R22" t="s">
        <v>75</v>
      </c>
    </row>
    <row r="23" spans="2:18" x14ac:dyDescent="0.3">
      <c r="B23" s="37">
        <v>2</v>
      </c>
      <c r="C23" s="31">
        <v>5</v>
      </c>
      <c r="D23" s="13">
        <f t="shared" ref="D23:D27" si="8">C23-1</f>
        <v>4</v>
      </c>
      <c r="E23" s="24">
        <f t="shared" si="6"/>
        <v>0.25</v>
      </c>
      <c r="F23" s="65">
        <v>3.8146972699999997E-6</v>
      </c>
      <c r="G23" s="66">
        <v>19.843707999999999</v>
      </c>
      <c r="H23" s="41">
        <f>(G23-G22)/G22</f>
        <v>0.2587062936209058</v>
      </c>
      <c r="I23" s="71" t="s">
        <v>62</v>
      </c>
      <c r="J23" s="71"/>
      <c r="K23" s="37">
        <v>2</v>
      </c>
      <c r="L23" s="31">
        <v>5</v>
      </c>
      <c r="M23" s="13">
        <f t="shared" ref="M23:M27" si="9">L23-1</f>
        <v>4</v>
      </c>
      <c r="N23" s="24">
        <f t="shared" si="7"/>
        <v>0.25</v>
      </c>
      <c r="O23" s="65">
        <v>10.587899200000001</v>
      </c>
      <c r="P23" s="66">
        <v>-15.7568512</v>
      </c>
      <c r="Q23" s="41">
        <f>(P23-P22)/P22</f>
        <v>6.3464460635133765E-8</v>
      </c>
      <c r="R23" t="s">
        <v>77</v>
      </c>
    </row>
    <row r="24" spans="2:18" x14ac:dyDescent="0.3">
      <c r="B24" s="37">
        <v>3</v>
      </c>
      <c r="C24" s="31">
        <f>C23+D23</f>
        <v>9</v>
      </c>
      <c r="D24" s="13">
        <f t="shared" si="8"/>
        <v>8</v>
      </c>
      <c r="E24" s="24">
        <f t="shared" si="6"/>
        <v>0.125</v>
      </c>
      <c r="F24" s="65">
        <v>1.28064839E-5</v>
      </c>
      <c r="G24" s="66">
        <v>22.1014175</v>
      </c>
      <c r="H24" s="41">
        <f t="shared" ref="H24:H27" si="10">(G24-G23)/G23</f>
        <v>0.11377457781579939</v>
      </c>
      <c r="I24" s="71" t="s">
        <v>63</v>
      </c>
      <c r="J24" s="71"/>
      <c r="K24" s="37">
        <v>3</v>
      </c>
      <c r="L24" s="31">
        <f>L23+M23</f>
        <v>9</v>
      </c>
      <c r="M24" s="13">
        <f t="shared" si="9"/>
        <v>8</v>
      </c>
      <c r="N24" s="24">
        <f t="shared" si="7"/>
        <v>0.125</v>
      </c>
      <c r="O24" s="65">
        <v>4.5662417399999997</v>
      </c>
      <c r="P24" s="66">
        <v>-15.7568483</v>
      </c>
      <c r="Q24" s="41">
        <f t="shared" ref="Q24:Q27" si="11">(P24-P23)/P23</f>
        <v>-1.8404692430800532E-7</v>
      </c>
      <c r="R24" t="s">
        <v>76</v>
      </c>
    </row>
    <row r="25" spans="2:18" x14ac:dyDescent="0.3">
      <c r="B25" s="37">
        <v>4</v>
      </c>
      <c r="C25" s="31">
        <f>C24+D24</f>
        <v>17</v>
      </c>
      <c r="D25" s="13">
        <f t="shared" si="8"/>
        <v>16</v>
      </c>
      <c r="E25" s="24">
        <f t="shared" si="6"/>
        <v>6.25E-2</v>
      </c>
      <c r="F25" s="65">
        <v>1.5640258400000002E-5</v>
      </c>
      <c r="G25" s="66">
        <v>22.925611499999999</v>
      </c>
      <c r="H25" s="41">
        <f t="shared" si="10"/>
        <v>3.7291454269844843E-2</v>
      </c>
      <c r="I25" s="71" t="s">
        <v>64</v>
      </c>
      <c r="J25" s="71"/>
      <c r="K25" s="37">
        <v>4</v>
      </c>
      <c r="L25" s="31">
        <f>L24+M24</f>
        <v>17</v>
      </c>
      <c r="M25" s="13">
        <f t="shared" si="9"/>
        <v>16</v>
      </c>
      <c r="N25" s="24">
        <f t="shared" si="7"/>
        <v>6.25E-2</v>
      </c>
      <c r="O25" s="65">
        <v>2.1575799999999998</v>
      </c>
      <c r="P25" s="66">
        <v>-15.756850200000001</v>
      </c>
      <c r="Q25" s="41">
        <f t="shared" si="11"/>
        <v>1.2058248989344544E-7</v>
      </c>
      <c r="R25" t="s">
        <v>78</v>
      </c>
    </row>
    <row r="26" spans="2:18" x14ac:dyDescent="0.3">
      <c r="B26" s="37">
        <v>5</v>
      </c>
      <c r="C26" s="31">
        <f>C25+D25</f>
        <v>33</v>
      </c>
      <c r="D26" s="13">
        <f t="shared" si="8"/>
        <v>32</v>
      </c>
      <c r="E26" s="24">
        <f t="shared" si="6"/>
        <v>3.125E-2</v>
      </c>
      <c r="F26" s="67">
        <v>3.4886023000000001E-5</v>
      </c>
      <c r="G26" s="68">
        <v>23.160425199999999</v>
      </c>
      <c r="H26" s="42">
        <f t="shared" si="10"/>
        <v>1.0242418179336247E-2</v>
      </c>
      <c r="I26" s="71" t="s">
        <v>65</v>
      </c>
      <c r="J26" s="71"/>
      <c r="K26" s="37">
        <v>5</v>
      </c>
      <c r="L26" s="31">
        <f>L25+M25</f>
        <v>33</v>
      </c>
      <c r="M26" s="13">
        <f t="shared" si="9"/>
        <v>32</v>
      </c>
      <c r="N26" s="24">
        <f t="shared" si="7"/>
        <v>3.125E-2</v>
      </c>
      <c r="O26" s="67">
        <v>1.06976235</v>
      </c>
      <c r="P26" s="68">
        <v>-15.7568521</v>
      </c>
      <c r="Q26" s="42">
        <f t="shared" si="11"/>
        <v>1.2058247524057479E-7</v>
      </c>
      <c r="R26" t="s">
        <v>78</v>
      </c>
    </row>
    <row r="27" spans="2:18" ht="15" thickBot="1" x14ac:dyDescent="0.35">
      <c r="B27" s="38">
        <v>6</v>
      </c>
      <c r="C27" s="34">
        <f>C26+D26</f>
        <v>65</v>
      </c>
      <c r="D27" s="16">
        <f t="shared" si="8"/>
        <v>64</v>
      </c>
      <c r="E27" s="25">
        <f t="shared" si="6"/>
        <v>1.5625E-2</v>
      </c>
      <c r="F27" s="69">
        <v>3.31723495E-5</v>
      </c>
      <c r="G27" s="4">
        <v>23.2192802</v>
      </c>
      <c r="H27" s="43">
        <f t="shared" si="10"/>
        <v>2.5411882334526923E-3</v>
      </c>
      <c r="I27" s="71" t="s">
        <v>66</v>
      </c>
      <c r="J27" s="71"/>
      <c r="K27" s="38">
        <v>6</v>
      </c>
      <c r="L27" s="34">
        <f>L26+M26</f>
        <v>65</v>
      </c>
      <c r="M27" s="16">
        <f t="shared" si="9"/>
        <v>64</v>
      </c>
      <c r="N27" s="25">
        <f t="shared" si="7"/>
        <v>1.5625E-2</v>
      </c>
      <c r="O27" s="69">
        <v>0.55146622700000003</v>
      </c>
      <c r="P27" s="4">
        <v>-15.761786499999999</v>
      </c>
      <c r="Q27" s="43">
        <f t="shared" si="11"/>
        <v>3.1315899703087161E-4</v>
      </c>
      <c r="R27" t="s">
        <v>79</v>
      </c>
    </row>
    <row r="28" spans="2:18" ht="15" thickBot="1" x14ac:dyDescent="0.35">
      <c r="B28" s="249" t="s">
        <v>57</v>
      </c>
      <c r="C28" s="250"/>
      <c r="D28" s="250"/>
      <c r="E28" s="250"/>
      <c r="F28" s="250"/>
      <c r="G28" s="250"/>
      <c r="H28" s="251"/>
      <c r="I28" s="6"/>
      <c r="J28" s="6"/>
      <c r="K28" s="243" t="s">
        <v>57</v>
      </c>
      <c r="L28" s="244"/>
      <c r="M28" s="244"/>
      <c r="N28" s="244"/>
      <c r="O28" s="244"/>
      <c r="P28" s="244"/>
      <c r="Q28" s="245"/>
    </row>
    <row r="29" spans="2:18" ht="15" thickBot="1" x14ac:dyDescent="0.35">
      <c r="B29" s="58" t="s">
        <v>0</v>
      </c>
      <c r="C29" s="59" t="s">
        <v>1</v>
      </c>
      <c r="D29" s="60" t="s">
        <v>3</v>
      </c>
      <c r="E29" s="61" t="s">
        <v>2</v>
      </c>
      <c r="F29" s="8" t="s">
        <v>15</v>
      </c>
      <c r="G29" s="62" t="s">
        <v>14</v>
      </c>
      <c r="H29" s="58" t="s">
        <v>4</v>
      </c>
      <c r="I29" s="5"/>
      <c r="J29" s="5"/>
      <c r="K29" s="58" t="s">
        <v>0</v>
      </c>
      <c r="L29" s="59" t="s">
        <v>1</v>
      </c>
      <c r="M29" s="60" t="s">
        <v>3</v>
      </c>
      <c r="N29" s="61" t="s">
        <v>2</v>
      </c>
      <c r="O29" s="8" t="s">
        <v>15</v>
      </c>
      <c r="P29" s="62" t="s">
        <v>14</v>
      </c>
      <c r="Q29" s="58" t="s">
        <v>4</v>
      </c>
    </row>
    <row r="30" spans="2:18" x14ac:dyDescent="0.3">
      <c r="B30" s="36">
        <v>1</v>
      </c>
      <c r="C30" s="19">
        <v>3</v>
      </c>
      <c r="D30" s="15">
        <f>C30-1</f>
        <v>2</v>
      </c>
      <c r="E30" s="23">
        <f t="shared" ref="E30:E35" si="12">$C$4/D30</f>
        <v>0.5</v>
      </c>
      <c r="F30" s="63">
        <v>3.8146972699999997E-6</v>
      </c>
      <c r="G30" s="64">
        <v>15.7651711</v>
      </c>
      <c r="H30" s="40" t="s">
        <v>13</v>
      </c>
      <c r="I30" s="70" t="s">
        <v>67</v>
      </c>
      <c r="J30" s="70"/>
      <c r="K30" s="36">
        <v>1</v>
      </c>
      <c r="L30" s="19">
        <v>3</v>
      </c>
      <c r="M30" s="15">
        <f>L30-1</f>
        <v>2</v>
      </c>
      <c r="N30" s="23">
        <f t="shared" ref="N30:N36" si="13">$C$4/M30</f>
        <v>0.5</v>
      </c>
      <c r="O30" s="63">
        <v>7.6293949999999998E-6</v>
      </c>
      <c r="P30" s="74">
        <v>3.1678314999999999E-2</v>
      </c>
      <c r="Q30" s="40" t="s">
        <v>13</v>
      </c>
      <c r="R30" t="s">
        <v>80</v>
      </c>
    </row>
    <row r="31" spans="2:18" x14ac:dyDescent="0.3">
      <c r="B31" s="37">
        <v>2</v>
      </c>
      <c r="C31" s="31">
        <v>5</v>
      </c>
      <c r="D31" s="13">
        <f t="shared" ref="D31:D35" si="14">C31-1</f>
        <v>4</v>
      </c>
      <c r="E31" s="24">
        <f t="shared" si="12"/>
        <v>0.25</v>
      </c>
      <c r="F31" s="65">
        <v>5.7220458999999997E-6</v>
      </c>
      <c r="G31" s="66">
        <v>19.843698499999999</v>
      </c>
      <c r="H31" s="41">
        <f>(G31-G30)/G30</f>
        <v>0.2587049245535939</v>
      </c>
      <c r="I31" s="71" t="s">
        <v>68</v>
      </c>
      <c r="J31" s="71"/>
      <c r="K31" s="37">
        <v>2</v>
      </c>
      <c r="L31" s="31">
        <v>5</v>
      </c>
      <c r="M31" s="13">
        <f t="shared" ref="M31:M35" si="15">L31-1</f>
        <v>4</v>
      </c>
      <c r="N31" s="24">
        <f t="shared" si="13"/>
        <v>0.25</v>
      </c>
      <c r="O31" s="65">
        <v>1.9073486E-6</v>
      </c>
      <c r="P31" s="75">
        <v>6.3153140199999999E-2</v>
      </c>
      <c r="Q31" s="41">
        <f>(P31-P30)/P30</f>
        <v>0.99357636919766734</v>
      </c>
      <c r="R31" t="s">
        <v>80</v>
      </c>
    </row>
    <row r="32" spans="2:18" x14ac:dyDescent="0.3">
      <c r="B32" s="37">
        <v>3</v>
      </c>
      <c r="C32" s="31">
        <f>C31+D31</f>
        <v>9</v>
      </c>
      <c r="D32" s="13">
        <f t="shared" si="14"/>
        <v>8</v>
      </c>
      <c r="E32" s="24">
        <f t="shared" si="12"/>
        <v>0.125</v>
      </c>
      <c r="F32" s="65">
        <v>7.2547368300000002E-6</v>
      </c>
      <c r="G32" s="66">
        <v>22.101434699999999</v>
      </c>
      <c r="H32" s="41">
        <f t="shared" ref="H32:H35" si="16">(G32-G31)/G31</f>
        <v>0.11377597779970303</v>
      </c>
      <c r="I32" s="71" t="s">
        <v>68</v>
      </c>
      <c r="J32" s="71"/>
      <c r="K32" s="37">
        <v>3</v>
      </c>
      <c r="L32" s="31">
        <f>L31+M31</f>
        <v>9</v>
      </c>
      <c r="M32" s="13">
        <f t="shared" si="15"/>
        <v>8</v>
      </c>
      <c r="N32" s="24">
        <f t="shared" si="13"/>
        <v>0.125</v>
      </c>
      <c r="O32" s="65">
        <v>1.08991355E-6</v>
      </c>
      <c r="P32" s="66">
        <v>0.124734</v>
      </c>
      <c r="Q32" s="41">
        <f t="shared" ref="Q32:Q36" si="17">(P32-P31)/P31</f>
        <v>0.97510368613467613</v>
      </c>
      <c r="R32" t="s">
        <v>80</v>
      </c>
    </row>
    <row r="33" spans="2:18" ht="28.8" x14ac:dyDescent="0.3">
      <c r="B33" s="37">
        <v>4</v>
      </c>
      <c r="C33" s="31">
        <f>C32+D32</f>
        <v>17</v>
      </c>
      <c r="D33" s="13">
        <f t="shared" si="14"/>
        <v>16</v>
      </c>
      <c r="E33" s="24">
        <f t="shared" si="12"/>
        <v>6.25E-2</v>
      </c>
      <c r="F33" s="65">
        <v>2.3465469999999999E-5</v>
      </c>
      <c r="G33" s="66">
        <v>22.925611499999999</v>
      </c>
      <c r="H33" s="41">
        <f t="shared" si="16"/>
        <v>3.7290647018494237E-2</v>
      </c>
      <c r="I33" s="72" t="s">
        <v>69</v>
      </c>
      <c r="J33" s="72"/>
      <c r="K33" s="37">
        <v>4</v>
      </c>
      <c r="L33" s="31">
        <f>L32+M32</f>
        <v>17</v>
      </c>
      <c r="M33" s="13">
        <f t="shared" si="15"/>
        <v>16</v>
      </c>
      <c r="N33" s="24">
        <f t="shared" si="13"/>
        <v>6.25E-2</v>
      </c>
      <c r="O33" s="65">
        <v>1.3351440000000001E-6</v>
      </c>
      <c r="P33" s="66">
        <v>0.238368</v>
      </c>
      <c r="Q33" s="41">
        <f t="shared" si="17"/>
        <v>0.91101063062196352</v>
      </c>
      <c r="R33" t="s">
        <v>80</v>
      </c>
    </row>
    <row r="34" spans="2:18" x14ac:dyDescent="0.3">
      <c r="B34" s="37">
        <v>5</v>
      </c>
      <c r="C34" s="31">
        <f>C33+D33</f>
        <v>33</v>
      </c>
      <c r="D34" s="13">
        <f t="shared" si="14"/>
        <v>32</v>
      </c>
      <c r="E34" s="24">
        <f t="shared" si="12"/>
        <v>3.125E-2</v>
      </c>
      <c r="F34" s="67">
        <v>2.0592442499999999E-5</v>
      </c>
      <c r="G34" s="68">
        <v>23.160718899999999</v>
      </c>
      <c r="H34" s="42">
        <f t="shared" si="16"/>
        <v>1.0255229178946891E-2</v>
      </c>
      <c r="I34" s="71" t="s">
        <v>70</v>
      </c>
      <c r="J34" s="71"/>
      <c r="K34" s="37">
        <v>5</v>
      </c>
      <c r="L34" s="31">
        <f>L33+M33</f>
        <v>33</v>
      </c>
      <c r="M34" s="13">
        <f t="shared" si="15"/>
        <v>32</v>
      </c>
      <c r="N34" s="24">
        <f t="shared" si="13"/>
        <v>3.125E-2</v>
      </c>
      <c r="O34" s="67">
        <v>5.6912824699999996E-7</v>
      </c>
      <c r="P34" s="68">
        <v>0.41576248399999999</v>
      </c>
      <c r="Q34" s="42">
        <f t="shared" si="17"/>
        <v>0.74420427238555509</v>
      </c>
      <c r="R34" t="s">
        <v>80</v>
      </c>
    </row>
    <row r="35" spans="2:18" ht="29.4" thickBot="1" x14ac:dyDescent="0.35">
      <c r="B35" s="38">
        <v>6</v>
      </c>
      <c r="C35" s="34">
        <f>C34+D34</f>
        <v>65</v>
      </c>
      <c r="D35" s="16">
        <f t="shared" si="14"/>
        <v>64</v>
      </c>
      <c r="E35" s="25">
        <f t="shared" si="12"/>
        <v>1.5625E-2</v>
      </c>
      <c r="F35" s="69">
        <v>5.5411033799999998E-5</v>
      </c>
      <c r="G35" s="4">
        <v>23.2191334</v>
      </c>
      <c r="H35" s="43">
        <f t="shared" si="16"/>
        <v>2.5221367373014216E-3</v>
      </c>
      <c r="I35" s="72" t="s">
        <v>71</v>
      </c>
      <c r="J35" s="72"/>
      <c r="K35" s="38">
        <v>6</v>
      </c>
      <c r="L35" s="34">
        <f>L34+M34</f>
        <v>65</v>
      </c>
      <c r="M35" s="16">
        <f t="shared" si="15"/>
        <v>64</v>
      </c>
      <c r="N35" s="25">
        <f t="shared" si="13"/>
        <v>1.5625E-2</v>
      </c>
      <c r="O35" s="69">
        <v>2.9613100000000002E-7</v>
      </c>
      <c r="P35" s="4">
        <v>0.61594939199999998</v>
      </c>
      <c r="Q35" s="43">
        <f t="shared" si="17"/>
        <v>0.48149343845078624</v>
      </c>
      <c r="R35" t="s">
        <v>80</v>
      </c>
    </row>
    <row r="36" spans="2:18" ht="15" thickBot="1" x14ac:dyDescent="0.35">
      <c r="K36" s="38">
        <v>7</v>
      </c>
      <c r="L36" s="34">
        <v>101</v>
      </c>
      <c r="M36" s="16">
        <f>L36-1</f>
        <v>100</v>
      </c>
      <c r="N36" s="25">
        <f t="shared" si="13"/>
        <v>0.01</v>
      </c>
      <c r="O36" s="69">
        <v>2.7916869999999997E-7</v>
      </c>
      <c r="P36" s="4">
        <v>0.71954399999999996</v>
      </c>
      <c r="Q36" s="43">
        <f t="shared" si="17"/>
        <v>0.1681868824703702</v>
      </c>
      <c r="R36" t="s">
        <v>80</v>
      </c>
    </row>
  </sheetData>
  <mergeCells count="8">
    <mergeCell ref="K12:Q12"/>
    <mergeCell ref="K20:Q20"/>
    <mergeCell ref="K28:Q28"/>
    <mergeCell ref="B11:I11"/>
    <mergeCell ref="K11:R11"/>
    <mergeCell ref="B12:H12"/>
    <mergeCell ref="B20:H20"/>
    <mergeCell ref="B28:H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C41"/>
  <sheetViews>
    <sheetView tabSelected="1" topLeftCell="T1" zoomScale="70" zoomScaleNormal="70" workbookViewId="0">
      <selection activeCell="AC10" sqref="AC10"/>
    </sheetView>
  </sheetViews>
  <sheetFormatPr defaultRowHeight="14.4" x14ac:dyDescent="0.3"/>
  <cols>
    <col min="1" max="1" width="0.5546875" customWidth="1"/>
    <col min="3" max="3" width="14.5546875" customWidth="1"/>
    <col min="4" max="4" width="13.88671875" bestFit="1" customWidth="1"/>
    <col min="5" max="5" width="12.6640625" bestFit="1" customWidth="1"/>
    <col min="6" max="6" width="15.44140625" customWidth="1"/>
    <col min="7" max="7" width="24.77734375" bestFit="1" customWidth="1"/>
    <col min="8" max="8" width="13.77734375" bestFit="1" customWidth="1"/>
    <col min="9" max="9" width="42.77734375" customWidth="1"/>
    <col min="10" max="10" width="5.44140625" customWidth="1"/>
    <col min="15" max="15" width="17.77734375" bestFit="1" customWidth="1"/>
    <col min="16" max="16" width="24.6640625" bestFit="1" customWidth="1"/>
    <col min="17" max="17" width="21.44140625" customWidth="1"/>
    <col min="18" max="18" width="57.33203125" customWidth="1"/>
    <col min="22" max="22" width="9" bestFit="1" customWidth="1"/>
    <col min="23" max="23" width="23.6640625" bestFit="1" customWidth="1"/>
    <col min="27" max="27" width="10.5546875" bestFit="1" customWidth="1"/>
  </cols>
  <sheetData>
    <row r="2" spans="2:29" x14ac:dyDescent="0.3">
      <c r="B2" s="20" t="s">
        <v>21</v>
      </c>
    </row>
    <row r="3" spans="2:29" ht="15" thickBot="1" x14ac:dyDescent="0.35">
      <c r="B3" s="20"/>
    </row>
    <row r="4" spans="2:29" ht="16.2" thickBot="1" x14ac:dyDescent="0.35">
      <c r="B4" s="90" t="s">
        <v>16</v>
      </c>
      <c r="C4" s="78">
        <v>0.1</v>
      </c>
      <c r="D4" s="79" t="s">
        <v>18</v>
      </c>
      <c r="E4" s="147"/>
      <c r="F4" s="8" t="s">
        <v>54</v>
      </c>
      <c r="G4" s="130" t="s">
        <v>52</v>
      </c>
      <c r="H4" s="146"/>
      <c r="V4" s="285" t="s">
        <v>145</v>
      </c>
      <c r="W4" s="309"/>
      <c r="X4" s="309"/>
      <c r="Y4" s="310"/>
      <c r="AA4" s="240" t="s">
        <v>162</v>
      </c>
      <c r="AB4" s="241"/>
      <c r="AC4" s="242"/>
    </row>
    <row r="5" spans="2:29" ht="16.2" thickBot="1" x14ac:dyDescent="0.35">
      <c r="B5" s="80" t="s">
        <v>48</v>
      </c>
      <c r="C5" s="76">
        <v>5.0000000000000001E-3</v>
      </c>
      <c r="D5" s="81" t="s">
        <v>18</v>
      </c>
      <c r="E5" s="139" t="s">
        <v>27</v>
      </c>
      <c r="F5" s="134">
        <v>60</v>
      </c>
      <c r="G5" s="134">
        <v>0.1</v>
      </c>
      <c r="H5" s="135" t="s">
        <v>32</v>
      </c>
      <c r="V5" s="267" t="s">
        <v>142</v>
      </c>
      <c r="W5" s="268" t="s">
        <v>143</v>
      </c>
      <c r="X5" s="268" t="s">
        <v>144</v>
      </c>
      <c r="Y5" s="337" t="s">
        <v>153</v>
      </c>
      <c r="AA5" s="203" t="s">
        <v>161</v>
      </c>
      <c r="AB5" s="204" t="s">
        <v>163</v>
      </c>
      <c r="AC5" s="158" t="s">
        <v>164</v>
      </c>
    </row>
    <row r="6" spans="2:29" ht="16.8" thickBot="1" x14ac:dyDescent="0.4">
      <c r="B6" s="80" t="s">
        <v>49</v>
      </c>
      <c r="C6" s="76">
        <v>400</v>
      </c>
      <c r="D6" s="81" t="s">
        <v>50</v>
      </c>
      <c r="E6" s="148" t="s">
        <v>53</v>
      </c>
      <c r="F6" s="82">
        <v>430</v>
      </c>
      <c r="G6" s="82">
        <v>1.3</v>
      </c>
      <c r="H6" s="83" t="s">
        <v>30</v>
      </c>
      <c r="V6" s="189" t="s">
        <v>16</v>
      </c>
      <c r="W6" s="270" t="s">
        <v>146</v>
      </c>
      <c r="X6" s="270">
        <f>C4</f>
        <v>0.1</v>
      </c>
      <c r="Y6" s="191" t="s">
        <v>18</v>
      </c>
      <c r="AA6" s="205" t="s">
        <v>185</v>
      </c>
      <c r="AB6" s="159">
        <v>0</v>
      </c>
      <c r="AC6" s="162">
        <v>0</v>
      </c>
    </row>
    <row r="7" spans="2:29" ht="16.2" x14ac:dyDescent="0.35">
      <c r="B7" s="80" t="s">
        <v>26</v>
      </c>
      <c r="C7" s="76">
        <v>0</v>
      </c>
      <c r="D7" s="81" t="s">
        <v>50</v>
      </c>
      <c r="V7" s="192" t="s">
        <v>201</v>
      </c>
      <c r="W7" s="214" t="s">
        <v>202</v>
      </c>
      <c r="X7" s="214">
        <f>C5</f>
        <v>5.0000000000000001E-3</v>
      </c>
      <c r="Y7" s="194" t="s">
        <v>18</v>
      </c>
      <c r="AA7" s="206" t="s">
        <v>186</v>
      </c>
      <c r="AB7" s="167">
        <v>0</v>
      </c>
      <c r="AC7" s="170">
        <v>0</v>
      </c>
    </row>
    <row r="8" spans="2:29" ht="18" x14ac:dyDescent="0.4">
      <c r="B8" s="80" t="s">
        <v>51</v>
      </c>
      <c r="C8" s="76">
        <v>1</v>
      </c>
      <c r="D8" s="81"/>
      <c r="V8" s="192" t="s">
        <v>171</v>
      </c>
      <c r="W8" s="214" t="s">
        <v>204</v>
      </c>
      <c r="X8" s="214">
        <v>0</v>
      </c>
      <c r="Y8" s="194" t="s">
        <v>50</v>
      </c>
      <c r="AA8" s="206" t="s">
        <v>187</v>
      </c>
      <c r="AB8" s="167">
        <v>1</v>
      </c>
      <c r="AC8" s="170">
        <v>1</v>
      </c>
    </row>
    <row r="9" spans="2:29" ht="18.600000000000001" thickBot="1" x14ac:dyDescent="0.45">
      <c r="B9" s="87" t="s">
        <v>95</v>
      </c>
      <c r="C9" s="82">
        <v>0</v>
      </c>
      <c r="D9" s="83" t="s">
        <v>50</v>
      </c>
      <c r="V9" s="192" t="s">
        <v>169</v>
      </c>
      <c r="W9" s="323" t="s">
        <v>210</v>
      </c>
      <c r="X9" s="214">
        <v>400</v>
      </c>
      <c r="Y9" s="324" t="s">
        <v>50</v>
      </c>
      <c r="AA9" s="207" t="s">
        <v>188</v>
      </c>
      <c r="AB9" s="163">
        <v>400</v>
      </c>
      <c r="AC9" s="166">
        <v>0</v>
      </c>
    </row>
    <row r="10" spans="2:29" ht="18.600000000000001" thickBot="1" x14ac:dyDescent="0.45">
      <c r="V10" s="192" t="s">
        <v>170</v>
      </c>
      <c r="W10" s="323" t="s">
        <v>211</v>
      </c>
      <c r="X10" s="214">
        <v>0</v>
      </c>
      <c r="Y10" s="324" t="s">
        <v>50</v>
      </c>
    </row>
    <row r="11" spans="2:29" ht="16.2" thickBot="1" x14ac:dyDescent="0.35">
      <c r="C11" s="285" t="s">
        <v>54</v>
      </c>
      <c r="D11" s="309"/>
      <c r="E11" s="309"/>
      <c r="F11" s="309"/>
      <c r="G11" s="309"/>
      <c r="H11" s="310"/>
      <c r="I11" s="230"/>
      <c r="L11" s="285" t="s">
        <v>52</v>
      </c>
      <c r="M11" s="309"/>
      <c r="N11" s="309"/>
      <c r="O11" s="309"/>
      <c r="P11" s="309"/>
      <c r="Q11" s="310"/>
      <c r="R11" s="230"/>
      <c r="V11" s="192" t="s">
        <v>205</v>
      </c>
      <c r="W11" s="214" t="s">
        <v>206</v>
      </c>
      <c r="X11" s="214">
        <v>1</v>
      </c>
      <c r="Y11" s="194" t="s">
        <v>207</v>
      </c>
    </row>
    <row r="12" spans="2:29" ht="19.2" thickBot="1" x14ac:dyDescent="0.35">
      <c r="C12" s="338" t="s">
        <v>55</v>
      </c>
      <c r="D12" s="339"/>
      <c r="E12" s="339"/>
      <c r="F12" s="339"/>
      <c r="G12" s="339"/>
      <c r="H12" s="340"/>
      <c r="I12" s="73" t="s">
        <v>72</v>
      </c>
      <c r="L12" s="338" t="s">
        <v>55</v>
      </c>
      <c r="M12" s="339"/>
      <c r="N12" s="339"/>
      <c r="O12" s="339"/>
      <c r="P12" s="339"/>
      <c r="Q12" s="340"/>
      <c r="R12" s="73" t="s">
        <v>72</v>
      </c>
      <c r="V12" s="328" t="s">
        <v>38</v>
      </c>
      <c r="W12" s="329" t="s">
        <v>149</v>
      </c>
      <c r="X12" s="329">
        <v>0</v>
      </c>
      <c r="Y12" s="330" t="s">
        <v>168</v>
      </c>
    </row>
    <row r="13" spans="2:29" ht="16.2" thickBot="1" x14ac:dyDescent="0.35">
      <c r="B13" s="229" t="s">
        <v>0</v>
      </c>
      <c r="C13" s="208" t="s">
        <v>1</v>
      </c>
      <c r="D13" s="209" t="s">
        <v>3</v>
      </c>
      <c r="E13" s="209" t="s">
        <v>195</v>
      </c>
      <c r="F13" s="209" t="s">
        <v>19</v>
      </c>
      <c r="G13" s="209" t="s">
        <v>174</v>
      </c>
      <c r="H13" s="210" t="s">
        <v>4</v>
      </c>
      <c r="I13" s="5"/>
      <c r="J13" s="5"/>
      <c r="K13" s="229" t="s">
        <v>0</v>
      </c>
      <c r="L13" s="208" t="s">
        <v>1</v>
      </c>
      <c r="M13" s="209" t="s">
        <v>3</v>
      </c>
      <c r="N13" s="209" t="s">
        <v>195</v>
      </c>
      <c r="O13" s="209" t="s">
        <v>19</v>
      </c>
      <c r="P13" s="209" t="s">
        <v>174</v>
      </c>
      <c r="Q13" s="210" t="s">
        <v>4</v>
      </c>
      <c r="R13" s="5"/>
      <c r="V13" s="331" t="s">
        <v>54</v>
      </c>
      <c r="W13" s="332"/>
      <c r="X13" s="332"/>
      <c r="Y13" s="333"/>
    </row>
    <row r="14" spans="2:29" ht="15.6" x14ac:dyDescent="0.3">
      <c r="B14" s="316">
        <v>1</v>
      </c>
      <c r="C14" s="345">
        <v>2</v>
      </c>
      <c r="D14" s="353">
        <f>C14-1</f>
        <v>1</v>
      </c>
      <c r="E14" s="342">
        <f t="shared" ref="E14:E20" si="0">$C$4/D14</f>
        <v>0.1</v>
      </c>
      <c r="F14" s="350">
        <v>1.6093254100000001E-6</v>
      </c>
      <c r="G14" s="343">
        <v>6.08564901</v>
      </c>
      <c r="H14" s="352" t="s">
        <v>13</v>
      </c>
      <c r="I14" s="70" t="s">
        <v>127</v>
      </c>
      <c r="J14" s="70"/>
      <c r="K14" s="316">
        <v>1</v>
      </c>
      <c r="L14" s="345">
        <v>2</v>
      </c>
      <c r="M14" s="353">
        <f>L14-1</f>
        <v>1</v>
      </c>
      <c r="N14" s="342">
        <f t="shared" ref="N14:N20" si="1">$C$4/M14</f>
        <v>0.1</v>
      </c>
      <c r="O14" s="350" t="s">
        <v>121</v>
      </c>
      <c r="P14" s="343" t="s">
        <v>121</v>
      </c>
      <c r="Q14" s="352" t="s">
        <v>13</v>
      </c>
      <c r="R14" s="149" t="s">
        <v>122</v>
      </c>
      <c r="V14" s="227" t="s">
        <v>27</v>
      </c>
      <c r="W14" s="213" t="s">
        <v>147</v>
      </c>
      <c r="X14" s="213">
        <v>60</v>
      </c>
      <c r="Y14" s="228" t="s">
        <v>32</v>
      </c>
    </row>
    <row r="15" spans="2:29" ht="16.2" thickBot="1" x14ac:dyDescent="0.35">
      <c r="B15" s="17">
        <f>B14+1</f>
        <v>2</v>
      </c>
      <c r="C15" s="346">
        <v>3</v>
      </c>
      <c r="D15" s="348">
        <f>C15-1</f>
        <v>2</v>
      </c>
      <c r="E15" s="288">
        <f t="shared" si="0"/>
        <v>0.05</v>
      </c>
      <c r="F15" s="290">
        <v>3.0375085799999999E-6</v>
      </c>
      <c r="G15" s="344">
        <v>6.3217859299999999</v>
      </c>
      <c r="H15" s="279">
        <f>ABS((G15-G14)/G14)</f>
        <v>3.8802257509754058E-2</v>
      </c>
      <c r="I15" s="70" t="s">
        <v>117</v>
      </c>
      <c r="J15" s="70"/>
      <c r="K15" s="17">
        <f>K14+1</f>
        <v>2</v>
      </c>
      <c r="L15" s="346">
        <v>3</v>
      </c>
      <c r="M15" s="348">
        <f>L15-1</f>
        <v>2</v>
      </c>
      <c r="N15" s="288">
        <f t="shared" si="1"/>
        <v>0.05</v>
      </c>
      <c r="O15" s="290" t="s">
        <v>121</v>
      </c>
      <c r="P15" s="344" t="s">
        <v>121</v>
      </c>
      <c r="Q15" s="279" t="s">
        <v>13</v>
      </c>
      <c r="R15" s="70" t="s">
        <v>122</v>
      </c>
      <c r="V15" s="334" t="s">
        <v>208</v>
      </c>
      <c r="W15" s="335" t="s">
        <v>209</v>
      </c>
      <c r="X15" s="335">
        <v>430</v>
      </c>
      <c r="Y15" s="336" t="s">
        <v>30</v>
      </c>
    </row>
    <row r="16" spans="2:29" ht="16.2" thickBot="1" x14ac:dyDescent="0.35">
      <c r="B16" s="17">
        <f t="shared" ref="B16:B20" si="2">B15+1</f>
        <v>3</v>
      </c>
      <c r="C16" s="346">
        <v>5</v>
      </c>
      <c r="D16" s="348">
        <f t="shared" ref="D16:D20" si="3">C16-1</f>
        <v>4</v>
      </c>
      <c r="E16" s="288">
        <f t="shared" si="0"/>
        <v>2.5000000000000001E-2</v>
      </c>
      <c r="F16" s="290">
        <v>3.626541E-6</v>
      </c>
      <c r="G16" s="344">
        <v>6.4274082200000002</v>
      </c>
      <c r="H16" s="279">
        <f>ABS((G16-G15)/G15)</f>
        <v>1.6707666341368877E-2</v>
      </c>
      <c r="I16" s="70" t="s">
        <v>117</v>
      </c>
      <c r="J16" s="71"/>
      <c r="K16" s="17">
        <f t="shared" ref="K16:K20" si="4">K15+1</f>
        <v>3</v>
      </c>
      <c r="L16" s="346">
        <v>5</v>
      </c>
      <c r="M16" s="348">
        <f t="shared" ref="M16:M20" si="5">L16-1</f>
        <v>4</v>
      </c>
      <c r="N16" s="288">
        <f t="shared" si="1"/>
        <v>2.5000000000000001E-2</v>
      </c>
      <c r="O16" s="290" t="s">
        <v>121</v>
      </c>
      <c r="P16" s="344" t="s">
        <v>121</v>
      </c>
      <c r="Q16" s="279" t="s">
        <v>13</v>
      </c>
      <c r="R16" s="70" t="s">
        <v>122</v>
      </c>
      <c r="V16" s="331" t="s">
        <v>52</v>
      </c>
      <c r="W16" s="332"/>
      <c r="X16" s="332"/>
      <c r="Y16" s="333"/>
    </row>
    <row r="17" spans="2:25" ht="15.6" x14ac:dyDescent="0.3">
      <c r="B17" s="17">
        <f t="shared" si="2"/>
        <v>4</v>
      </c>
      <c r="C17" s="346">
        <f>C16+D16</f>
        <v>9</v>
      </c>
      <c r="D17" s="348">
        <f t="shared" si="3"/>
        <v>8</v>
      </c>
      <c r="E17" s="288">
        <f t="shared" si="0"/>
        <v>1.2500000000000001E-2</v>
      </c>
      <c r="F17" s="290">
        <v>3.7663289700000001E-6</v>
      </c>
      <c r="G17" s="344">
        <v>6.4591846500000001</v>
      </c>
      <c r="H17" s="279">
        <f t="shared" ref="H17:H20" si="6">(G17-G16)/G16</f>
        <v>4.9438947881234553E-3</v>
      </c>
      <c r="I17" s="70" t="s">
        <v>117</v>
      </c>
      <c r="J17" s="71"/>
      <c r="K17" s="17">
        <f t="shared" si="4"/>
        <v>4</v>
      </c>
      <c r="L17" s="346">
        <f>L16+M16</f>
        <v>9</v>
      </c>
      <c r="M17" s="348">
        <f t="shared" si="5"/>
        <v>8</v>
      </c>
      <c r="N17" s="288">
        <f t="shared" si="1"/>
        <v>1.2500000000000001E-2</v>
      </c>
      <c r="O17" s="290" t="s">
        <v>121</v>
      </c>
      <c r="P17" s="344" t="s">
        <v>121</v>
      </c>
      <c r="Q17" s="279" t="s">
        <v>13</v>
      </c>
      <c r="R17" s="70" t="s">
        <v>122</v>
      </c>
      <c r="V17" s="227" t="s">
        <v>27</v>
      </c>
      <c r="W17" s="213" t="s">
        <v>147</v>
      </c>
      <c r="X17" s="213">
        <v>0.1</v>
      </c>
      <c r="Y17" s="228" t="s">
        <v>32</v>
      </c>
    </row>
    <row r="18" spans="2:25" ht="16.2" thickBot="1" x14ac:dyDescent="0.35">
      <c r="B18" s="17">
        <f t="shared" si="2"/>
        <v>5</v>
      </c>
      <c r="C18" s="346">
        <f>C17+D17</f>
        <v>17</v>
      </c>
      <c r="D18" s="348">
        <f t="shared" si="3"/>
        <v>16</v>
      </c>
      <c r="E18" s="288">
        <f t="shared" si="0"/>
        <v>6.2500000000000003E-3</v>
      </c>
      <c r="F18" s="290">
        <v>6.5582366900000001E-6</v>
      </c>
      <c r="G18" s="344">
        <v>6.4674606299999997</v>
      </c>
      <c r="H18" s="279">
        <f t="shared" si="6"/>
        <v>1.2812731712197804E-3</v>
      </c>
      <c r="I18" s="70" t="s">
        <v>118</v>
      </c>
      <c r="J18" s="71"/>
      <c r="K18" s="17">
        <f t="shared" si="4"/>
        <v>5</v>
      </c>
      <c r="L18" s="346">
        <f>L17+M17</f>
        <v>17</v>
      </c>
      <c r="M18" s="348">
        <f t="shared" si="5"/>
        <v>16</v>
      </c>
      <c r="N18" s="288">
        <f t="shared" si="1"/>
        <v>6.2500000000000003E-3</v>
      </c>
      <c r="O18" s="290" t="s">
        <v>121</v>
      </c>
      <c r="P18" s="344" t="s">
        <v>121</v>
      </c>
      <c r="Q18" s="279" t="s">
        <v>13</v>
      </c>
      <c r="R18" s="70" t="s">
        <v>122</v>
      </c>
      <c r="V18" s="325" t="s">
        <v>208</v>
      </c>
      <c r="W18" s="326" t="s">
        <v>209</v>
      </c>
      <c r="X18" s="326">
        <v>1.3</v>
      </c>
      <c r="Y18" s="327" t="s">
        <v>30</v>
      </c>
    </row>
    <row r="19" spans="2:25" ht="15.6" x14ac:dyDescent="0.3">
      <c r="B19" s="17">
        <f t="shared" si="2"/>
        <v>6</v>
      </c>
      <c r="C19" s="346">
        <f>C18+D18</f>
        <v>33</v>
      </c>
      <c r="D19" s="348">
        <f t="shared" si="3"/>
        <v>32</v>
      </c>
      <c r="E19" s="288">
        <f t="shared" si="0"/>
        <v>3.1250000000000002E-3</v>
      </c>
      <c r="F19" s="290">
        <v>8.9165805499999994E-6</v>
      </c>
      <c r="G19" s="344">
        <v>6.4607272099999999</v>
      </c>
      <c r="H19" s="279">
        <f t="shared" si="6"/>
        <v>-1.0411226886741433E-3</v>
      </c>
      <c r="I19" s="70" t="s">
        <v>118</v>
      </c>
      <c r="J19" s="71"/>
      <c r="K19" s="17">
        <f t="shared" si="4"/>
        <v>6</v>
      </c>
      <c r="L19" s="346">
        <f>L18+M18</f>
        <v>33</v>
      </c>
      <c r="M19" s="348">
        <f t="shared" si="5"/>
        <v>32</v>
      </c>
      <c r="N19" s="288">
        <f t="shared" si="1"/>
        <v>3.1250000000000002E-3</v>
      </c>
      <c r="O19" s="290" t="s">
        <v>121</v>
      </c>
      <c r="P19" s="344" t="s">
        <v>121</v>
      </c>
      <c r="Q19" s="279" t="s">
        <v>13</v>
      </c>
      <c r="R19" s="70" t="s">
        <v>122</v>
      </c>
    </row>
    <row r="20" spans="2:25" ht="16.2" thickBot="1" x14ac:dyDescent="0.35">
      <c r="B20" s="45">
        <f t="shared" si="2"/>
        <v>7</v>
      </c>
      <c r="C20" s="347">
        <f>C19+D19</f>
        <v>65</v>
      </c>
      <c r="D20" s="349">
        <f t="shared" si="3"/>
        <v>64</v>
      </c>
      <c r="E20" s="292">
        <f t="shared" si="0"/>
        <v>1.5625000000000001E-3</v>
      </c>
      <c r="F20" s="351">
        <v>1.4887898E-5</v>
      </c>
      <c r="G20" s="283">
        <v>6.4792344220000002</v>
      </c>
      <c r="H20" s="284">
        <f t="shared" si="6"/>
        <v>2.8645710302324114E-3</v>
      </c>
      <c r="I20" s="71" t="s">
        <v>128</v>
      </c>
      <c r="J20" s="6"/>
      <c r="K20" s="45">
        <f t="shared" si="4"/>
        <v>7</v>
      </c>
      <c r="L20" s="347">
        <f>L19+M19</f>
        <v>65</v>
      </c>
      <c r="M20" s="349">
        <f t="shared" si="5"/>
        <v>64</v>
      </c>
      <c r="N20" s="292">
        <f t="shared" si="1"/>
        <v>1.5625000000000001E-3</v>
      </c>
      <c r="O20" s="351" t="s">
        <v>121</v>
      </c>
      <c r="P20" s="283" t="s">
        <v>121</v>
      </c>
      <c r="Q20" s="284" t="s">
        <v>13</v>
      </c>
      <c r="R20" s="70" t="s">
        <v>122</v>
      </c>
    </row>
    <row r="21" spans="2:25" ht="16.2" thickBot="1" x14ac:dyDescent="0.35">
      <c r="C21" s="338" t="s">
        <v>56</v>
      </c>
      <c r="D21" s="339"/>
      <c r="E21" s="339"/>
      <c r="F21" s="339"/>
      <c r="G21" s="339"/>
      <c r="H21" s="340"/>
      <c r="I21" s="6"/>
      <c r="J21" s="5"/>
      <c r="L21" s="338" t="s">
        <v>56</v>
      </c>
      <c r="M21" s="339"/>
      <c r="N21" s="339"/>
      <c r="O21" s="339"/>
      <c r="P21" s="339"/>
      <c r="Q21" s="340"/>
      <c r="R21" s="6">
        <v>2</v>
      </c>
    </row>
    <row r="22" spans="2:25" ht="16.2" thickBot="1" x14ac:dyDescent="0.35">
      <c r="B22" s="229" t="s">
        <v>0</v>
      </c>
      <c r="C22" s="208" t="s">
        <v>1</v>
      </c>
      <c r="D22" s="209" t="s">
        <v>3</v>
      </c>
      <c r="E22" s="209" t="str">
        <f>E13</f>
        <v>DI [m]</v>
      </c>
      <c r="F22" s="209" t="str">
        <f>F13</f>
        <v>Avg. Res.</v>
      </c>
      <c r="G22" s="209" t="str">
        <f>G13</f>
        <v>Base Heat Flux [W/m^2]</v>
      </c>
      <c r="H22" s="210" t="s">
        <v>4</v>
      </c>
      <c r="I22" s="5"/>
      <c r="J22" s="70"/>
      <c r="K22" s="229" t="s">
        <v>0</v>
      </c>
      <c r="L22" s="208" t="s">
        <v>1</v>
      </c>
      <c r="M22" s="209" t="s">
        <v>3</v>
      </c>
      <c r="N22" s="209" t="s">
        <v>195</v>
      </c>
      <c r="O22" s="209" t="s">
        <v>19</v>
      </c>
      <c r="P22" s="209" t="s">
        <v>174</v>
      </c>
      <c r="Q22" s="210" t="s">
        <v>4</v>
      </c>
      <c r="R22" s="5"/>
    </row>
    <row r="23" spans="2:25" ht="15.6" x14ac:dyDescent="0.3">
      <c r="B23" s="316">
        <v>1</v>
      </c>
      <c r="C23" s="345">
        <v>2</v>
      </c>
      <c r="D23" s="353">
        <f>C23-1</f>
        <v>1</v>
      </c>
      <c r="E23" s="342">
        <f t="shared" ref="E23:E29" si="7">$C$4/D23</f>
        <v>0.1</v>
      </c>
      <c r="F23" s="350">
        <v>3.8146727000000002E-6</v>
      </c>
      <c r="G23" s="343">
        <v>6.0856513999999997</v>
      </c>
      <c r="H23" s="352" t="s">
        <v>13</v>
      </c>
      <c r="I23" s="70" t="s">
        <v>119</v>
      </c>
      <c r="J23" s="71"/>
      <c r="K23" s="316">
        <v>1</v>
      </c>
      <c r="L23" s="345">
        <v>2</v>
      </c>
      <c r="M23" s="353">
        <f>L23-1</f>
        <v>1</v>
      </c>
      <c r="N23" s="342">
        <f t="shared" ref="N23:N29" si="8">$C$4/M23</f>
        <v>0.1</v>
      </c>
      <c r="O23" s="350">
        <v>1.7942939000000001E-2</v>
      </c>
      <c r="P23" s="343">
        <v>1.0095010499999999E-2</v>
      </c>
      <c r="Q23" s="352" t="s">
        <v>13</v>
      </c>
      <c r="R23" s="70" t="s">
        <v>133</v>
      </c>
    </row>
    <row r="24" spans="2:25" ht="15.6" x14ac:dyDescent="0.3">
      <c r="B24" s="17">
        <f>B23+1</f>
        <v>2</v>
      </c>
      <c r="C24" s="346">
        <v>3</v>
      </c>
      <c r="D24" s="348">
        <f>C24-1</f>
        <v>2</v>
      </c>
      <c r="E24" s="288">
        <f t="shared" si="7"/>
        <v>0.05</v>
      </c>
      <c r="F24" s="290">
        <v>4.0531184E-6</v>
      </c>
      <c r="G24" s="344">
        <v>6.3217949899999999</v>
      </c>
      <c r="H24" s="279">
        <f>ABS((G24-G23)/G23)</f>
        <v>3.880333829177271E-2</v>
      </c>
      <c r="I24" s="70" t="s">
        <v>119</v>
      </c>
      <c r="J24" s="71"/>
      <c r="K24" s="17">
        <f>K23+1</f>
        <v>2</v>
      </c>
      <c r="L24" s="346">
        <v>3</v>
      </c>
      <c r="M24" s="348">
        <f>L24-1</f>
        <v>2</v>
      </c>
      <c r="N24" s="288">
        <f t="shared" si="8"/>
        <v>0.05</v>
      </c>
      <c r="O24" s="290">
        <v>1.84746236E-2</v>
      </c>
      <c r="P24" s="344">
        <v>1.0184008600000001E-2</v>
      </c>
      <c r="Q24" s="279">
        <f>ABS((P24-P23)/P23)</f>
        <v>8.8160482844471724E-3</v>
      </c>
      <c r="R24" s="70" t="s">
        <v>134</v>
      </c>
    </row>
    <row r="25" spans="2:25" ht="15.6" x14ac:dyDescent="0.3">
      <c r="B25" s="17">
        <f t="shared" ref="B25:B29" si="9">B24+1</f>
        <v>3</v>
      </c>
      <c r="C25" s="346">
        <v>5</v>
      </c>
      <c r="D25" s="348">
        <f t="shared" ref="D25:D29" si="10">C25-1</f>
        <v>4</v>
      </c>
      <c r="E25" s="288">
        <f t="shared" si="7"/>
        <v>2.5000000000000001E-2</v>
      </c>
      <c r="F25" s="290">
        <v>9.4771385199999994E-6</v>
      </c>
      <c r="G25" s="344">
        <v>6.4273714999999996</v>
      </c>
      <c r="H25" s="279">
        <f>ABS((G25-G24)/G24)</f>
        <v>1.670040078284786E-2</v>
      </c>
      <c r="I25" s="70" t="s">
        <v>129</v>
      </c>
      <c r="J25" s="71"/>
      <c r="K25" s="17">
        <f t="shared" ref="K25:K29" si="11">K24+1</f>
        <v>3</v>
      </c>
      <c r="L25" s="346">
        <v>5</v>
      </c>
      <c r="M25" s="348">
        <f t="shared" ref="M25:M29" si="12">L25-1</f>
        <v>4</v>
      </c>
      <c r="N25" s="288">
        <f t="shared" si="8"/>
        <v>2.5000000000000001E-2</v>
      </c>
      <c r="O25" s="290">
        <v>1.705008337E-2</v>
      </c>
      <c r="P25" s="344">
        <v>1.15209771E-2</v>
      </c>
      <c r="Q25" s="279">
        <f>ABS((P25-P24)/P24)</f>
        <v>0.13128116368636991</v>
      </c>
      <c r="R25" s="71" t="s">
        <v>135</v>
      </c>
    </row>
    <row r="26" spans="2:25" ht="15.6" x14ac:dyDescent="0.3">
      <c r="B26" s="17">
        <f t="shared" si="9"/>
        <v>4</v>
      </c>
      <c r="C26" s="346">
        <f>C25+D25</f>
        <v>9</v>
      </c>
      <c r="D26" s="348">
        <f t="shared" si="10"/>
        <v>8</v>
      </c>
      <c r="E26" s="288">
        <f t="shared" si="7"/>
        <v>1.2500000000000001E-2</v>
      </c>
      <c r="F26" s="290">
        <v>2.8610229499999998E-6</v>
      </c>
      <c r="G26" s="344">
        <v>6.4591479300000003</v>
      </c>
      <c r="H26" s="279">
        <f t="shared" ref="H26:H29" si="13">(G26-G25)/G25</f>
        <v>4.9439230329226726E-3</v>
      </c>
      <c r="I26" s="70" t="s">
        <v>129</v>
      </c>
      <c r="J26" s="71"/>
      <c r="K26" s="17">
        <f t="shared" si="11"/>
        <v>4</v>
      </c>
      <c r="L26" s="346">
        <f>L25+M25</f>
        <v>9</v>
      </c>
      <c r="M26" s="348">
        <f t="shared" si="12"/>
        <v>8</v>
      </c>
      <c r="N26" s="288">
        <f t="shared" si="8"/>
        <v>1.2500000000000001E-2</v>
      </c>
      <c r="O26" s="290">
        <v>1.8226659999999999E-2</v>
      </c>
      <c r="P26" s="344">
        <v>2.44280025E-2</v>
      </c>
      <c r="Q26" s="279">
        <f t="shared" ref="Q26:Q29" si="14">(P26-P25)/P25</f>
        <v>1.1203064885876739</v>
      </c>
      <c r="R26" s="71" t="s">
        <v>136</v>
      </c>
    </row>
    <row r="27" spans="2:25" ht="15.6" x14ac:dyDescent="0.3">
      <c r="B27" s="17">
        <f t="shared" si="9"/>
        <v>5</v>
      </c>
      <c r="C27" s="346">
        <f>C26+D26</f>
        <v>17</v>
      </c>
      <c r="D27" s="348">
        <f t="shared" si="10"/>
        <v>16</v>
      </c>
      <c r="E27" s="288">
        <f t="shared" si="7"/>
        <v>6.2500000000000003E-3</v>
      </c>
      <c r="F27" s="290">
        <v>3.8892030700000003E-6</v>
      </c>
      <c r="G27" s="344">
        <v>6.46754885</v>
      </c>
      <c r="H27" s="279">
        <f t="shared" si="13"/>
        <v>1.3006235638265836E-3</v>
      </c>
      <c r="I27" s="70" t="s">
        <v>129</v>
      </c>
      <c r="J27" s="71"/>
      <c r="K27" s="17">
        <f t="shared" si="11"/>
        <v>5</v>
      </c>
      <c r="L27" s="346">
        <f>L26+M26</f>
        <v>17</v>
      </c>
      <c r="M27" s="348">
        <f t="shared" si="12"/>
        <v>16</v>
      </c>
      <c r="N27" s="288">
        <f t="shared" si="8"/>
        <v>6.2500000000000003E-3</v>
      </c>
      <c r="O27" s="290">
        <v>5.0574401400000002E-3</v>
      </c>
      <c r="P27" s="344">
        <v>5.4244432600000003E-2</v>
      </c>
      <c r="Q27" s="279">
        <f t="shared" si="14"/>
        <v>1.2205840448886478</v>
      </c>
      <c r="R27" s="71" t="s">
        <v>137</v>
      </c>
    </row>
    <row r="28" spans="2:25" ht="15.6" x14ac:dyDescent="0.3">
      <c r="B28" s="17">
        <f t="shared" si="9"/>
        <v>6</v>
      </c>
      <c r="C28" s="346">
        <f>C27+D27</f>
        <v>33</v>
      </c>
      <c r="D28" s="348">
        <f t="shared" si="10"/>
        <v>32</v>
      </c>
      <c r="E28" s="288">
        <f t="shared" si="7"/>
        <v>3.1250000000000002E-3</v>
      </c>
      <c r="F28" s="290">
        <v>9.8422169700000008E-6</v>
      </c>
      <c r="G28" s="344">
        <v>6.4607272099999999</v>
      </c>
      <c r="H28" s="279">
        <f t="shared" si="13"/>
        <v>-1.054748894552234E-3</v>
      </c>
      <c r="I28" s="70" t="s">
        <v>129</v>
      </c>
      <c r="J28" s="6"/>
      <c r="K28" s="17">
        <f t="shared" si="11"/>
        <v>6</v>
      </c>
      <c r="L28" s="346">
        <f>L27+M27</f>
        <v>33</v>
      </c>
      <c r="M28" s="348">
        <f t="shared" si="12"/>
        <v>32</v>
      </c>
      <c r="N28" s="288">
        <f t="shared" si="8"/>
        <v>3.1250000000000002E-3</v>
      </c>
      <c r="O28" s="290">
        <v>2.3629043700000001E-3</v>
      </c>
      <c r="P28" s="344">
        <v>7.0660963699999996E-2</v>
      </c>
      <c r="Q28" s="279">
        <f t="shared" si="14"/>
        <v>0.30263992659036482</v>
      </c>
      <c r="R28" s="71" t="s">
        <v>138</v>
      </c>
    </row>
    <row r="29" spans="2:25" ht="16.2" thickBot="1" x14ac:dyDescent="0.35">
      <c r="B29" s="45">
        <f t="shared" si="9"/>
        <v>7</v>
      </c>
      <c r="C29" s="347">
        <f>C28+D28</f>
        <v>65</v>
      </c>
      <c r="D29" s="349">
        <f t="shared" si="10"/>
        <v>64</v>
      </c>
      <c r="E29" s="292">
        <f t="shared" si="7"/>
        <v>1.5625000000000001E-3</v>
      </c>
      <c r="F29" s="351">
        <v>1.2237578600000001E-5</v>
      </c>
      <c r="G29" s="283">
        <v>6.4792928700000001</v>
      </c>
      <c r="H29" s="284">
        <f t="shared" si="13"/>
        <v>2.873617689857571E-3</v>
      </c>
      <c r="I29" s="70" t="s">
        <v>130</v>
      </c>
      <c r="J29" s="5"/>
      <c r="K29" s="45">
        <f t="shared" si="11"/>
        <v>7</v>
      </c>
      <c r="L29" s="347">
        <f>L28+M28</f>
        <v>65</v>
      </c>
      <c r="M29" s="349">
        <f t="shared" si="12"/>
        <v>64</v>
      </c>
      <c r="N29" s="292">
        <f t="shared" si="8"/>
        <v>1.5625000000000001E-3</v>
      </c>
      <c r="O29" s="351">
        <v>1.1682146000000001E-3</v>
      </c>
      <c r="P29" s="283">
        <v>7.7205355990000002E-2</v>
      </c>
      <c r="Q29" s="284">
        <f t="shared" si="14"/>
        <v>9.2616799252626197E-2</v>
      </c>
      <c r="R29" s="55" t="s">
        <v>139</v>
      </c>
    </row>
    <row r="30" spans="2:25" ht="16.2" thickBot="1" x14ac:dyDescent="0.35">
      <c r="C30" s="338" t="s">
        <v>57</v>
      </c>
      <c r="D30" s="339"/>
      <c r="E30" s="339"/>
      <c r="F30" s="339"/>
      <c r="G30" s="339"/>
      <c r="H30" s="340"/>
      <c r="I30" s="5"/>
      <c r="J30" s="70"/>
      <c r="L30" s="338" t="s">
        <v>57</v>
      </c>
      <c r="M30" s="339"/>
      <c r="N30" s="339"/>
      <c r="O30" s="339"/>
      <c r="P30" s="339"/>
      <c r="Q30" s="340"/>
      <c r="R30" s="5"/>
    </row>
    <row r="31" spans="2:25" ht="16.2" thickBot="1" x14ac:dyDescent="0.35">
      <c r="B31" s="229" t="s">
        <v>0</v>
      </c>
      <c r="C31" s="208" t="s">
        <v>1</v>
      </c>
      <c r="D31" s="209" t="s">
        <v>3</v>
      </c>
      <c r="E31" s="209" t="str">
        <f>E22</f>
        <v>DI [m]</v>
      </c>
      <c r="F31" s="209" t="str">
        <f>F22</f>
        <v>Avg. Res.</v>
      </c>
      <c r="G31" s="209" t="str">
        <f>G13</f>
        <v>Base Heat Flux [W/m^2]</v>
      </c>
      <c r="H31" s="210" t="s">
        <v>4</v>
      </c>
      <c r="J31" s="71"/>
      <c r="K31" s="229" t="s">
        <v>0</v>
      </c>
      <c r="L31" s="208" t="s">
        <v>1</v>
      </c>
      <c r="M31" s="209" t="s">
        <v>3</v>
      </c>
      <c r="N31" s="209" t="s">
        <v>195</v>
      </c>
      <c r="O31" s="209" t="s">
        <v>19</v>
      </c>
      <c r="P31" s="209" t="s">
        <v>174</v>
      </c>
      <c r="Q31" s="210" t="s">
        <v>4</v>
      </c>
    </row>
    <row r="32" spans="2:25" ht="15.6" x14ac:dyDescent="0.3">
      <c r="B32" s="316">
        <v>1</v>
      </c>
      <c r="C32" s="345">
        <v>2</v>
      </c>
      <c r="D32" s="353">
        <f>C32-1</f>
        <v>1</v>
      </c>
      <c r="E32" s="342">
        <f t="shared" ref="E32:E38" si="15">$C$4/D32</f>
        <v>0.1</v>
      </c>
      <c r="F32" s="350">
        <v>7.1525573700000001E-7</v>
      </c>
      <c r="G32" s="343">
        <v>6.0856499700000004</v>
      </c>
      <c r="H32" s="352" t="s">
        <v>13</v>
      </c>
      <c r="I32" s="70" t="s">
        <v>131</v>
      </c>
      <c r="J32" s="71"/>
      <c r="K32" s="316">
        <v>1</v>
      </c>
      <c r="L32" s="345">
        <v>2</v>
      </c>
      <c r="M32" s="353">
        <f>L32-1</f>
        <v>1</v>
      </c>
      <c r="N32" s="342">
        <f t="shared" ref="N32:N41" si="16">$C$4/M32</f>
        <v>0.1</v>
      </c>
      <c r="O32" s="350">
        <v>6.0684979E-6</v>
      </c>
      <c r="P32" s="343">
        <v>1.51242064E-2</v>
      </c>
      <c r="Q32" s="352" t="s">
        <v>13</v>
      </c>
      <c r="R32" s="70" t="s">
        <v>123</v>
      </c>
    </row>
    <row r="33" spans="2:18" ht="15.6" x14ac:dyDescent="0.3">
      <c r="B33" s="17">
        <f>B32+1</f>
        <v>2</v>
      </c>
      <c r="C33" s="346">
        <v>3</v>
      </c>
      <c r="D33" s="348">
        <f>C33-1</f>
        <v>2</v>
      </c>
      <c r="E33" s="288">
        <f t="shared" si="15"/>
        <v>0.05</v>
      </c>
      <c r="F33" s="290">
        <v>2.7995556599999999E-6</v>
      </c>
      <c r="G33" s="344">
        <v>6.32179117</v>
      </c>
      <c r="H33" s="279">
        <f>ABS((G33-G32)/G32)</f>
        <v>3.8802954682587439E-2</v>
      </c>
      <c r="I33" s="71" t="s">
        <v>120</v>
      </c>
      <c r="J33" s="72"/>
      <c r="K33" s="17">
        <f>K32+1</f>
        <v>2</v>
      </c>
      <c r="L33" s="346">
        <v>3</v>
      </c>
      <c r="M33" s="348">
        <f>L33-1</f>
        <v>2</v>
      </c>
      <c r="N33" s="288">
        <f t="shared" si="16"/>
        <v>0.05</v>
      </c>
      <c r="O33" s="290">
        <v>5.5625277999999997E-6</v>
      </c>
      <c r="P33" s="344">
        <v>2.6069460400000001E-2</v>
      </c>
      <c r="Q33" s="279">
        <f>ABS((P33-P32)/P32)</f>
        <v>0.72369112867965102</v>
      </c>
      <c r="R33" s="70" t="s">
        <v>123</v>
      </c>
    </row>
    <row r="34" spans="2:18" ht="15.6" x14ac:dyDescent="0.3">
      <c r="B34" s="17">
        <f t="shared" ref="B34:B38" si="17">B33+1</f>
        <v>3</v>
      </c>
      <c r="C34" s="346">
        <v>5</v>
      </c>
      <c r="D34" s="348">
        <f t="shared" ref="D34:D38" si="18">C34-1</f>
        <v>4</v>
      </c>
      <c r="E34" s="288">
        <f t="shared" si="15"/>
        <v>2.5000000000000001E-2</v>
      </c>
      <c r="F34" s="290">
        <v>1.05830259E-6</v>
      </c>
      <c r="G34" s="344">
        <v>6.4274010700000002</v>
      </c>
      <c r="H34" s="279">
        <f>ABS((G34-G33)/G33)</f>
        <v>1.6705692605154521E-2</v>
      </c>
      <c r="I34" s="71" t="s">
        <v>120</v>
      </c>
      <c r="J34" s="71"/>
      <c r="K34" s="17">
        <f t="shared" ref="K34:K39" si="19">K33+1</f>
        <v>3</v>
      </c>
      <c r="L34" s="346">
        <v>5</v>
      </c>
      <c r="M34" s="348">
        <f t="shared" ref="M34:M38" si="20">L34-1</f>
        <v>4</v>
      </c>
      <c r="N34" s="288">
        <f t="shared" si="16"/>
        <v>2.5000000000000001E-2</v>
      </c>
      <c r="O34" s="290">
        <v>1.0181850000000001E-6</v>
      </c>
      <c r="P34" s="344">
        <v>4.2630162100000001E-2</v>
      </c>
      <c r="Q34" s="279">
        <f>ABS((P34-P33)/P33)</f>
        <v>0.63525295291497474</v>
      </c>
      <c r="R34" s="70" t="s">
        <v>123</v>
      </c>
    </row>
    <row r="35" spans="2:18" ht="15.6" x14ac:dyDescent="0.3">
      <c r="B35" s="17">
        <f t="shared" si="17"/>
        <v>4</v>
      </c>
      <c r="C35" s="346">
        <f>C34+D34</f>
        <v>9</v>
      </c>
      <c r="D35" s="348">
        <f t="shared" si="18"/>
        <v>8</v>
      </c>
      <c r="E35" s="288">
        <f t="shared" si="15"/>
        <v>1.2500000000000001E-2</v>
      </c>
      <c r="F35" s="290">
        <v>2.9266345800000001E-6</v>
      </c>
      <c r="G35" s="344">
        <v>6.4591622400000004</v>
      </c>
      <c r="H35" s="279">
        <f t="shared" ref="H35:H38" si="21">(G35-G34)/G34</f>
        <v>4.9415260778179863E-3</v>
      </c>
      <c r="I35" s="71" t="s">
        <v>120</v>
      </c>
      <c r="J35" s="72"/>
      <c r="K35" s="17">
        <f t="shared" si="19"/>
        <v>4</v>
      </c>
      <c r="L35" s="346">
        <f>L34+M34</f>
        <v>9</v>
      </c>
      <c r="M35" s="348">
        <f t="shared" si="20"/>
        <v>8</v>
      </c>
      <c r="N35" s="288">
        <f t="shared" si="16"/>
        <v>1.2500000000000001E-2</v>
      </c>
      <c r="O35" s="290">
        <v>4.5327456599999997E-7</v>
      </c>
      <c r="P35" s="344">
        <v>6.3883505800000004E-2</v>
      </c>
      <c r="Q35" s="279">
        <f t="shared" ref="Q35:Q39" si="22">(P35-P34)/P34</f>
        <v>0.49855179180751935</v>
      </c>
      <c r="R35" s="70" t="s">
        <v>123</v>
      </c>
    </row>
    <row r="36" spans="2:18" ht="15.6" x14ac:dyDescent="0.3">
      <c r="B36" s="17">
        <f t="shared" si="17"/>
        <v>5</v>
      </c>
      <c r="C36" s="346">
        <f>C35+D35</f>
        <v>17</v>
      </c>
      <c r="D36" s="348">
        <f t="shared" si="18"/>
        <v>16</v>
      </c>
      <c r="E36" s="288">
        <f t="shared" si="15"/>
        <v>6.2500000000000003E-3</v>
      </c>
      <c r="F36" s="290">
        <v>4.5741799100000004E-6</v>
      </c>
      <c r="G36" s="344">
        <v>6.46754885</v>
      </c>
      <c r="H36" s="279">
        <f t="shared" si="21"/>
        <v>1.2984052247617219E-3</v>
      </c>
      <c r="I36" s="71" t="s">
        <v>120</v>
      </c>
      <c r="K36" s="17">
        <f t="shared" si="19"/>
        <v>5</v>
      </c>
      <c r="L36" s="346">
        <f>L35+M35</f>
        <v>17</v>
      </c>
      <c r="M36" s="348">
        <f t="shared" si="20"/>
        <v>16</v>
      </c>
      <c r="N36" s="288">
        <f t="shared" si="16"/>
        <v>6.2500000000000003E-3</v>
      </c>
      <c r="O36" s="290">
        <v>2.2685250700000001E-7</v>
      </c>
      <c r="P36" s="344">
        <v>8.4853172300000002E-2</v>
      </c>
      <c r="Q36" s="279">
        <f t="shared" si="22"/>
        <v>0.32824852420669742</v>
      </c>
      <c r="R36" s="70" t="s">
        <v>123</v>
      </c>
    </row>
    <row r="37" spans="2:18" ht="15.6" x14ac:dyDescent="0.3">
      <c r="B37" s="17">
        <f t="shared" si="17"/>
        <v>6</v>
      </c>
      <c r="C37" s="346">
        <f>C36+D36</f>
        <v>33</v>
      </c>
      <c r="D37" s="348">
        <f t="shared" si="18"/>
        <v>32</v>
      </c>
      <c r="E37" s="288">
        <f t="shared" si="15"/>
        <v>3.1250000000000002E-3</v>
      </c>
      <c r="F37" s="290">
        <v>7.0234727900000004E-6</v>
      </c>
      <c r="G37" s="344">
        <v>6.4607272099999999</v>
      </c>
      <c r="H37" s="279">
        <f t="shared" si="21"/>
        <v>-1.054748894552234E-3</v>
      </c>
      <c r="I37" s="71" t="s">
        <v>131</v>
      </c>
      <c r="K37" s="17">
        <f t="shared" si="19"/>
        <v>6</v>
      </c>
      <c r="L37" s="346">
        <f>L36+M36</f>
        <v>33</v>
      </c>
      <c r="M37" s="348">
        <f t="shared" si="20"/>
        <v>32</v>
      </c>
      <c r="N37" s="288">
        <f t="shared" si="16"/>
        <v>3.1250000000000002E-3</v>
      </c>
      <c r="O37" s="290">
        <v>1.15803623E-7</v>
      </c>
      <c r="P37" s="344">
        <v>9.8969623399999998E-2</v>
      </c>
      <c r="Q37" s="279">
        <f t="shared" si="22"/>
        <v>0.16636326866002152</v>
      </c>
      <c r="R37" s="70" t="s">
        <v>123</v>
      </c>
    </row>
    <row r="38" spans="2:18" ht="16.2" thickBot="1" x14ac:dyDescent="0.35">
      <c r="B38" s="45">
        <f t="shared" si="17"/>
        <v>7</v>
      </c>
      <c r="C38" s="347">
        <f>C37+D37</f>
        <v>65</v>
      </c>
      <c r="D38" s="349">
        <f t="shared" si="18"/>
        <v>64</v>
      </c>
      <c r="E38" s="292">
        <f t="shared" si="15"/>
        <v>1.5625000000000001E-3</v>
      </c>
      <c r="F38" s="351">
        <v>1.5283749200000001E-5</v>
      </c>
      <c r="G38" s="283">
        <v>6.4791169200000001</v>
      </c>
      <c r="H38" s="284">
        <f t="shared" si="21"/>
        <v>2.8463839134913907E-3</v>
      </c>
      <c r="I38" s="72" t="s">
        <v>132</v>
      </c>
      <c r="K38" s="317">
        <f t="shared" si="19"/>
        <v>7</v>
      </c>
      <c r="L38" s="354">
        <f>L37+M37</f>
        <v>65</v>
      </c>
      <c r="M38" s="355">
        <f t="shared" si="20"/>
        <v>64</v>
      </c>
      <c r="N38" s="356">
        <f t="shared" si="16"/>
        <v>1.5625000000000001E-3</v>
      </c>
      <c r="O38" s="357">
        <v>6.18254217E-6</v>
      </c>
      <c r="P38" s="358">
        <v>0.10517530899999999</v>
      </c>
      <c r="Q38" s="341">
        <f t="shared" si="22"/>
        <v>6.270293234236958E-2</v>
      </c>
      <c r="R38" s="70" t="s">
        <v>68</v>
      </c>
    </row>
    <row r="39" spans="2:18" ht="16.2" thickBot="1" x14ac:dyDescent="0.35">
      <c r="K39" s="45">
        <f t="shared" si="19"/>
        <v>8</v>
      </c>
      <c r="L39" s="186">
        <v>66</v>
      </c>
      <c r="M39" s="215">
        <f t="shared" ref="M39" si="23">L39-1</f>
        <v>65</v>
      </c>
      <c r="N39" s="215">
        <f t="shared" ref="N39" si="24">$C$4/M39</f>
        <v>1.5384615384615385E-3</v>
      </c>
      <c r="O39" s="351">
        <v>6.1788168800000003E-6</v>
      </c>
      <c r="P39" s="283">
        <v>0.105237097</v>
      </c>
      <c r="Q39" s="284">
        <f t="shared" si="22"/>
        <v>5.8747628685366698E-4</v>
      </c>
      <c r="R39" s="70" t="s">
        <v>68</v>
      </c>
    </row>
    <row r="40" spans="2:18" x14ac:dyDescent="0.3">
      <c r="K40" s="318">
        <v>9</v>
      </c>
      <c r="L40" s="319">
        <v>85</v>
      </c>
      <c r="M40" s="320">
        <f>L40-1</f>
        <v>84</v>
      </c>
      <c r="N40" s="320">
        <f t="shared" si="16"/>
        <v>1.1904761904761906E-3</v>
      </c>
      <c r="O40" s="321">
        <v>4.7419630000000001E-6</v>
      </c>
      <c r="P40" s="320">
        <v>0.10623065399999999</v>
      </c>
      <c r="Q40" s="322">
        <f>(P40-P38)/P38</f>
        <v>1.0034151646751989E-2</v>
      </c>
      <c r="R40" s="70" t="s">
        <v>68</v>
      </c>
    </row>
    <row r="41" spans="2:18" ht="15" thickBot="1" x14ac:dyDescent="0.35">
      <c r="K41" s="45">
        <v>10</v>
      </c>
      <c r="L41" s="3">
        <v>101</v>
      </c>
      <c r="M41" s="16">
        <f>L41-1</f>
        <v>100</v>
      </c>
      <c r="N41" s="16">
        <f t="shared" si="16"/>
        <v>1E-3</v>
      </c>
      <c r="O41" s="144">
        <v>3.9951237300000004E-6</v>
      </c>
      <c r="P41" s="16">
        <v>0.106681503</v>
      </c>
      <c r="Q41" s="145">
        <f>(P41-P38)/P38</f>
        <v>1.4320794626807347E-2</v>
      </c>
      <c r="R41" s="70" t="s">
        <v>68</v>
      </c>
    </row>
  </sheetData>
  <mergeCells count="12">
    <mergeCell ref="V4:Y4"/>
    <mergeCell ref="V13:Y13"/>
    <mergeCell ref="V16:Y16"/>
    <mergeCell ref="AA4:AC4"/>
    <mergeCell ref="C12:H12"/>
    <mergeCell ref="C21:H21"/>
    <mergeCell ref="C30:H30"/>
    <mergeCell ref="C11:H11"/>
    <mergeCell ref="L11:Q11"/>
    <mergeCell ref="L12:Q12"/>
    <mergeCell ref="L21:Q21"/>
    <mergeCell ref="L30:Q3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problem1</vt:lpstr>
      <vt:lpstr>problem2</vt:lpstr>
      <vt:lpstr>problem3</vt:lpstr>
      <vt:lpstr>problem4_273_inf</vt:lpstr>
      <vt:lpstr>problem4_0_inf</vt:lpstr>
      <vt:lpstr>problem3!output_linearization_1_CV_32_output</vt:lpstr>
      <vt:lpstr>problem2!output_linearization_3_CV_15_output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2017-05-05T16:05:18Z</dcterms:created>
  <dcterms:modified xsi:type="dcterms:W3CDTF">2017-05-19T17:28:26Z</dcterms:modified>
</cp:coreProperties>
</file>