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rkSMS\"/>
    </mc:Choice>
  </mc:AlternateContent>
  <xr:revisionPtr revIDLastSave="0" documentId="13_ncr:1_{C58D5432-7B95-4294-B5AA-3E92A374971C}" xr6:coauthVersionLast="47" xr6:coauthVersionMax="47" xr10:uidLastSave="{00000000-0000-0000-0000-000000000000}"/>
  <bookViews>
    <workbookView xWindow="-120" yWindow="-120" windowWidth="20730" windowHeight="11160" xr2:uid="{5EDF1C93-B3E3-40F0-90D5-78269D740A12}"/>
  </bookViews>
  <sheets>
    <sheet name="Financial Analysis" sheetId="1" r:id="rId1"/>
    <sheet name="Re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E56" i="1"/>
  <c r="F56" i="1"/>
  <c r="G56" i="1"/>
  <c r="H56" i="1"/>
  <c r="I56" i="1"/>
  <c r="J56" i="1"/>
  <c r="D57" i="1"/>
  <c r="D56" i="1"/>
  <c r="B26" i="1"/>
  <c r="D27" i="1" s="1"/>
  <c r="A51" i="1"/>
  <c r="A50" i="1"/>
  <c r="I50" i="1"/>
  <c r="H50" i="1"/>
  <c r="E51" i="1"/>
  <c r="F51" i="1"/>
  <c r="G51" i="1"/>
  <c r="H51" i="1"/>
  <c r="I51" i="1"/>
  <c r="J51" i="1"/>
  <c r="D51" i="1"/>
  <c r="E50" i="1"/>
  <c r="F50" i="1"/>
  <c r="F52" i="1" s="1"/>
  <c r="F54" i="1" s="1"/>
  <c r="G50" i="1"/>
  <c r="J50" i="1"/>
  <c r="J52" i="1" s="1"/>
  <c r="J54" i="1" s="1"/>
  <c r="D50" i="1"/>
  <c r="C42" i="1"/>
  <c r="E37" i="1"/>
  <c r="E42" i="1" s="1"/>
  <c r="E38" i="1"/>
  <c r="F38" i="1"/>
  <c r="G38" i="1"/>
  <c r="H38" i="1"/>
  <c r="I38" i="1"/>
  <c r="J38" i="1"/>
  <c r="E39" i="1"/>
  <c r="E40" i="1"/>
  <c r="F40" i="1"/>
  <c r="G40" i="1"/>
  <c r="H40" i="1"/>
  <c r="I40" i="1"/>
  <c r="J40" i="1"/>
  <c r="E41" i="1"/>
  <c r="E45" i="1" s="1"/>
  <c r="D39" i="1"/>
  <c r="D40" i="1"/>
  <c r="D42" i="1" s="1"/>
  <c r="D41" i="1"/>
  <c r="D44" i="1" s="1"/>
  <c r="D38" i="1"/>
  <c r="D37" i="1"/>
  <c r="D46" i="1" s="1"/>
  <c r="F26" i="1"/>
  <c r="G26" i="1" s="1"/>
  <c r="E19" i="1"/>
  <c r="E21" i="1"/>
  <c r="E8" i="1"/>
  <c r="E10" i="1" s="1"/>
  <c r="E13" i="1" s="1"/>
  <c r="E23" i="1" s="1"/>
  <c r="D21" i="1"/>
  <c r="D19" i="1"/>
  <c r="E18" i="1"/>
  <c r="D8" i="1"/>
  <c r="D10" i="1" s="1"/>
  <c r="D13" i="1" s="1"/>
  <c r="D15" i="1" s="1"/>
  <c r="E1" i="1"/>
  <c r="F1" i="1" s="1"/>
  <c r="G1" i="1" s="1"/>
  <c r="H1" i="1" s="1"/>
  <c r="I1" i="1" s="1"/>
  <c r="J1" i="1" s="1"/>
  <c r="G28" i="1" l="1"/>
  <c r="J28" i="1"/>
  <c r="J32" i="1" s="1"/>
  <c r="J33" i="1" s="1"/>
  <c r="F28" i="1"/>
  <c r="F32" i="1" s="1"/>
  <c r="F33" i="1" s="1"/>
  <c r="H28" i="1"/>
  <c r="I28" i="1"/>
  <c r="E28" i="1"/>
  <c r="E32" i="1" s="1"/>
  <c r="E33" i="1" s="1"/>
  <c r="D28" i="1"/>
  <c r="D32" i="1" s="1"/>
  <c r="D33" i="1" s="1"/>
  <c r="G27" i="1"/>
  <c r="G31" i="1" s="1"/>
  <c r="J27" i="1"/>
  <c r="F27" i="1"/>
  <c r="F31" i="1" s="1"/>
  <c r="H27" i="1"/>
  <c r="I27" i="1"/>
  <c r="E27" i="1"/>
  <c r="E31" i="1" s="1"/>
  <c r="I52" i="1"/>
  <c r="I54" i="1" s="1"/>
  <c r="D52" i="1"/>
  <c r="D54" i="1" s="1"/>
  <c r="E52" i="1"/>
  <c r="E54" i="1" s="1"/>
  <c r="H52" i="1"/>
  <c r="H54" i="1" s="1"/>
  <c r="G52" i="1"/>
  <c r="G54" i="1" s="1"/>
  <c r="D45" i="1"/>
  <c r="E46" i="1"/>
  <c r="E44" i="1"/>
  <c r="D31" i="1"/>
  <c r="G32" i="1"/>
  <c r="G33" i="1" s="1"/>
  <c r="H26" i="1"/>
  <c r="I26" i="1" s="1"/>
  <c r="J26" i="1" s="1"/>
  <c r="E15" i="1"/>
  <c r="D23" i="1"/>
  <c r="J31" i="1" l="1"/>
  <c r="I32" i="1"/>
  <c r="I33" i="1" s="1"/>
  <c r="H32" i="1"/>
  <c r="H33" i="1" s="1"/>
  <c r="H31" i="1"/>
  <c r="I31" i="1"/>
  <c r="F6" i="1"/>
  <c r="F11" i="1" s="1"/>
  <c r="F39" i="1" s="1"/>
  <c r="G6" i="1" l="1"/>
  <c r="F7" i="1"/>
  <c r="F8" i="1" l="1"/>
  <c r="F10" i="1" s="1"/>
  <c r="F13" i="1" s="1"/>
  <c r="F37" i="1"/>
  <c r="F14" i="1"/>
  <c r="G11" i="1"/>
  <c r="G39" i="1" s="1"/>
  <c r="G7" i="1"/>
  <c r="H6" i="1"/>
  <c r="F44" i="1" l="1"/>
  <c r="F46" i="1"/>
  <c r="F15" i="1"/>
  <c r="F41" i="1"/>
  <c r="F45" i="1" s="1"/>
  <c r="G8" i="1"/>
  <c r="G10" i="1" s="1"/>
  <c r="G13" i="1" s="1"/>
  <c r="G14" i="1" s="1"/>
  <c r="G37" i="1"/>
  <c r="I6" i="1"/>
  <c r="H7" i="1"/>
  <c r="H11" i="1"/>
  <c r="H39" i="1" s="1"/>
  <c r="G15" i="1" l="1"/>
  <c r="G41" i="1"/>
  <c r="G45" i="1" s="1"/>
  <c r="G46" i="1"/>
  <c r="G44" i="1"/>
  <c r="G42" i="1"/>
  <c r="H8" i="1"/>
  <c r="H10" i="1" s="1"/>
  <c r="H13" i="1" s="1"/>
  <c r="H14" i="1" s="1"/>
  <c r="H37" i="1"/>
  <c r="F42" i="1"/>
  <c r="I7" i="1"/>
  <c r="J6" i="1"/>
  <c r="I11" i="1"/>
  <c r="I39" i="1" s="1"/>
  <c r="H15" i="1" l="1"/>
  <c r="H41" i="1"/>
  <c r="H44" i="1"/>
  <c r="H42" i="1"/>
  <c r="H46" i="1"/>
  <c r="H45" i="1"/>
  <c r="I8" i="1"/>
  <c r="I10" i="1" s="1"/>
  <c r="I13" i="1" s="1"/>
  <c r="I14" i="1" s="1"/>
  <c r="I37" i="1"/>
  <c r="J11" i="1"/>
  <c r="J39" i="1" s="1"/>
  <c r="J7" i="1"/>
  <c r="I15" i="1" l="1"/>
  <c r="I41" i="1"/>
  <c r="I44" i="1" s="1"/>
  <c r="I42" i="1"/>
  <c r="I45" i="1"/>
  <c r="I46" i="1"/>
  <c r="J8" i="1"/>
  <c r="J10" i="1" s="1"/>
  <c r="J13" i="1" s="1"/>
  <c r="J14" i="1" s="1"/>
  <c r="J37" i="1"/>
  <c r="J15" i="1" l="1"/>
  <c r="J41" i="1"/>
  <c r="J45" i="1" s="1"/>
  <c r="J46" i="1"/>
  <c r="J42" i="1"/>
  <c r="J44" i="1"/>
</calcChain>
</file>

<file path=xl/sharedStrings.xml><?xml version="1.0" encoding="utf-8"?>
<sst xmlns="http://schemas.openxmlformats.org/spreadsheetml/2006/main" count="68" uniqueCount="49">
  <si>
    <t>USD $000's</t>
  </si>
  <si>
    <t xml:space="preserve"> </t>
  </si>
  <si>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</si>
  <si>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</si>
  <si>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</si>
  <si>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</si>
  <si>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</si>
  <si>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</si>
  <si>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</si>
  <si>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</si>
  <si>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</si>
  <si>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</si>
  <si>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</si>
  <si>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COGS = Cost of Goods</t>
  </si>
  <si>
    <t>SG&amp;A=</t>
  </si>
  <si>
    <t>Gross profit = Revenue - COGS</t>
  </si>
  <si>
    <t>EBITDA = Gross Profit - SG&amp;A</t>
  </si>
  <si>
    <t>Earning Before Tax(EBT) =EBITDA - Sum(Depreciation &amp; Interest)</t>
  </si>
  <si>
    <t>Net Income = EBT - Taxes</t>
  </si>
  <si>
    <t>Assumptions</t>
  </si>
  <si>
    <t>Revenue growth</t>
  </si>
  <si>
    <t>COGS % of revenue</t>
  </si>
  <si>
    <t>Depreciation % revenue</t>
  </si>
  <si>
    <t>Tax rate</t>
  </si>
  <si>
    <t>to calculate the yearly revenue growth</t>
  </si>
  <si>
    <t>(Previous Yr rev / current Yr rev)-1</t>
  </si>
  <si>
    <t>1st Yr Forcast</t>
  </si>
  <si>
    <t>First yr forcast = Revenue * (1+ Revenue growth)</t>
  </si>
  <si>
    <t>depreciation = Revenue * %Depreciation</t>
  </si>
  <si>
    <t>Tax = Ebt * Tax rate</t>
  </si>
  <si>
    <t>Time Period</t>
  </si>
  <si>
    <t xml:space="preserve">Today: </t>
  </si>
  <si>
    <t>Monthly Data</t>
  </si>
  <si>
    <t>Annual Data</t>
  </si>
  <si>
    <t>Discounting</t>
  </si>
  <si>
    <t>Monthly Period</t>
  </si>
  <si>
    <t>Annual Period</t>
  </si>
  <si>
    <t>Cost Analysis</t>
  </si>
  <si>
    <t>Total</t>
  </si>
  <si>
    <t>Average</t>
  </si>
  <si>
    <t>Weight</t>
  </si>
  <si>
    <t>Weighted Average</t>
  </si>
  <si>
    <t>MEDIAN</t>
  </si>
  <si>
    <t>Stub or Full Year</t>
  </si>
  <si>
    <t>Return Total Expenses</t>
  </si>
  <si>
    <t>Total Expenses</t>
  </si>
  <si>
    <t>Error check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</si>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</sst>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4" fillId="0" borderId="0" xfId="0" applyNumberFormat="1" applyFont="1"/>
    <xf numFmtId="165" fontId="0" fillId="0" borderId="0" xfId="1" applyNumberFormat="1" applyFont="1"/>
    <xf numFmtId="165" fontId="5" fillId="0" borderId="0" xfId="1" applyNumberFormat="1" applyFont="1"/>
    <xf numFmtId="164" fontId="6" fillId="0" borderId="0" xfId="0" applyNumberFormat="1" applyFont="1"/>
    <xf numFmtId="164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164" fontId="0" fillId="0" borderId="2" xfId="0" applyNumberFormat="1" applyBorder="1"/>
    <xf numFmtId="0" fontId="2" fillId="0" borderId="9" xfId="0" applyFont="1" applyBorder="1"/>
    <xf numFmtId="164" fontId="2" fillId="0" borderId="9" xfId="0" applyNumberFormat="1" applyFont="1" applyBorder="1"/>
    <xf numFmtId="14" fontId="0" fillId="0" borderId="0" xfId="0" applyNumberFormat="1"/>
    <xf numFmtId="2" fontId="0" fillId="0" borderId="0" xfId="0" applyNumberFormat="1"/>
    <xf numFmtId="0" fontId="10" fillId="0" borderId="0" xfId="0" applyFont="1"/>
    <xf numFmtId="0" fontId="9" fillId="0" borderId="0" xfId="0" applyFont="1"/>
    <xf numFmtId="0" fontId="7" fillId="3" borderId="0" xfId="0" applyFont="1" applyFill="1"/>
    <xf numFmtId="164" fontId="7" fillId="3" borderId="0" xfId="0" applyNumberFormat="1" applyFont="1" applyFill="1"/>
    <xf numFmtId="0" fontId="8" fillId="3" borderId="0" xfId="0" applyFont="1" applyFill="1"/>
    <xf numFmtId="2" fontId="8" fillId="3" borderId="0" xfId="0" applyNumberFormat="1" applyFont="1" applyFill="1" applyAlignment="1">
      <alignment horizontal="right"/>
    </xf>
    <xf numFmtId="0" fontId="2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EC54-A80F-4161-AECD-C31695035DF6}">
  <dimension ref="A1:T57"/>
  <sheetViews>
    <sheetView showGridLines="0" tabSelected="1" workbookViewId="0">
      <pane ySplit="1" topLeftCell="A44" activePane="bottomLeft" state="frozen"/>
      <selection pane="bottomLeft" activeCell="L9" sqref="L9"/>
    </sheetView>
  </sheetViews>
  <sheetFormatPr defaultRowHeight="15" x14ac:dyDescent="0.25"/>
  <cols>
    <col min="1" max="1" width="13.5703125" customWidth="1"/>
    <col min="2" max="2" width="10.7109375" bestFit="1" customWidth="1"/>
    <col min="3" max="3" width="9.5703125" customWidth="1"/>
    <col min="4" max="8" width="10.7109375" bestFit="1" customWidth="1"/>
    <col min="9" max="10" width="11.42578125" bestFit="1" customWidth="1"/>
  </cols>
  <sheetData>
    <row r="1" spans="1:20" ht="18.75" x14ac:dyDescent="0.3">
      <c r="A1" s="1" t="s">
        <v>0</v>
      </c>
      <c r="B1" s="1"/>
      <c r="C1" s="1"/>
      <c r="D1" s="1">
        <v>2014</v>
      </c>
      <c r="E1" s="1">
        <f t="shared" ref="E1:J1" si="0">+D1+1</f>
        <v>2015</v>
      </c>
      <c r="F1" s="1">
        <f t="shared" si="0"/>
        <v>2016</v>
      </c>
      <c r="G1" s="1">
        <f t="shared" si="0"/>
        <v>2017</v>
      </c>
      <c r="H1" s="1">
        <f t="shared" si="0"/>
        <v>2018</v>
      </c>
      <c r="I1" s="1">
        <f t="shared" si="0"/>
        <v>2019</v>
      </c>
      <c r="J1" s="1">
        <f t="shared" si="0"/>
        <v>2020</v>
      </c>
    </row>
    <row r="2" spans="1:20" ht="13.5" customHeight="1" x14ac:dyDescent="0.25">
      <c r="N2" s="4" t="s">
        <v>13</v>
      </c>
      <c r="O2" s="5"/>
      <c r="P2" s="5"/>
      <c r="Q2" s="5"/>
      <c r="R2" s="5"/>
      <c r="S2" s="5"/>
      <c r="T2" s="6"/>
    </row>
    <row r="3" spans="1:20" ht="13.5" customHeight="1" x14ac:dyDescent="0.25">
      <c r="N3" s="7"/>
      <c r="T3" s="8"/>
    </row>
    <row r="4" spans="1:20" ht="13.5" customHeight="1" x14ac:dyDescent="0.25">
      <c r="N4" s="7" t="s">
        <v>29</v>
      </c>
      <c r="T4" s="8"/>
    </row>
    <row r="5" spans="1:20" ht="26.25" x14ac:dyDescent="0.4">
      <c r="A5" s="25" t="s">
        <v>2</v>
      </c>
      <c r="F5" t="s">
        <v>26</v>
      </c>
      <c r="N5" s="7" t="s">
        <v>14</v>
      </c>
      <c r="T5" s="8"/>
    </row>
    <row r="6" spans="1:20" s="2" customFormat="1" x14ac:dyDescent="0.25">
      <c r="A6" s="2" t="s">
        <v>3</v>
      </c>
      <c r="C6" s="2" t="s">
        <v>1</v>
      </c>
      <c r="D6" s="15">
        <v>150000</v>
      </c>
      <c r="E6" s="15">
        <v>165000</v>
      </c>
      <c r="F6" s="16">
        <f>E6*(1+ F18)</f>
        <v>181500.00000000003</v>
      </c>
      <c r="G6" s="16">
        <f>F6*(1+ G18)</f>
        <v>199650.00000000006</v>
      </c>
      <c r="H6" s="16">
        <f>G6*(1+ H18)</f>
        <v>219615.00000000009</v>
      </c>
      <c r="I6" s="16">
        <f>H6*(1+ I18)</f>
        <v>241576.50000000012</v>
      </c>
      <c r="J6" s="16">
        <f>I6*(1+ J18)</f>
        <v>265734.15000000014</v>
      </c>
      <c r="N6" s="17" t="s">
        <v>15</v>
      </c>
      <c r="T6" s="18"/>
    </row>
    <row r="7" spans="1:20" x14ac:dyDescent="0.25">
      <c r="A7" t="s">
        <v>4</v>
      </c>
      <c r="D7" s="12">
        <v>67500</v>
      </c>
      <c r="E7" s="12">
        <v>74250</v>
      </c>
      <c r="F7" s="3">
        <f>F6*F19</f>
        <v>81675.000000000015</v>
      </c>
      <c r="G7" s="3">
        <f>G6*G19</f>
        <v>89842.500000000029</v>
      </c>
      <c r="H7" s="3">
        <f>H6*H19</f>
        <v>98826.750000000044</v>
      </c>
      <c r="I7" s="3">
        <f>I6*I19</f>
        <v>108709.42500000006</v>
      </c>
      <c r="J7" s="3">
        <f>J6*J19</f>
        <v>119580.36750000007</v>
      </c>
      <c r="N7" s="7" t="s">
        <v>16</v>
      </c>
      <c r="T7" s="8"/>
    </row>
    <row r="8" spans="1:20" x14ac:dyDescent="0.25">
      <c r="A8" s="5" t="s">
        <v>5</v>
      </c>
      <c r="B8" s="5"/>
      <c r="C8" s="5"/>
      <c r="D8" s="19">
        <f t="shared" ref="D8:J8" si="1">D6-D7</f>
        <v>82500</v>
      </c>
      <c r="E8" s="19">
        <f t="shared" si="1"/>
        <v>90750</v>
      </c>
      <c r="F8" s="19">
        <f t="shared" si="1"/>
        <v>99825.000000000015</v>
      </c>
      <c r="G8" s="19">
        <f t="shared" si="1"/>
        <v>109807.50000000003</v>
      </c>
      <c r="H8" s="19">
        <f t="shared" si="1"/>
        <v>120788.25000000004</v>
      </c>
      <c r="I8" s="19">
        <f t="shared" si="1"/>
        <v>132867.07500000007</v>
      </c>
      <c r="J8" s="19">
        <f t="shared" si="1"/>
        <v>146153.78250000009</v>
      </c>
      <c r="N8" s="7" t="s">
        <v>17</v>
      </c>
      <c r="T8" s="8"/>
    </row>
    <row r="9" spans="1:20" x14ac:dyDescent="0.25">
      <c r="A9" t="s">
        <v>6</v>
      </c>
      <c r="D9" s="12">
        <v>16500</v>
      </c>
      <c r="E9" s="12">
        <v>18150</v>
      </c>
      <c r="F9" s="3">
        <v>20000</v>
      </c>
      <c r="G9" s="3">
        <v>20000</v>
      </c>
      <c r="H9" s="3">
        <v>20000</v>
      </c>
      <c r="I9" s="3">
        <v>20000</v>
      </c>
      <c r="J9" s="3">
        <v>20000</v>
      </c>
      <c r="N9" s="7" t="s">
        <v>18</v>
      </c>
      <c r="T9" s="8"/>
    </row>
    <row r="10" spans="1:20" x14ac:dyDescent="0.25">
      <c r="A10" s="5" t="s">
        <v>7</v>
      </c>
      <c r="B10" s="5"/>
      <c r="C10" s="5"/>
      <c r="D10" s="19">
        <f t="shared" ref="D10:J10" si="2">D8-D9</f>
        <v>66000</v>
      </c>
      <c r="E10" s="19">
        <f t="shared" si="2"/>
        <v>72600</v>
      </c>
      <c r="F10" s="19">
        <f t="shared" si="2"/>
        <v>79825.000000000015</v>
      </c>
      <c r="G10" s="19">
        <f t="shared" si="2"/>
        <v>89807.500000000029</v>
      </c>
      <c r="H10" s="19">
        <f t="shared" si="2"/>
        <v>100788.25000000004</v>
      </c>
      <c r="I10" s="19">
        <f t="shared" si="2"/>
        <v>112867.07500000007</v>
      </c>
      <c r="J10" s="19">
        <f t="shared" si="2"/>
        <v>126153.78250000009</v>
      </c>
      <c r="N10" s="7"/>
      <c r="O10" t="s">
        <v>24</v>
      </c>
      <c r="T10" s="8"/>
    </row>
    <row r="11" spans="1:20" x14ac:dyDescent="0.25">
      <c r="A11" t="s">
        <v>8</v>
      </c>
      <c r="D11" s="12">
        <v>6600</v>
      </c>
      <c r="E11" s="12">
        <v>7260</v>
      </c>
      <c r="F11" s="3">
        <f>F6*F21</f>
        <v>9075.0000000000018</v>
      </c>
      <c r="G11" s="3">
        <f>G6*G21</f>
        <v>9982.5000000000036</v>
      </c>
      <c r="H11" s="3">
        <f>H6*H21</f>
        <v>10980.750000000005</v>
      </c>
      <c r="I11" s="3">
        <f>I6*I21</f>
        <v>12078.825000000006</v>
      </c>
      <c r="J11" s="3">
        <f>J6*J21</f>
        <v>13286.707500000008</v>
      </c>
      <c r="N11" s="7"/>
      <c r="O11" t="s">
        <v>25</v>
      </c>
      <c r="T11" s="8"/>
    </row>
    <row r="12" spans="1:20" x14ac:dyDescent="0.25">
      <c r="A12" t="s">
        <v>9</v>
      </c>
      <c r="D12" s="12">
        <v>1000</v>
      </c>
      <c r="E12" s="12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N12" s="7"/>
      <c r="T12" s="8"/>
    </row>
    <row r="13" spans="1:20" x14ac:dyDescent="0.25">
      <c r="A13" s="5" t="s">
        <v>10</v>
      </c>
      <c r="B13" s="5"/>
      <c r="C13" s="5"/>
      <c r="D13" s="19">
        <f t="shared" ref="D13:J13" si="3">D10-SUM(D11:D12)</f>
        <v>58400</v>
      </c>
      <c r="E13" s="19">
        <f t="shared" si="3"/>
        <v>64340</v>
      </c>
      <c r="F13" s="19">
        <f t="shared" si="3"/>
        <v>69750.000000000015</v>
      </c>
      <c r="G13" s="19">
        <f t="shared" si="3"/>
        <v>78825.000000000029</v>
      </c>
      <c r="H13" s="19">
        <f t="shared" si="3"/>
        <v>88807.500000000044</v>
      </c>
      <c r="I13" s="19">
        <f t="shared" si="3"/>
        <v>99788.250000000058</v>
      </c>
      <c r="J13" s="19">
        <f t="shared" si="3"/>
        <v>111867.07500000008</v>
      </c>
      <c r="N13" s="7" t="s">
        <v>27</v>
      </c>
      <c r="T13" s="8"/>
    </row>
    <row r="14" spans="1:20" x14ac:dyDescent="0.25">
      <c r="A14" t="s">
        <v>11</v>
      </c>
      <c r="D14" s="12">
        <v>17520</v>
      </c>
      <c r="E14" s="12">
        <v>19302</v>
      </c>
      <c r="F14" s="3">
        <f>+F13*F23</f>
        <v>20925.000000000004</v>
      </c>
      <c r="G14" s="3">
        <f>+G13*G23</f>
        <v>23647.500000000007</v>
      </c>
      <c r="H14" s="3">
        <f>+H13*H23</f>
        <v>26642.250000000011</v>
      </c>
      <c r="I14" s="3">
        <f>+I13*I23</f>
        <v>29936.475000000017</v>
      </c>
      <c r="J14" s="3">
        <f>+J13*J23</f>
        <v>33560.122500000027</v>
      </c>
      <c r="N14" s="7" t="s">
        <v>28</v>
      </c>
      <c r="T14" s="8"/>
    </row>
    <row r="15" spans="1:20" s="2" customFormat="1" ht="15.75" thickBot="1" x14ac:dyDescent="0.3">
      <c r="A15" s="20" t="s">
        <v>12</v>
      </c>
      <c r="B15" s="20"/>
      <c r="C15" s="20"/>
      <c r="D15" s="21">
        <f t="shared" ref="D15:J15" si="4">D13-D14</f>
        <v>40880</v>
      </c>
      <c r="E15" s="21">
        <f t="shared" si="4"/>
        <v>45038</v>
      </c>
      <c r="F15" s="21">
        <f t="shared" si="4"/>
        <v>48825.000000000015</v>
      </c>
      <c r="G15" s="21">
        <f t="shared" si="4"/>
        <v>55177.500000000022</v>
      </c>
      <c r="H15" s="21">
        <f t="shared" si="4"/>
        <v>62165.250000000029</v>
      </c>
      <c r="I15" s="21">
        <f t="shared" si="4"/>
        <v>69851.775000000038</v>
      </c>
      <c r="J15" s="21">
        <f t="shared" si="4"/>
        <v>78306.952500000058</v>
      </c>
      <c r="N15" s="17"/>
      <c r="T15" s="18"/>
    </row>
    <row r="16" spans="1:20" ht="15.75" thickTop="1" x14ac:dyDescent="0.25">
      <c r="N16" s="7"/>
      <c r="T16" s="8"/>
    </row>
    <row r="17" spans="1:20" ht="23.25" x14ac:dyDescent="0.35">
      <c r="A17" s="24" t="s">
        <v>19</v>
      </c>
      <c r="N17" s="9"/>
      <c r="O17" s="10"/>
      <c r="P17" s="10"/>
      <c r="Q17" s="10"/>
      <c r="R17" s="10"/>
      <c r="S17" s="10"/>
      <c r="T17" s="11"/>
    </row>
    <row r="18" spans="1:20" x14ac:dyDescent="0.25">
      <c r="A18" t="s">
        <v>20</v>
      </c>
      <c r="E18" s="13">
        <f>E6/D6-1</f>
        <v>0.10000000000000009</v>
      </c>
      <c r="F18" s="14">
        <v>0.1</v>
      </c>
      <c r="G18" s="14">
        <v>0.1</v>
      </c>
      <c r="H18" s="14">
        <v>0.1</v>
      </c>
      <c r="I18" s="14">
        <v>0.1</v>
      </c>
      <c r="J18" s="14">
        <v>0.1</v>
      </c>
    </row>
    <row r="19" spans="1:20" x14ac:dyDescent="0.25">
      <c r="A19" t="s">
        <v>21</v>
      </c>
      <c r="D19" s="13">
        <f>D7/D6</f>
        <v>0.45</v>
      </c>
      <c r="E19" s="13">
        <f>E7/E6</f>
        <v>0.45</v>
      </c>
      <c r="F19" s="14">
        <v>0.45</v>
      </c>
      <c r="G19" s="14">
        <v>0.45</v>
      </c>
      <c r="H19" s="14">
        <v>0.45</v>
      </c>
      <c r="I19" s="14">
        <v>0.45</v>
      </c>
      <c r="J19" s="14">
        <v>0.45</v>
      </c>
    </row>
    <row r="20" spans="1:20" x14ac:dyDescent="0.25">
      <c r="A20" t="s">
        <v>6</v>
      </c>
      <c r="D20" s="12">
        <v>16500</v>
      </c>
      <c r="E20" s="12">
        <v>18150</v>
      </c>
      <c r="F20" s="12">
        <v>20000</v>
      </c>
      <c r="G20" s="12">
        <v>20000</v>
      </c>
      <c r="H20" s="12">
        <v>20000</v>
      </c>
      <c r="I20" s="12">
        <v>20000</v>
      </c>
      <c r="J20" s="12">
        <v>20000</v>
      </c>
    </row>
    <row r="21" spans="1:20" x14ac:dyDescent="0.25">
      <c r="A21" t="s">
        <v>22</v>
      </c>
      <c r="D21" s="13">
        <f>D11/D6</f>
        <v>4.3999999999999997E-2</v>
      </c>
      <c r="E21" s="13">
        <f>E11/E6</f>
        <v>4.3999999999999997E-2</v>
      </c>
      <c r="F21" s="14">
        <v>0.05</v>
      </c>
      <c r="G21" s="14">
        <v>0.05</v>
      </c>
      <c r="H21" s="14">
        <v>0.05</v>
      </c>
      <c r="I21" s="14">
        <v>0.05</v>
      </c>
      <c r="J21" s="14">
        <v>0.05</v>
      </c>
    </row>
    <row r="22" spans="1:20" x14ac:dyDescent="0.25">
      <c r="A22" t="s">
        <v>9</v>
      </c>
      <c r="D22" s="12">
        <v>1000</v>
      </c>
      <c r="E22" s="12">
        <v>1001</v>
      </c>
      <c r="F22" s="12">
        <v>1000</v>
      </c>
      <c r="G22" s="12">
        <v>1000</v>
      </c>
      <c r="H22" s="12">
        <v>1000</v>
      </c>
      <c r="I22" s="12">
        <v>1000</v>
      </c>
      <c r="J22" s="12">
        <v>1000</v>
      </c>
    </row>
    <row r="23" spans="1:20" x14ac:dyDescent="0.25">
      <c r="A23" t="s">
        <v>23</v>
      </c>
      <c r="D23" s="13">
        <f>D14/D13</f>
        <v>0.3</v>
      </c>
      <c r="E23" s="13">
        <f>E14/E13</f>
        <v>0.3</v>
      </c>
      <c r="F23" s="14">
        <v>0.3</v>
      </c>
      <c r="G23" s="14">
        <v>0.3</v>
      </c>
      <c r="H23" s="14">
        <v>0.3</v>
      </c>
      <c r="I23" s="14">
        <v>0.3</v>
      </c>
      <c r="J23" s="14">
        <v>0.3</v>
      </c>
    </row>
    <row r="25" spans="1:20" x14ac:dyDescent="0.25">
      <c r="B25" t="s">
        <v>31</v>
      </c>
      <c r="C25" s="22"/>
    </row>
    <row r="26" spans="1:20" x14ac:dyDescent="0.25">
      <c r="A26" s="2" t="s">
        <v>30</v>
      </c>
      <c r="B26" s="22">
        <f ca="1">TODAY()</f>
        <v>45226</v>
      </c>
      <c r="C26" s="22"/>
      <c r="D26">
        <v>0</v>
      </c>
      <c r="E26">
        <v>1</v>
      </c>
      <c r="F26">
        <f>+E26+1</f>
        <v>2</v>
      </c>
      <c r="G26">
        <f>+F26+1</f>
        <v>3</v>
      </c>
      <c r="H26">
        <f t="shared" ref="H26:J26" si="5">+G26+1</f>
        <v>4</v>
      </c>
      <c r="I26">
        <f t="shared" si="5"/>
        <v>5</v>
      </c>
      <c r="J26">
        <f t="shared" si="5"/>
        <v>6</v>
      </c>
    </row>
    <row r="27" spans="1:20" x14ac:dyDescent="0.25">
      <c r="A27" t="s">
        <v>32</v>
      </c>
      <c r="D27" s="22">
        <f ca="1">EOMONTH($B$26,0)</f>
        <v>45230</v>
      </c>
      <c r="E27" s="22">
        <f t="shared" ref="E27:J27" ca="1" si="6">EOMONTH($B$26,0)</f>
        <v>45230</v>
      </c>
      <c r="F27" s="22">
        <f t="shared" ca="1" si="6"/>
        <v>45230</v>
      </c>
      <c r="G27" s="22">
        <f t="shared" ca="1" si="6"/>
        <v>45230</v>
      </c>
      <c r="H27" s="22">
        <f t="shared" ca="1" si="6"/>
        <v>45230</v>
      </c>
      <c r="I27" s="22">
        <f t="shared" ca="1" si="6"/>
        <v>45230</v>
      </c>
      <c r="J27" s="22">
        <f t="shared" ca="1" si="6"/>
        <v>45230</v>
      </c>
    </row>
    <row r="28" spans="1:20" x14ac:dyDescent="0.25">
      <c r="A28" t="s">
        <v>33</v>
      </c>
      <c r="D28" s="22">
        <f ca="1">DATE(YEAR($B$26)+D26,12,31)</f>
        <v>45291</v>
      </c>
      <c r="E28" s="22">
        <f t="shared" ref="E28:J28" ca="1" si="7">DATE(YEAR($B$26)+E26,12,31)</f>
        <v>45657</v>
      </c>
      <c r="F28" s="22">
        <f t="shared" ca="1" si="7"/>
        <v>46022</v>
      </c>
      <c r="G28" s="22">
        <f t="shared" ca="1" si="7"/>
        <v>46387</v>
      </c>
      <c r="H28" s="22">
        <f t="shared" ca="1" si="7"/>
        <v>46752</v>
      </c>
      <c r="I28" s="22">
        <f t="shared" ca="1" si="7"/>
        <v>47118</v>
      </c>
      <c r="J28" s="22">
        <f t="shared" ca="1" si="7"/>
        <v>47483</v>
      </c>
    </row>
    <row r="30" spans="1:20" ht="23.25" x14ac:dyDescent="0.35">
      <c r="B30" s="24" t="s">
        <v>34</v>
      </c>
    </row>
    <row r="31" spans="1:20" x14ac:dyDescent="0.25">
      <c r="A31" t="s">
        <v>35</v>
      </c>
      <c r="D31" s="23">
        <f ca="1">YEARFRAC($C$25,D27)</f>
        <v>123.83611111111111</v>
      </c>
      <c r="E31" s="23">
        <f t="shared" ref="E31:J31" ca="1" si="8">YEARFRAC($C$25,E27)</f>
        <v>123.83611111111111</v>
      </c>
      <c r="F31" s="23">
        <f t="shared" ca="1" si="8"/>
        <v>123.83611111111111</v>
      </c>
      <c r="G31" s="23">
        <f t="shared" ca="1" si="8"/>
        <v>123.83611111111111</v>
      </c>
      <c r="H31" s="23">
        <f t="shared" ca="1" si="8"/>
        <v>123.83611111111111</v>
      </c>
      <c r="I31" s="23">
        <f t="shared" ca="1" si="8"/>
        <v>123.83611111111111</v>
      </c>
      <c r="J31" s="23">
        <f t="shared" ca="1" si="8"/>
        <v>123.83611111111111</v>
      </c>
    </row>
    <row r="32" spans="1:20" x14ac:dyDescent="0.25">
      <c r="A32" t="s">
        <v>36</v>
      </c>
      <c r="D32" s="23">
        <f ca="1">YEARFRAC($C$25,D28)</f>
        <v>124.00277777777778</v>
      </c>
      <c r="E32" s="23">
        <f t="shared" ref="E32:J32" ca="1" si="9">YEARFRAC($C$25,E28)</f>
        <v>125.00277777777778</v>
      </c>
      <c r="F32" s="23">
        <f t="shared" ca="1" si="9"/>
        <v>126.00277777777778</v>
      </c>
      <c r="G32" s="23">
        <f t="shared" ca="1" si="9"/>
        <v>127.00277777777778</v>
      </c>
      <c r="H32" s="23">
        <f t="shared" ca="1" si="9"/>
        <v>128.00277777777777</v>
      </c>
      <c r="I32" s="23">
        <f t="shared" ca="1" si="9"/>
        <v>129.00277777777777</v>
      </c>
      <c r="J32" s="23">
        <f t="shared" ca="1" si="9"/>
        <v>130.00277777777777</v>
      </c>
    </row>
    <row r="33" spans="1:13" x14ac:dyDescent="0.25">
      <c r="A33" s="28" t="s">
        <v>43</v>
      </c>
      <c r="B33" s="28"/>
      <c r="C33" s="28"/>
      <c r="D33" s="29" t="str">
        <f ca="1">IF(D32&lt;1,"Stub","Full Year")</f>
        <v>Full Year</v>
      </c>
      <c r="E33" s="29" t="str">
        <f t="shared" ref="E33:J33" ca="1" si="10">IF(E32&lt;1,"Stub","Full Year")</f>
        <v>Full Year</v>
      </c>
      <c r="F33" s="29" t="str">
        <f t="shared" ca="1" si="10"/>
        <v>Full Year</v>
      </c>
      <c r="G33" s="29" t="str">
        <f t="shared" ca="1" si="10"/>
        <v>Full Year</v>
      </c>
      <c r="H33" s="29" t="str">
        <f t="shared" ca="1" si="10"/>
        <v>Full Year</v>
      </c>
      <c r="I33" s="29" t="str">
        <f t="shared" ca="1" si="10"/>
        <v>Full Year</v>
      </c>
      <c r="J33" s="29" t="str">
        <f t="shared" ca="1" si="10"/>
        <v>Full Year</v>
      </c>
    </row>
    <row r="36" spans="1:13" ht="23.25" x14ac:dyDescent="0.35">
      <c r="A36" s="24" t="s">
        <v>37</v>
      </c>
      <c r="C36" t="s">
        <v>40</v>
      </c>
    </row>
    <row r="37" spans="1:13" x14ac:dyDescent="0.25">
      <c r="A37" t="s">
        <v>4</v>
      </c>
      <c r="C37">
        <v>10</v>
      </c>
      <c r="D37" s="3">
        <f>D7</f>
        <v>67500</v>
      </c>
      <c r="E37" s="3">
        <f t="shared" ref="E37:J37" si="11">E7</f>
        <v>74250</v>
      </c>
      <c r="F37" s="3">
        <f t="shared" si="11"/>
        <v>81675.000000000015</v>
      </c>
      <c r="G37" s="3">
        <f t="shared" si="11"/>
        <v>89842.500000000029</v>
      </c>
      <c r="H37" s="3">
        <f t="shared" si="11"/>
        <v>98826.750000000044</v>
      </c>
      <c r="I37" s="3">
        <f t="shared" si="11"/>
        <v>108709.42500000006</v>
      </c>
      <c r="J37" s="3">
        <f t="shared" si="11"/>
        <v>119580.36750000007</v>
      </c>
    </row>
    <row r="38" spans="1:13" x14ac:dyDescent="0.25">
      <c r="A38" t="s">
        <v>6</v>
      </c>
      <c r="C38">
        <v>10</v>
      </c>
      <c r="D38" s="3">
        <f>+D20</f>
        <v>16500</v>
      </c>
      <c r="E38" s="3">
        <f t="shared" ref="E38:J38" si="12">+E20</f>
        <v>18150</v>
      </c>
      <c r="F38" s="3">
        <f t="shared" si="12"/>
        <v>20000</v>
      </c>
      <c r="G38" s="3">
        <f t="shared" si="12"/>
        <v>20000</v>
      </c>
      <c r="H38" s="3">
        <f t="shared" si="12"/>
        <v>20000</v>
      </c>
      <c r="I38" s="3">
        <f t="shared" si="12"/>
        <v>20000</v>
      </c>
      <c r="J38" s="3">
        <f t="shared" si="12"/>
        <v>20000</v>
      </c>
    </row>
    <row r="39" spans="1:13" x14ac:dyDescent="0.25">
      <c r="A39" t="s">
        <v>8</v>
      </c>
      <c r="C39">
        <v>5</v>
      </c>
      <c r="D39" s="3">
        <f>+D11</f>
        <v>6600</v>
      </c>
      <c r="E39" s="3">
        <f t="shared" ref="E39:J39" si="13">+E11</f>
        <v>7260</v>
      </c>
      <c r="F39" s="3">
        <f t="shared" si="13"/>
        <v>9075.0000000000018</v>
      </c>
      <c r="G39" s="3">
        <f t="shared" si="13"/>
        <v>9982.5000000000036</v>
      </c>
      <c r="H39" s="3">
        <f t="shared" si="13"/>
        <v>10980.750000000005</v>
      </c>
      <c r="I39" s="3">
        <f t="shared" si="13"/>
        <v>12078.825000000006</v>
      </c>
      <c r="J39" s="3">
        <f t="shared" si="13"/>
        <v>13286.707500000008</v>
      </c>
    </row>
    <row r="40" spans="1:13" x14ac:dyDescent="0.25">
      <c r="A40" t="s">
        <v>9</v>
      </c>
      <c r="C40">
        <v>5</v>
      </c>
      <c r="D40" s="3">
        <f>+D12</f>
        <v>1000</v>
      </c>
      <c r="E40" s="3">
        <f t="shared" ref="E40:J40" si="14">+E12</f>
        <v>1000</v>
      </c>
      <c r="F40" s="3">
        <f t="shared" si="14"/>
        <v>1000</v>
      </c>
      <c r="G40" s="3">
        <f t="shared" si="14"/>
        <v>1000</v>
      </c>
      <c r="H40" s="3">
        <f t="shared" si="14"/>
        <v>1000</v>
      </c>
      <c r="I40" s="3">
        <f t="shared" si="14"/>
        <v>1000</v>
      </c>
      <c r="J40" s="3">
        <f t="shared" si="14"/>
        <v>1000</v>
      </c>
    </row>
    <row r="41" spans="1:13" x14ac:dyDescent="0.25">
      <c r="A41" t="s">
        <v>11</v>
      </c>
      <c r="C41">
        <v>0</v>
      </c>
      <c r="D41" s="3">
        <f>+D14</f>
        <v>17520</v>
      </c>
      <c r="E41" s="3">
        <f t="shared" ref="E41:J41" si="15">+E14</f>
        <v>19302</v>
      </c>
      <c r="F41" s="3">
        <f t="shared" si="15"/>
        <v>20925.000000000004</v>
      </c>
      <c r="G41" s="3">
        <f t="shared" si="15"/>
        <v>23647.500000000007</v>
      </c>
      <c r="H41" s="3">
        <f t="shared" si="15"/>
        <v>26642.250000000011</v>
      </c>
      <c r="I41" s="3">
        <f t="shared" si="15"/>
        <v>29936.475000000017</v>
      </c>
      <c r="J41" s="3">
        <f t="shared" si="15"/>
        <v>33560.122500000027</v>
      </c>
    </row>
    <row r="42" spans="1:13" x14ac:dyDescent="0.25">
      <c r="A42" s="26" t="s">
        <v>38</v>
      </c>
      <c r="B42" s="26"/>
      <c r="C42" s="26">
        <f>SUM(C37:C41)</f>
        <v>30</v>
      </c>
      <c r="D42" s="27">
        <f>SUM(D37:D41)</f>
        <v>109120</v>
      </c>
      <c r="E42" s="27">
        <f t="shared" ref="E42:J42" si="16">SUM(E37:E41)</f>
        <v>119962</v>
      </c>
      <c r="F42" s="27">
        <f t="shared" si="16"/>
        <v>132675.00000000003</v>
      </c>
      <c r="G42" s="27">
        <f t="shared" si="16"/>
        <v>144472.50000000003</v>
      </c>
      <c r="H42" s="27">
        <f t="shared" si="16"/>
        <v>157449.75000000006</v>
      </c>
      <c r="I42" s="27">
        <f t="shared" si="16"/>
        <v>171724.72500000006</v>
      </c>
      <c r="J42" s="27">
        <f t="shared" si="16"/>
        <v>187427.1975000001</v>
      </c>
    </row>
    <row r="43" spans="1:13" x14ac:dyDescent="0.25">
      <c r="M43" t="s">
        <v>1</v>
      </c>
    </row>
    <row r="44" spans="1:13" x14ac:dyDescent="0.25">
      <c r="A44" s="2" t="s">
        <v>39</v>
      </c>
      <c r="D44" s="3">
        <f>AVERAGE(D37:D41)</f>
        <v>21824</v>
      </c>
      <c r="E44" s="3">
        <f t="shared" ref="E44:J44" si="17">AVERAGE(E37:E41)</f>
        <v>23992.400000000001</v>
      </c>
      <c r="F44" s="3">
        <f t="shared" si="17"/>
        <v>26535.000000000007</v>
      </c>
      <c r="G44" s="3">
        <f t="shared" si="17"/>
        <v>28894.500000000007</v>
      </c>
      <c r="H44" s="3">
        <f t="shared" si="17"/>
        <v>31489.950000000012</v>
      </c>
      <c r="I44" s="3">
        <f t="shared" si="17"/>
        <v>34344.945000000014</v>
      </c>
      <c r="J44" s="3">
        <f t="shared" si="17"/>
        <v>37485.439500000022</v>
      </c>
    </row>
    <row r="45" spans="1:13" x14ac:dyDescent="0.25">
      <c r="A45" s="2" t="s">
        <v>41</v>
      </c>
      <c r="D45" s="3">
        <f>SUMPRODUCT(D37:D41,$C$37:$C$41)/$C$42</f>
        <v>29266.666666666668</v>
      </c>
      <c r="E45" s="3">
        <f t="shared" ref="E45:J45" si="18">SUMPRODUCT(E37:E41,$C$37:$C$41)/$C$42</f>
        <v>32176.666666666668</v>
      </c>
      <c r="F45" s="3">
        <f t="shared" si="18"/>
        <v>35570.833333333343</v>
      </c>
      <c r="G45" s="3">
        <f t="shared" si="18"/>
        <v>38444.583333333343</v>
      </c>
      <c r="H45" s="3">
        <f t="shared" si="18"/>
        <v>41605.70833333335</v>
      </c>
      <c r="I45" s="3">
        <f>SUMPRODUCT(I37:I41,$C$37:$C$41)/$C$42</f>
        <v>45082.945833333353</v>
      </c>
      <c r="J45" s="3">
        <f t="shared" si="18"/>
        <v>48907.907083333361</v>
      </c>
    </row>
    <row r="46" spans="1:13" x14ac:dyDescent="0.25">
      <c r="A46" s="2" t="s">
        <v>42</v>
      </c>
      <c r="D46" s="3">
        <f>MEDIAN(D36:D41)</f>
        <v>16500</v>
      </c>
      <c r="E46" s="3">
        <f t="shared" ref="E46:J46" si="19">MEDIAN(E36:E41)</f>
        <v>18150</v>
      </c>
      <c r="F46" s="3">
        <f t="shared" si="19"/>
        <v>20000</v>
      </c>
      <c r="G46" s="3">
        <f t="shared" si="19"/>
        <v>20000</v>
      </c>
      <c r="H46" s="3">
        <f t="shared" si="19"/>
        <v>20000</v>
      </c>
      <c r="I46" s="3">
        <f t="shared" si="19"/>
        <v>20000</v>
      </c>
      <c r="J46" s="3">
        <f t="shared" si="19"/>
        <v>20000</v>
      </c>
    </row>
    <row r="49" spans="1:10" ht="23.25" x14ac:dyDescent="0.35">
      <c r="A49" s="24" t="s">
        <v>44</v>
      </c>
    </row>
    <row r="50" spans="1:10" x14ac:dyDescent="0.25">
      <c r="A50" t="str">
        <f>"if &lt;" &amp;C50</f>
        <v>if &lt;180000</v>
      </c>
      <c r="C50">
        <v>180000</v>
      </c>
      <c r="D50" s="3">
        <f>IF(D42&lt;$C$50,D42,0)</f>
        <v>109120</v>
      </c>
      <c r="E50" s="3">
        <f t="shared" ref="E50:J50" si="20">IF(E42&lt;$C$50,E42,0)</f>
        <v>119962</v>
      </c>
      <c r="F50" s="3">
        <f t="shared" si="20"/>
        <v>132675.00000000003</v>
      </c>
      <c r="G50" s="3">
        <f t="shared" si="20"/>
        <v>144472.50000000003</v>
      </c>
      <c r="H50" s="3">
        <f>IF(H42&lt;$C$50,H42,0)</f>
        <v>157449.75000000006</v>
      </c>
      <c r="I50" s="3">
        <f>IF(I42&lt;$C$50,I42,0)</f>
        <v>171724.72500000006</v>
      </c>
      <c r="J50" s="3">
        <f t="shared" si="20"/>
        <v>0</v>
      </c>
    </row>
    <row r="51" spans="1:10" x14ac:dyDescent="0.25">
      <c r="A51" t="str">
        <f>"if &gt;" &amp; C51</f>
        <v>if &gt;158000</v>
      </c>
      <c r="C51">
        <v>158000</v>
      </c>
      <c r="D51">
        <f>IF(D42&gt;$C$51,D42,0)</f>
        <v>0</v>
      </c>
      <c r="E51">
        <f t="shared" ref="E51:J51" si="21">IF(E42&gt;$C$51,E42,0)</f>
        <v>0</v>
      </c>
      <c r="F51">
        <f t="shared" si="21"/>
        <v>0</v>
      </c>
      <c r="G51">
        <f t="shared" si="21"/>
        <v>0</v>
      </c>
      <c r="H51">
        <f t="shared" si="21"/>
        <v>0</v>
      </c>
      <c r="I51">
        <f t="shared" si="21"/>
        <v>171724.72500000006</v>
      </c>
      <c r="J51">
        <f t="shared" si="21"/>
        <v>187427.1975000001</v>
      </c>
    </row>
    <row r="52" spans="1:10" x14ac:dyDescent="0.25">
      <c r="A52" s="26" t="s">
        <v>45</v>
      </c>
      <c r="B52" s="26"/>
      <c r="C52" s="26"/>
      <c r="D52" s="27">
        <f>SUM(D50:D51)</f>
        <v>109120</v>
      </c>
      <c r="E52" s="27">
        <f t="shared" ref="E52:J52" si="22">SUM(E50:E51)</f>
        <v>119962</v>
      </c>
      <c r="F52" s="27">
        <f t="shared" si="22"/>
        <v>132675.00000000003</v>
      </c>
      <c r="G52" s="27">
        <f t="shared" si="22"/>
        <v>144472.50000000003</v>
      </c>
      <c r="H52" s="27">
        <f t="shared" si="22"/>
        <v>157449.75000000006</v>
      </c>
      <c r="I52" s="27">
        <f t="shared" si="22"/>
        <v>343449.45000000013</v>
      </c>
      <c r="J52" s="27">
        <f t="shared" si="22"/>
        <v>187427.1975000001</v>
      </c>
    </row>
    <row r="54" spans="1:10" x14ac:dyDescent="0.25">
      <c r="A54" s="30" t="s">
        <v>46</v>
      </c>
      <c r="B54" s="31"/>
      <c r="C54" s="31"/>
      <c r="D54" s="31" t="str">
        <f>IF(D52=D$42,"OK","ERROR")</f>
        <v>OK</v>
      </c>
      <c r="E54" s="31" t="str">
        <f t="shared" ref="E54:J54" si="23">IF(E52=E$42,"OK","ERROR")</f>
        <v>OK</v>
      </c>
      <c r="F54" s="31" t="str">
        <f t="shared" si="23"/>
        <v>OK</v>
      </c>
      <c r="G54" s="31" t="str">
        <f t="shared" si="23"/>
        <v>OK</v>
      </c>
      <c r="H54" s="31" t="str">
        <f t="shared" si="23"/>
        <v>OK</v>
      </c>
      <c r="I54" s="31" t="str">
        <f t="shared" si="23"/>
        <v>ERROR</v>
      </c>
      <c r="J54" s="31" t="str">
        <f t="shared" si="23"/>
        <v>OK</v>
      </c>
    </row>
    <row r="56" spans="1:10" x14ac:dyDescent="0.25">
      <c r="A56" t="s">
        <v>47</v>
      </c>
      <c r="D56" s="3">
        <f>MIN(D37:D41)</f>
        <v>1000</v>
      </c>
      <c r="E56" s="3">
        <f t="shared" ref="E56:J56" si="24">MIN(E37:E41)</f>
        <v>1000</v>
      </c>
      <c r="F56" s="3">
        <f t="shared" si="24"/>
        <v>1000</v>
      </c>
      <c r="G56" s="3">
        <f t="shared" si="24"/>
        <v>1000</v>
      </c>
      <c r="H56" s="3">
        <f t="shared" si="24"/>
        <v>1000</v>
      </c>
      <c r="I56" s="3">
        <f t="shared" si="24"/>
        <v>1000</v>
      </c>
      <c r="J56" s="3">
        <f t="shared" si="24"/>
        <v>1000</v>
      </c>
    </row>
    <row r="57" spans="1:10" x14ac:dyDescent="0.25">
      <c r="A57" t="s">
        <v>48</v>
      </c>
      <c r="D57" s="3">
        <f>MAX(D37:D41)</f>
        <v>67500</v>
      </c>
      <c r="E57" s="3">
        <f t="shared" ref="E57:J57" si="25">MAX(E37:E41)</f>
        <v>74250</v>
      </c>
      <c r="F57" s="3">
        <f t="shared" si="25"/>
        <v>81675.000000000015</v>
      </c>
      <c r="G57" s="3">
        <f t="shared" si="25"/>
        <v>89842.500000000029</v>
      </c>
      <c r="H57" s="3">
        <f t="shared" si="25"/>
        <v>98826.750000000044</v>
      </c>
      <c r="I57" s="3">
        <f t="shared" si="25"/>
        <v>108709.42500000006</v>
      </c>
      <c r="J57" s="3">
        <f t="shared" si="25"/>
        <v>119580.36750000007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0F22-13AB-4CD9-8C90-24EF0AC6785C}">
  <dimension ref="A2:D12"/>
  <sheetViews>
    <sheetView workbookViewId="0">
      <selection activeCell="E12" sqref="C3:E12"/>
    </sheetView>
  </sheetViews>
  <sheetFormatPr defaultRowHeight="15" x14ac:dyDescent="0.25"/>
  <sheetData>
    <row r="2" spans="1:4" x14ac:dyDescent="0.25">
      <c r="A2" s="2" t="s">
        <v>2</v>
      </c>
    </row>
    <row r="3" spans="1:4" x14ac:dyDescent="0.25">
      <c r="A3" t="s">
        <v>3</v>
      </c>
      <c r="C3">
        <v>150000</v>
      </c>
      <c r="D3">
        <v>165000</v>
      </c>
    </row>
    <row r="4" spans="1:4" x14ac:dyDescent="0.25">
      <c r="A4" t="s">
        <v>4</v>
      </c>
      <c r="C4">
        <v>67500</v>
      </c>
      <c r="D4">
        <v>74250</v>
      </c>
    </row>
    <row r="5" spans="1:4" x14ac:dyDescent="0.25">
      <c r="A5" t="s">
        <v>5</v>
      </c>
      <c r="C5">
        <v>82500</v>
      </c>
      <c r="D5">
        <v>90750</v>
      </c>
    </row>
    <row r="6" spans="1:4" x14ac:dyDescent="0.25">
      <c r="A6" t="s">
        <v>6</v>
      </c>
      <c r="C6">
        <v>16500</v>
      </c>
      <c r="D6">
        <v>18150</v>
      </c>
    </row>
    <row r="7" spans="1:4" x14ac:dyDescent="0.25">
      <c r="A7" t="s">
        <v>7</v>
      </c>
      <c r="C7">
        <v>66000</v>
      </c>
      <c r="D7">
        <v>72600</v>
      </c>
    </row>
    <row r="8" spans="1:4" x14ac:dyDescent="0.25">
      <c r="A8" t="s">
        <v>8</v>
      </c>
      <c r="C8">
        <v>6000</v>
      </c>
      <c r="D8">
        <v>7260</v>
      </c>
    </row>
    <row r="9" spans="1:4" x14ac:dyDescent="0.25">
      <c r="A9" t="s">
        <v>9</v>
      </c>
      <c r="C9">
        <v>1000</v>
      </c>
      <c r="D9">
        <v>1000</v>
      </c>
    </row>
    <row r="10" spans="1:4" x14ac:dyDescent="0.25">
      <c r="A10" t="s">
        <v>10</v>
      </c>
      <c r="C10">
        <v>58400</v>
      </c>
      <c r="D10">
        <v>64340</v>
      </c>
    </row>
    <row r="11" spans="1:4" x14ac:dyDescent="0.25">
      <c r="A11" t="s">
        <v>11</v>
      </c>
      <c r="C11">
        <v>17520</v>
      </c>
      <c r="D11">
        <v>19302</v>
      </c>
    </row>
    <row r="12" spans="1:4" x14ac:dyDescent="0.25">
      <c r="A12" t="s">
        <v>12</v>
      </c>
      <c r="C12">
        <v>40880</v>
      </c>
      <c r="D12">
        <v>45038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Analysis</vt:lpstr>
      <vt:lpstr>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2023-10-10T13:10:27Z</dcterms:created>
  <dcterms:modified xsi:type="dcterms:W3CDTF">2023-10-27T16:22:27Z</dcterms:modified>
</cp:coreProperties>
</file>